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2.xml" ContentType="application/vnd.openxmlformats-officedocument.drawing+xml"/>
  <Override PartName="/xl/drawings/drawing3.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4.xml" ContentType="application/vnd.openxmlformats-officedocument.drawing+xml"/>
  <Override PartName="/xl/charts/chart4.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Waldo V\Documents\EZUTE 2023-2026\Timbó\Licitação 2\Planilhas\Assinadas\"/>
    </mc:Choice>
  </mc:AlternateContent>
  <xr:revisionPtr revIDLastSave="0" documentId="13_ncr:1_{482B63A2-7B33-45A8-A504-DA25DF563E5A}" xr6:coauthVersionLast="47" xr6:coauthVersionMax="47" xr10:uidLastSave="{00000000-0000-0000-0000-000000000000}"/>
  <bookViews>
    <workbookView xWindow="-120" yWindow="-120" windowWidth="29040" windowHeight="15840" tabRatio="912" activeTab="5" xr2:uid="{00000000-000D-0000-FFFF-FFFF00000000}"/>
  </bookViews>
  <sheets>
    <sheet name="Resultados" sheetId="8" r:id="rId1"/>
    <sheet name="DADOS PARA CONTRATO" sheetId="30" r:id="rId2"/>
    <sheet name="FCD PROJETO" sheetId="1" r:id="rId3"/>
    <sheet name="DRE PROJETO" sheetId="19" r:id="rId4"/>
    <sheet name="FCD Acionista" sheetId="6" r:id="rId5"/>
    <sheet name="Matriz Tarifária" sheetId="29" r:id="rId6"/>
    <sheet name="Dados ME" sheetId="18" r:id="rId7"/>
    <sheet name="Histograma" sheetId="5" r:id="rId8"/>
    <sheet name="Base Física" sheetId="28" r:id="rId9"/>
    <sheet name="CAPEX" sheetId="25" r:id="rId10"/>
    <sheet name="Cronograma" sheetId="11" r:id="rId11"/>
    <sheet name="Financiamento " sheetId="7" r:id="rId12"/>
    <sheet name="Distribuição Custeio" sheetId="24" r:id="rId13"/>
    <sheet name="Mão de Obra" sheetId="12" r:id="rId14"/>
    <sheet name="Manut Rede" sheetId="22" r:id="rId15"/>
    <sheet name="Veículos" sheetId="26" r:id="rId16"/>
    <sheet name="Reposição de Ativos" sheetId="23" r:id="rId17"/>
    <sheet name="Energia Eletrica" sheetId="13" r:id="rId18"/>
    <sheet name="Produto Químico" sheetId="14" r:id="rId19"/>
    <sheet name="Legal e Regulação" sheetId="17" r:id="rId20"/>
    <sheet name="Despesas Diversas" sheetId="31" r:id="rId21"/>
    <sheet name="Recursos Hidricos" sheetId="15" r:id="rId22"/>
    <sheet name="Seguros e Garantias" sheetId="10" r:id="rId23"/>
    <sheet name="Depreciação " sheetId="21" r:id="rId24"/>
  </sheets>
  <externalReferences>
    <externalReference r:id="rId25"/>
    <externalReference r:id="rId26"/>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296" i="25" l="1"/>
  <c r="L296" i="25"/>
  <c r="L297" i="25" s="1"/>
  <c r="K296" i="25"/>
  <c r="J296" i="25"/>
  <c r="M299" i="25"/>
  <c r="Q345" i="25" l="1"/>
  <c r="Q344" i="25"/>
  <c r="Q343" i="25"/>
  <c r="Q342" i="25"/>
  <c r="Q341" i="25"/>
  <c r="Q346" i="25" l="1"/>
  <c r="L341" i="25" l="1"/>
  <c r="L343" i="25" s="1"/>
  <c r="AO53" i="28"/>
  <c r="J341" i="25" s="1"/>
  <c r="J343" i="25" s="1"/>
  <c r="AO52" i="28"/>
  <c r="D40" i="31"/>
  <c r="F48" i="31"/>
  <c r="F53" i="31"/>
  <c r="D52" i="31"/>
  <c r="D51" i="31"/>
  <c r="W15" i="31"/>
  <c r="AF15" i="31"/>
  <c r="T26" i="31"/>
  <c r="AC25" i="31"/>
  <c r="R24" i="31"/>
  <c r="P23" i="31"/>
  <c r="N22" i="31"/>
  <c r="T19" i="31"/>
  <c r="Q18" i="31"/>
  <c r="AK17" i="31"/>
  <c r="X16" i="31"/>
  <c r="X15" i="31"/>
  <c r="W12" i="31"/>
  <c r="U11" i="31"/>
  <c r="S10" i="31"/>
  <c r="N9" i="31"/>
  <c r="J295" i="25" l="1"/>
  <c r="O295" i="25"/>
  <c r="P295" i="25" s="1"/>
  <c r="L11" i="31"/>
  <c r="AK15" i="31"/>
  <c r="AG15" i="31"/>
  <c r="L53" i="31"/>
  <c r="M53" i="31"/>
  <c r="N53" i="31"/>
  <c r="K341" i="25"/>
  <c r="AD22" i="31"/>
  <c r="AT12" i="31"/>
  <c r="Z12" i="31"/>
  <c r="AH15" i="31"/>
  <c r="AH22" i="31"/>
  <c r="AC22" i="31"/>
  <c r="AB15" i="31"/>
  <c r="AA23" i="31"/>
  <c r="Z23" i="31"/>
  <c r="T12" i="31"/>
  <c r="M15" i="31"/>
  <c r="AS24" i="31"/>
  <c r="AH24" i="31"/>
  <c r="AN15" i="31"/>
  <c r="AG24" i="31"/>
  <c r="Y23" i="31"/>
  <c r="T23" i="31"/>
  <c r="U12" i="31"/>
  <c r="P15" i="31"/>
  <c r="AF11" i="31"/>
  <c r="AE11" i="31"/>
  <c r="AS15" i="31"/>
  <c r="AM15" i="31"/>
  <c r="O24" i="31"/>
  <c r="L19" i="31"/>
  <c r="S23" i="31"/>
  <c r="Q23" i="31"/>
  <c r="AO19" i="31"/>
  <c r="AR23" i="31"/>
  <c r="AI19" i="31"/>
  <c r="AO23" i="31"/>
  <c r="AC19" i="31"/>
  <c r="AM23" i="31"/>
  <c r="AO22" i="31"/>
  <c r="AM12" i="31"/>
  <c r="W19" i="31"/>
  <c r="U15" i="31"/>
  <c r="AL23" i="31"/>
  <c r="AM22" i="31"/>
  <c r="V22" i="31"/>
  <c r="AS19" i="31"/>
  <c r="N24" i="31"/>
  <c r="R22" i="31"/>
  <c r="O23" i="31"/>
  <c r="Q22" i="31"/>
  <c r="AT22" i="31"/>
  <c r="M22" i="31"/>
  <c r="AH12" i="31"/>
  <c r="U19" i="31"/>
  <c r="T15" i="31"/>
  <c r="AK23" i="31"/>
  <c r="AK22" i="31"/>
  <c r="X22" i="31"/>
  <c r="Q19" i="31"/>
  <c r="AE23" i="31"/>
  <c r="AI22" i="31"/>
  <c r="AP10" i="31"/>
  <c r="AS12" i="31"/>
  <c r="O12" i="31"/>
  <c r="AD11" i="31"/>
  <c r="AN10" i="31"/>
  <c r="AQ19" i="31"/>
  <c r="S19" i="31"/>
  <c r="AE24" i="31"/>
  <c r="AR12" i="31"/>
  <c r="N12" i="31"/>
  <c r="AC11" i="31"/>
  <c r="AI10" i="31"/>
  <c r="AP19" i="31"/>
  <c r="R19" i="31"/>
  <c r="AI15" i="31"/>
  <c r="O15" i="31"/>
  <c r="AC24" i="31"/>
  <c r="AQ23" i="31"/>
  <c r="X23" i="31"/>
  <c r="AJ22" i="31"/>
  <c r="O22" i="31"/>
  <c r="AT11" i="31"/>
  <c r="Y11" i="31"/>
  <c r="AD10" i="31"/>
  <c r="AB24" i="31"/>
  <c r="AL12" i="31"/>
  <c r="AR11" i="31"/>
  <c r="X11" i="31"/>
  <c r="AC10" i="31"/>
  <c r="AJ19" i="31"/>
  <c r="AN18" i="31"/>
  <c r="AT24" i="31"/>
  <c r="AA24" i="31"/>
  <c r="AB10" i="31"/>
  <c r="AH18" i="31"/>
  <c r="Z24" i="31"/>
  <c r="AP11" i="31"/>
  <c r="AG19" i="31"/>
  <c r="AQ24" i="31"/>
  <c r="AF12" i="31"/>
  <c r="AO11" i="31"/>
  <c r="S11" i="31"/>
  <c r="R10" i="31"/>
  <c r="AE19" i="31"/>
  <c r="P18" i="31"/>
  <c r="AA15" i="31"/>
  <c r="AO24" i="31"/>
  <c r="U24" i="31"/>
  <c r="AJ23" i="31"/>
  <c r="N23" i="31"/>
  <c r="AA22" i="31"/>
  <c r="AO10" i="31"/>
  <c r="AQ11" i="31"/>
  <c r="AG12" i="31"/>
  <c r="T11" i="31"/>
  <c r="W10" i="31"/>
  <c r="AB18" i="31"/>
  <c r="V24" i="31"/>
  <c r="AA12" i="31"/>
  <c r="AK11" i="31"/>
  <c r="R11" i="31"/>
  <c r="Q10" i="31"/>
  <c r="AD19" i="31"/>
  <c r="AT15" i="31"/>
  <c r="Y15" i="31"/>
  <c r="AN24" i="31"/>
  <c r="S24" i="31"/>
  <c r="AF23" i="31"/>
  <c r="M23" i="31"/>
  <c r="Y22" i="31"/>
  <c r="V11" i="31"/>
  <c r="AJ11" i="31"/>
  <c r="Q11" i="31"/>
  <c r="P10" i="31"/>
  <c r="AM24" i="31"/>
  <c r="Q24" i="31"/>
  <c r="V12" i="31"/>
  <c r="AH11" i="31"/>
  <c r="M11" i="31"/>
  <c r="L18" i="31"/>
  <c r="X19" i="31"/>
  <c r="AR15" i="31"/>
  <c r="V15" i="31"/>
  <c r="AL24" i="31"/>
  <c r="P24" i="31"/>
  <c r="AC23" i="31"/>
  <c r="AP22" i="31"/>
  <c r="W22" i="31"/>
  <c r="AL17" i="31"/>
  <c r="AM18" i="31"/>
  <c r="Y17" i="31"/>
  <c r="AE26" i="31"/>
  <c r="Q25" i="31"/>
  <c r="AQ12" i="31"/>
  <c r="AA10" i="31"/>
  <c r="Y9" i="31"/>
  <c r="AN19" i="31"/>
  <c r="Z18" i="31"/>
  <c r="X17" i="31"/>
  <c r="AP26" i="31"/>
  <c r="AB25" i="31"/>
  <c r="AP12" i="31"/>
  <c r="AD12" i="31"/>
  <c r="R12" i="31"/>
  <c r="AN11" i="31"/>
  <c r="AB11" i="31"/>
  <c r="P11" i="31"/>
  <c r="AL10" i="31"/>
  <c r="Z10" i="31"/>
  <c r="N10" i="31"/>
  <c r="AJ9" i="31"/>
  <c r="X9" i="31"/>
  <c r="L15" i="31"/>
  <c r="AM19" i="31"/>
  <c r="AA19" i="31"/>
  <c r="O19" i="31"/>
  <c r="AK18" i="31"/>
  <c r="Y18" i="31"/>
  <c r="M18" i="31"/>
  <c r="AI17" i="31"/>
  <c r="W17" i="31"/>
  <c r="AS16" i="31"/>
  <c r="AG16" i="31"/>
  <c r="U16" i="31"/>
  <c r="AQ15" i="31"/>
  <c r="AE15" i="31"/>
  <c r="S15" i="31"/>
  <c r="AO26" i="31"/>
  <c r="AC26" i="31"/>
  <c r="Q26" i="31"/>
  <c r="AM25" i="31"/>
  <c r="AA25" i="31"/>
  <c r="O25" i="31"/>
  <c r="AK24" i="31"/>
  <c r="Y24" i="31"/>
  <c r="M24" i="31"/>
  <c r="AI23" i="31"/>
  <c r="W23" i="31"/>
  <c r="AS22" i="31"/>
  <c r="AG22" i="31"/>
  <c r="U22" i="31"/>
  <c r="O9" i="31"/>
  <c r="Z17" i="31"/>
  <c r="AL9" i="31"/>
  <c r="AA18" i="31"/>
  <c r="AI16" i="31"/>
  <c r="S26" i="31"/>
  <c r="AE12" i="31"/>
  <c r="AM10" i="31"/>
  <c r="AK9" i="31"/>
  <c r="P19" i="31"/>
  <c r="N18" i="31"/>
  <c r="AH16" i="31"/>
  <c r="AD26" i="31"/>
  <c r="AN25" i="31"/>
  <c r="AO12" i="31"/>
  <c r="AC12" i="31"/>
  <c r="Q12" i="31"/>
  <c r="AM11" i="31"/>
  <c r="AA11" i="31"/>
  <c r="O11" i="31"/>
  <c r="AK10" i="31"/>
  <c r="Y10" i="31"/>
  <c r="M10" i="31"/>
  <c r="AI9" i="31"/>
  <c r="W9" i="31"/>
  <c r="L16" i="31"/>
  <c r="AL19" i="31"/>
  <c r="Z19" i="31"/>
  <c r="N19" i="31"/>
  <c r="AJ18" i="31"/>
  <c r="X18" i="31"/>
  <c r="AT17" i="31"/>
  <c r="AH17" i="31"/>
  <c r="V17" i="31"/>
  <c r="AR16" i="31"/>
  <c r="AF16" i="31"/>
  <c r="T16" i="31"/>
  <c r="AP15" i="31"/>
  <c r="AD15" i="31"/>
  <c r="R15" i="31"/>
  <c r="AN26" i="31"/>
  <c r="AB26" i="31"/>
  <c r="P26" i="31"/>
  <c r="AL25" i="31"/>
  <c r="Z25" i="31"/>
  <c r="N25" i="31"/>
  <c r="AJ24" i="31"/>
  <c r="X24" i="31"/>
  <c r="AT23" i="31"/>
  <c r="AH23" i="31"/>
  <c r="V23" i="31"/>
  <c r="AR22" i="31"/>
  <c r="AF22" i="31"/>
  <c r="T22" i="31"/>
  <c r="AM9" i="31"/>
  <c r="Z9" i="31"/>
  <c r="O18" i="31"/>
  <c r="M17" i="31"/>
  <c r="W16" i="31"/>
  <c r="AQ26" i="31"/>
  <c r="AO25" i="31"/>
  <c r="S12" i="31"/>
  <c r="O10" i="31"/>
  <c r="M9" i="31"/>
  <c r="AB19" i="31"/>
  <c r="AL18" i="31"/>
  <c r="AJ17" i="31"/>
  <c r="AT16" i="31"/>
  <c r="V16" i="31"/>
  <c r="R26" i="31"/>
  <c r="P25" i="31"/>
  <c r="AN12" i="31"/>
  <c r="AB12" i="31"/>
  <c r="P12" i="31"/>
  <c r="AL11" i="31"/>
  <c r="Z11" i="31"/>
  <c r="N11" i="31"/>
  <c r="AJ10" i="31"/>
  <c r="X10" i="31"/>
  <c r="AT9" i="31"/>
  <c r="AH9" i="31"/>
  <c r="V9" i="31"/>
  <c r="L17" i="31"/>
  <c r="AK19" i="31"/>
  <c r="Y19" i="31"/>
  <c r="M19" i="31"/>
  <c r="AI18" i="31"/>
  <c r="W18" i="31"/>
  <c r="AS17" i="31"/>
  <c r="AG17" i="31"/>
  <c r="U17" i="31"/>
  <c r="AQ16" i="31"/>
  <c r="AE16" i="31"/>
  <c r="S16" i="31"/>
  <c r="AO15" i="31"/>
  <c r="AC15" i="31"/>
  <c r="Q15" i="31"/>
  <c r="AM26" i="31"/>
  <c r="AA26" i="31"/>
  <c r="O26" i="31"/>
  <c r="AK25" i="31"/>
  <c r="Y25" i="31"/>
  <c r="M25" i="31"/>
  <c r="AI24" i="31"/>
  <c r="W24" i="31"/>
  <c r="AS23" i="31"/>
  <c r="AG23" i="31"/>
  <c r="U23" i="31"/>
  <c r="AQ22" i="31"/>
  <c r="AE22" i="31"/>
  <c r="S22" i="31"/>
  <c r="AT18" i="31"/>
  <c r="AR17" i="31"/>
  <c r="AF17" i="31"/>
  <c r="T17" i="31"/>
  <c r="AP16" i="31"/>
  <c r="R16" i="31"/>
  <c r="AL26" i="31"/>
  <c r="Z26" i="31"/>
  <c r="N26" i="31"/>
  <c r="AJ25" i="31"/>
  <c r="X25" i="31"/>
  <c r="U9" i="31"/>
  <c r="AD16" i="31"/>
  <c r="AH10" i="31"/>
  <c r="AR9" i="31"/>
  <c r="U18" i="31"/>
  <c r="AS9" i="31"/>
  <c r="AT10" i="31"/>
  <c r="V10" i="31"/>
  <c r="AF9" i="31"/>
  <c r="T9" i="31"/>
  <c r="AS18" i="31"/>
  <c r="AG18" i="31"/>
  <c r="AQ17" i="31"/>
  <c r="AE17" i="31"/>
  <c r="S17" i="31"/>
  <c r="AO16" i="31"/>
  <c r="AC16" i="31"/>
  <c r="Q16" i="31"/>
  <c r="AK26" i="31"/>
  <c r="Y26" i="31"/>
  <c r="M26" i="31"/>
  <c r="AI25" i="31"/>
  <c r="W25" i="31"/>
  <c r="L10" i="31"/>
  <c r="AK12" i="31"/>
  <c r="Y12" i="31"/>
  <c r="M12" i="31"/>
  <c r="AI11" i="31"/>
  <c r="W11" i="31"/>
  <c r="AS10" i="31"/>
  <c r="AG10" i="31"/>
  <c r="U10" i="31"/>
  <c r="AQ9" i="31"/>
  <c r="AE9" i="31"/>
  <c r="S9" i="31"/>
  <c r="AT19" i="31"/>
  <c r="AH19" i="31"/>
  <c r="V19" i="31"/>
  <c r="AR18" i="31"/>
  <c r="AF18" i="31"/>
  <c r="T18" i="31"/>
  <c r="AP17" i="31"/>
  <c r="AD17" i="31"/>
  <c r="R17" i="31"/>
  <c r="AN16" i="31"/>
  <c r="AB16" i="31"/>
  <c r="P16" i="31"/>
  <c r="AL15" i="31"/>
  <c r="Z15" i="31"/>
  <c r="N15" i="31"/>
  <c r="AJ26" i="31"/>
  <c r="X26" i="31"/>
  <c r="AT25" i="31"/>
  <c r="AH25" i="31"/>
  <c r="V25" i="31"/>
  <c r="AR24" i="31"/>
  <c r="AF24" i="31"/>
  <c r="T24" i="31"/>
  <c r="AP23" i="31"/>
  <c r="AD23" i="31"/>
  <c r="R23" i="31"/>
  <c r="AN22" i="31"/>
  <c r="AB22" i="31"/>
  <c r="P22" i="31"/>
  <c r="L9" i="31"/>
  <c r="AJ12" i="31"/>
  <c r="T10" i="31"/>
  <c r="R9" i="31"/>
  <c r="AC17" i="31"/>
  <c r="AG9" i="31"/>
  <c r="V18" i="31"/>
  <c r="X12" i="31"/>
  <c r="AR10" i="31"/>
  <c r="AF10" i="31"/>
  <c r="AP9" i="31"/>
  <c r="AD9" i="31"/>
  <c r="AQ18" i="31"/>
  <c r="AE18" i="31"/>
  <c r="S18" i="31"/>
  <c r="AO17" i="31"/>
  <c r="Q17" i="31"/>
  <c r="AM16" i="31"/>
  <c r="AA16" i="31"/>
  <c r="O16" i="31"/>
  <c r="AI26" i="31"/>
  <c r="W26" i="31"/>
  <c r="AS25" i="31"/>
  <c r="AG25" i="31"/>
  <c r="U25" i="31"/>
  <c r="L12" i="31"/>
  <c r="AI12" i="31"/>
  <c r="AS11" i="31"/>
  <c r="AG11" i="31"/>
  <c r="AQ10" i="31"/>
  <c r="AE10" i="31"/>
  <c r="AO9" i="31"/>
  <c r="AC9" i="31"/>
  <c r="Q9" i="31"/>
  <c r="AR19" i="31"/>
  <c r="AF19" i="31"/>
  <c r="AP18" i="31"/>
  <c r="AD18" i="31"/>
  <c r="R18" i="31"/>
  <c r="AN17" i="31"/>
  <c r="AB17" i="31"/>
  <c r="P17" i="31"/>
  <c r="AL16" i="31"/>
  <c r="Z16" i="31"/>
  <c r="N16" i="31"/>
  <c r="AJ15" i="31"/>
  <c r="AT26" i="31"/>
  <c r="AH26" i="31"/>
  <c r="V26" i="31"/>
  <c r="AR25" i="31"/>
  <c r="AF25" i="31"/>
  <c r="T25" i="31"/>
  <c r="AP24" i="31"/>
  <c r="AD24" i="31"/>
  <c r="AN23" i="31"/>
  <c r="AB23" i="31"/>
  <c r="AL22" i="31"/>
  <c r="Z22" i="31"/>
  <c r="AN9" i="31"/>
  <c r="AB9" i="31"/>
  <c r="P9" i="31"/>
  <c r="AO18" i="31"/>
  <c r="AC18" i="31"/>
  <c r="AM17" i="31"/>
  <c r="AA17" i="31"/>
  <c r="O17" i="31"/>
  <c r="AK16" i="31"/>
  <c r="Y16" i="31"/>
  <c r="M16" i="31"/>
  <c r="AS26" i="31"/>
  <c r="AG26" i="31"/>
  <c r="U26" i="31"/>
  <c r="AQ25" i="31"/>
  <c r="AE25" i="31"/>
  <c r="S25" i="31"/>
  <c r="AA9" i="31"/>
  <c r="N17" i="31"/>
  <c r="AJ16" i="31"/>
  <c r="AR26" i="31"/>
  <c r="AF26" i="31"/>
  <c r="AP25" i="31"/>
  <c r="AD25" i="31"/>
  <c r="R25" i="31"/>
  <c r="K295" i="25" l="1"/>
  <c r="K297" i="25" s="1"/>
  <c r="L299" i="25" s="1"/>
  <c r="J297" i="25"/>
  <c r="M295" i="25"/>
  <c r="M297" i="25" s="1"/>
  <c r="N8" i="31"/>
  <c r="O53" i="31"/>
  <c r="K343" i="25"/>
  <c r="L345" i="25" s="1"/>
  <c r="M341" i="25"/>
  <c r="M343" i="25" s="1"/>
  <c r="M8" i="31"/>
  <c r="AM8" i="31"/>
  <c r="O8" i="31"/>
  <c r="AC8" i="31"/>
  <c r="AK8" i="31"/>
  <c r="AI8" i="31"/>
  <c r="Y8" i="31"/>
  <c r="AG8" i="31"/>
  <c r="AE8" i="31"/>
  <c r="T8" i="31"/>
  <c r="AD8" i="31"/>
  <c r="AQ8" i="31"/>
  <c r="AF8" i="31"/>
  <c r="AP8" i="31"/>
  <c r="AB8" i="31"/>
  <c r="Q8" i="31"/>
  <c r="AO8" i="31"/>
  <c r="AS8" i="31"/>
  <c r="AA8" i="31"/>
  <c r="AR8" i="31"/>
  <c r="V8" i="31"/>
  <c r="W8" i="31"/>
  <c r="AT8" i="31"/>
  <c r="AH8" i="31"/>
  <c r="R8" i="31"/>
  <c r="U8" i="31"/>
  <c r="S8" i="31"/>
  <c r="AJ8" i="31"/>
  <c r="AN8" i="31"/>
  <c r="X8" i="31"/>
  <c r="Z8" i="31"/>
  <c r="AL8" i="31"/>
  <c r="P8" i="31"/>
  <c r="F36" i="31" l="1"/>
  <c r="P36" i="31" s="1"/>
  <c r="U36" i="31" s="1"/>
  <c r="Y36" i="31" s="1"/>
  <c r="F35" i="31"/>
  <c r="O35" i="31" s="1"/>
  <c r="N28" i="31"/>
  <c r="M27" i="31"/>
  <c r="Q27" i="31" s="1"/>
  <c r="N45" i="29"/>
  <c r="N46" i="29" s="1"/>
  <c r="N47" i="29" s="1"/>
  <c r="N48" i="29" s="1"/>
  <c r="N49" i="29" s="1"/>
  <c r="N50" i="29" s="1"/>
  <c r="N51" i="29" s="1"/>
  <c r="N37" i="29"/>
  <c r="N38" i="29" s="1"/>
  <c r="N39" i="29" s="1"/>
  <c r="N40" i="29" s="1"/>
  <c r="N41" i="29" s="1"/>
  <c r="N42" i="29" s="1"/>
  <c r="N43" i="29" s="1"/>
  <c r="N29" i="29"/>
  <c r="N30" i="29" s="1"/>
  <c r="N31" i="29" s="1"/>
  <c r="N32" i="29" s="1"/>
  <c r="N33" i="29" s="1"/>
  <c r="N34" i="29" s="1"/>
  <c r="N35" i="29" s="1"/>
  <c r="N21" i="29"/>
  <c r="N22" i="29" s="1"/>
  <c r="N23" i="29" s="1"/>
  <c r="N24" i="29" s="1"/>
  <c r="N25" i="29" s="1"/>
  <c r="N26" i="29" s="1"/>
  <c r="N27" i="29" s="1"/>
  <c r="N13" i="29"/>
  <c r="N14" i="29" s="1"/>
  <c r="N15" i="29" s="1"/>
  <c r="N16" i="29" s="1"/>
  <c r="N17" i="29" s="1"/>
  <c r="N18" i="29" s="1"/>
  <c r="N19" i="29" s="1"/>
  <c r="M45" i="29"/>
  <c r="M46" i="29" s="1"/>
  <c r="M47" i="29" s="1"/>
  <c r="M48" i="29" s="1"/>
  <c r="M49" i="29" s="1"/>
  <c r="M50" i="29" s="1"/>
  <c r="M51" i="29" s="1"/>
  <c r="M29" i="29"/>
  <c r="M30" i="29" s="1"/>
  <c r="M31" i="29" s="1"/>
  <c r="M32" i="29" s="1"/>
  <c r="M33" i="29" s="1"/>
  <c r="M34" i="29" s="1"/>
  <c r="M35" i="29" s="1"/>
  <c r="M21" i="29"/>
  <c r="M22" i="29" s="1"/>
  <c r="M23" i="29" s="1"/>
  <c r="M24" i="29" s="1"/>
  <c r="M25" i="29" s="1"/>
  <c r="M26" i="29" s="1"/>
  <c r="M27" i="29" s="1"/>
  <c r="M37" i="29"/>
  <c r="M38" i="29" s="1"/>
  <c r="M39" i="29" s="1"/>
  <c r="M40" i="29" s="1"/>
  <c r="M41" i="29" s="1"/>
  <c r="M42" i="29" s="1"/>
  <c r="M43" i="29" s="1"/>
  <c r="M13" i="29"/>
  <c r="M14" i="29" s="1"/>
  <c r="M15" i="29" s="1"/>
  <c r="M16" i="29" s="1"/>
  <c r="M17" i="29" s="1"/>
  <c r="M18" i="29" s="1"/>
  <c r="M19" i="29" s="1"/>
  <c r="F45" i="31"/>
  <c r="S45" i="31" s="1"/>
  <c r="F44" i="31"/>
  <c r="S44" i="31" s="1"/>
  <c r="T44" i="31" s="1"/>
  <c r="U44" i="31" s="1"/>
  <c r="V44" i="31" s="1"/>
  <c r="W44" i="31" s="1"/>
  <c r="X44" i="31" s="1"/>
  <c r="Y44" i="31" s="1"/>
  <c r="Z44" i="31" s="1"/>
  <c r="AA44" i="31" s="1"/>
  <c r="AB44" i="31" s="1"/>
  <c r="AC44" i="31" s="1"/>
  <c r="AD44" i="31" s="1"/>
  <c r="AE44" i="31" s="1"/>
  <c r="AF44" i="31" s="1"/>
  <c r="AG44" i="31" s="1"/>
  <c r="AH44" i="31" s="1"/>
  <c r="AI44" i="31" s="1"/>
  <c r="AJ44" i="31" s="1"/>
  <c r="AK44" i="31" s="1"/>
  <c r="AL44" i="31" s="1"/>
  <c r="AM44" i="31" s="1"/>
  <c r="AN44" i="31" s="1"/>
  <c r="AO44" i="31" s="1"/>
  <c r="AP44" i="31" s="1"/>
  <c r="AQ44" i="31" s="1"/>
  <c r="AR44" i="31" s="1"/>
  <c r="AS44" i="31" s="1"/>
  <c r="AT44" i="31" s="1"/>
  <c r="F43" i="31"/>
  <c r="F42" i="31"/>
  <c r="L42" i="31" s="1"/>
  <c r="AU42" i="31" s="1"/>
  <c r="K42" i="31" s="1"/>
  <c r="F41" i="31"/>
  <c r="L41" i="31" s="1"/>
  <c r="F39" i="31"/>
  <c r="F34" i="31"/>
  <c r="F33" i="31"/>
  <c r="F32" i="31"/>
  <c r="O32" i="31" s="1"/>
  <c r="F31" i="31"/>
  <c r="AG31" i="31" s="1"/>
  <c r="F26" i="31"/>
  <c r="F25" i="31"/>
  <c r="F24" i="31"/>
  <c r="F23" i="31"/>
  <c r="F22" i="31"/>
  <c r="F19" i="31"/>
  <c r="F18" i="31"/>
  <c r="F11" i="31"/>
  <c r="F47" i="31"/>
  <c r="F46" i="31"/>
  <c r="M3" i="31"/>
  <c r="N3" i="31"/>
  <c r="O3" i="31"/>
  <c r="P3" i="31"/>
  <c r="Q3" i="31"/>
  <c r="R3" i="31"/>
  <c r="S3" i="31"/>
  <c r="T3" i="31"/>
  <c r="U3" i="31"/>
  <c r="V3" i="31"/>
  <c r="W3" i="31"/>
  <c r="X3" i="31"/>
  <c r="Y3" i="31"/>
  <c r="Z3" i="31"/>
  <c r="AA3" i="31"/>
  <c r="AB3" i="31"/>
  <c r="AC3" i="31"/>
  <c r="AD3" i="31"/>
  <c r="AE3" i="31"/>
  <c r="AF3" i="31"/>
  <c r="AG3" i="31"/>
  <c r="AH3" i="31"/>
  <c r="AI3" i="31"/>
  <c r="AJ3" i="31"/>
  <c r="AK3" i="31"/>
  <c r="AL3" i="31"/>
  <c r="AM3" i="31"/>
  <c r="AN3" i="31"/>
  <c r="AO3" i="31"/>
  <c r="AP3" i="31"/>
  <c r="AQ3" i="31"/>
  <c r="AR3" i="31"/>
  <c r="AS3" i="31"/>
  <c r="AT3" i="31"/>
  <c r="M4" i="31"/>
  <c r="N4" i="31"/>
  <c r="O4" i="31"/>
  <c r="P4" i="31"/>
  <c r="Q4" i="31"/>
  <c r="R4" i="31"/>
  <c r="S4" i="31"/>
  <c r="T4" i="31"/>
  <c r="U4" i="31"/>
  <c r="V4" i="31"/>
  <c r="W4" i="31"/>
  <c r="X4" i="31"/>
  <c r="Y4" i="31"/>
  <c r="Z4" i="31"/>
  <c r="AA4" i="31"/>
  <c r="AB4" i="31"/>
  <c r="AC4" i="31"/>
  <c r="AD4" i="31"/>
  <c r="AE4" i="31"/>
  <c r="AF4" i="31"/>
  <c r="AG4" i="31"/>
  <c r="AH4" i="31"/>
  <c r="AI4" i="31"/>
  <c r="AJ4" i="31"/>
  <c r="AK4" i="31"/>
  <c r="AL4" i="31"/>
  <c r="AM4" i="31"/>
  <c r="AN4" i="31"/>
  <c r="AO4" i="31"/>
  <c r="AP4" i="31"/>
  <c r="AQ4" i="31"/>
  <c r="AR4" i="31"/>
  <c r="AS4" i="31"/>
  <c r="AT4" i="31"/>
  <c r="L4" i="31"/>
  <c r="L3" i="31"/>
  <c r="AU48" i="31"/>
  <c r="K48" i="31" s="1"/>
  <c r="L30" i="31"/>
  <c r="K20" i="31"/>
  <c r="D10" i="31"/>
  <c r="D9" i="31"/>
  <c r="F9" i="31" s="1"/>
  <c r="X39" i="31" l="1"/>
  <c r="AJ39" i="31"/>
  <c r="M39" i="31"/>
  <c r="Y39" i="31"/>
  <c r="AK39" i="31"/>
  <c r="AG39" i="31"/>
  <c r="N39" i="31"/>
  <c r="Z39" i="31"/>
  <c r="AL39" i="31"/>
  <c r="O39" i="31"/>
  <c r="AA39" i="31"/>
  <c r="AM39" i="31"/>
  <c r="U39" i="31"/>
  <c r="AI39" i="31"/>
  <c r="P39" i="31"/>
  <c r="AB39" i="31"/>
  <c r="AN39" i="31"/>
  <c r="AR39" i="31"/>
  <c r="Q39" i="31"/>
  <c r="AC39" i="31"/>
  <c r="AO39" i="31"/>
  <c r="AQ39" i="31"/>
  <c r="AF39" i="31"/>
  <c r="AS39" i="31"/>
  <c r="AT39" i="31"/>
  <c r="L39" i="31"/>
  <c r="R39" i="31"/>
  <c r="AD39" i="31"/>
  <c r="AP39" i="31"/>
  <c r="AE39" i="31"/>
  <c r="T39" i="31"/>
  <c r="V39" i="31"/>
  <c r="S39" i="31"/>
  <c r="AH39" i="31"/>
  <c r="W39" i="31"/>
  <c r="S47" i="31"/>
  <c r="T47" i="31" s="1"/>
  <c r="U47" i="31" s="1"/>
  <c r="V47" i="31" s="1"/>
  <c r="W47" i="31" s="1"/>
  <c r="X47" i="31" s="1"/>
  <c r="Y47" i="31" s="1"/>
  <c r="Z47" i="31" s="1"/>
  <c r="AA47" i="31" s="1"/>
  <c r="AB47" i="31" s="1"/>
  <c r="AC47" i="31" s="1"/>
  <c r="AD47" i="31" s="1"/>
  <c r="AE47" i="31" s="1"/>
  <c r="AF47" i="31" s="1"/>
  <c r="AG47" i="31" s="1"/>
  <c r="AH47" i="31" s="1"/>
  <c r="AI47" i="31" s="1"/>
  <c r="AJ47" i="31" s="1"/>
  <c r="AK47" i="31" s="1"/>
  <c r="AL47" i="31" s="1"/>
  <c r="AM47" i="31" s="1"/>
  <c r="AN47" i="31" s="1"/>
  <c r="AO47" i="31" s="1"/>
  <c r="AP47" i="31" s="1"/>
  <c r="AQ47" i="31" s="1"/>
  <c r="AR47" i="31" s="1"/>
  <c r="AS47" i="31" s="1"/>
  <c r="AT47" i="31" s="1"/>
  <c r="AD46" i="31"/>
  <c r="AC46" i="31"/>
  <c r="N46" i="31"/>
  <c r="AP46" i="31"/>
  <c r="O46" i="31"/>
  <c r="P46" i="31"/>
  <c r="AB46" i="31"/>
  <c r="AN46" i="31"/>
  <c r="Q46" i="31"/>
  <c r="R46" i="31"/>
  <c r="S46" i="31"/>
  <c r="AE46" i="31"/>
  <c r="AQ46" i="31"/>
  <c r="T46" i="31"/>
  <c r="AF46" i="31"/>
  <c r="AR46" i="31"/>
  <c r="AJ46" i="31"/>
  <c r="Y46" i="31"/>
  <c r="AO46" i="31"/>
  <c r="U46" i="31"/>
  <c r="AG46" i="31"/>
  <c r="AS46" i="31"/>
  <c r="AI46" i="31"/>
  <c r="AL46" i="31"/>
  <c r="AM46" i="31"/>
  <c r="V46" i="31"/>
  <c r="AH46" i="31"/>
  <c r="AT46" i="31"/>
  <c r="W46" i="31"/>
  <c r="X46" i="31"/>
  <c r="AK46" i="31"/>
  <c r="Z46" i="31"/>
  <c r="AA46" i="31"/>
  <c r="U43" i="31"/>
  <c r="AG43" i="31"/>
  <c r="AS43" i="31"/>
  <c r="W43" i="31"/>
  <c r="N43" i="31"/>
  <c r="Y43" i="31"/>
  <c r="Z43" i="31"/>
  <c r="AL43" i="31"/>
  <c r="AA43" i="31"/>
  <c r="P43" i="31"/>
  <c r="AB43" i="31"/>
  <c r="Q43" i="31"/>
  <c r="AC43" i="31"/>
  <c r="R43" i="31"/>
  <c r="AD43" i="31"/>
  <c r="S43" i="31"/>
  <c r="AQ43" i="31"/>
  <c r="T43" i="31"/>
  <c r="AR43" i="31"/>
  <c r="V43" i="31"/>
  <c r="AH43" i="31"/>
  <c r="AT43" i="31"/>
  <c r="AI43" i="31"/>
  <c r="X43" i="31"/>
  <c r="AJ43" i="31"/>
  <c r="AK43" i="31"/>
  <c r="O43" i="31"/>
  <c r="AM43" i="31"/>
  <c r="AN43" i="31"/>
  <c r="AO43" i="31"/>
  <c r="AP43" i="31"/>
  <c r="AE43" i="31"/>
  <c r="AF43" i="31"/>
  <c r="T45" i="31"/>
  <c r="U45" i="31" s="1"/>
  <c r="V45" i="31" s="1"/>
  <c r="W45" i="31" s="1"/>
  <c r="X45" i="31" s="1"/>
  <c r="Y45" i="31" s="1"/>
  <c r="Z45" i="31" s="1"/>
  <c r="AA45" i="31" s="1"/>
  <c r="AB45" i="31" s="1"/>
  <c r="AC45" i="31" s="1"/>
  <c r="AD45" i="31" s="1"/>
  <c r="AE45" i="31" s="1"/>
  <c r="AF45" i="31" s="1"/>
  <c r="AG45" i="31" s="1"/>
  <c r="AH45" i="31" s="1"/>
  <c r="AI45" i="31" s="1"/>
  <c r="AJ45" i="31" s="1"/>
  <c r="AK45" i="31" s="1"/>
  <c r="AL45" i="31" s="1"/>
  <c r="AM45" i="31" s="1"/>
  <c r="AN45" i="31" s="1"/>
  <c r="AO45" i="31" s="1"/>
  <c r="AP45" i="31" s="1"/>
  <c r="AQ45" i="31" s="1"/>
  <c r="AR45" i="31" s="1"/>
  <c r="AS45" i="31" s="1"/>
  <c r="AT45" i="31" s="1"/>
  <c r="O34" i="31"/>
  <c r="U34" i="31"/>
  <c r="O33" i="31"/>
  <c r="U31" i="31"/>
  <c r="O31" i="31"/>
  <c r="L21" i="31"/>
  <c r="F28" i="31"/>
  <c r="R28" i="31"/>
  <c r="V28" i="31" s="1"/>
  <c r="Z28" i="31" s="1"/>
  <c r="AD28" i="31" s="1"/>
  <c r="AH28" i="31" s="1"/>
  <c r="AL28" i="31" s="1"/>
  <c r="AP28" i="31" s="1"/>
  <c r="AT28" i="31" s="1"/>
  <c r="AC36" i="31"/>
  <c r="AG36" i="31" s="1"/>
  <c r="AK36" i="31" s="1"/>
  <c r="AO36" i="31" s="1"/>
  <c r="AS36" i="31" s="1"/>
  <c r="T35" i="31"/>
  <c r="X35" i="31" s="1"/>
  <c r="AB35" i="31" s="1"/>
  <c r="AF35" i="31" s="1"/>
  <c r="AJ35" i="31" s="1"/>
  <c r="AN35" i="31" s="1"/>
  <c r="AR35" i="31" s="1"/>
  <c r="F27" i="31"/>
  <c r="U27" i="31"/>
  <c r="Y27" i="31" s="1"/>
  <c r="AC27" i="31" s="1"/>
  <c r="AG27" i="31" s="1"/>
  <c r="AK27" i="31" s="1"/>
  <c r="AO27" i="31" s="1"/>
  <c r="AS27" i="31" s="1"/>
  <c r="M30" i="31"/>
  <c r="X34" i="31"/>
  <c r="W34" i="31"/>
  <c r="AJ34" i="31"/>
  <c r="AE34" i="31"/>
  <c r="Y34" i="31"/>
  <c r="T33" i="31"/>
  <c r="S31" i="31"/>
  <c r="Y31" i="31"/>
  <c r="W31" i="31"/>
  <c r="S34" i="31"/>
  <c r="AS31" i="31"/>
  <c r="AQ31" i="31"/>
  <c r="AS34" i="31"/>
  <c r="AJ31" i="31"/>
  <c r="AQ34" i="31"/>
  <c r="AI31" i="31"/>
  <c r="AI34" i="31"/>
  <c r="AE31" i="31"/>
  <c r="AG34" i="31"/>
  <c r="X31" i="31"/>
  <c r="AQ33" i="31"/>
  <c r="AE33" i="31"/>
  <c r="S33" i="31"/>
  <c r="F16" i="31"/>
  <c r="F51" i="31"/>
  <c r="AT34" i="31"/>
  <c r="AH34" i="31"/>
  <c r="V34" i="31"/>
  <c r="AP33" i="31"/>
  <c r="AD33" i="31"/>
  <c r="R33" i="31"/>
  <c r="AT31" i="31"/>
  <c r="AH31" i="31"/>
  <c r="V31" i="31"/>
  <c r="AO33" i="31"/>
  <c r="AC33" i="31"/>
  <c r="Q33" i="31"/>
  <c r="AR34" i="31"/>
  <c r="AF34" i="31"/>
  <c r="T34" i="31"/>
  <c r="AN33" i="31"/>
  <c r="AB33" i="31"/>
  <c r="P33" i="31"/>
  <c r="AR31" i="31"/>
  <c r="AF31" i="31"/>
  <c r="T31" i="31"/>
  <c r="AP34" i="31"/>
  <c r="AD34" i="31"/>
  <c r="R34" i="31"/>
  <c r="AL33" i="31"/>
  <c r="Z33" i="31"/>
  <c r="AP31" i="31"/>
  <c r="AD31" i="31"/>
  <c r="R31" i="31"/>
  <c r="AM33" i="31"/>
  <c r="AO34" i="31"/>
  <c r="AC34" i="31"/>
  <c r="Q34" i="31"/>
  <c r="AK33" i="31"/>
  <c r="Y33" i="31"/>
  <c r="AO31" i="31"/>
  <c r="AC31" i="31"/>
  <c r="Q31" i="31"/>
  <c r="AN34" i="31"/>
  <c r="AB34" i="31"/>
  <c r="P34" i="31"/>
  <c r="AJ33" i="31"/>
  <c r="X33" i="31"/>
  <c r="AN31" i="31"/>
  <c r="AB31" i="31"/>
  <c r="P31" i="31"/>
  <c r="AA33" i="31"/>
  <c r="F40" i="31"/>
  <c r="L40" i="31" s="1"/>
  <c r="AM34" i="31"/>
  <c r="AA34" i="31"/>
  <c r="AI33" i="31"/>
  <c r="W33" i="31"/>
  <c r="AM31" i="31"/>
  <c r="AA31" i="31"/>
  <c r="AL34" i="31"/>
  <c r="Z34" i="31"/>
  <c r="AT33" i="31"/>
  <c r="AH33" i="31"/>
  <c r="V33" i="31"/>
  <c r="AL31" i="31"/>
  <c r="Z31" i="31"/>
  <c r="AK34" i="31"/>
  <c r="AS33" i="31"/>
  <c r="AG33" i="31"/>
  <c r="U33" i="31"/>
  <c r="AK31" i="31"/>
  <c r="AR33" i="31"/>
  <c r="AF33" i="31"/>
  <c r="F12" i="31"/>
  <c r="F10" i="31"/>
  <c r="F30" i="31"/>
  <c r="AU53" i="31"/>
  <c r="K53" i="31" s="1"/>
  <c r="D17" i="31"/>
  <c r="F17" i="31" s="1"/>
  <c r="F52" i="31"/>
  <c r="F15" i="31"/>
  <c r="F21" i="31"/>
  <c r="M52" i="31" l="1"/>
  <c r="Y52" i="31"/>
  <c r="AK52" i="31"/>
  <c r="AT52" i="31"/>
  <c r="L52" i="31"/>
  <c r="N52" i="31"/>
  <c r="Z52" i="31"/>
  <c r="AL52" i="31"/>
  <c r="AQ52" i="31"/>
  <c r="V52" i="31"/>
  <c r="O52" i="31"/>
  <c r="AA52" i="31"/>
  <c r="AM52" i="31"/>
  <c r="AE52" i="31"/>
  <c r="X52" i="31"/>
  <c r="P52" i="31"/>
  <c r="AB52" i="31"/>
  <c r="AN52" i="31"/>
  <c r="AO52" i="31"/>
  <c r="Q52" i="31"/>
  <c r="AC52" i="31"/>
  <c r="AS52" i="31"/>
  <c r="R52" i="31"/>
  <c r="AD52" i="31"/>
  <c r="AP52" i="31"/>
  <c r="AH52" i="31"/>
  <c r="AJ52" i="31"/>
  <c r="S52" i="31"/>
  <c r="AI52" i="31"/>
  <c r="T52" i="31"/>
  <c r="AF52" i="31"/>
  <c r="AR52" i="31"/>
  <c r="U52" i="31"/>
  <c r="AG52" i="31"/>
  <c r="W52" i="31"/>
  <c r="N51" i="31"/>
  <c r="Z51" i="31"/>
  <c r="AL51" i="31"/>
  <c r="AP51" i="31"/>
  <c r="T51" i="31"/>
  <c r="AH51" i="31"/>
  <c r="AK51" i="31"/>
  <c r="O51" i="31"/>
  <c r="AA51" i="31"/>
  <c r="AM51" i="31"/>
  <c r="R51" i="31"/>
  <c r="AJ51" i="31"/>
  <c r="Y51" i="31"/>
  <c r="P51" i="31"/>
  <c r="AB51" i="31"/>
  <c r="AN51" i="31"/>
  <c r="AD51" i="31"/>
  <c r="L51" i="31"/>
  <c r="Q51" i="31"/>
  <c r="AC51" i="31"/>
  <c r="AO51" i="31"/>
  <c r="AF51" i="31"/>
  <c r="AT51" i="31"/>
  <c r="AI51" i="31"/>
  <c r="X51" i="31"/>
  <c r="M51" i="31"/>
  <c r="S51" i="31"/>
  <c r="AE51" i="31"/>
  <c r="AQ51" i="31"/>
  <c r="AR51" i="31"/>
  <c r="U51" i="31"/>
  <c r="AG51" i="31"/>
  <c r="AS51" i="31"/>
  <c r="V51" i="31"/>
  <c r="W51" i="31"/>
  <c r="AU40" i="31"/>
  <c r="K40" i="31" s="1"/>
  <c r="N38" i="31"/>
  <c r="AU41" i="31"/>
  <c r="K41" i="31" s="1"/>
  <c r="AU45" i="31"/>
  <c r="F38" i="31"/>
  <c r="P32" i="31"/>
  <c r="P30" i="31" s="1"/>
  <c r="AB32" i="31"/>
  <c r="AB30" i="31" s="1"/>
  <c r="AN32" i="31"/>
  <c r="Q32" i="31"/>
  <c r="AC32" i="31"/>
  <c r="AC30" i="31" s="1"/>
  <c r="AO32" i="31"/>
  <c r="AO30" i="31" s="1"/>
  <c r="N30" i="31"/>
  <c r="R32" i="31"/>
  <c r="R30" i="31" s="1"/>
  <c r="AD32" i="31"/>
  <c r="AD30" i="31" s="1"/>
  <c r="AP32" i="31"/>
  <c r="AP30" i="31" s="1"/>
  <c r="AI32" i="31"/>
  <c r="AI30" i="31" s="1"/>
  <c r="S32" i="31"/>
  <c r="S30" i="31" s="1"/>
  <c r="AE32" i="31"/>
  <c r="AE30" i="31" s="1"/>
  <c r="AQ32" i="31"/>
  <c r="AQ30" i="31" s="1"/>
  <c r="T32" i="31"/>
  <c r="T30" i="31" s="1"/>
  <c r="AF32" i="31"/>
  <c r="AF30" i="31" s="1"/>
  <c r="AR32" i="31"/>
  <c r="U32" i="31"/>
  <c r="U30" i="31" s="1"/>
  <c r="AG32" i="31"/>
  <c r="AG30" i="31" s="1"/>
  <c r="AS32" i="31"/>
  <c r="AS30" i="31" s="1"/>
  <c r="V32" i="31"/>
  <c r="V30" i="31" s="1"/>
  <c r="AH32" i="31"/>
  <c r="AH30" i="31" s="1"/>
  <c r="AT32" i="31"/>
  <c r="AT30" i="31" s="1"/>
  <c r="W32" i="31"/>
  <c r="W30" i="31" s="1"/>
  <c r="X32" i="31"/>
  <c r="X30" i="31" s="1"/>
  <c r="AJ32" i="31"/>
  <c r="Y32" i="31"/>
  <c r="Y30" i="31" s="1"/>
  <c r="AK32" i="31"/>
  <c r="AK30" i="31" s="1"/>
  <c r="Z32" i="31"/>
  <c r="Z30" i="31" s="1"/>
  <c r="AL32" i="31"/>
  <c r="AL30" i="31" s="1"/>
  <c r="AA32" i="31"/>
  <c r="AA30" i="31" s="1"/>
  <c r="AM32" i="31"/>
  <c r="AM30" i="31" s="1"/>
  <c r="F8" i="31"/>
  <c r="F14" i="31"/>
  <c r="O30" i="31"/>
  <c r="AF21" i="31"/>
  <c r="AO38" i="31"/>
  <c r="M38" i="31"/>
  <c r="AU47" i="31"/>
  <c r="K47" i="31" s="1"/>
  <c r="AU31" i="31"/>
  <c r="K31" i="31" s="1"/>
  <c r="R38" i="31"/>
  <c r="F50" i="31"/>
  <c r="U38" i="31"/>
  <c r="Y38" i="31"/>
  <c r="AK38" i="31"/>
  <c r="P38" i="31"/>
  <c r="AU34" i="31"/>
  <c r="K34" i="31" s="1"/>
  <c r="AU33" i="31"/>
  <c r="K33" i="31" s="1"/>
  <c r="AD21" i="31"/>
  <c r="AU23" i="31"/>
  <c r="K23" i="31" s="1"/>
  <c r="AS21" i="31"/>
  <c r="AM21" i="31"/>
  <c r="AL21" i="31"/>
  <c r="AU26" i="31"/>
  <c r="K26" i="31" s="1"/>
  <c r="O21" i="31"/>
  <c r="AG21" i="31"/>
  <c r="AR21" i="31"/>
  <c r="AS38" i="31"/>
  <c r="AQ21" i="31"/>
  <c r="T21" i="31"/>
  <c r="AH21" i="31"/>
  <c r="AP21" i="31"/>
  <c r="Y21" i="31"/>
  <c r="V38" i="31"/>
  <c r="Z38" i="31"/>
  <c r="V21" i="31"/>
  <c r="AO21" i="31"/>
  <c r="AC21" i="31"/>
  <c r="AH38" i="31"/>
  <c r="W21" i="31"/>
  <c r="AU19" i="31"/>
  <c r="K19" i="31" s="1"/>
  <c r="AP38" i="31"/>
  <c r="AT38" i="31"/>
  <c r="AI21" i="31"/>
  <c r="S21" i="31"/>
  <c r="AD38" i="31"/>
  <c r="U21" i="31"/>
  <c r="X21" i="31"/>
  <c r="AG38" i="31"/>
  <c r="AC38" i="31"/>
  <c r="AL38" i="31"/>
  <c r="AT21" i="31"/>
  <c r="AJ21" i="31"/>
  <c r="AU11" i="31"/>
  <c r="K11" i="31" s="1"/>
  <c r="AA21" i="31"/>
  <c r="AU39" i="31"/>
  <c r="K39" i="31" s="1"/>
  <c r="L38" i="31"/>
  <c r="AK21" i="31"/>
  <c r="AU43" i="31"/>
  <c r="K43" i="31" s="1"/>
  <c r="Z21" i="31"/>
  <c r="Q38" i="31"/>
  <c r="T38" i="31"/>
  <c r="X38" i="31"/>
  <c r="AB38" i="31"/>
  <c r="AU24" i="31"/>
  <c r="K24" i="31" s="1"/>
  <c r="P21" i="31"/>
  <c r="AJ38" i="31"/>
  <c r="N21" i="31"/>
  <c r="AF38" i="31"/>
  <c r="AN38" i="31"/>
  <c r="AE21" i="31"/>
  <c r="AB21" i="31"/>
  <c r="AR38" i="31"/>
  <c r="AU25" i="31"/>
  <c r="K25" i="31" s="1"/>
  <c r="AU18" i="31"/>
  <c r="K18" i="31" s="1"/>
  <c r="AU22" i="31"/>
  <c r="K22" i="31" s="1"/>
  <c r="M21" i="31"/>
  <c r="AN21" i="31"/>
  <c r="L50" i="31" l="1"/>
  <c r="AU52" i="31"/>
  <c r="K52" i="31" s="1"/>
  <c r="AC14" i="31"/>
  <c r="AO14" i="31"/>
  <c r="P14" i="31"/>
  <c r="AA14" i="31"/>
  <c r="AG14" i="31"/>
  <c r="AT14" i="31"/>
  <c r="AH14" i="31"/>
  <c r="O14" i="31"/>
  <c r="AM14" i="31"/>
  <c r="M14" i="31"/>
  <c r="U14" i="31"/>
  <c r="AJ14" i="31"/>
  <c r="AR14" i="31"/>
  <c r="AD14" i="31"/>
  <c r="AU12" i="31"/>
  <c r="K12" i="31" s="1"/>
  <c r="T14" i="31"/>
  <c r="R14" i="31"/>
  <c r="AQ14" i="31"/>
  <c r="AU16" i="31"/>
  <c r="K16" i="31" s="1"/>
  <c r="AP14" i="31"/>
  <c r="AK14" i="31"/>
  <c r="Z14" i="31"/>
  <c r="Y14" i="31"/>
  <c r="AR30" i="31"/>
  <c r="S14" i="31"/>
  <c r="AU10" i="31"/>
  <c r="K10" i="31" s="1"/>
  <c r="W14" i="31"/>
  <c r="AN14" i="31"/>
  <c r="X14" i="31"/>
  <c r="AB14" i="31"/>
  <c r="AU32" i="31"/>
  <c r="K32" i="31" s="1"/>
  <c r="AI14" i="31"/>
  <c r="V14" i="31"/>
  <c r="AF14" i="31"/>
  <c r="AU17" i="31"/>
  <c r="K17" i="31" s="1"/>
  <c r="AE14" i="31"/>
  <c r="AS14" i="31"/>
  <c r="AL14" i="31"/>
  <c r="Q14" i="31"/>
  <c r="N14" i="31"/>
  <c r="AN30" i="31"/>
  <c r="AU9" i="31"/>
  <c r="K9" i="31" s="1"/>
  <c r="L8" i="31"/>
  <c r="M50" i="31"/>
  <c r="AU15" i="31"/>
  <c r="K15" i="31" s="1"/>
  <c r="L14" i="31"/>
  <c r="AJ30" i="31"/>
  <c r="M6" i="31" l="1"/>
  <c r="AU14" i="31"/>
  <c r="K14" i="31" s="1"/>
  <c r="N50" i="31"/>
  <c r="AU8" i="31"/>
  <c r="K8" i="31" s="1"/>
  <c r="L6" i="31"/>
  <c r="N6" i="31" l="1"/>
  <c r="O50" i="31"/>
  <c r="P50" i="31" l="1"/>
  <c r="P6" i="31" s="1"/>
  <c r="Q50" i="31" l="1"/>
  <c r="R50" i="31" l="1"/>
  <c r="S50" i="31" l="1"/>
  <c r="T50" i="31" l="1"/>
  <c r="T6" i="31" s="1"/>
  <c r="U50" i="31" l="1"/>
  <c r="U6" i="31" s="1"/>
  <c r="V50" i="31" l="1"/>
  <c r="V6" i="31" s="1"/>
  <c r="W50" i="31" l="1"/>
  <c r="X50" i="31" l="1"/>
  <c r="X6" i="31" s="1"/>
  <c r="Y50" i="31" l="1"/>
  <c r="Y6" i="31" s="1"/>
  <c r="Z50" i="31" l="1"/>
  <c r="Z6" i="31" s="1"/>
  <c r="AA50" i="31" l="1"/>
  <c r="AB50" i="31" l="1"/>
  <c r="AB6" i="31" s="1"/>
  <c r="AC50" i="31" l="1"/>
  <c r="AC6" i="31" s="1"/>
  <c r="AD50" i="31" l="1"/>
  <c r="AD6" i="31" s="1"/>
  <c r="AE50" i="31" l="1"/>
  <c r="AF50" i="31" l="1"/>
  <c r="AF6" i="31" s="1"/>
  <c r="AG50" i="31" l="1"/>
  <c r="AG6" i="31" s="1"/>
  <c r="AH50" i="31" l="1"/>
  <c r="AH6" i="31" s="1"/>
  <c r="AI50" i="31" l="1"/>
  <c r="AJ50" i="31" l="1"/>
  <c r="AJ6" i="31" s="1"/>
  <c r="AK50" i="31" l="1"/>
  <c r="AK6" i="31" s="1"/>
  <c r="AL50" i="31" l="1"/>
  <c r="AL6" i="31" s="1"/>
  <c r="AM50" i="31" l="1"/>
  <c r="AN50" i="31" l="1"/>
  <c r="AN6" i="31" s="1"/>
  <c r="AO50" i="31" l="1"/>
  <c r="AO6" i="31" s="1"/>
  <c r="AP50" i="31" l="1"/>
  <c r="AP6" i="31" s="1"/>
  <c r="AQ50" i="31" l="1"/>
  <c r="AR50" i="31" l="1"/>
  <c r="AR6" i="31" s="1"/>
  <c r="AS50" i="31" l="1"/>
  <c r="AS6" i="31" s="1"/>
  <c r="AT50" i="31" l="1"/>
  <c r="AU51" i="31"/>
  <c r="K51" i="31" s="1"/>
  <c r="AT6" i="31" l="1"/>
  <c r="AU50" i="31"/>
  <c r="K50" i="31" s="1"/>
  <c r="O45" i="29" l="1"/>
  <c r="O37" i="29"/>
  <c r="O29" i="29"/>
  <c r="O21" i="29"/>
  <c r="N5" i="29"/>
  <c r="N6" i="29" s="1"/>
  <c r="N7" i="29" s="1"/>
  <c r="N8" i="29" s="1"/>
  <c r="N9" i="29" s="1"/>
  <c r="N10" i="29" s="1"/>
  <c r="N11" i="29" s="1"/>
  <c r="M5" i="29"/>
  <c r="M6" i="29"/>
  <c r="M7" i="29" s="1"/>
  <c r="M8" i="29" s="1"/>
  <c r="M9" i="29" s="1"/>
  <c r="M10" i="29" s="1"/>
  <c r="M11" i="29" s="1"/>
  <c r="O11" i="29" s="1"/>
  <c r="AO9" i="18"/>
  <c r="AP9" i="18"/>
  <c r="L82" i="11"/>
  <c r="K82" i="11"/>
  <c r="J82" i="11"/>
  <c r="I82" i="11"/>
  <c r="H82" i="11"/>
  <c r="G82" i="11"/>
  <c r="F82" i="11"/>
  <c r="E82" i="11"/>
  <c r="D82" i="11"/>
  <c r="C82" i="11"/>
  <c r="E39" i="30"/>
  <c r="E38" i="30"/>
  <c r="E37" i="30"/>
  <c r="E36" i="30"/>
  <c r="E35" i="30"/>
  <c r="E34" i="30"/>
  <c r="E33" i="30"/>
  <c r="H18" i="30"/>
  <c r="H31" i="30" s="1"/>
  <c r="B15" i="30"/>
  <c r="B13" i="30"/>
  <c r="B12" i="30"/>
  <c r="B11" i="30"/>
  <c r="A18" i="23"/>
  <c r="O5" i="29" l="1"/>
  <c r="Q296" i="25"/>
  <c r="Q297" i="25" s="1"/>
  <c r="O296" i="25"/>
  <c r="O297" i="25" s="1"/>
  <c r="P296" i="25"/>
  <c r="P297" i="25" s="1"/>
  <c r="O10" i="29"/>
  <c r="O9" i="29"/>
  <c r="O6" i="29"/>
  <c r="O8" i="29"/>
  <c r="O7" i="29"/>
  <c r="O13" i="29"/>
  <c r="O14" i="29"/>
  <c r="O47" i="29"/>
  <c r="O46" i="29"/>
  <c r="O39" i="29"/>
  <c r="O31" i="29"/>
  <c r="O30" i="29"/>
  <c r="O23" i="29"/>
  <c r="O22" i="29"/>
  <c r="O16" i="29"/>
  <c r="O15" i="29"/>
  <c r="D2" i="28"/>
  <c r="E11" i="28"/>
  <c r="F11" i="28"/>
  <c r="G11" i="28"/>
  <c r="H11" i="28"/>
  <c r="I11" i="28"/>
  <c r="J11" i="28"/>
  <c r="K11" i="28"/>
  <c r="L11" i="28"/>
  <c r="M11" i="28"/>
  <c r="N11" i="28"/>
  <c r="O11" i="28"/>
  <c r="P11" i="28"/>
  <c r="Q11" i="28"/>
  <c r="R11" i="28"/>
  <c r="S11" i="28"/>
  <c r="T11" i="28"/>
  <c r="U11" i="28"/>
  <c r="V11" i="28"/>
  <c r="W11" i="28"/>
  <c r="X11" i="28"/>
  <c r="Y11" i="28"/>
  <c r="Z11" i="28"/>
  <c r="AA11" i="28"/>
  <c r="AB11" i="28"/>
  <c r="AC11" i="28"/>
  <c r="AD11" i="28"/>
  <c r="AE11" i="28"/>
  <c r="AF11" i="28"/>
  <c r="AG11" i="28"/>
  <c r="AH11" i="28"/>
  <c r="AI11" i="28"/>
  <c r="AJ11" i="28"/>
  <c r="AK11" i="28"/>
  <c r="AL11" i="28"/>
  <c r="AM11" i="28"/>
  <c r="AN11" i="28"/>
  <c r="Q299" i="25" l="1"/>
  <c r="O38" i="29"/>
  <c r="O48" i="29"/>
  <c r="O40" i="29"/>
  <c r="O32" i="29"/>
  <c r="O24" i="29"/>
  <c r="O17" i="29"/>
  <c r="O328" i="25"/>
  <c r="P325" i="25" l="1"/>
  <c r="O49" i="29"/>
  <c r="O41" i="29"/>
  <c r="O33" i="29"/>
  <c r="O25" i="29"/>
  <c r="O19" i="29"/>
  <c r="O18" i="29"/>
  <c r="Q328" i="25"/>
  <c r="R328" i="25" s="1"/>
  <c r="P324" i="25"/>
  <c r="P327" i="25"/>
  <c r="P326" i="25"/>
  <c r="C32" i="7"/>
  <c r="D110" i="1"/>
  <c r="J7" i="1"/>
  <c r="J5" i="1"/>
  <c r="I20" i="7"/>
  <c r="M20" i="7" s="1"/>
  <c r="Q20" i="7" s="1"/>
  <c r="U20" i="7" s="1"/>
  <c r="Y20" i="7" s="1"/>
  <c r="AC20" i="7" s="1"/>
  <c r="AG20" i="7" s="1"/>
  <c r="AK20" i="7" s="1"/>
  <c r="L62" i="11"/>
  <c r="B64" i="11"/>
  <c r="B65" i="11"/>
  <c r="B66" i="11"/>
  <c r="B67" i="11"/>
  <c r="B68" i="11"/>
  <c r="B69" i="11"/>
  <c r="B70" i="11"/>
  <c r="B71" i="11"/>
  <c r="B72" i="11"/>
  <c r="B73" i="11"/>
  <c r="B74" i="11"/>
  <c r="B75" i="11"/>
  <c r="B76" i="11"/>
  <c r="B77" i="11"/>
  <c r="B78" i="11"/>
  <c r="B79" i="11"/>
  <c r="B81" i="11"/>
  <c r="B83" i="11"/>
  <c r="B84" i="11"/>
  <c r="B85" i="11"/>
  <c r="B86" i="11"/>
  <c r="B87" i="11"/>
  <c r="B88" i="11"/>
  <c r="B89" i="11"/>
  <c r="B90" i="11"/>
  <c r="B91" i="11"/>
  <c r="B92" i="11"/>
  <c r="B93" i="11"/>
  <c r="B94" i="11"/>
  <c r="B95" i="11"/>
  <c r="B96" i="11"/>
  <c r="B97" i="11"/>
  <c r="B98" i="11"/>
  <c r="B62" i="11"/>
  <c r="O51" i="29" l="1"/>
  <c r="O50" i="29"/>
  <c r="O43" i="29"/>
  <c r="O42" i="29"/>
  <c r="O35" i="29"/>
  <c r="O34" i="29"/>
  <c r="O27" i="29"/>
  <c r="O26" i="29"/>
  <c r="P328" i="25"/>
  <c r="G354" i="25" l="1"/>
  <c r="G353" i="25"/>
  <c r="G352" i="25"/>
  <c r="G351" i="25"/>
  <c r="G350" i="25"/>
  <c r="G344" i="25"/>
  <c r="G338" i="25"/>
  <c r="G336" i="25" s="1"/>
  <c r="G334" i="25" s="1"/>
  <c r="F14" i="25" s="1"/>
  <c r="G332" i="25"/>
  <c r="G330" i="25" s="1"/>
  <c r="G328" i="25"/>
  <c r="G327" i="25"/>
  <c r="G326" i="25"/>
  <c r="G325" i="25"/>
  <c r="G324" i="25"/>
  <c r="G306" i="25"/>
  <c r="G305" i="25"/>
  <c r="G304" i="25"/>
  <c r="G303" i="25"/>
  <c r="G302" i="25"/>
  <c r="G301" i="25"/>
  <c r="G295" i="25"/>
  <c r="G293" i="25" s="1"/>
  <c r="G289" i="25"/>
  <c r="G288" i="25" s="1"/>
  <c r="G287" i="25"/>
  <c r="G286" i="25"/>
  <c r="G285" i="25"/>
  <c r="G284" i="25"/>
  <c r="G283" i="25"/>
  <c r="G280" i="25"/>
  <c r="G279" i="25" s="1"/>
  <c r="G278" i="25"/>
  <c r="G277" i="25"/>
  <c r="G276" i="25"/>
  <c r="G275" i="25"/>
  <c r="G274" i="25"/>
  <c r="G271" i="25"/>
  <c r="G270" i="25" s="1"/>
  <c r="G269" i="25"/>
  <c r="G268" i="25"/>
  <c r="G267" i="25"/>
  <c r="G266" i="25"/>
  <c r="G265" i="25"/>
  <c r="G262" i="25"/>
  <c r="G261" i="25" s="1"/>
  <c r="G260" i="25"/>
  <c r="G259" i="25"/>
  <c r="G258" i="25"/>
  <c r="G257" i="25"/>
  <c r="G256" i="25"/>
  <c r="G253" i="25"/>
  <c r="G252" i="25" s="1"/>
  <c r="G251" i="25"/>
  <c r="G250" i="25"/>
  <c r="G249" i="25"/>
  <c r="G248" i="25"/>
  <c r="G247" i="25"/>
  <c r="G239" i="25"/>
  <c r="G238" i="25"/>
  <c r="G236" i="25"/>
  <c r="G235" i="25"/>
  <c r="G234" i="25"/>
  <c r="G233" i="25"/>
  <c r="G232" i="25"/>
  <c r="G227" i="25"/>
  <c r="G226" i="25" s="1"/>
  <c r="G225" i="25"/>
  <c r="G224" i="25"/>
  <c r="G223" i="25"/>
  <c r="G222" i="25"/>
  <c r="G221" i="25"/>
  <c r="G214" i="25"/>
  <c r="G213" i="25" s="1"/>
  <c r="G212" i="25"/>
  <c r="G211" i="25"/>
  <c r="G210" i="25"/>
  <c r="G209" i="25"/>
  <c r="G208" i="25"/>
  <c r="G203" i="25"/>
  <c r="G202" i="25"/>
  <c r="G201" i="25"/>
  <c r="G200" i="25"/>
  <c r="G199" i="25"/>
  <c r="G197" i="25"/>
  <c r="G196" i="25"/>
  <c r="G195" i="25"/>
  <c r="G194" i="25"/>
  <c r="G193" i="25"/>
  <c r="G188" i="25"/>
  <c r="G187" i="25"/>
  <c r="G186" i="25"/>
  <c r="G185" i="25"/>
  <c r="G184" i="25"/>
  <c r="G182" i="25"/>
  <c r="G181" i="25"/>
  <c r="G180" i="25"/>
  <c r="G179" i="25"/>
  <c r="G177" i="25"/>
  <c r="G176" i="25"/>
  <c r="G175" i="25"/>
  <c r="G174" i="25"/>
  <c r="G173" i="25"/>
  <c r="G168" i="25"/>
  <c r="G167" i="25"/>
  <c r="G163" i="25"/>
  <c r="G162" i="25" s="1"/>
  <c r="G161" i="25"/>
  <c r="G160" i="25"/>
  <c r="G159" i="25"/>
  <c r="G158" i="25"/>
  <c r="G157" i="25"/>
  <c r="G156" i="25"/>
  <c r="G155" i="25"/>
  <c r="G154" i="25"/>
  <c r="G153" i="25"/>
  <c r="G152" i="25"/>
  <c r="G150" i="25"/>
  <c r="G149" i="25"/>
  <c r="G148" i="25"/>
  <c r="G147" i="25"/>
  <c r="G146" i="25"/>
  <c r="G145" i="25"/>
  <c r="G144" i="25"/>
  <c r="G143" i="25"/>
  <c r="G141" i="25"/>
  <c r="G140" i="25"/>
  <c r="G139" i="25"/>
  <c r="G138" i="25"/>
  <c r="G136" i="25"/>
  <c r="G135" i="25"/>
  <c r="G134" i="25"/>
  <c r="G133" i="25"/>
  <c r="G132" i="25"/>
  <c r="G127" i="25"/>
  <c r="G126" i="25" s="1"/>
  <c r="G125" i="25"/>
  <c r="G124" i="25"/>
  <c r="G122" i="25"/>
  <c r="G121" i="25"/>
  <c r="G120" i="25"/>
  <c r="G119" i="25"/>
  <c r="G118" i="25"/>
  <c r="G117" i="25"/>
  <c r="G116" i="25"/>
  <c r="G114" i="25"/>
  <c r="G113" i="25"/>
  <c r="G112" i="25"/>
  <c r="G111" i="25"/>
  <c r="G110" i="25"/>
  <c r="G105" i="25"/>
  <c r="G104" i="25"/>
  <c r="G103" i="25"/>
  <c r="G102" i="25"/>
  <c r="G101" i="25"/>
  <c r="G99" i="25"/>
  <c r="G98" i="25"/>
  <c r="G97" i="25"/>
  <c r="G96" i="25"/>
  <c r="G94" i="25"/>
  <c r="G93" i="25" s="1"/>
  <c r="G92" i="25"/>
  <c r="G91" i="25"/>
  <c r="G89" i="25"/>
  <c r="G88" i="25"/>
  <c r="G87" i="25"/>
  <c r="G85" i="25"/>
  <c r="G84" i="25" s="1"/>
  <c r="G83" i="25"/>
  <c r="G82" i="25" s="1"/>
  <c r="G81" i="25"/>
  <c r="G80" i="25"/>
  <c r="G79" i="25"/>
  <c r="G78" i="25"/>
  <c r="G76" i="25"/>
  <c r="G75" i="25"/>
  <c r="G73" i="25"/>
  <c r="G72" i="25" s="1"/>
  <c r="G71" i="25"/>
  <c r="G70" i="25"/>
  <c r="G69" i="25"/>
  <c r="G68" i="25"/>
  <c r="G66" i="25"/>
  <c r="G65" i="25"/>
  <c r="G64" i="25"/>
  <c r="G63" i="25"/>
  <c r="C45" i="25"/>
  <c r="C41" i="25"/>
  <c r="F13" i="5"/>
  <c r="G342" i="25" l="1"/>
  <c r="G340" i="25" s="1"/>
  <c r="F15" i="25" s="1"/>
  <c r="J345" i="25"/>
  <c r="G90" i="25"/>
  <c r="G207" i="25"/>
  <c r="G205" i="25" s="1"/>
  <c r="G74" i="25"/>
  <c r="G123" i="25"/>
  <c r="G115" i="25" s="1"/>
  <c r="G172" i="25"/>
  <c r="G348" i="25"/>
  <c r="G346" i="25" s="1"/>
  <c r="G165" i="25"/>
  <c r="G100" i="25"/>
  <c r="G255" i="25"/>
  <c r="G254" i="25" s="1"/>
  <c r="G67" i="25"/>
  <c r="G86" i="25"/>
  <c r="G231" i="25"/>
  <c r="G183" i="25"/>
  <c r="G198" i="25"/>
  <c r="G109" i="25"/>
  <c r="G291" i="25"/>
  <c r="J299" i="25" s="1"/>
  <c r="G315" i="25"/>
  <c r="G361" i="25"/>
  <c r="F33" i="25"/>
  <c r="G77" i="25"/>
  <c r="G137" i="25"/>
  <c r="G151" i="25"/>
  <c r="G220" i="25"/>
  <c r="G218" i="25" s="1"/>
  <c r="G237" i="25"/>
  <c r="G95" i="25"/>
  <c r="G264" i="25"/>
  <c r="G263" i="25" s="1"/>
  <c r="G142" i="25"/>
  <c r="G299" i="25"/>
  <c r="G297" i="25" s="1"/>
  <c r="G246" i="25"/>
  <c r="G245" i="25" s="1"/>
  <c r="G192" i="25"/>
  <c r="G131" i="25"/>
  <c r="G282" i="25"/>
  <c r="G281" i="25" s="1"/>
  <c r="G178" i="25"/>
  <c r="G322" i="25"/>
  <c r="G320" i="25" s="1"/>
  <c r="F13" i="25" s="1"/>
  <c r="G273" i="25"/>
  <c r="G272" i="25" s="1"/>
  <c r="F12" i="5"/>
  <c r="G12" i="5" s="1"/>
  <c r="I12" i="5"/>
  <c r="J12" i="5"/>
  <c r="S12" i="5"/>
  <c r="G13" i="5"/>
  <c r="I13" i="5"/>
  <c r="J13" i="5"/>
  <c r="F14" i="5"/>
  <c r="G14" i="5" s="1"/>
  <c r="I14" i="5"/>
  <c r="J14" i="5"/>
  <c r="F15" i="5"/>
  <c r="G15" i="5" s="1"/>
  <c r="I15" i="5"/>
  <c r="J15" i="5"/>
  <c r="F16" i="5"/>
  <c r="G16" i="5" s="1"/>
  <c r="I16" i="5"/>
  <c r="J16" i="5"/>
  <c r="F17" i="5"/>
  <c r="G17" i="5" s="1"/>
  <c r="I17" i="5"/>
  <c r="J17" i="5"/>
  <c r="F18" i="5"/>
  <c r="G18" i="5" s="1"/>
  <c r="I18" i="5"/>
  <c r="J18" i="5"/>
  <c r="F19" i="5"/>
  <c r="G19" i="5" s="1"/>
  <c r="F20" i="5"/>
  <c r="G20" i="5" s="1"/>
  <c r="I20" i="5"/>
  <c r="J20" i="5"/>
  <c r="S20" i="5"/>
  <c r="F21" i="5"/>
  <c r="G21" i="5" s="1"/>
  <c r="I21" i="5"/>
  <c r="J21" i="5"/>
  <c r="F22" i="5"/>
  <c r="G22" i="5" s="1"/>
  <c r="I22" i="5"/>
  <c r="J22" i="5"/>
  <c r="F23" i="5"/>
  <c r="G23" i="5" s="1"/>
  <c r="I23" i="5"/>
  <c r="J23" i="5"/>
  <c r="F24" i="5"/>
  <c r="G24" i="5" s="1"/>
  <c r="I24" i="5"/>
  <c r="J24" i="5"/>
  <c r="F25" i="5"/>
  <c r="G25" i="5" s="1"/>
  <c r="I25" i="5"/>
  <c r="J25" i="5"/>
  <c r="F26" i="5"/>
  <c r="G26" i="5" s="1"/>
  <c r="I26" i="5"/>
  <c r="J26" i="5"/>
  <c r="F27" i="5"/>
  <c r="G27" i="5" s="1"/>
  <c r="F36" i="5"/>
  <c r="G36" i="5" s="1"/>
  <c r="I36" i="5"/>
  <c r="J36" i="5"/>
  <c r="S36" i="5"/>
  <c r="F37" i="5"/>
  <c r="G37" i="5" s="1"/>
  <c r="I37" i="5"/>
  <c r="J37" i="5"/>
  <c r="F38" i="5"/>
  <c r="G38" i="5" s="1"/>
  <c r="I38" i="5"/>
  <c r="J38" i="5"/>
  <c r="F39" i="5"/>
  <c r="G39" i="5" s="1"/>
  <c r="I39" i="5"/>
  <c r="J39" i="5"/>
  <c r="F40" i="5"/>
  <c r="G40" i="5" s="1"/>
  <c r="I40" i="5"/>
  <c r="J40" i="5"/>
  <c r="F41" i="5"/>
  <c r="G41" i="5" s="1"/>
  <c r="I41" i="5"/>
  <c r="J41" i="5"/>
  <c r="F42" i="5"/>
  <c r="G42" i="5" s="1"/>
  <c r="I42" i="5"/>
  <c r="J42" i="5"/>
  <c r="F43" i="5"/>
  <c r="G43" i="5" s="1"/>
  <c r="F44" i="5"/>
  <c r="G44" i="5" s="1"/>
  <c r="I44" i="5"/>
  <c r="J44" i="5"/>
  <c r="S44" i="5"/>
  <c r="F45" i="5"/>
  <c r="G45" i="5" s="1"/>
  <c r="I45" i="5"/>
  <c r="J45" i="5"/>
  <c r="F46" i="5"/>
  <c r="G46" i="5" s="1"/>
  <c r="I46" i="5"/>
  <c r="J46" i="5"/>
  <c r="F47" i="5"/>
  <c r="G47" i="5" s="1"/>
  <c r="I47" i="5"/>
  <c r="J47" i="5"/>
  <c r="F48" i="5"/>
  <c r="G48" i="5" s="1"/>
  <c r="I48" i="5"/>
  <c r="J48" i="5"/>
  <c r="F49" i="5"/>
  <c r="G49" i="5" s="1"/>
  <c r="I49" i="5"/>
  <c r="J49" i="5"/>
  <c r="F50" i="5"/>
  <c r="G50" i="5" s="1"/>
  <c r="I50" i="5"/>
  <c r="J50" i="5"/>
  <c r="F51" i="5"/>
  <c r="G51" i="5" s="1"/>
  <c r="F17" i="25" l="1"/>
  <c r="F16" i="25"/>
  <c r="F35" i="25" s="1"/>
  <c r="F10" i="25"/>
  <c r="F29" i="25" s="1"/>
  <c r="F9" i="25"/>
  <c r="F8" i="25"/>
  <c r="F27" i="25" s="1"/>
  <c r="O299" i="25"/>
  <c r="F36" i="25"/>
  <c r="G229" i="25"/>
  <c r="G216" i="25" s="1"/>
  <c r="G107" i="25"/>
  <c r="G190" i="25"/>
  <c r="F28" i="25"/>
  <c r="G129" i="25"/>
  <c r="G170" i="25"/>
  <c r="G362" i="25"/>
  <c r="G243" i="25"/>
  <c r="G241" i="25" s="1"/>
  <c r="F7" i="25" s="1"/>
  <c r="G360" i="25"/>
  <c r="S88" i="5"/>
  <c r="S89" i="5" s="1"/>
  <c r="P89" i="5"/>
  <c r="P88" i="5"/>
  <c r="L89" i="5"/>
  <c r="L88" i="5"/>
  <c r="D21" i="10"/>
  <c r="E6" i="13"/>
  <c r="AL6" i="23"/>
  <c r="AL7" i="23"/>
  <c r="AL8" i="23"/>
  <c r="AL9" i="23"/>
  <c r="E6" i="23"/>
  <c r="F6" i="23"/>
  <c r="G6" i="23"/>
  <c r="H6" i="23"/>
  <c r="I6" i="23"/>
  <c r="J6" i="23"/>
  <c r="K6" i="23"/>
  <c r="L6" i="23"/>
  <c r="M6" i="23"/>
  <c r="N6" i="23"/>
  <c r="O6" i="23"/>
  <c r="P6" i="23"/>
  <c r="Q6" i="23"/>
  <c r="R6" i="23"/>
  <c r="S6" i="23"/>
  <c r="T6" i="23"/>
  <c r="U6" i="23"/>
  <c r="V6" i="23"/>
  <c r="W6" i="23"/>
  <c r="X6" i="23"/>
  <c r="Y6" i="23"/>
  <c r="Z6" i="23"/>
  <c r="AA6" i="23"/>
  <c r="AB6" i="23"/>
  <c r="AC6" i="23"/>
  <c r="AD6" i="23"/>
  <c r="AE6" i="23"/>
  <c r="AF6" i="23"/>
  <c r="AG6" i="23"/>
  <c r="AH6" i="23"/>
  <c r="AI6" i="23"/>
  <c r="AJ6" i="23"/>
  <c r="AK6" i="23"/>
  <c r="E7" i="23"/>
  <c r="F7" i="23"/>
  <c r="G7" i="23"/>
  <c r="H7" i="23"/>
  <c r="I7" i="23"/>
  <c r="J7" i="23"/>
  <c r="K7" i="23"/>
  <c r="L7" i="23"/>
  <c r="M7" i="23"/>
  <c r="N7" i="23"/>
  <c r="O7" i="23"/>
  <c r="P7" i="23"/>
  <c r="Q7" i="23"/>
  <c r="R7" i="23"/>
  <c r="S7" i="23"/>
  <c r="T7" i="23"/>
  <c r="U7" i="23"/>
  <c r="V7" i="23"/>
  <c r="W7" i="23"/>
  <c r="X7" i="23"/>
  <c r="Y7" i="23"/>
  <c r="Z7" i="23"/>
  <c r="AA7" i="23"/>
  <c r="AB7" i="23"/>
  <c r="AC7" i="23"/>
  <c r="AD7" i="23"/>
  <c r="AE7" i="23"/>
  <c r="AF7" i="23"/>
  <c r="AG7" i="23"/>
  <c r="AH7" i="23"/>
  <c r="AI7" i="23"/>
  <c r="AJ7" i="23"/>
  <c r="AK7" i="23"/>
  <c r="E8" i="23"/>
  <c r="F8" i="23"/>
  <c r="G8" i="23"/>
  <c r="H8" i="23"/>
  <c r="I8" i="23"/>
  <c r="J8" i="23"/>
  <c r="K8" i="23"/>
  <c r="L8" i="23"/>
  <c r="M8" i="23"/>
  <c r="N8" i="23"/>
  <c r="O8" i="23"/>
  <c r="P8" i="23"/>
  <c r="Q8" i="23"/>
  <c r="R8" i="23"/>
  <c r="S8" i="23"/>
  <c r="T8" i="23"/>
  <c r="U8" i="23"/>
  <c r="V8" i="23"/>
  <c r="W8" i="23"/>
  <c r="X8" i="23"/>
  <c r="Y8" i="23"/>
  <c r="Z8" i="23"/>
  <c r="AA8" i="23"/>
  <c r="AB8" i="23"/>
  <c r="AC8" i="23"/>
  <c r="AD8" i="23"/>
  <c r="AE8" i="23"/>
  <c r="AF8" i="23"/>
  <c r="AG8" i="23"/>
  <c r="AH8" i="23"/>
  <c r="AI8" i="23"/>
  <c r="AJ8" i="23"/>
  <c r="AK8" i="23"/>
  <c r="E9" i="23"/>
  <c r="F9" i="23"/>
  <c r="G9" i="23"/>
  <c r="H9" i="23"/>
  <c r="I9" i="23"/>
  <c r="J9" i="23"/>
  <c r="K9" i="23"/>
  <c r="L9" i="23"/>
  <c r="M9" i="23"/>
  <c r="N9" i="23"/>
  <c r="O9" i="23"/>
  <c r="P9" i="23"/>
  <c r="Q9" i="23"/>
  <c r="R9" i="23"/>
  <c r="S9" i="23"/>
  <c r="T9" i="23"/>
  <c r="U9" i="23"/>
  <c r="V9" i="23"/>
  <c r="W9" i="23"/>
  <c r="X9" i="23"/>
  <c r="Y9" i="23"/>
  <c r="Z9" i="23"/>
  <c r="AA9" i="23"/>
  <c r="AB9" i="23"/>
  <c r="AC9" i="23"/>
  <c r="AD9" i="23"/>
  <c r="AE9" i="23"/>
  <c r="AF9" i="23"/>
  <c r="AG9" i="23"/>
  <c r="AH9" i="23"/>
  <c r="AI9" i="23"/>
  <c r="AJ9" i="23"/>
  <c r="AK9" i="23"/>
  <c r="D9" i="23"/>
  <c r="D8" i="23"/>
  <c r="D7" i="23"/>
  <c r="D6" i="23"/>
  <c r="E6" i="22"/>
  <c r="F6" i="22"/>
  <c r="G6" i="22"/>
  <c r="H6" i="22"/>
  <c r="I6" i="22"/>
  <c r="J6" i="22"/>
  <c r="K6" i="22"/>
  <c r="L6" i="22"/>
  <c r="M6" i="22"/>
  <c r="N6" i="22"/>
  <c r="O6" i="22"/>
  <c r="P6" i="22"/>
  <c r="Q6" i="22"/>
  <c r="R6" i="22"/>
  <c r="S6" i="22"/>
  <c r="T6" i="22"/>
  <c r="U6" i="22"/>
  <c r="V6" i="22"/>
  <c r="W6" i="22"/>
  <c r="X6" i="22"/>
  <c r="Y6" i="22"/>
  <c r="Z6" i="22"/>
  <c r="AA6" i="22"/>
  <c r="AB6" i="22"/>
  <c r="AC6" i="22"/>
  <c r="AD6" i="22"/>
  <c r="AE6" i="22"/>
  <c r="AF6" i="22"/>
  <c r="AG6" i="22"/>
  <c r="AH6" i="22"/>
  <c r="AI6" i="22"/>
  <c r="AJ6" i="22"/>
  <c r="AK6" i="22"/>
  <c r="AL6" i="22"/>
  <c r="E7" i="22"/>
  <c r="F7" i="22"/>
  <c r="G7" i="22"/>
  <c r="H7" i="22"/>
  <c r="I7" i="22"/>
  <c r="J7" i="22"/>
  <c r="K7" i="22"/>
  <c r="L7" i="22"/>
  <c r="M7" i="22"/>
  <c r="N7" i="22"/>
  <c r="O7" i="22"/>
  <c r="P7" i="22"/>
  <c r="Q7" i="22"/>
  <c r="R7" i="22"/>
  <c r="S7" i="22"/>
  <c r="T7" i="22"/>
  <c r="U7" i="22"/>
  <c r="V7" i="22"/>
  <c r="W7" i="22"/>
  <c r="X7" i="22"/>
  <c r="Y7" i="22"/>
  <c r="Z7" i="22"/>
  <c r="AA7" i="22"/>
  <c r="AB7" i="22"/>
  <c r="AC7" i="22"/>
  <c r="AD7" i="22"/>
  <c r="AE7" i="22"/>
  <c r="AF7" i="22"/>
  <c r="AG7" i="22"/>
  <c r="AH7" i="22"/>
  <c r="AI7" i="22"/>
  <c r="AJ7" i="22"/>
  <c r="AK7" i="22"/>
  <c r="AL7" i="22"/>
  <c r="E8" i="22"/>
  <c r="F8" i="22"/>
  <c r="G8" i="22"/>
  <c r="H8" i="22"/>
  <c r="I8" i="22"/>
  <c r="J8" i="22"/>
  <c r="K8" i="22"/>
  <c r="L8" i="22"/>
  <c r="M8" i="22"/>
  <c r="N8" i="22"/>
  <c r="O8" i="22"/>
  <c r="P8" i="22"/>
  <c r="Q8" i="22"/>
  <c r="R8" i="22"/>
  <c r="S8" i="22"/>
  <c r="T8" i="22"/>
  <c r="U8" i="22"/>
  <c r="V8" i="22"/>
  <c r="W8" i="22"/>
  <c r="X8" i="22"/>
  <c r="Y8" i="22"/>
  <c r="Z8" i="22"/>
  <c r="AA8" i="22"/>
  <c r="AB8" i="22"/>
  <c r="AC8" i="22"/>
  <c r="AD8" i="22"/>
  <c r="AE8" i="22"/>
  <c r="AF8" i="22"/>
  <c r="AG8" i="22"/>
  <c r="AH8" i="22"/>
  <c r="AI8" i="22"/>
  <c r="AJ8" i="22"/>
  <c r="AK8" i="22"/>
  <c r="AL8" i="22"/>
  <c r="E9" i="22"/>
  <c r="F9" i="22"/>
  <c r="G9" i="22"/>
  <c r="H9" i="22"/>
  <c r="I9" i="22"/>
  <c r="J9" i="22"/>
  <c r="K9" i="22"/>
  <c r="L9" i="22"/>
  <c r="M9" i="22"/>
  <c r="N9" i="22"/>
  <c r="O9" i="22"/>
  <c r="P9" i="22"/>
  <c r="Q9" i="22"/>
  <c r="R9" i="22"/>
  <c r="S9" i="22"/>
  <c r="T9" i="22"/>
  <c r="U9" i="22"/>
  <c r="V9" i="22"/>
  <c r="W9" i="22"/>
  <c r="X9" i="22"/>
  <c r="Y9" i="22"/>
  <c r="Z9" i="22"/>
  <c r="AA9" i="22"/>
  <c r="AB9" i="22"/>
  <c r="AC9" i="22"/>
  <c r="AD9" i="22"/>
  <c r="AE9" i="22"/>
  <c r="AF9" i="22"/>
  <c r="AG9" i="22"/>
  <c r="AH9" i="22"/>
  <c r="AI9" i="22"/>
  <c r="AJ9" i="22"/>
  <c r="AK9" i="22"/>
  <c r="AL9" i="22"/>
  <c r="D9" i="22"/>
  <c r="D8" i="22"/>
  <c r="D7" i="22"/>
  <c r="D6" i="22"/>
  <c r="D1" i="7"/>
  <c r="C41" i="11"/>
  <c r="D23" i="11"/>
  <c r="E23" i="11" s="1"/>
  <c r="F23" i="11" s="1"/>
  <c r="G23" i="11" s="1"/>
  <c r="H23" i="11" s="1"/>
  <c r="I23" i="11" s="1"/>
  <c r="J23" i="11" s="1"/>
  <c r="K23" i="11" s="1"/>
  <c r="L23" i="11" s="1"/>
  <c r="M23" i="11" s="1"/>
  <c r="N23" i="11" s="1"/>
  <c r="O23" i="11" s="1"/>
  <c r="P23" i="11" s="1"/>
  <c r="Q23" i="11" s="1"/>
  <c r="R23" i="11" s="1"/>
  <c r="S23" i="11" s="1"/>
  <c r="T23" i="11" s="1"/>
  <c r="U23" i="11" s="1"/>
  <c r="V23" i="11" s="1"/>
  <c r="W23" i="11" s="1"/>
  <c r="X23" i="11" s="1"/>
  <c r="Y23" i="11" s="1"/>
  <c r="Z23" i="11" s="1"/>
  <c r="AA23" i="11" s="1"/>
  <c r="AB23" i="11" s="1"/>
  <c r="AC23" i="11" s="1"/>
  <c r="AD23" i="11" s="1"/>
  <c r="AE23" i="11" s="1"/>
  <c r="AF23" i="11" s="1"/>
  <c r="AG23" i="11" s="1"/>
  <c r="AH23" i="11" s="1"/>
  <c r="AI23" i="11" s="1"/>
  <c r="AJ23" i="11" s="1"/>
  <c r="AK23" i="11" s="1"/>
  <c r="D22" i="11"/>
  <c r="E22" i="11" s="1"/>
  <c r="F22" i="11" s="1"/>
  <c r="G22" i="11" s="1"/>
  <c r="H22" i="11" s="1"/>
  <c r="I22" i="11" s="1"/>
  <c r="J22" i="11" s="1"/>
  <c r="K22" i="11" s="1"/>
  <c r="L22" i="11" s="1"/>
  <c r="M22" i="11" s="1"/>
  <c r="N22" i="11" s="1"/>
  <c r="O22" i="11" s="1"/>
  <c r="P22" i="11" s="1"/>
  <c r="Q22" i="11" s="1"/>
  <c r="R22" i="11" s="1"/>
  <c r="S22" i="11" s="1"/>
  <c r="T22" i="11" s="1"/>
  <c r="U22" i="11" s="1"/>
  <c r="V22" i="11" s="1"/>
  <c r="W22" i="11" s="1"/>
  <c r="X22" i="11" s="1"/>
  <c r="Y22" i="11" s="1"/>
  <c r="Z22" i="11" s="1"/>
  <c r="AA22" i="11" s="1"/>
  <c r="AB22" i="11" s="1"/>
  <c r="AC22" i="11" s="1"/>
  <c r="AD22" i="11" s="1"/>
  <c r="AE22" i="11" s="1"/>
  <c r="AF22" i="11" s="1"/>
  <c r="AG22" i="11" s="1"/>
  <c r="AH22" i="11" s="1"/>
  <c r="AI22" i="11" s="1"/>
  <c r="AJ22" i="11" s="1"/>
  <c r="AK22" i="11" s="1"/>
  <c r="AK41" i="11" s="1"/>
  <c r="D3" i="11"/>
  <c r="E3" i="11" s="1"/>
  <c r="F3" i="11" s="1"/>
  <c r="G3" i="11" s="1"/>
  <c r="H3" i="11" s="1"/>
  <c r="I3" i="11" s="1"/>
  <c r="J3" i="11" s="1"/>
  <c r="K3" i="11" s="1"/>
  <c r="L3" i="11" s="1"/>
  <c r="M3" i="11" s="1"/>
  <c r="N3" i="11" s="1"/>
  <c r="O3" i="11" s="1"/>
  <c r="P3" i="11" s="1"/>
  <c r="Q3" i="11" s="1"/>
  <c r="R3" i="11" s="1"/>
  <c r="S3" i="11" s="1"/>
  <c r="T3" i="11" s="1"/>
  <c r="U3" i="11" s="1"/>
  <c r="V3" i="11" s="1"/>
  <c r="W3" i="11" s="1"/>
  <c r="X3" i="11" s="1"/>
  <c r="Y3" i="11" s="1"/>
  <c r="Z3" i="11" s="1"/>
  <c r="AA3" i="11" s="1"/>
  <c r="AB3" i="11" s="1"/>
  <c r="AC3" i="11" s="1"/>
  <c r="AD3" i="11" s="1"/>
  <c r="AE3" i="11" s="1"/>
  <c r="AF3" i="11" s="1"/>
  <c r="AG3" i="11" s="1"/>
  <c r="AH3" i="11" s="1"/>
  <c r="AI3" i="11" s="1"/>
  <c r="AJ3" i="11" s="1"/>
  <c r="AK3" i="11" s="1"/>
  <c r="AL1" i="7" s="1"/>
  <c r="AM21" i="28"/>
  <c r="AN22" i="28"/>
  <c r="AM22" i="28"/>
  <c r="AL22" i="28"/>
  <c r="AK22" i="28"/>
  <c r="AJ22" i="28"/>
  <c r="AI22" i="28"/>
  <c r="AH22" i="28"/>
  <c r="AG22" i="28"/>
  <c r="AF22" i="28"/>
  <c r="AE22" i="28"/>
  <c r="AD22" i="28"/>
  <c r="AC22" i="28"/>
  <c r="AB22" i="28"/>
  <c r="AA22" i="28"/>
  <c r="Z22" i="28"/>
  <c r="Y22" i="28"/>
  <c r="X22" i="28"/>
  <c r="W22" i="28"/>
  <c r="V22" i="28"/>
  <c r="U22" i="28"/>
  <c r="T22" i="28"/>
  <c r="S22" i="28"/>
  <c r="R22" i="28"/>
  <c r="Q22" i="28"/>
  <c r="P22" i="28"/>
  <c r="O22" i="28"/>
  <c r="N22" i="28"/>
  <c r="M22" i="28"/>
  <c r="L22" i="28"/>
  <c r="K22" i="28"/>
  <c r="J22" i="28"/>
  <c r="I22" i="28"/>
  <c r="H22" i="28"/>
  <c r="G22" i="28"/>
  <c r="F22" i="28"/>
  <c r="AN67" i="28"/>
  <c r="AM67" i="28"/>
  <c r="AL67" i="28"/>
  <c r="AK67" i="28"/>
  <c r="AJ67" i="28"/>
  <c r="AI67" i="28"/>
  <c r="AH67" i="28"/>
  <c r="AG67" i="28"/>
  <c r="AF67" i="28"/>
  <c r="AE67" i="28"/>
  <c r="AD67" i="28"/>
  <c r="AC67" i="28"/>
  <c r="AB67" i="28"/>
  <c r="AA67" i="28"/>
  <c r="Z67" i="28"/>
  <c r="Y67" i="28"/>
  <c r="X67" i="28"/>
  <c r="W67" i="28"/>
  <c r="V67" i="28"/>
  <c r="U67" i="28"/>
  <c r="T67" i="28"/>
  <c r="S67" i="28"/>
  <c r="R67" i="28"/>
  <c r="Q67" i="28"/>
  <c r="P67" i="28"/>
  <c r="O67" i="28"/>
  <c r="N67" i="28"/>
  <c r="M67" i="28"/>
  <c r="L67" i="28"/>
  <c r="K67" i="28"/>
  <c r="J67" i="28"/>
  <c r="I67" i="28"/>
  <c r="H67" i="28"/>
  <c r="G67" i="28"/>
  <c r="F67" i="28"/>
  <c r="E67" i="28"/>
  <c r="D67" i="28"/>
  <c r="E22" i="28"/>
  <c r="AN21" i="28"/>
  <c r="AL21" i="28"/>
  <c r="AK21" i="28"/>
  <c r="AJ21" i="28"/>
  <c r="AI21" i="28"/>
  <c r="AH21" i="28"/>
  <c r="AG21" i="28"/>
  <c r="AF21" i="28"/>
  <c r="AE21" i="28"/>
  <c r="AD21" i="28"/>
  <c r="AC21" i="28"/>
  <c r="AB21" i="28"/>
  <c r="AA21" i="28"/>
  <c r="Z21" i="28"/>
  <c r="Y21" i="28"/>
  <c r="X21" i="28"/>
  <c r="W21" i="28"/>
  <c r="V21" i="28"/>
  <c r="U21" i="28"/>
  <c r="T21" i="28"/>
  <c r="S21" i="28"/>
  <c r="R21" i="28"/>
  <c r="Q21" i="28"/>
  <c r="P21" i="28"/>
  <c r="O21" i="28"/>
  <c r="N21" i="28"/>
  <c r="M21" i="28"/>
  <c r="L21" i="28"/>
  <c r="K21" i="28"/>
  <c r="J21" i="28"/>
  <c r="I21" i="28"/>
  <c r="H21" i="28"/>
  <c r="G21" i="28"/>
  <c r="F21" i="28"/>
  <c r="E21" i="28"/>
  <c r="AN18" i="28"/>
  <c r="AN26" i="28" s="1"/>
  <c r="AM18" i="28"/>
  <c r="AM30" i="28" s="1"/>
  <c r="AL18" i="28"/>
  <c r="AL30" i="28" s="1"/>
  <c r="AK18" i="28"/>
  <c r="AK57" i="28" s="1"/>
  <c r="AK66" i="28" s="1"/>
  <c r="AJ18" i="28"/>
  <c r="AJ57" i="28" s="1"/>
  <c r="AJ66" i="28" s="1"/>
  <c r="AI18" i="28"/>
  <c r="AI57" i="28" s="1"/>
  <c r="AI65" i="28" s="1"/>
  <c r="AH18" i="28"/>
  <c r="AH57" i="28" s="1"/>
  <c r="AH66" i="28" s="1"/>
  <c r="AG18" i="28"/>
  <c r="AG57" i="28" s="1"/>
  <c r="AG66" i="28" s="1"/>
  <c r="AF18" i="28"/>
  <c r="AF57" i="28" s="1"/>
  <c r="AF66" i="28" s="1"/>
  <c r="AE18" i="28"/>
  <c r="AE57" i="28" s="1"/>
  <c r="AE65" i="28" s="1"/>
  <c r="AD18" i="28"/>
  <c r="AD57" i="28" s="1"/>
  <c r="AD66" i="28" s="1"/>
  <c r="AC18" i="28"/>
  <c r="AC26" i="28" s="1"/>
  <c r="AB18" i="28"/>
  <c r="AB26" i="28" s="1"/>
  <c r="AA18" i="28"/>
  <c r="AA57" i="28" s="1"/>
  <c r="Z18" i="28"/>
  <c r="Z30" i="28" s="1"/>
  <c r="Y18" i="28"/>
  <c r="Y57" i="28" s="1"/>
  <c r="Y65" i="28" s="1"/>
  <c r="X18" i="28"/>
  <c r="X57" i="28" s="1"/>
  <c r="X66" i="28" s="1"/>
  <c r="W18" i="28"/>
  <c r="W57" i="28" s="1"/>
  <c r="W66" i="28" s="1"/>
  <c r="W68" i="28" s="1"/>
  <c r="V18" i="28"/>
  <c r="V57" i="28" s="1"/>
  <c r="V65" i="28" s="1"/>
  <c r="U18" i="28"/>
  <c r="U57" i="28" s="1"/>
  <c r="U66" i="28" s="1"/>
  <c r="T18" i="28"/>
  <c r="T57" i="28" s="1"/>
  <c r="T66" i="28" s="1"/>
  <c r="S18" i="28"/>
  <c r="S57" i="28" s="1"/>
  <c r="S65" i="28" s="1"/>
  <c r="R18" i="28"/>
  <c r="R57" i="28" s="1"/>
  <c r="R65" i="28" s="1"/>
  <c r="Q18" i="28"/>
  <c r="Q26" i="28" s="1"/>
  <c r="P18" i="28"/>
  <c r="P26" i="28" s="1"/>
  <c r="O18" i="28"/>
  <c r="O57" i="28" s="1"/>
  <c r="N18" i="28"/>
  <c r="N30" i="28" s="1"/>
  <c r="M18" i="28"/>
  <c r="M57" i="28" s="1"/>
  <c r="M65" i="28" s="1"/>
  <c r="L18" i="28"/>
  <c r="L57" i="28" s="1"/>
  <c r="L65" i="28" s="1"/>
  <c r="K18" i="28"/>
  <c r="K57" i="28" s="1"/>
  <c r="K65" i="28" s="1"/>
  <c r="J18" i="28"/>
  <c r="J57" i="28" s="1"/>
  <c r="J65" i="28" s="1"/>
  <c r="I18" i="28"/>
  <c r="I57" i="28" s="1"/>
  <c r="I66" i="28" s="1"/>
  <c r="H18" i="28"/>
  <c r="H57" i="28" s="1"/>
  <c r="H65" i="28" s="1"/>
  <c r="G18" i="28"/>
  <c r="G57" i="28" s="1"/>
  <c r="G65" i="28" s="1"/>
  <c r="F18" i="28"/>
  <c r="F57" i="28" s="1"/>
  <c r="F65" i="28" s="1"/>
  <c r="E18" i="28"/>
  <c r="E26" i="28" s="1"/>
  <c r="D18" i="28"/>
  <c r="D57" i="28" s="1"/>
  <c r="AN17" i="28"/>
  <c r="AN56" i="28" s="1"/>
  <c r="AM17" i="28"/>
  <c r="AM29" i="28" s="1"/>
  <c r="AL17" i="28"/>
  <c r="AL56" i="28" s="1"/>
  <c r="AL60" i="28" s="1"/>
  <c r="AK17" i="28"/>
  <c r="AK56" i="28" s="1"/>
  <c r="AK59" i="28" s="1"/>
  <c r="AJ12" i="14" s="1"/>
  <c r="AJ17" i="28"/>
  <c r="AJ56" i="28" s="1"/>
  <c r="AJ62" i="28" s="1"/>
  <c r="AI17" i="28"/>
  <c r="AI56" i="28" s="1"/>
  <c r="AI61" i="28" s="1"/>
  <c r="AH17" i="28"/>
  <c r="AH56" i="28" s="1"/>
  <c r="AH63" i="28" s="1"/>
  <c r="AG17" i="28"/>
  <c r="AG56" i="28" s="1"/>
  <c r="AG63" i="28" s="1"/>
  <c r="AF17" i="28"/>
  <c r="AF56" i="28" s="1"/>
  <c r="AF62" i="28" s="1"/>
  <c r="AE17" i="28"/>
  <c r="AE56" i="28" s="1"/>
  <c r="AE59" i="28" s="1"/>
  <c r="AD6" i="15" s="1"/>
  <c r="AD17" i="28"/>
  <c r="AD25" i="28" s="1"/>
  <c r="AC17" i="28"/>
  <c r="AC25" i="28" s="1"/>
  <c r="AB17" i="28"/>
  <c r="AB56" i="28" s="1"/>
  <c r="AA17" i="28"/>
  <c r="AA29" i="28" s="1"/>
  <c r="Z17" i="28"/>
  <c r="Z56" i="28" s="1"/>
  <c r="Z61" i="28" s="1"/>
  <c r="Y17" i="28"/>
  <c r="Y56" i="28" s="1"/>
  <c r="Y62" i="28" s="1"/>
  <c r="X17" i="28"/>
  <c r="X56" i="28" s="1"/>
  <c r="X60" i="28" s="1"/>
  <c r="W17" i="28"/>
  <c r="W56" i="28" s="1"/>
  <c r="W59" i="28" s="1"/>
  <c r="V12" i="14" s="1"/>
  <c r="V17" i="28"/>
  <c r="V56" i="28" s="1"/>
  <c r="V62" i="28" s="1"/>
  <c r="U17" i="28"/>
  <c r="U56" i="28" s="1"/>
  <c r="U61" i="28" s="1"/>
  <c r="T17" i="28"/>
  <c r="T56" i="28" s="1"/>
  <c r="T61" i="28" s="1"/>
  <c r="S17" i="28"/>
  <c r="S56" i="28" s="1"/>
  <c r="S59" i="28" s="1"/>
  <c r="R6" i="15" s="1"/>
  <c r="R17" i="28"/>
  <c r="R25" i="28" s="1"/>
  <c r="Q17" i="28"/>
  <c r="Q25" i="28" s="1"/>
  <c r="P17" i="28"/>
  <c r="P29" i="28" s="1"/>
  <c r="O17" i="28"/>
  <c r="O29" i="28" s="1"/>
  <c r="N17" i="28"/>
  <c r="N56" i="28" s="1"/>
  <c r="N60" i="28" s="1"/>
  <c r="M17" i="28"/>
  <c r="M56" i="28" s="1"/>
  <c r="M63" i="28" s="1"/>
  <c r="L17" i="28"/>
  <c r="L56" i="28" s="1"/>
  <c r="L60" i="28" s="1"/>
  <c r="K17" i="28"/>
  <c r="K56" i="28" s="1"/>
  <c r="K62" i="28" s="1"/>
  <c r="J17" i="28"/>
  <c r="J56" i="28" s="1"/>
  <c r="J60" i="28" s="1"/>
  <c r="I17" i="28"/>
  <c r="I56" i="28" s="1"/>
  <c r="I59" i="28" s="1"/>
  <c r="H6" i="15" s="1"/>
  <c r="H17" i="28"/>
  <c r="H56" i="28" s="1"/>
  <c r="H59" i="28" s="1"/>
  <c r="G12" i="14" s="1"/>
  <c r="G17" i="28"/>
  <c r="G56" i="28" s="1"/>
  <c r="G59" i="28" s="1"/>
  <c r="F12" i="14" s="1"/>
  <c r="F17" i="28"/>
  <c r="F25" i="28" s="1"/>
  <c r="E17" i="28"/>
  <c r="E25" i="28" s="1"/>
  <c r="D17" i="28"/>
  <c r="D29" i="28" s="1"/>
  <c r="AN14" i="28"/>
  <c r="AM14" i="28"/>
  <c r="AL14" i="28"/>
  <c r="AK14" i="28"/>
  <c r="AJ14" i="28"/>
  <c r="AI14" i="28"/>
  <c r="AH14" i="28"/>
  <c r="AG14" i="28"/>
  <c r="AF14" i="28"/>
  <c r="AE14" i="28"/>
  <c r="AD14" i="28"/>
  <c r="AC14" i="28"/>
  <c r="AB14" i="28"/>
  <c r="AA14" i="28"/>
  <c r="Z14" i="28"/>
  <c r="Y14" i="28"/>
  <c r="X14" i="28"/>
  <c r="W14" i="28"/>
  <c r="V14" i="28"/>
  <c r="U14" i="28"/>
  <c r="T14" i="28"/>
  <c r="S14" i="28"/>
  <c r="R14" i="28"/>
  <c r="Q14" i="28"/>
  <c r="P14" i="28"/>
  <c r="O14" i="28"/>
  <c r="N14" i="28"/>
  <c r="M14" i="28"/>
  <c r="L14" i="28"/>
  <c r="K14" i="28"/>
  <c r="J14" i="28"/>
  <c r="I14" i="28"/>
  <c r="H14" i="28"/>
  <c r="G14" i="28"/>
  <c r="F14" i="28"/>
  <c r="E14" i="28"/>
  <c r="E2" i="28"/>
  <c r="F2" i="28" s="1"/>
  <c r="G2" i="28" s="1"/>
  <c r="H2" i="28" s="1"/>
  <c r="I2" i="28" s="1"/>
  <c r="J2" i="28" s="1"/>
  <c r="K2" i="28" s="1"/>
  <c r="L2" i="28" s="1"/>
  <c r="M2" i="28" s="1"/>
  <c r="N2" i="28" s="1"/>
  <c r="O2" i="28" s="1"/>
  <c r="P2" i="28" s="1"/>
  <c r="Q2" i="28" s="1"/>
  <c r="R2" i="28" s="1"/>
  <c r="S2" i="28" s="1"/>
  <c r="T2" i="28" s="1"/>
  <c r="U2" i="28" s="1"/>
  <c r="V2" i="28" s="1"/>
  <c r="W2" i="28" s="1"/>
  <c r="X2" i="28" s="1"/>
  <c r="Y2" i="28" s="1"/>
  <c r="Z2" i="28" s="1"/>
  <c r="AA2" i="28" s="1"/>
  <c r="AB2" i="28" s="1"/>
  <c r="AC2" i="28" s="1"/>
  <c r="AD2" i="28" s="1"/>
  <c r="AE2" i="28" s="1"/>
  <c r="AF2" i="28" s="1"/>
  <c r="AG2" i="28" s="1"/>
  <c r="AH2" i="28" s="1"/>
  <c r="AI2" i="28" s="1"/>
  <c r="AJ2" i="28" s="1"/>
  <c r="AK2" i="28" s="1"/>
  <c r="AL2" i="28" s="1"/>
  <c r="AM2" i="28" s="1"/>
  <c r="AN2" i="28" s="1"/>
  <c r="F1" i="28"/>
  <c r="G1" i="28" s="1"/>
  <c r="H1" i="28" s="1"/>
  <c r="I1" i="28" s="1"/>
  <c r="J1" i="28" s="1"/>
  <c r="K1" i="28" s="1"/>
  <c r="L1" i="28" s="1"/>
  <c r="M1" i="28" s="1"/>
  <c r="N1" i="28" s="1"/>
  <c r="O1" i="28" s="1"/>
  <c r="P1" i="28" s="1"/>
  <c r="Q1" i="28" s="1"/>
  <c r="R1" i="28" s="1"/>
  <c r="S1" i="28" s="1"/>
  <c r="T1" i="28" s="1"/>
  <c r="U1" i="28" s="1"/>
  <c r="V1" i="28" s="1"/>
  <c r="W1" i="28" s="1"/>
  <c r="X1" i="28" s="1"/>
  <c r="Y1" i="28" s="1"/>
  <c r="Z1" i="28" s="1"/>
  <c r="AA1" i="28" s="1"/>
  <c r="AB1" i="28" s="1"/>
  <c r="AC1" i="28" s="1"/>
  <c r="AD1" i="28" s="1"/>
  <c r="AE1" i="28" s="1"/>
  <c r="AF1" i="28" s="1"/>
  <c r="AG1" i="28" s="1"/>
  <c r="AH1" i="28" s="1"/>
  <c r="AI1" i="28" s="1"/>
  <c r="AJ1" i="28" s="1"/>
  <c r="AK1" i="28" s="1"/>
  <c r="AL1" i="28" s="1"/>
  <c r="AM1" i="28" s="1"/>
  <c r="AN1" i="28" s="1"/>
  <c r="G313" i="25" l="1"/>
  <c r="F6" i="25"/>
  <c r="F25" i="25" s="1"/>
  <c r="AD68" i="28"/>
  <c r="AC22" i="14" s="1"/>
  <c r="AH68" i="28"/>
  <c r="AG22" i="14" s="1"/>
  <c r="X68" i="28"/>
  <c r="W14" i="13" s="1"/>
  <c r="AJ68" i="28"/>
  <c r="AI14" i="13" s="1"/>
  <c r="AC14" i="13"/>
  <c r="AK68" i="28"/>
  <c r="AJ22" i="14" s="1"/>
  <c r="AD12" i="14"/>
  <c r="E56" i="28"/>
  <c r="E63" i="28" s="1"/>
  <c r="D26" i="28"/>
  <c r="Q29" i="28"/>
  <c r="Q33" i="28" s="1"/>
  <c r="T68" i="28"/>
  <c r="S8" i="15" s="1"/>
  <c r="AF68" i="28"/>
  <c r="AE8" i="15" s="1"/>
  <c r="Z29" i="28"/>
  <c r="AA33" i="28" s="1"/>
  <c r="I68" i="28"/>
  <c r="H22" i="14" s="1"/>
  <c r="U68" i="28"/>
  <c r="T22" i="14" s="1"/>
  <c r="AG68" i="28"/>
  <c r="AF22" i="14" s="1"/>
  <c r="AG65" i="28"/>
  <c r="R66" i="28"/>
  <c r="R68" i="28" s="1"/>
  <c r="Q14" i="13" s="1"/>
  <c r="K66" i="28"/>
  <c r="K68" i="28" s="1"/>
  <c r="J14" i="13" s="1"/>
  <c r="L59" i="28"/>
  <c r="K12" i="14" s="1"/>
  <c r="N59" i="28"/>
  <c r="M12" i="14" s="1"/>
  <c r="AI66" i="28"/>
  <c r="AI68" i="28" s="1"/>
  <c r="AH14" i="13" s="1"/>
  <c r="Z59" i="28"/>
  <c r="Y12" i="14" s="1"/>
  <c r="AO22" i="28"/>
  <c r="AM57" i="28"/>
  <c r="AM65" i="28" s="1"/>
  <c r="Z60" i="28"/>
  <c r="AD8" i="13"/>
  <c r="N61" i="28"/>
  <c r="R8" i="13"/>
  <c r="AO21" i="28"/>
  <c r="N29" i="28"/>
  <c r="O33" i="28" s="1"/>
  <c r="AJ61" i="28"/>
  <c r="F8" i="13"/>
  <c r="AJ29" i="28"/>
  <c r="U63" i="28"/>
  <c r="R29" i="28"/>
  <c r="Z63" i="28"/>
  <c r="M30" i="28"/>
  <c r="N34" i="28" s="1"/>
  <c r="W65" i="28"/>
  <c r="R12" i="14"/>
  <c r="D66" i="28"/>
  <c r="D68" i="28" s="1"/>
  <c r="D65" i="28"/>
  <c r="V14" i="13"/>
  <c r="V22" i="14"/>
  <c r="V8" i="15"/>
  <c r="H12" i="14"/>
  <c r="G6" i="15"/>
  <c r="X29" i="28"/>
  <c r="AG30" i="28"/>
  <c r="AH59" i="28"/>
  <c r="V61" i="28"/>
  <c r="X63" i="28"/>
  <c r="AJ65" i="28"/>
  <c r="G8" i="13"/>
  <c r="F6" i="15"/>
  <c r="H8" i="13"/>
  <c r="AJ30" i="28"/>
  <c r="Y61" i="28"/>
  <c r="AN57" i="28"/>
  <c r="AN65" i="28" s="1"/>
  <c r="I60" i="28"/>
  <c r="AG61" i="28"/>
  <c r="AF63" i="28"/>
  <c r="H66" i="28"/>
  <c r="H68" i="28" s="1"/>
  <c r="AB29" i="28"/>
  <c r="AB33" i="28" s="1"/>
  <c r="M60" i="28"/>
  <c r="AG29" i="28"/>
  <c r="L66" i="28"/>
  <c r="L68" i="28" s="1"/>
  <c r="AJ8" i="15"/>
  <c r="M6" i="15"/>
  <c r="I62" i="28"/>
  <c r="H25" i="28"/>
  <c r="F29" i="28"/>
  <c r="E30" i="28"/>
  <c r="AG60" i="28"/>
  <c r="U62" i="28"/>
  <c r="AJ6" i="15"/>
  <c r="E24" i="25"/>
  <c r="E25" i="25" s="1"/>
  <c r="D25" i="28"/>
  <c r="V60" i="28"/>
  <c r="E29" i="28"/>
  <c r="E33" i="28" s="1"/>
  <c r="U25" i="28"/>
  <c r="G29" i="28"/>
  <c r="F30" i="28"/>
  <c r="AJ60" i="28"/>
  <c r="AG62" i="28"/>
  <c r="AJ8" i="13"/>
  <c r="AG25" i="28"/>
  <c r="H29" i="28"/>
  <c r="G30" i="28"/>
  <c r="E61" i="28"/>
  <c r="AH62" i="28"/>
  <c r="I65" i="28"/>
  <c r="V6" i="15"/>
  <c r="H26" i="28"/>
  <c r="H30" i="28"/>
  <c r="H61" i="28"/>
  <c r="U65" i="28"/>
  <c r="E32" i="25"/>
  <c r="E33" i="25" s="1"/>
  <c r="V8" i="13"/>
  <c r="D56" i="28"/>
  <c r="K61" i="28"/>
  <c r="H63" i="28"/>
  <c r="N6" i="13"/>
  <c r="Y1" i="7"/>
  <c r="AA1" i="7"/>
  <c r="X6" i="13"/>
  <c r="O1" i="7"/>
  <c r="L6" i="13"/>
  <c r="M1" i="7"/>
  <c r="AK1" i="7"/>
  <c r="Z6" i="13"/>
  <c r="G314" i="25"/>
  <c r="F34" i="25"/>
  <c r="G358" i="25"/>
  <c r="G356" i="25" s="1"/>
  <c r="F18" i="25" s="1"/>
  <c r="F32" i="25"/>
  <c r="P20" i="5"/>
  <c r="P12" i="5"/>
  <c r="T20" i="5"/>
  <c r="T12" i="5"/>
  <c r="P44" i="5"/>
  <c r="P36" i="5"/>
  <c r="T44" i="5"/>
  <c r="T36" i="5"/>
  <c r="AB1" i="7"/>
  <c r="P1" i="7"/>
  <c r="AM6" i="13"/>
  <c r="AA6" i="13"/>
  <c r="O6" i="13"/>
  <c r="AL6" i="13"/>
  <c r="Z1" i="7"/>
  <c r="N1" i="7"/>
  <c r="AK6" i="13"/>
  <c r="Y6" i="13"/>
  <c r="M6" i="13"/>
  <c r="AJ6" i="13"/>
  <c r="AJ1" i="7"/>
  <c r="X1" i="7"/>
  <c r="L1" i="7"/>
  <c r="AI6" i="13"/>
  <c r="W6" i="13"/>
  <c r="K6" i="13"/>
  <c r="AI1" i="7"/>
  <c r="W1" i="7"/>
  <c r="K1" i="7"/>
  <c r="AH6" i="13"/>
  <c r="V6" i="13"/>
  <c r="J6" i="13"/>
  <c r="AH1" i="7"/>
  <c r="V1" i="7"/>
  <c r="J1" i="7"/>
  <c r="AG6" i="13"/>
  <c r="U6" i="13"/>
  <c r="I6" i="13"/>
  <c r="M41" i="11"/>
  <c r="AG1" i="7"/>
  <c r="U1" i="7"/>
  <c r="I1" i="7"/>
  <c r="AF6" i="13"/>
  <c r="T6" i="13"/>
  <c r="H6" i="13"/>
  <c r="N41" i="11"/>
  <c r="AF1" i="7"/>
  <c r="T1" i="7"/>
  <c r="H1" i="7"/>
  <c r="AE6" i="13"/>
  <c r="S6" i="13"/>
  <c r="G6" i="13"/>
  <c r="Y41" i="11"/>
  <c r="AE1" i="7"/>
  <c r="S1" i="7"/>
  <c r="G1" i="7"/>
  <c r="AD6" i="13"/>
  <c r="R6" i="13"/>
  <c r="F6" i="13"/>
  <c r="Z41" i="11"/>
  <c r="AD1" i="7"/>
  <c r="R1" i="7"/>
  <c r="F1" i="7"/>
  <c r="AC6" i="13"/>
  <c r="Q6" i="13"/>
  <c r="AC1" i="7"/>
  <c r="Q1" i="7"/>
  <c r="E1" i="7"/>
  <c r="AB6" i="13"/>
  <c r="P6" i="13"/>
  <c r="L41" i="11"/>
  <c r="X41" i="11"/>
  <c r="AJ41" i="11"/>
  <c r="O41" i="11"/>
  <c r="AA41" i="11"/>
  <c r="D41" i="11"/>
  <c r="P41" i="11"/>
  <c r="AB41" i="11"/>
  <c r="E41" i="11"/>
  <c r="Q41" i="11"/>
  <c r="AC41" i="11"/>
  <c r="F41" i="11"/>
  <c r="R41" i="11"/>
  <c r="AD41" i="11"/>
  <c r="G41" i="11"/>
  <c r="S41" i="11"/>
  <c r="AE41" i="11"/>
  <c r="H41" i="11"/>
  <c r="T41" i="11"/>
  <c r="AF41" i="11"/>
  <c r="I41" i="11"/>
  <c r="U41" i="11"/>
  <c r="AG41" i="11"/>
  <c r="J41" i="11"/>
  <c r="V41" i="11"/>
  <c r="AH41" i="11"/>
  <c r="K41" i="11"/>
  <c r="W41" i="11"/>
  <c r="AI41" i="11"/>
  <c r="S66" i="28"/>
  <c r="S68" i="28" s="1"/>
  <c r="AN60" i="28"/>
  <c r="AN63" i="28"/>
  <c r="AN61" i="28"/>
  <c r="AN59" i="28"/>
  <c r="AN62" i="28"/>
  <c r="AN30" i="28"/>
  <c r="AN34" i="28" s="1"/>
  <c r="AN29" i="28"/>
  <c r="AN33" i="28" s="1"/>
  <c r="AM34" i="28"/>
  <c r="AL63" i="28"/>
  <c r="AL59" i="28"/>
  <c r="AL62" i="28"/>
  <c r="AL29" i="28"/>
  <c r="AM33" i="28" s="1"/>
  <c r="AL61" i="28"/>
  <c r="AK63" i="28"/>
  <c r="AK65" i="28"/>
  <c r="AK62" i="28"/>
  <c r="AK60" i="28"/>
  <c r="AK61" i="28"/>
  <c r="AK29" i="28"/>
  <c r="AK30" i="28"/>
  <c r="AL34" i="28" s="1"/>
  <c r="AJ59" i="28"/>
  <c r="AJ63" i="28"/>
  <c r="AI59" i="28"/>
  <c r="AI29" i="28"/>
  <c r="AI30" i="28"/>
  <c r="AI60" i="28"/>
  <c r="AI62" i="28"/>
  <c r="AI63" i="28"/>
  <c r="AH65" i="28"/>
  <c r="AH60" i="28"/>
  <c r="AH29" i="28"/>
  <c r="AH61" i="28"/>
  <c r="AH30" i="28"/>
  <c r="AG59" i="28"/>
  <c r="AF25" i="28"/>
  <c r="AF29" i="28"/>
  <c r="AF26" i="28"/>
  <c r="AF30" i="28"/>
  <c r="AF59" i="28"/>
  <c r="AF65" i="28"/>
  <c r="AF60" i="28"/>
  <c r="AF61" i="28"/>
  <c r="AE66" i="28"/>
  <c r="AE68" i="28" s="1"/>
  <c r="AE60" i="28"/>
  <c r="AE29" i="28"/>
  <c r="AE26" i="28"/>
  <c r="AE61" i="28"/>
  <c r="AE62" i="28"/>
  <c r="AE30" i="28"/>
  <c r="AE63" i="28"/>
  <c r="AD65" i="28"/>
  <c r="AD29" i="28"/>
  <c r="AD30" i="28"/>
  <c r="AC30" i="28"/>
  <c r="AC29" i="28"/>
  <c r="AC56" i="28"/>
  <c r="AB60" i="28"/>
  <c r="AB62" i="28"/>
  <c r="AB63" i="28"/>
  <c r="AB61" i="28"/>
  <c r="AB59" i="28"/>
  <c r="AB57" i="28"/>
  <c r="AB30" i="28"/>
  <c r="AA65" i="28"/>
  <c r="AA66" i="28"/>
  <c r="AA68" i="28" s="1"/>
  <c r="AA30" i="28"/>
  <c r="Z62" i="28"/>
  <c r="Y30" i="28"/>
  <c r="Z34" i="28" s="1"/>
  <c r="Y29" i="28"/>
  <c r="Y66" i="28"/>
  <c r="Y68" i="28" s="1"/>
  <c r="Y60" i="28"/>
  <c r="Y63" i="28"/>
  <c r="Y59" i="28"/>
  <c r="X59" i="28"/>
  <c r="X65" i="28"/>
  <c r="X30" i="28"/>
  <c r="X62" i="28"/>
  <c r="X61" i="28"/>
  <c r="W63" i="28"/>
  <c r="W62" i="28"/>
  <c r="W61" i="28"/>
  <c r="W30" i="28"/>
  <c r="W60" i="28"/>
  <c r="W29" i="28"/>
  <c r="V66" i="28"/>
  <c r="V68" i="28" s="1"/>
  <c r="V59" i="28"/>
  <c r="V63" i="28"/>
  <c r="V29" i="28"/>
  <c r="V30" i="28"/>
  <c r="U59" i="28"/>
  <c r="U29" i="28"/>
  <c r="U30" i="28"/>
  <c r="U60" i="28"/>
  <c r="T25" i="28"/>
  <c r="T29" i="28"/>
  <c r="T63" i="28"/>
  <c r="T26" i="28"/>
  <c r="T59" i="28"/>
  <c r="T60" i="28"/>
  <c r="T62" i="28"/>
  <c r="T30" i="28"/>
  <c r="T65" i="28"/>
  <c r="S60" i="28"/>
  <c r="S61" i="28"/>
  <c r="S62" i="28"/>
  <c r="S63" i="28"/>
  <c r="S26" i="28"/>
  <c r="S29" i="28"/>
  <c r="S30" i="28"/>
  <c r="R30" i="28"/>
  <c r="Q30" i="28"/>
  <c r="Q56" i="28"/>
  <c r="P33" i="28"/>
  <c r="P56" i="28"/>
  <c r="P30" i="28"/>
  <c r="P57" i="28"/>
  <c r="O65" i="28"/>
  <c r="O66" i="28"/>
  <c r="O68" i="28" s="1"/>
  <c r="O30" i="28"/>
  <c r="N63" i="28"/>
  <c r="N62" i="28"/>
  <c r="M62" i="28"/>
  <c r="M66" i="28"/>
  <c r="M68" i="28" s="1"/>
  <c r="M29" i="28"/>
  <c r="M59" i="28"/>
  <c r="M61" i="28"/>
  <c r="L62" i="28"/>
  <c r="L30" i="28"/>
  <c r="L61" i="28"/>
  <c r="L63" i="28"/>
  <c r="L29" i="28"/>
  <c r="K60" i="28"/>
  <c r="K63" i="28"/>
  <c r="K30" i="28"/>
  <c r="K59" i="28"/>
  <c r="K29" i="28"/>
  <c r="J30" i="28"/>
  <c r="J29" i="28"/>
  <c r="J66" i="28"/>
  <c r="J68" i="28" s="1"/>
  <c r="J59" i="28"/>
  <c r="J62" i="28"/>
  <c r="J63" i="28"/>
  <c r="J61" i="28"/>
  <c r="I63" i="28"/>
  <c r="I29" i="28"/>
  <c r="I30" i="28"/>
  <c r="I61" i="28"/>
  <c r="I25" i="28"/>
  <c r="H62" i="28"/>
  <c r="H60" i="28"/>
  <c r="G63" i="28"/>
  <c r="G62" i="28"/>
  <c r="G61" i="28"/>
  <c r="G66" i="28"/>
  <c r="G68" i="28" s="1"/>
  <c r="G26" i="28"/>
  <c r="G60" i="28"/>
  <c r="F66" i="28"/>
  <c r="F68" i="28" s="1"/>
  <c r="G25" i="28"/>
  <c r="S25" i="28"/>
  <c r="AE25" i="28"/>
  <c r="F26" i="28"/>
  <c r="R26" i="28"/>
  <c r="AD26" i="28"/>
  <c r="D30" i="28"/>
  <c r="O56" i="28"/>
  <c r="AA56" i="28"/>
  <c r="AM56" i="28"/>
  <c r="N57" i="28"/>
  <c r="Z57" i="28"/>
  <c r="AL57" i="28"/>
  <c r="J25" i="28"/>
  <c r="V25" i="28"/>
  <c r="AH25" i="28"/>
  <c r="I26" i="28"/>
  <c r="U26" i="28"/>
  <c r="AG26" i="28"/>
  <c r="F56" i="28"/>
  <c r="R56" i="28"/>
  <c r="AD56" i="28"/>
  <c r="E57" i="28"/>
  <c r="Q57" i="28"/>
  <c r="AC57" i="28"/>
  <c r="K25" i="28"/>
  <c r="W25" i="28"/>
  <c r="AI25" i="28"/>
  <c r="J26" i="28"/>
  <c r="V26" i="28"/>
  <c r="AH26" i="28"/>
  <c r="L25" i="28"/>
  <c r="X25" i="28"/>
  <c r="AJ25" i="28"/>
  <c r="K26" i="28"/>
  <c r="W26" i="28"/>
  <c r="AI26" i="28"/>
  <c r="M25" i="28"/>
  <c r="Y25" i="28"/>
  <c r="AK25" i="28"/>
  <c r="L26" i="28"/>
  <c r="X26" i="28"/>
  <c r="AJ26" i="28"/>
  <c r="N25" i="28"/>
  <c r="Z25" i="28"/>
  <c r="AL25" i="28"/>
  <c r="M26" i="28"/>
  <c r="Y26" i="28"/>
  <c r="AK26" i="28"/>
  <c r="O25" i="28"/>
  <c r="AA25" i="28"/>
  <c r="AM25" i="28"/>
  <c r="N26" i="28"/>
  <c r="Z26" i="28"/>
  <c r="AL26" i="28"/>
  <c r="P25" i="28"/>
  <c r="AB25" i="28"/>
  <c r="AN25" i="28"/>
  <c r="O26" i="28"/>
  <c r="AA26" i="28"/>
  <c r="AM26" i="28"/>
  <c r="AJ14" i="13" l="1"/>
  <c r="AG14" i="13"/>
  <c r="AC8" i="15"/>
  <c r="AG8" i="15"/>
  <c r="Z33" i="28"/>
  <c r="M8" i="13"/>
  <c r="AK33" i="28"/>
  <c r="W8" i="15"/>
  <c r="S14" i="13"/>
  <c r="I34" i="28"/>
  <c r="AI8" i="15"/>
  <c r="S22" i="14"/>
  <c r="W22" i="14"/>
  <c r="AH8" i="15"/>
  <c r="R33" i="28"/>
  <c r="AM66" i="28"/>
  <c r="AM68" i="28" s="1"/>
  <c r="AL8" i="15" s="1"/>
  <c r="AI22" i="14"/>
  <c r="AH22" i="14"/>
  <c r="G34" i="28"/>
  <c r="Q22" i="14"/>
  <c r="H14" i="13"/>
  <c r="G33" i="28"/>
  <c r="P34" i="28"/>
  <c r="AE14" i="13"/>
  <c r="E59" i="28"/>
  <c r="T14" i="13"/>
  <c r="AJ34" i="28"/>
  <c r="AE22" i="14"/>
  <c r="X33" i="28"/>
  <c r="M34" i="28"/>
  <c r="D25" i="25"/>
  <c r="S25" i="11" s="1"/>
  <c r="Q8" i="15"/>
  <c r="H8" i="15"/>
  <c r="K6" i="15"/>
  <c r="AN66" i="28"/>
  <c r="AN68" i="28" s="1"/>
  <c r="AM22" i="14" s="1"/>
  <c r="T8" i="15"/>
  <c r="E60" i="28"/>
  <c r="AF14" i="13"/>
  <c r="N33" i="28"/>
  <c r="AF8" i="15"/>
  <c r="AH33" i="28"/>
  <c r="E62" i="28"/>
  <c r="AE34" i="28"/>
  <c r="E34" i="28"/>
  <c r="M33" i="28"/>
  <c r="AG34" i="28"/>
  <c r="J22" i="14"/>
  <c r="J8" i="15"/>
  <c r="AG33" i="28"/>
  <c r="AJ33" i="28"/>
  <c r="K8" i="13"/>
  <c r="Y6" i="15"/>
  <c r="K34" i="28"/>
  <c r="Y8" i="13"/>
  <c r="AK34" i="28"/>
  <c r="V33" i="28"/>
  <c r="U34" i="28"/>
  <c r="W34" i="28"/>
  <c r="AD34" i="28"/>
  <c r="AL33" i="28"/>
  <c r="AC33" i="28"/>
  <c r="R8" i="15"/>
  <c r="R14" i="13"/>
  <c r="R22" i="14"/>
  <c r="W12" i="14"/>
  <c r="W8" i="13"/>
  <c r="W6" i="15"/>
  <c r="L14" i="13"/>
  <c r="L22" i="14"/>
  <c r="L8" i="15"/>
  <c r="AF6" i="15"/>
  <c r="AF8" i="13"/>
  <c r="AF12" i="14"/>
  <c r="AM12" i="14"/>
  <c r="AM8" i="13"/>
  <c r="AM6" i="15"/>
  <c r="AB34" i="28"/>
  <c r="W33" i="28"/>
  <c r="Z14" i="13"/>
  <c r="Z22" i="14"/>
  <c r="Z8" i="15"/>
  <c r="AD8" i="15"/>
  <c r="AD14" i="13"/>
  <c r="AD22" i="14"/>
  <c r="AK12" i="14"/>
  <c r="AK8" i="13"/>
  <c r="AK6" i="15"/>
  <c r="E27" i="25"/>
  <c r="E26" i="25"/>
  <c r="G8" i="15"/>
  <c r="G14" i="13"/>
  <c r="G22" i="14"/>
  <c r="F8" i="15"/>
  <c r="F14" i="13"/>
  <c r="F22" i="14"/>
  <c r="AC34" i="28"/>
  <c r="I12" i="14"/>
  <c r="I8" i="13"/>
  <c r="I6" i="15"/>
  <c r="N14" i="13"/>
  <c r="N22" i="14"/>
  <c r="N8" i="15"/>
  <c r="T33" i="28"/>
  <c r="AE12" i="14"/>
  <c r="AE8" i="13"/>
  <c r="AE6" i="15"/>
  <c r="D63" i="28"/>
  <c r="D62" i="28"/>
  <c r="D61" i="28"/>
  <c r="D60" i="28"/>
  <c r="D59" i="28"/>
  <c r="I22" i="14"/>
  <c r="I8" i="15"/>
  <c r="I14" i="13"/>
  <c r="AA12" i="14"/>
  <c r="AA8" i="13"/>
  <c r="AA6" i="15"/>
  <c r="E35" i="25"/>
  <c r="E34" i="25"/>
  <c r="D34" i="25" s="1"/>
  <c r="D33" i="25"/>
  <c r="K33" i="28"/>
  <c r="X34" i="28"/>
  <c r="X14" i="13"/>
  <c r="X22" i="14"/>
  <c r="X8" i="15"/>
  <c r="F34" i="28"/>
  <c r="X12" i="14"/>
  <c r="X8" i="13"/>
  <c r="X6" i="15"/>
  <c r="L12" i="14"/>
  <c r="L8" i="13"/>
  <c r="L6" i="15"/>
  <c r="H33" i="28"/>
  <c r="K14" i="13"/>
  <c r="K22" i="14"/>
  <c r="K8" i="15"/>
  <c r="U22" i="14"/>
  <c r="U8" i="15"/>
  <c r="U14" i="13"/>
  <c r="L33" i="28"/>
  <c r="V34" i="28"/>
  <c r="Y33" i="28"/>
  <c r="H34" i="28"/>
  <c r="AG12" i="14"/>
  <c r="AG8" i="13"/>
  <c r="AG6" i="15"/>
  <c r="U12" i="14"/>
  <c r="U8" i="13"/>
  <c r="U6" i="15"/>
  <c r="E65" i="28"/>
  <c r="E66" i="28"/>
  <c r="E68" i="28" s="1"/>
  <c r="E14" i="13"/>
  <c r="E8" i="15"/>
  <c r="E22" i="14"/>
  <c r="L34" i="28"/>
  <c r="T6" i="15"/>
  <c r="T12" i="14"/>
  <c r="T8" i="13"/>
  <c r="AF33" i="28"/>
  <c r="F33" i="28"/>
  <c r="S12" i="14"/>
  <c r="S8" i="13"/>
  <c r="S6" i="15"/>
  <c r="J12" i="14"/>
  <c r="J8" i="13"/>
  <c r="J6" i="15"/>
  <c r="AH12" i="14"/>
  <c r="AH8" i="13"/>
  <c r="AH6" i="15"/>
  <c r="AD33" i="28"/>
  <c r="AI12" i="14"/>
  <c r="AI8" i="13"/>
  <c r="AI6" i="15"/>
  <c r="F26" i="25"/>
  <c r="D32" i="25"/>
  <c r="F37" i="25"/>
  <c r="G318" i="25"/>
  <c r="X12" i="5"/>
  <c r="V19" i="5"/>
  <c r="V14" i="5"/>
  <c r="X19" i="5"/>
  <c r="V18" i="5"/>
  <c r="X16" i="5"/>
  <c r="V17" i="5"/>
  <c r="V16" i="5"/>
  <c r="X18" i="5"/>
  <c r="V15" i="5"/>
  <c r="X17" i="5"/>
  <c r="U12" i="5"/>
  <c r="V13" i="5"/>
  <c r="X15" i="5"/>
  <c r="X14" i="5"/>
  <c r="V12" i="5"/>
  <c r="X13" i="5"/>
  <c r="V25" i="5"/>
  <c r="X26" i="5"/>
  <c r="X25" i="5"/>
  <c r="U20" i="5"/>
  <c r="V22" i="5"/>
  <c r="X24" i="5"/>
  <c r="V21" i="5"/>
  <c r="X23" i="5"/>
  <c r="X22" i="5"/>
  <c r="X20" i="5"/>
  <c r="X21" i="5"/>
  <c r="V27" i="5"/>
  <c r="V20" i="5"/>
  <c r="V24" i="5"/>
  <c r="X27" i="5"/>
  <c r="V26" i="5"/>
  <c r="V23" i="5"/>
  <c r="W13" i="5"/>
  <c r="W15" i="5"/>
  <c r="W12" i="5"/>
  <c r="R19" i="5"/>
  <c r="W19" i="5"/>
  <c r="R18" i="5"/>
  <c r="R17" i="5"/>
  <c r="Q12" i="5"/>
  <c r="R16" i="5"/>
  <c r="W18" i="5"/>
  <c r="R12" i="5"/>
  <c r="R15" i="5"/>
  <c r="W17" i="5"/>
  <c r="R13" i="5"/>
  <c r="R14" i="5"/>
  <c r="W16" i="5"/>
  <c r="W14" i="5"/>
  <c r="W27" i="5"/>
  <c r="R26" i="5"/>
  <c r="Q20" i="5"/>
  <c r="R25" i="5"/>
  <c r="R20" i="5"/>
  <c r="R24" i="5"/>
  <c r="W26" i="5"/>
  <c r="R23" i="5"/>
  <c r="W25" i="5"/>
  <c r="R22" i="5"/>
  <c r="W24" i="5"/>
  <c r="R21" i="5"/>
  <c r="W23" i="5"/>
  <c r="W22" i="5"/>
  <c r="W20" i="5"/>
  <c r="W21" i="5"/>
  <c r="R27" i="5"/>
  <c r="X45" i="5"/>
  <c r="X44" i="5"/>
  <c r="V49" i="5"/>
  <c r="V48" i="5"/>
  <c r="X50" i="5"/>
  <c r="V47" i="5"/>
  <c r="X49" i="5"/>
  <c r="U44" i="5"/>
  <c r="X48" i="5"/>
  <c r="V44" i="5"/>
  <c r="X46" i="5"/>
  <c r="V45" i="5"/>
  <c r="X47" i="5"/>
  <c r="V46" i="5"/>
  <c r="V50" i="5"/>
  <c r="V51" i="5"/>
  <c r="X51" i="5"/>
  <c r="W38" i="5"/>
  <c r="W36" i="5"/>
  <c r="W37" i="5"/>
  <c r="W41" i="5"/>
  <c r="R38" i="5"/>
  <c r="R39" i="5"/>
  <c r="W40" i="5"/>
  <c r="R43" i="5"/>
  <c r="W43" i="5"/>
  <c r="R42" i="5"/>
  <c r="Q36" i="5"/>
  <c r="R41" i="5"/>
  <c r="R36" i="5"/>
  <c r="R40" i="5"/>
  <c r="W42" i="5"/>
  <c r="R37" i="5"/>
  <c r="W39" i="5"/>
  <c r="V40" i="5"/>
  <c r="X41" i="5"/>
  <c r="X36" i="5"/>
  <c r="X42" i="5"/>
  <c r="V43" i="5"/>
  <c r="X43" i="5"/>
  <c r="V39" i="5"/>
  <c r="U36" i="5"/>
  <c r="X40" i="5"/>
  <c r="V37" i="5"/>
  <c r="V42" i="5"/>
  <c r="V41" i="5"/>
  <c r="V38" i="5"/>
  <c r="X39" i="5"/>
  <c r="X38" i="5"/>
  <c r="V36" i="5"/>
  <c r="X37" i="5"/>
  <c r="W51" i="5"/>
  <c r="R50" i="5"/>
  <c r="Q44" i="5"/>
  <c r="R49" i="5"/>
  <c r="R44" i="5"/>
  <c r="R48" i="5"/>
  <c r="W50" i="5"/>
  <c r="R51" i="5"/>
  <c r="R47" i="5"/>
  <c r="W49" i="5"/>
  <c r="R46" i="5"/>
  <c r="W48" i="5"/>
  <c r="W45" i="5"/>
  <c r="R45" i="5"/>
  <c r="W47" i="5"/>
  <c r="W44" i="5"/>
  <c r="W46" i="5"/>
  <c r="S33" i="28"/>
  <c r="AM62" i="28"/>
  <c r="AM59" i="28"/>
  <c r="AM63" i="28"/>
  <c r="AM60" i="28"/>
  <c r="AM61" i="28"/>
  <c r="AL66" i="28"/>
  <c r="AL68" i="28" s="1"/>
  <c r="AL65" i="28"/>
  <c r="AI33" i="28"/>
  <c r="AI34" i="28"/>
  <c r="AH34" i="28"/>
  <c r="AF34" i="28"/>
  <c r="AE33" i="28"/>
  <c r="AD60" i="28"/>
  <c r="AD63" i="28"/>
  <c r="AD59" i="28"/>
  <c r="AD61" i="28"/>
  <c r="AD62" i="28"/>
  <c r="AC66" i="28"/>
  <c r="AC68" i="28" s="1"/>
  <c r="AC65" i="28"/>
  <c r="AC62" i="28"/>
  <c r="AC59" i="28"/>
  <c r="AC61" i="28"/>
  <c r="AC63" i="28"/>
  <c r="AC60" i="28"/>
  <c r="AB65" i="28"/>
  <c r="AB66" i="28"/>
  <c r="AB68" i="28" s="1"/>
  <c r="AA61" i="28"/>
  <c r="AA63" i="28"/>
  <c r="AA59" i="28"/>
  <c r="AA62" i="28"/>
  <c r="AA60" i="28"/>
  <c r="AA34" i="28"/>
  <c r="Z65" i="28"/>
  <c r="Z66" i="28"/>
  <c r="Z68" i="28" s="1"/>
  <c r="Y34" i="28"/>
  <c r="U33" i="28"/>
  <c r="T34" i="28"/>
  <c r="S34" i="28"/>
  <c r="R60" i="28"/>
  <c r="R59" i="28"/>
  <c r="R63" i="28"/>
  <c r="R62" i="28"/>
  <c r="R61" i="28"/>
  <c r="R34" i="28"/>
  <c r="Q66" i="28"/>
  <c r="Q68" i="28" s="1"/>
  <c r="Q65" i="28"/>
  <c r="Q34" i="28"/>
  <c r="Q59" i="28"/>
  <c r="Q63" i="28"/>
  <c r="Q60" i="28"/>
  <c r="Q62" i="28"/>
  <c r="Q61" i="28"/>
  <c r="P60" i="28"/>
  <c r="P63" i="28"/>
  <c r="P62" i="28"/>
  <c r="P59" i="28"/>
  <c r="P61" i="28"/>
  <c r="P66" i="28"/>
  <c r="P68" i="28" s="1"/>
  <c r="P65" i="28"/>
  <c r="O62" i="28"/>
  <c r="O59" i="28"/>
  <c r="O61" i="28"/>
  <c r="O60" i="28"/>
  <c r="O63" i="28"/>
  <c r="O34" i="28"/>
  <c r="N65" i="28"/>
  <c r="N66" i="28"/>
  <c r="N68" i="28" s="1"/>
  <c r="J34" i="28"/>
  <c r="J33" i="28"/>
  <c r="I33" i="28"/>
  <c r="F63" i="28"/>
  <c r="F62" i="28"/>
  <c r="F61" i="28"/>
  <c r="F60" i="28"/>
  <c r="F59" i="28"/>
  <c r="AM14" i="13" l="1"/>
  <c r="U25" i="11"/>
  <c r="O25" i="11"/>
  <c r="AM8" i="15"/>
  <c r="W25" i="11"/>
  <c r="P25" i="11"/>
  <c r="AI25" i="11"/>
  <c r="D25" i="11"/>
  <c r="G25" i="11"/>
  <c r="AC25" i="11"/>
  <c r="I25" i="11"/>
  <c r="AA25" i="11"/>
  <c r="K25" i="11"/>
  <c r="AK25" i="11"/>
  <c r="AD25" i="11"/>
  <c r="Y25" i="11"/>
  <c r="AE25" i="11"/>
  <c r="AH25" i="11"/>
  <c r="V25" i="11"/>
  <c r="J25" i="11"/>
  <c r="AL22" i="14"/>
  <c r="AL14" i="13"/>
  <c r="M25" i="11"/>
  <c r="F25" i="11"/>
  <c r="N25" i="11"/>
  <c r="AG25" i="11"/>
  <c r="R25" i="11"/>
  <c r="Q25" i="11"/>
  <c r="Z25" i="11"/>
  <c r="AF25" i="11"/>
  <c r="E25" i="11"/>
  <c r="AJ25" i="11"/>
  <c r="T25" i="11"/>
  <c r="C25" i="11"/>
  <c r="X25" i="11"/>
  <c r="H25" i="11"/>
  <c r="AB25" i="11"/>
  <c r="L25" i="11"/>
  <c r="D26" i="25"/>
  <c r="U26" i="11" s="1"/>
  <c r="AD34" i="11"/>
  <c r="S34" i="11"/>
  <c r="L34" i="11"/>
  <c r="D34" i="11"/>
  <c r="AE34" i="11"/>
  <c r="P34" i="11"/>
  <c r="U34" i="11"/>
  <c r="AJ34" i="11"/>
  <c r="AB34" i="11"/>
  <c r="H34" i="11"/>
  <c r="M34" i="11"/>
  <c r="AC34" i="11"/>
  <c r="T34" i="11"/>
  <c r="Y34" i="11"/>
  <c r="R34" i="11"/>
  <c r="AF34" i="11"/>
  <c r="AK34" i="11"/>
  <c r="I34" i="11"/>
  <c r="J34" i="11"/>
  <c r="X34" i="11"/>
  <c r="N34" i="11"/>
  <c r="Q34" i="11"/>
  <c r="V34" i="11"/>
  <c r="AG34" i="11"/>
  <c r="G34" i="11"/>
  <c r="Z34" i="11"/>
  <c r="AH34" i="11"/>
  <c r="AI34" i="11"/>
  <c r="O34" i="11"/>
  <c r="F34" i="11"/>
  <c r="K34" i="11"/>
  <c r="AA34" i="11"/>
  <c r="C34" i="11"/>
  <c r="W34" i="11"/>
  <c r="E34" i="11"/>
  <c r="AC12" i="14"/>
  <c r="AC8" i="13"/>
  <c r="AC6" i="15"/>
  <c r="P12" i="14"/>
  <c r="P8" i="13"/>
  <c r="P6" i="15"/>
  <c r="E5" i="25"/>
  <c r="AO33" i="28"/>
  <c r="E12" i="14"/>
  <c r="E8" i="13"/>
  <c r="E6" i="15"/>
  <c r="O14" i="13"/>
  <c r="O22" i="14"/>
  <c r="O8" i="15"/>
  <c r="Y14" i="13"/>
  <c r="Y22" i="14"/>
  <c r="Y8" i="15"/>
  <c r="P14" i="13"/>
  <c r="P22" i="14"/>
  <c r="P8" i="15"/>
  <c r="AB12" i="14"/>
  <c r="AB8" i="13"/>
  <c r="AB6" i="15"/>
  <c r="E13" i="25"/>
  <c r="AO34" i="28"/>
  <c r="N12" i="14"/>
  <c r="N8" i="13"/>
  <c r="N6" i="15"/>
  <c r="O12" i="14"/>
  <c r="O8" i="13"/>
  <c r="O6" i="15"/>
  <c r="M14" i="13"/>
  <c r="M22" i="14"/>
  <c r="M8" i="15"/>
  <c r="AK14" i="13"/>
  <c r="AK22" i="14"/>
  <c r="AK8" i="15"/>
  <c r="Z12" i="14"/>
  <c r="Z8" i="13"/>
  <c r="Z6" i="15"/>
  <c r="AB14" i="13"/>
  <c r="AB22" i="14"/>
  <c r="AB8" i="15"/>
  <c r="Q12" i="14"/>
  <c r="Q8" i="13"/>
  <c r="Q6" i="15"/>
  <c r="L33" i="11"/>
  <c r="AA33" i="11"/>
  <c r="I33" i="11"/>
  <c r="X33" i="11"/>
  <c r="C33" i="11"/>
  <c r="U33" i="11"/>
  <c r="AB33" i="11"/>
  <c r="O33" i="11"/>
  <c r="AG33" i="11"/>
  <c r="G33" i="11"/>
  <c r="E33" i="11"/>
  <c r="J33" i="11"/>
  <c r="AJ33" i="11"/>
  <c r="Q33" i="11"/>
  <c r="V33" i="11"/>
  <c r="M33" i="11"/>
  <c r="AC33" i="11"/>
  <c r="AH33" i="11"/>
  <c r="Y33" i="11"/>
  <c r="F33" i="11"/>
  <c r="P33" i="11"/>
  <c r="AK33" i="11"/>
  <c r="R33" i="11"/>
  <c r="AE33" i="11"/>
  <c r="D33" i="11"/>
  <c r="AD33" i="11"/>
  <c r="K33" i="11"/>
  <c r="S33" i="11"/>
  <c r="H33" i="11"/>
  <c r="W33" i="11"/>
  <c r="N33" i="11"/>
  <c r="T33" i="11"/>
  <c r="AI33" i="11"/>
  <c r="Z33" i="11"/>
  <c r="AF33" i="11"/>
  <c r="E31" i="25"/>
  <c r="E46" i="25" s="1"/>
  <c r="E28" i="25"/>
  <c r="D27" i="25"/>
  <c r="AA14" i="13"/>
  <c r="AA22" i="14"/>
  <c r="AA8" i="15"/>
  <c r="AL12" i="14"/>
  <c r="AL8" i="13"/>
  <c r="AL6" i="15"/>
  <c r="E36" i="25"/>
  <c r="D36" i="25" s="1"/>
  <c r="E38" i="25"/>
  <c r="E47" i="25" s="1"/>
  <c r="E37" i="25"/>
  <c r="D37" i="25" s="1"/>
  <c r="D35" i="25"/>
  <c r="I32" i="11"/>
  <c r="U32" i="11"/>
  <c r="AG32" i="11"/>
  <c r="V32" i="11"/>
  <c r="N32" i="11"/>
  <c r="J32" i="11"/>
  <c r="AH32" i="11"/>
  <c r="K32" i="11"/>
  <c r="W32" i="11"/>
  <c r="AI32" i="11"/>
  <c r="Y32" i="11"/>
  <c r="L32" i="11"/>
  <c r="X32" i="11"/>
  <c r="AJ32" i="11"/>
  <c r="AK32" i="11"/>
  <c r="Z32" i="11"/>
  <c r="M32" i="11"/>
  <c r="O32" i="11"/>
  <c r="AA32" i="11"/>
  <c r="Q32" i="11"/>
  <c r="D32" i="11"/>
  <c r="P32" i="11"/>
  <c r="AB32" i="11"/>
  <c r="E32" i="11"/>
  <c r="AC32" i="11"/>
  <c r="F32" i="11"/>
  <c r="R32" i="11"/>
  <c r="AD32" i="11"/>
  <c r="C32" i="11"/>
  <c r="G32" i="11"/>
  <c r="S32" i="11"/>
  <c r="AE32" i="11"/>
  <c r="H32" i="11"/>
  <c r="T32" i="11"/>
  <c r="AF32" i="11"/>
  <c r="D38" i="25"/>
  <c r="D47" i="25" s="1"/>
  <c r="F38" i="25"/>
  <c r="F19" i="25"/>
  <c r="F270" i="22"/>
  <c r="F269" i="22"/>
  <c r="F268" i="22"/>
  <c r="F267" i="22"/>
  <c r="F263" i="22"/>
  <c r="F262" i="22"/>
  <c r="F261" i="22"/>
  <c r="F260" i="22"/>
  <c r="F259" i="22"/>
  <c r="F254" i="22"/>
  <c r="F224" i="22"/>
  <c r="F223" i="22"/>
  <c r="F248" i="22"/>
  <c r="F247" i="22"/>
  <c r="F246" i="22"/>
  <c r="F245" i="22"/>
  <c r="F244" i="22"/>
  <c r="F243" i="22"/>
  <c r="F239" i="22"/>
  <c r="F238" i="22"/>
  <c r="F237" i="22"/>
  <c r="F236" i="22"/>
  <c r="F235" i="22"/>
  <c r="F230" i="22"/>
  <c r="F222" i="22"/>
  <c r="F221" i="22"/>
  <c r="F211" i="22"/>
  <c r="F94" i="22"/>
  <c r="F91" i="22"/>
  <c r="F191" i="22"/>
  <c r="F190" i="22"/>
  <c r="F192" i="22"/>
  <c r="F183" i="22"/>
  <c r="F182" i="22"/>
  <c r="F181" i="22"/>
  <c r="F188" i="22"/>
  <c r="F200" i="22"/>
  <c r="F198" i="22"/>
  <c r="F197" i="22"/>
  <c r="F193" i="22"/>
  <c r="F189" i="22"/>
  <c r="F160" i="22"/>
  <c r="F175" i="22"/>
  <c r="F174" i="22"/>
  <c r="F173" i="22"/>
  <c r="F172" i="22"/>
  <c r="F171" i="22"/>
  <c r="F170" i="22"/>
  <c r="F169" i="22"/>
  <c r="F168" i="22"/>
  <c r="F167" i="22"/>
  <c r="F163" i="22"/>
  <c r="F162" i="22"/>
  <c r="F161" i="22"/>
  <c r="F155" i="22"/>
  <c r="F154" i="22"/>
  <c r="F43" i="25" l="1"/>
  <c r="G84" i="11"/>
  <c r="K84" i="11"/>
  <c r="AC26" i="11"/>
  <c r="AG26" i="11"/>
  <c r="I84" i="11"/>
  <c r="D84" i="11"/>
  <c r="H84" i="11"/>
  <c r="D26" i="11"/>
  <c r="M26" i="11"/>
  <c r="AB26" i="11"/>
  <c r="E84" i="11"/>
  <c r="J84" i="11"/>
  <c r="C84" i="11"/>
  <c r="F84" i="11"/>
  <c r="H26" i="11"/>
  <c r="AK26" i="11"/>
  <c r="E26" i="11"/>
  <c r="F26" i="11"/>
  <c r="AE26" i="11"/>
  <c r="G26" i="11"/>
  <c r="AI26" i="11"/>
  <c r="J26" i="11"/>
  <c r="K93" i="11"/>
  <c r="J93" i="11"/>
  <c r="Y26" i="11"/>
  <c r="AA26" i="11"/>
  <c r="S26" i="11"/>
  <c r="T26" i="11"/>
  <c r="C26" i="11"/>
  <c r="AJ26" i="11"/>
  <c r="D93" i="11"/>
  <c r="AH26" i="11"/>
  <c r="P26" i="11"/>
  <c r="X26" i="11"/>
  <c r="O26" i="11"/>
  <c r="AD26" i="11"/>
  <c r="I26" i="11"/>
  <c r="N26" i="11"/>
  <c r="L26" i="11"/>
  <c r="Q26" i="11"/>
  <c r="Z26" i="11"/>
  <c r="R26" i="11"/>
  <c r="G93" i="11"/>
  <c r="C93" i="11"/>
  <c r="K26" i="11"/>
  <c r="AF26" i="11"/>
  <c r="V26" i="11"/>
  <c r="C92" i="11"/>
  <c r="W26" i="11"/>
  <c r="F93" i="11"/>
  <c r="S37" i="11"/>
  <c r="V37" i="11"/>
  <c r="D37" i="11"/>
  <c r="AH37" i="11"/>
  <c r="C37" i="11"/>
  <c r="T37" i="11"/>
  <c r="AJ37" i="11"/>
  <c r="AB37" i="11"/>
  <c r="E37" i="11"/>
  <c r="X37" i="11"/>
  <c r="H37" i="11"/>
  <c r="W37" i="11"/>
  <c r="Q37" i="11"/>
  <c r="Y37" i="11"/>
  <c r="AI37" i="11"/>
  <c r="AF37" i="11"/>
  <c r="L37" i="11"/>
  <c r="AC37" i="11"/>
  <c r="O37" i="11"/>
  <c r="I37" i="11"/>
  <c r="F37" i="11"/>
  <c r="AG37" i="11"/>
  <c r="N37" i="11"/>
  <c r="U37" i="11"/>
  <c r="M37" i="11"/>
  <c r="R37" i="11"/>
  <c r="AD37" i="11"/>
  <c r="K37" i="11"/>
  <c r="AK37" i="11"/>
  <c r="AA37" i="11"/>
  <c r="G37" i="11"/>
  <c r="J37" i="11"/>
  <c r="Z37" i="11"/>
  <c r="AE37" i="11"/>
  <c r="P37" i="11"/>
  <c r="F92" i="11"/>
  <c r="H92" i="11"/>
  <c r="H93" i="11"/>
  <c r="G92" i="11"/>
  <c r="E6" i="25"/>
  <c r="I93" i="11"/>
  <c r="E92" i="11"/>
  <c r="E93" i="11"/>
  <c r="AH27" i="11"/>
  <c r="AK27" i="11"/>
  <c r="G27" i="11"/>
  <c r="C27" i="11"/>
  <c r="AA27" i="11"/>
  <c r="S27" i="11"/>
  <c r="W27" i="11"/>
  <c r="N27" i="11"/>
  <c r="AE27" i="11"/>
  <c r="K27" i="11"/>
  <c r="D27" i="11"/>
  <c r="H27" i="11"/>
  <c r="AI27" i="11"/>
  <c r="P27" i="11"/>
  <c r="T27" i="11"/>
  <c r="L27" i="11"/>
  <c r="AB27" i="11"/>
  <c r="AF27" i="11"/>
  <c r="X27" i="11"/>
  <c r="F27" i="11"/>
  <c r="I27" i="11"/>
  <c r="AJ27" i="11"/>
  <c r="AD27" i="11"/>
  <c r="U27" i="11"/>
  <c r="Z27" i="11"/>
  <c r="E27" i="11"/>
  <c r="AG27" i="11"/>
  <c r="O27" i="11"/>
  <c r="Q27" i="11"/>
  <c r="J27" i="11"/>
  <c r="M27" i="11"/>
  <c r="AC27" i="11"/>
  <c r="V27" i="11"/>
  <c r="Y27" i="11"/>
  <c r="R27" i="11"/>
  <c r="I92" i="11"/>
  <c r="T35" i="11"/>
  <c r="U35" i="11"/>
  <c r="E35" i="11"/>
  <c r="AG35" i="11"/>
  <c r="AK35" i="11"/>
  <c r="Q35" i="11"/>
  <c r="C35" i="11"/>
  <c r="N35" i="11"/>
  <c r="AF35" i="11"/>
  <c r="AC35" i="11"/>
  <c r="AI35" i="11"/>
  <c r="Z35" i="11"/>
  <c r="G35" i="11"/>
  <c r="J35" i="11"/>
  <c r="H35" i="11"/>
  <c r="F35" i="11"/>
  <c r="V35" i="11"/>
  <c r="R35" i="11"/>
  <c r="S35" i="11"/>
  <c r="O35" i="11"/>
  <c r="AH35" i="11"/>
  <c r="AA35" i="11"/>
  <c r="AD35" i="11"/>
  <c r="K35" i="11"/>
  <c r="AB35" i="11"/>
  <c r="W35" i="11"/>
  <c r="AJ35" i="11"/>
  <c r="D35" i="11"/>
  <c r="AE35" i="11"/>
  <c r="L35" i="11"/>
  <c r="X35" i="11"/>
  <c r="P35" i="11"/>
  <c r="I35" i="11"/>
  <c r="M35" i="11"/>
  <c r="Y35" i="11"/>
  <c r="E29" i="25"/>
  <c r="D28" i="25"/>
  <c r="J92" i="11"/>
  <c r="E15" i="25"/>
  <c r="E14" i="25"/>
  <c r="D13" i="25"/>
  <c r="R36" i="11"/>
  <c r="AG36" i="11"/>
  <c r="Z36" i="11"/>
  <c r="Y36" i="11"/>
  <c r="J36" i="11"/>
  <c r="O36" i="11"/>
  <c r="F36" i="11"/>
  <c r="U36" i="11"/>
  <c r="AA36" i="11"/>
  <c r="AK36" i="11"/>
  <c r="G36" i="11"/>
  <c r="K36" i="11"/>
  <c r="D36" i="11"/>
  <c r="S36" i="11"/>
  <c r="W36" i="11"/>
  <c r="P36" i="11"/>
  <c r="AE36" i="11"/>
  <c r="AI36" i="11"/>
  <c r="AB36" i="11"/>
  <c r="I36" i="11"/>
  <c r="AD36" i="11"/>
  <c r="E36" i="11"/>
  <c r="Q36" i="11"/>
  <c r="L36" i="11"/>
  <c r="V36" i="11"/>
  <c r="X36" i="11"/>
  <c r="AH36" i="11"/>
  <c r="C36" i="11"/>
  <c r="T36" i="11"/>
  <c r="M36" i="11"/>
  <c r="AJ36" i="11"/>
  <c r="AC36" i="11"/>
  <c r="AF36" i="11"/>
  <c r="N36" i="11"/>
  <c r="H36" i="11"/>
  <c r="D92" i="11"/>
  <c r="K92" i="11"/>
  <c r="K91" i="11"/>
  <c r="E91" i="11"/>
  <c r="H91" i="11"/>
  <c r="J91" i="11"/>
  <c r="G91" i="11"/>
  <c r="I91" i="11"/>
  <c r="D91" i="11"/>
  <c r="F91" i="11"/>
  <c r="C91" i="11"/>
  <c r="F47" i="25"/>
  <c r="AN4" i="7"/>
  <c r="F255" i="22"/>
  <c r="F256" i="22" s="1"/>
  <c r="F264" i="22"/>
  <c r="F265" i="22" s="1"/>
  <c r="F271" i="22"/>
  <c r="F272" i="22" s="1"/>
  <c r="F290" i="22"/>
  <c r="F289" i="22"/>
  <c r="F277" i="22"/>
  <c r="F293" i="22"/>
  <c r="F276" i="22"/>
  <c r="F291" i="22"/>
  <c r="F292" i="22"/>
  <c r="F249" i="22"/>
  <c r="F250" i="22" s="1"/>
  <c r="F240" i="22"/>
  <c r="F241" i="22" s="1"/>
  <c r="F231" i="22"/>
  <c r="F278" i="22"/>
  <c r="F283" i="22"/>
  <c r="F284" i="22"/>
  <c r="F285" i="22"/>
  <c r="F212" i="22"/>
  <c r="F213" i="22"/>
  <c r="F219" i="22"/>
  <c r="F214" i="22"/>
  <c r="F206" i="22"/>
  <c r="F215" i="22"/>
  <c r="F220" i="22"/>
  <c r="F199" i="22"/>
  <c r="F201" i="22" s="1"/>
  <c r="F202" i="22" s="1"/>
  <c r="F184" i="22"/>
  <c r="F194" i="22"/>
  <c r="F195" i="22" s="1"/>
  <c r="F164" i="22"/>
  <c r="F165" i="22" s="1"/>
  <c r="F156" i="22"/>
  <c r="F176" i="22"/>
  <c r="F177" i="22" s="1"/>
  <c r="F52" i="25" l="1"/>
  <c r="AH38" i="11"/>
  <c r="E96" i="11"/>
  <c r="G85" i="11"/>
  <c r="K85" i="11"/>
  <c r="N38" i="11"/>
  <c r="J85" i="11"/>
  <c r="F96" i="11"/>
  <c r="AC38" i="11"/>
  <c r="T38" i="11"/>
  <c r="C85" i="11"/>
  <c r="E85" i="11"/>
  <c r="I85" i="11"/>
  <c r="H85" i="11"/>
  <c r="D85" i="11"/>
  <c r="AA38" i="11"/>
  <c r="X38" i="11"/>
  <c r="AD38" i="11"/>
  <c r="AI38" i="11"/>
  <c r="U38" i="11"/>
  <c r="AF38" i="11"/>
  <c r="P38" i="11"/>
  <c r="R38" i="11"/>
  <c r="J38" i="11"/>
  <c r="AK38" i="11"/>
  <c r="I38" i="11"/>
  <c r="K38" i="11"/>
  <c r="H38" i="11"/>
  <c r="Q38" i="11"/>
  <c r="D95" i="11"/>
  <c r="D38" i="11"/>
  <c r="F38" i="11"/>
  <c r="AG38" i="11"/>
  <c r="H86" i="11"/>
  <c r="I96" i="11"/>
  <c r="K96" i="11"/>
  <c r="C96" i="11"/>
  <c r="AJ38" i="11"/>
  <c r="V38" i="11"/>
  <c r="F85" i="11"/>
  <c r="E38" i="11"/>
  <c r="G86" i="11"/>
  <c r="G96" i="11"/>
  <c r="AB38" i="11"/>
  <c r="D94" i="11"/>
  <c r="H96" i="11"/>
  <c r="D96" i="11"/>
  <c r="K95" i="11"/>
  <c r="Y38" i="11"/>
  <c r="K94" i="11"/>
  <c r="J96" i="11"/>
  <c r="J95" i="11"/>
  <c r="M38" i="11"/>
  <c r="Z38" i="11"/>
  <c r="L38" i="11"/>
  <c r="Y28" i="11"/>
  <c r="V28" i="11"/>
  <c r="N28" i="11"/>
  <c r="AD28" i="11"/>
  <c r="AH28" i="11"/>
  <c r="Z28" i="11"/>
  <c r="AF28" i="11"/>
  <c r="K28" i="11"/>
  <c r="AB28" i="11"/>
  <c r="G28" i="11"/>
  <c r="W28" i="11"/>
  <c r="Q28" i="11"/>
  <c r="E28" i="11"/>
  <c r="S28" i="11"/>
  <c r="AI28" i="11"/>
  <c r="U28" i="11"/>
  <c r="AC28" i="11"/>
  <c r="AE28" i="11"/>
  <c r="C28" i="11"/>
  <c r="H28" i="11"/>
  <c r="O28" i="11"/>
  <c r="P28" i="11"/>
  <c r="L28" i="11"/>
  <c r="AA28" i="11"/>
  <c r="T28" i="11"/>
  <c r="AJ28" i="11"/>
  <c r="M28" i="11"/>
  <c r="X28" i="11"/>
  <c r="D28" i="11"/>
  <c r="I28" i="11"/>
  <c r="AG28" i="11"/>
  <c r="AK28" i="11"/>
  <c r="F28" i="11"/>
  <c r="J28" i="11"/>
  <c r="R28" i="11"/>
  <c r="F86" i="11"/>
  <c r="C86" i="11"/>
  <c r="W38" i="11"/>
  <c r="E30" i="25"/>
  <c r="D29" i="25"/>
  <c r="E94" i="11"/>
  <c r="D86" i="11"/>
  <c r="F95" i="11"/>
  <c r="K86" i="11"/>
  <c r="C95" i="11"/>
  <c r="H95" i="11"/>
  <c r="F94" i="11"/>
  <c r="E16" i="25"/>
  <c r="D14" i="25"/>
  <c r="G95" i="11"/>
  <c r="G94" i="11"/>
  <c r="C94" i="11"/>
  <c r="E86" i="11"/>
  <c r="J86" i="11"/>
  <c r="G38" i="11"/>
  <c r="I94" i="11"/>
  <c r="O38" i="11"/>
  <c r="S38" i="11"/>
  <c r="E95" i="11"/>
  <c r="J13" i="11"/>
  <c r="N13" i="11"/>
  <c r="F13" i="11"/>
  <c r="V13" i="11"/>
  <c r="G13" i="11"/>
  <c r="AH13" i="11"/>
  <c r="O13" i="11"/>
  <c r="L13" i="11"/>
  <c r="S13" i="11"/>
  <c r="K13" i="11"/>
  <c r="AA13" i="11"/>
  <c r="AE13" i="11"/>
  <c r="W13" i="11"/>
  <c r="R13" i="11"/>
  <c r="T13" i="11"/>
  <c r="H13" i="11"/>
  <c r="AI13" i="11"/>
  <c r="D13" i="11"/>
  <c r="P13" i="11"/>
  <c r="AK13" i="11"/>
  <c r="AF13" i="11"/>
  <c r="X13" i="11"/>
  <c r="AB13" i="11"/>
  <c r="I13" i="11"/>
  <c r="AJ13" i="11"/>
  <c r="AC13" i="11"/>
  <c r="AD13" i="11"/>
  <c r="U13" i="11"/>
  <c r="Z13" i="11"/>
  <c r="M13" i="11"/>
  <c r="E13" i="11"/>
  <c r="AG13" i="11"/>
  <c r="Y13" i="11"/>
  <c r="Q13" i="11"/>
  <c r="C13" i="11"/>
  <c r="J94" i="11"/>
  <c r="E7" i="25"/>
  <c r="D6" i="25"/>
  <c r="E17" i="25"/>
  <c r="D17" i="25" s="1"/>
  <c r="D15" i="25"/>
  <c r="AE38" i="11"/>
  <c r="I95" i="11"/>
  <c r="H94" i="11"/>
  <c r="I86" i="11"/>
  <c r="F257" i="22"/>
  <c r="F252" i="22" s="1"/>
  <c r="F279" i="22"/>
  <c r="F280" i="22" s="1"/>
  <c r="F294" i="22"/>
  <c r="F295" i="22" s="1"/>
  <c r="F286" i="22"/>
  <c r="F287" i="22" s="1"/>
  <c r="F232" i="22"/>
  <c r="F233" i="22" s="1"/>
  <c r="F228" i="22" s="1"/>
  <c r="F216" i="22"/>
  <c r="F217" i="22" s="1"/>
  <c r="F225" i="22"/>
  <c r="F226" i="22" s="1"/>
  <c r="F207" i="22"/>
  <c r="F208" i="22" s="1"/>
  <c r="F185" i="22"/>
  <c r="F186" i="22" s="1"/>
  <c r="F179" i="22" s="1"/>
  <c r="F157" i="22"/>
  <c r="F158" i="22" s="1"/>
  <c r="F152" i="22" s="1"/>
  <c r="AL13" i="11" l="1"/>
  <c r="G97" i="11"/>
  <c r="K97" i="11"/>
  <c r="D97" i="11"/>
  <c r="H97" i="11"/>
  <c r="J97" i="11"/>
  <c r="I97" i="11"/>
  <c r="K87" i="11"/>
  <c r="E97" i="11"/>
  <c r="D87" i="11"/>
  <c r="C72" i="11"/>
  <c r="D72" i="11"/>
  <c r="K72" i="11"/>
  <c r="J72" i="11"/>
  <c r="I72" i="11"/>
  <c r="E72" i="11"/>
  <c r="F97" i="11"/>
  <c r="AK15" i="11"/>
  <c r="AC15" i="11"/>
  <c r="AG15" i="11"/>
  <c r="C15" i="11"/>
  <c r="N15" i="11"/>
  <c r="R15" i="11"/>
  <c r="D15" i="11"/>
  <c r="K15" i="11"/>
  <c r="Z15" i="11"/>
  <c r="AD15" i="11"/>
  <c r="W15" i="11"/>
  <c r="O15" i="11"/>
  <c r="G15" i="11"/>
  <c r="J15" i="11"/>
  <c r="AI15" i="11"/>
  <c r="AA15" i="11"/>
  <c r="S15" i="11"/>
  <c r="L15" i="11"/>
  <c r="AE15" i="11"/>
  <c r="Y15" i="11"/>
  <c r="X15" i="11"/>
  <c r="P15" i="11"/>
  <c r="H15" i="11"/>
  <c r="AJ15" i="11"/>
  <c r="T15" i="11"/>
  <c r="Q15" i="11"/>
  <c r="F15" i="11"/>
  <c r="AB15" i="11"/>
  <c r="U15" i="11"/>
  <c r="V15" i="11"/>
  <c r="AH15" i="11"/>
  <c r="AF15" i="11"/>
  <c r="M15" i="11"/>
  <c r="E15" i="11"/>
  <c r="I15" i="11"/>
  <c r="H87" i="11"/>
  <c r="G72" i="11"/>
  <c r="E87" i="11"/>
  <c r="F87" i="11"/>
  <c r="C87" i="11"/>
  <c r="F72" i="11"/>
  <c r="J87" i="11"/>
  <c r="AA29" i="11"/>
  <c r="H29" i="11"/>
  <c r="L29" i="11"/>
  <c r="AC29" i="11"/>
  <c r="S29" i="11"/>
  <c r="T29" i="11"/>
  <c r="X29" i="11"/>
  <c r="D29" i="11"/>
  <c r="AF29" i="11"/>
  <c r="AJ29" i="11"/>
  <c r="Z29" i="11"/>
  <c r="P29" i="11"/>
  <c r="V29" i="11"/>
  <c r="M29" i="11"/>
  <c r="AB29" i="11"/>
  <c r="I29" i="11"/>
  <c r="Y29" i="11"/>
  <c r="C29" i="11"/>
  <c r="U29" i="11"/>
  <c r="AK29" i="11"/>
  <c r="AD29" i="11"/>
  <c r="AE29" i="11"/>
  <c r="AG29" i="11"/>
  <c r="E29" i="11"/>
  <c r="J29" i="11"/>
  <c r="K29" i="11"/>
  <c r="O29" i="11"/>
  <c r="W29" i="11"/>
  <c r="N29" i="11"/>
  <c r="Q29" i="11"/>
  <c r="AH29" i="11"/>
  <c r="G29" i="11"/>
  <c r="R29" i="11"/>
  <c r="AI29" i="11"/>
  <c r="F29" i="11"/>
  <c r="P17" i="11"/>
  <c r="H17" i="11"/>
  <c r="L17" i="11"/>
  <c r="AB17" i="11"/>
  <c r="T17" i="11"/>
  <c r="X17" i="11"/>
  <c r="E17" i="11"/>
  <c r="AF17" i="11"/>
  <c r="AJ17" i="11"/>
  <c r="Q17" i="11"/>
  <c r="I17" i="11"/>
  <c r="M17" i="11"/>
  <c r="AC17" i="11"/>
  <c r="U17" i="11"/>
  <c r="Y17" i="11"/>
  <c r="Z17" i="11"/>
  <c r="AG17" i="11"/>
  <c r="AK17" i="11"/>
  <c r="F17" i="11"/>
  <c r="J17" i="11"/>
  <c r="O17" i="11"/>
  <c r="R17" i="11"/>
  <c r="V17" i="11"/>
  <c r="AA17" i="11"/>
  <c r="AD17" i="11"/>
  <c r="AH17" i="11"/>
  <c r="C17" i="11"/>
  <c r="G17" i="11"/>
  <c r="K17" i="11"/>
  <c r="N17" i="11"/>
  <c r="S17" i="11"/>
  <c r="W17" i="11"/>
  <c r="D17" i="11"/>
  <c r="AE17" i="11"/>
  <c r="AI17" i="11"/>
  <c r="G87" i="11"/>
  <c r="V14" i="11"/>
  <c r="N14" i="11"/>
  <c r="F14" i="11"/>
  <c r="AH14" i="11"/>
  <c r="Z14" i="11"/>
  <c r="R14" i="11"/>
  <c r="K14" i="11"/>
  <c r="O14" i="11"/>
  <c r="AD14" i="11"/>
  <c r="W14" i="11"/>
  <c r="AA14" i="11"/>
  <c r="C14" i="11"/>
  <c r="AI14" i="11"/>
  <c r="H14" i="11"/>
  <c r="G14" i="11"/>
  <c r="L14" i="11"/>
  <c r="D14" i="11"/>
  <c r="S14" i="11"/>
  <c r="X14" i="11"/>
  <c r="P14" i="11"/>
  <c r="AE14" i="11"/>
  <c r="AJ14" i="11"/>
  <c r="AB14" i="11"/>
  <c r="I14" i="11"/>
  <c r="M14" i="11"/>
  <c r="AF14" i="11"/>
  <c r="U14" i="11"/>
  <c r="Y14" i="11"/>
  <c r="E14" i="11"/>
  <c r="AG14" i="11"/>
  <c r="AK14" i="11"/>
  <c r="Q14" i="11"/>
  <c r="J14" i="11"/>
  <c r="T14" i="11"/>
  <c r="AC14" i="11"/>
  <c r="W6" i="11"/>
  <c r="AC6" i="11"/>
  <c r="I6" i="11"/>
  <c r="N6" i="11"/>
  <c r="F6" i="11"/>
  <c r="Z6" i="11"/>
  <c r="R6" i="11"/>
  <c r="AG6" i="11"/>
  <c r="AJ6" i="11"/>
  <c r="O6" i="11"/>
  <c r="AD6" i="11"/>
  <c r="J6" i="11"/>
  <c r="AA6" i="11"/>
  <c r="G6" i="11"/>
  <c r="V6" i="11"/>
  <c r="S6" i="11"/>
  <c r="D6" i="11"/>
  <c r="AH6" i="11"/>
  <c r="H6" i="11"/>
  <c r="P6" i="11"/>
  <c r="AE6" i="11"/>
  <c r="L6" i="11"/>
  <c r="C6" i="11"/>
  <c r="K6" i="11"/>
  <c r="AB6" i="11"/>
  <c r="AI6" i="11"/>
  <c r="X6" i="11"/>
  <c r="T6" i="11"/>
  <c r="E6" i="11"/>
  <c r="AF6" i="11"/>
  <c r="Y6" i="11"/>
  <c r="Q6" i="11"/>
  <c r="AK6" i="11"/>
  <c r="U6" i="11"/>
  <c r="M6" i="11"/>
  <c r="E8" i="25"/>
  <c r="D7" i="25"/>
  <c r="H72" i="11"/>
  <c r="E18" i="25"/>
  <c r="D16" i="25"/>
  <c r="I87" i="11"/>
  <c r="F281" i="22"/>
  <c r="F274" i="22" s="1"/>
  <c r="F209" i="22"/>
  <c r="F204" i="22" s="1"/>
  <c r="AL14" i="11" l="1"/>
  <c r="AL15" i="11"/>
  <c r="AL17" i="11"/>
  <c r="AL6" i="11"/>
  <c r="K74" i="11"/>
  <c r="K88" i="11"/>
  <c r="F65" i="11"/>
  <c r="E73" i="11"/>
  <c r="G65" i="11"/>
  <c r="H76" i="11"/>
  <c r="H74" i="11"/>
  <c r="J73" i="11"/>
  <c r="I76" i="11"/>
  <c r="K76" i="11"/>
  <c r="J88" i="11"/>
  <c r="K65" i="11"/>
  <c r="J76" i="11"/>
  <c r="D88" i="11"/>
  <c r="F73" i="11"/>
  <c r="F76" i="11"/>
  <c r="E74" i="11"/>
  <c r="H73" i="11"/>
  <c r="D65" i="11"/>
  <c r="G73" i="11"/>
  <c r="J74" i="11"/>
  <c r="I65" i="11"/>
  <c r="G76" i="11"/>
  <c r="E19" i="25"/>
  <c r="E43" i="25" s="1"/>
  <c r="D18" i="25"/>
  <c r="E65" i="11"/>
  <c r="C88" i="11"/>
  <c r="G74" i="11"/>
  <c r="X16" i="11"/>
  <c r="AC16" i="11"/>
  <c r="U16" i="11"/>
  <c r="N16" i="11"/>
  <c r="AJ16" i="11"/>
  <c r="AG16" i="11"/>
  <c r="Z16" i="11"/>
  <c r="F16" i="11"/>
  <c r="J16" i="11"/>
  <c r="O16" i="11"/>
  <c r="R16" i="11"/>
  <c r="V16" i="11"/>
  <c r="AA16" i="11"/>
  <c r="AD16" i="11"/>
  <c r="AH16" i="11"/>
  <c r="D16" i="11"/>
  <c r="G16" i="11"/>
  <c r="K16" i="11"/>
  <c r="P16" i="11"/>
  <c r="S16" i="11"/>
  <c r="W16" i="11"/>
  <c r="AB16" i="11"/>
  <c r="AE16" i="11"/>
  <c r="AI16" i="11"/>
  <c r="L16" i="11"/>
  <c r="H16" i="11"/>
  <c r="M16" i="11"/>
  <c r="C16" i="11"/>
  <c r="T16" i="11"/>
  <c r="Y16" i="11"/>
  <c r="E16" i="11"/>
  <c r="AF16" i="11"/>
  <c r="AK16" i="11"/>
  <c r="Q16" i="11"/>
  <c r="I16" i="11"/>
  <c r="E76" i="11"/>
  <c r="G88" i="11"/>
  <c r="I74" i="11"/>
  <c r="C74" i="11"/>
  <c r="E9" i="25"/>
  <c r="D8" i="25"/>
  <c r="D76" i="11"/>
  <c r="H88" i="11"/>
  <c r="J65" i="11"/>
  <c r="K73" i="11"/>
  <c r="C76" i="11"/>
  <c r="F88" i="11"/>
  <c r="D73" i="11"/>
  <c r="C73" i="11"/>
  <c r="E88" i="11"/>
  <c r="D74" i="11"/>
  <c r="H65" i="11"/>
  <c r="C65" i="11"/>
  <c r="T7" i="11"/>
  <c r="L7" i="11"/>
  <c r="AF7" i="11"/>
  <c r="Q7" i="11"/>
  <c r="Y7" i="11"/>
  <c r="AJ7" i="11"/>
  <c r="N7" i="11"/>
  <c r="J7" i="11"/>
  <c r="AC7" i="11"/>
  <c r="I7" i="11"/>
  <c r="M7" i="11"/>
  <c r="E7" i="11"/>
  <c r="F7" i="11"/>
  <c r="U7" i="11"/>
  <c r="AD7" i="11"/>
  <c r="AE7" i="11"/>
  <c r="H7" i="11"/>
  <c r="R7" i="11"/>
  <c r="AG7" i="11"/>
  <c r="Z7" i="11"/>
  <c r="O7" i="11"/>
  <c r="K7" i="11"/>
  <c r="AK7" i="11"/>
  <c r="G7" i="11"/>
  <c r="V7" i="11"/>
  <c r="AA7" i="11"/>
  <c r="S7" i="11"/>
  <c r="D7" i="11"/>
  <c r="AI7" i="11"/>
  <c r="AH7" i="11"/>
  <c r="P7" i="11"/>
  <c r="C7" i="11"/>
  <c r="W7" i="11"/>
  <c r="AB7" i="11"/>
  <c r="X7" i="11"/>
  <c r="I73" i="11"/>
  <c r="I88" i="11"/>
  <c r="F74" i="11"/>
  <c r="F126" i="22"/>
  <c r="F131" i="22"/>
  <c r="F132" i="22"/>
  <c r="F133" i="22"/>
  <c r="F148" i="22"/>
  <c r="F138" i="22"/>
  <c r="F120" i="22"/>
  <c r="F119" i="22"/>
  <c r="F118" i="22"/>
  <c r="F117" i="22"/>
  <c r="F116" i="22"/>
  <c r="F115" i="22"/>
  <c r="F114" i="22"/>
  <c r="F110" i="22"/>
  <c r="F109" i="22"/>
  <c r="F108" i="22"/>
  <c r="F107" i="22"/>
  <c r="F106" i="22"/>
  <c r="F101" i="22"/>
  <c r="F100" i="22"/>
  <c r="F93" i="22"/>
  <c r="F92" i="22"/>
  <c r="F89" i="22"/>
  <c r="F82" i="22"/>
  <c r="F81" i="22"/>
  <c r="F80" i="22"/>
  <c r="F79" i="22"/>
  <c r="F78" i="22"/>
  <c r="F77" i="22"/>
  <c r="F76" i="22"/>
  <c r="F70" i="22"/>
  <c r="B17" i="24"/>
  <c r="B16" i="24"/>
  <c r="AL16" i="11" l="1"/>
  <c r="AL7" i="11"/>
  <c r="E66" i="11"/>
  <c r="F66" i="11"/>
  <c r="C66" i="11"/>
  <c r="D75" i="11"/>
  <c r="E75" i="11"/>
  <c r="F18" i="11"/>
  <c r="F19" i="11" s="1"/>
  <c r="U18" i="11"/>
  <c r="U19" i="11" s="1"/>
  <c r="M18" i="11"/>
  <c r="M19" i="11" s="1"/>
  <c r="AG18" i="11"/>
  <c r="AG19" i="11" s="1"/>
  <c r="R18" i="11"/>
  <c r="R19" i="11" s="1"/>
  <c r="Y18" i="11"/>
  <c r="Y19" i="11" s="1"/>
  <c r="C18" i="11"/>
  <c r="V18" i="11"/>
  <c r="V19" i="11" s="1"/>
  <c r="N18" i="11"/>
  <c r="N19" i="11" s="1"/>
  <c r="AH18" i="11"/>
  <c r="AH19" i="11" s="1"/>
  <c r="Z18" i="11"/>
  <c r="Z19" i="11" s="1"/>
  <c r="AD18" i="11"/>
  <c r="AD19" i="11" s="1"/>
  <c r="D18" i="11"/>
  <c r="D19" i="11" s="1"/>
  <c r="AA18" i="11"/>
  <c r="AA19" i="11" s="1"/>
  <c r="G18" i="11"/>
  <c r="P18" i="11"/>
  <c r="P19" i="11" s="1"/>
  <c r="AB18" i="11"/>
  <c r="AB19" i="11" s="1"/>
  <c r="AI18" i="11"/>
  <c r="T18" i="11"/>
  <c r="T19" i="11" s="1"/>
  <c r="AK18" i="11"/>
  <c r="AK19" i="11" s="1"/>
  <c r="S18" i="11"/>
  <c r="K18" i="11"/>
  <c r="K19" i="11" s="1"/>
  <c r="O18" i="11"/>
  <c r="AE18" i="11"/>
  <c r="AE19" i="11" s="1"/>
  <c r="W18" i="11"/>
  <c r="H18" i="11"/>
  <c r="H19" i="11" s="1"/>
  <c r="I18" i="11"/>
  <c r="I19" i="11" s="1"/>
  <c r="J18" i="11"/>
  <c r="J19" i="11" s="1"/>
  <c r="E18" i="11"/>
  <c r="E19" i="11" s="1"/>
  <c r="AC18" i="11"/>
  <c r="AC19" i="11" s="1"/>
  <c r="L18" i="11"/>
  <c r="L19" i="11" s="1"/>
  <c r="Q18" i="11"/>
  <c r="Q19" i="11" s="1"/>
  <c r="AF18" i="11"/>
  <c r="AF19" i="11" s="1"/>
  <c r="X18" i="11"/>
  <c r="X19" i="11" s="1"/>
  <c r="AJ18" i="11"/>
  <c r="AJ19" i="11" s="1"/>
  <c r="C75" i="11"/>
  <c r="I75" i="11"/>
  <c r="K75" i="11"/>
  <c r="H66" i="11"/>
  <c r="J66" i="11"/>
  <c r="J75" i="11"/>
  <c r="G66" i="11"/>
  <c r="F75" i="11"/>
  <c r="K66" i="11"/>
  <c r="I66" i="11"/>
  <c r="H75" i="11"/>
  <c r="AF8" i="11"/>
  <c r="L8" i="11"/>
  <c r="Q8" i="11"/>
  <c r="O8" i="11"/>
  <c r="X8" i="11"/>
  <c r="AC8" i="11"/>
  <c r="I8" i="11"/>
  <c r="AJ8" i="11"/>
  <c r="F8" i="11"/>
  <c r="U8" i="11"/>
  <c r="M8" i="11"/>
  <c r="R8" i="11"/>
  <c r="AG8" i="11"/>
  <c r="Y8" i="11"/>
  <c r="AD8" i="11"/>
  <c r="J8" i="11"/>
  <c r="AK8" i="11"/>
  <c r="G8" i="11"/>
  <c r="V8" i="11"/>
  <c r="N8" i="11"/>
  <c r="S8" i="11"/>
  <c r="AH8" i="11"/>
  <c r="Z8" i="11"/>
  <c r="AE8" i="11"/>
  <c r="C8" i="11"/>
  <c r="D8" i="11"/>
  <c r="AA8" i="11"/>
  <c r="K8" i="11"/>
  <c r="P8" i="11"/>
  <c r="H8" i="11"/>
  <c r="W8" i="11"/>
  <c r="AB8" i="11"/>
  <c r="T8" i="11"/>
  <c r="AI8" i="11"/>
  <c r="E8" i="11"/>
  <c r="G75" i="11"/>
  <c r="D66" i="11"/>
  <c r="D19" i="25"/>
  <c r="E10" i="25"/>
  <c r="D9" i="25"/>
  <c r="F134" i="22"/>
  <c r="F127" i="22"/>
  <c r="F128" i="22" s="1"/>
  <c r="F139" i="22"/>
  <c r="F144" i="22"/>
  <c r="F140" i="22"/>
  <c r="F141" i="22"/>
  <c r="F137" i="22"/>
  <c r="F143" i="22"/>
  <c r="F146" i="22"/>
  <c r="F142" i="22"/>
  <c r="F145" i="22"/>
  <c r="F147" i="22"/>
  <c r="F111" i="22"/>
  <c r="F112" i="22" s="1"/>
  <c r="F102" i="22"/>
  <c r="F121" i="22"/>
  <c r="F122" i="22" s="1"/>
  <c r="F86" i="22"/>
  <c r="F87" i="22"/>
  <c r="F90" i="22"/>
  <c r="F88" i="22"/>
  <c r="F83" i="22"/>
  <c r="F84" i="22" s="1"/>
  <c r="F71" i="22"/>
  <c r="F72" i="22" s="1"/>
  <c r="AL18" i="11" l="1"/>
  <c r="AL8" i="11"/>
  <c r="G77" i="11"/>
  <c r="J78" i="11"/>
  <c r="I67" i="11"/>
  <c r="K77" i="11"/>
  <c r="D77" i="11"/>
  <c r="I78" i="11"/>
  <c r="K67" i="11"/>
  <c r="J67" i="11"/>
  <c r="C67" i="11"/>
  <c r="I77" i="11"/>
  <c r="H77" i="11"/>
  <c r="W19" i="11"/>
  <c r="H78" i="11" s="1"/>
  <c r="D67" i="11"/>
  <c r="AI19" i="11"/>
  <c r="K78" i="11" s="1"/>
  <c r="J77" i="11"/>
  <c r="G67" i="11"/>
  <c r="W9" i="11"/>
  <c r="AE9" i="11"/>
  <c r="T9" i="11"/>
  <c r="AI9" i="11"/>
  <c r="E9" i="11"/>
  <c r="H9" i="11"/>
  <c r="L9" i="11"/>
  <c r="O9" i="11"/>
  <c r="X9" i="11"/>
  <c r="AA9" i="11"/>
  <c r="AF9" i="11"/>
  <c r="AJ9" i="11"/>
  <c r="D9" i="11"/>
  <c r="C9" i="11"/>
  <c r="G9" i="11"/>
  <c r="I9" i="11"/>
  <c r="AC9" i="11"/>
  <c r="P9" i="11"/>
  <c r="U9" i="11"/>
  <c r="AB9" i="11"/>
  <c r="AD9" i="11"/>
  <c r="AH9" i="11"/>
  <c r="M9" i="11"/>
  <c r="Q9" i="11"/>
  <c r="AG9" i="11"/>
  <c r="Y9" i="11"/>
  <c r="F9" i="11"/>
  <c r="J9" i="11"/>
  <c r="V9" i="11"/>
  <c r="AK9" i="11"/>
  <c r="R9" i="11"/>
  <c r="K9" i="11"/>
  <c r="N9" i="11"/>
  <c r="S9" i="11"/>
  <c r="Z9" i="11"/>
  <c r="F77" i="11"/>
  <c r="O19" i="11"/>
  <c r="F78" i="11" s="1"/>
  <c r="S19" i="11"/>
  <c r="G78" i="11" s="1"/>
  <c r="D43" i="25"/>
  <c r="H67" i="11"/>
  <c r="E11" i="25"/>
  <c r="D10" i="25"/>
  <c r="E67" i="11"/>
  <c r="F67" i="11"/>
  <c r="G19" i="11"/>
  <c r="D78" i="11" s="1"/>
  <c r="E77" i="11"/>
  <c r="E78" i="11"/>
  <c r="C77" i="11"/>
  <c r="F95" i="22"/>
  <c r="F96" i="22" s="1"/>
  <c r="F129" i="22"/>
  <c r="F135" i="22"/>
  <c r="F149" i="22"/>
  <c r="F150" i="22" s="1"/>
  <c r="F103" i="22"/>
  <c r="F104" i="22" s="1"/>
  <c r="F98" i="22" s="1"/>
  <c r="F73" i="22"/>
  <c r="F74" i="22" s="1"/>
  <c r="AL9" i="11" l="1"/>
  <c r="H68" i="11"/>
  <c r="G68" i="11"/>
  <c r="I68" i="11"/>
  <c r="E68" i="11"/>
  <c r="F68" i="11"/>
  <c r="AK10" i="11"/>
  <c r="N10" i="11"/>
  <c r="R10" i="11"/>
  <c r="S10" i="11"/>
  <c r="Z10" i="11"/>
  <c r="AD10" i="11"/>
  <c r="K10" i="11"/>
  <c r="O10" i="11"/>
  <c r="G10" i="11"/>
  <c r="M10" i="11"/>
  <c r="W10" i="11"/>
  <c r="AA10" i="11"/>
  <c r="H10" i="11"/>
  <c r="E10" i="11"/>
  <c r="AI10" i="11"/>
  <c r="D10" i="11"/>
  <c r="T10" i="11"/>
  <c r="L10" i="11"/>
  <c r="AF10" i="11"/>
  <c r="AG10" i="11"/>
  <c r="P10" i="11"/>
  <c r="Q10" i="11"/>
  <c r="X10" i="11"/>
  <c r="AB10" i="11"/>
  <c r="I10" i="11"/>
  <c r="AE10" i="11"/>
  <c r="J10" i="11"/>
  <c r="AJ10" i="11"/>
  <c r="C10" i="11"/>
  <c r="U10" i="11"/>
  <c r="Y10" i="11"/>
  <c r="AC10" i="11"/>
  <c r="V10" i="11"/>
  <c r="F10" i="11"/>
  <c r="AH10" i="11"/>
  <c r="E12" i="25"/>
  <c r="E42" i="25" s="1"/>
  <c r="K68" i="11"/>
  <c r="D68" i="11"/>
  <c r="C68" i="11"/>
  <c r="J68" i="11"/>
  <c r="F124" i="22"/>
  <c r="F68" i="22"/>
  <c r="AL10" i="11" l="1"/>
  <c r="C69" i="11"/>
  <c r="D69" i="11"/>
  <c r="G69" i="11"/>
  <c r="J69" i="11"/>
  <c r="K69" i="11"/>
  <c r="I69" i="11"/>
  <c r="H69" i="11"/>
  <c r="F69" i="11"/>
  <c r="E69" i="11"/>
  <c r="F73" i="26"/>
  <c r="F62" i="26"/>
  <c r="F40" i="26"/>
  <c r="F61" i="26"/>
  <c r="D34" i="26"/>
  <c r="E34" i="26"/>
  <c r="E23" i="26"/>
  <c r="D23" i="26"/>
  <c r="E89" i="26"/>
  <c r="D89" i="26"/>
  <c r="E78" i="26"/>
  <c r="D78" i="26"/>
  <c r="E67" i="26"/>
  <c r="D67" i="26"/>
  <c r="F67" i="26" s="1"/>
  <c r="G67" i="26" s="1"/>
  <c r="I67" i="26" s="1"/>
  <c r="E56" i="26"/>
  <c r="D56" i="26"/>
  <c r="F56" i="26" s="1"/>
  <c r="G56" i="26" s="1"/>
  <c r="I56" i="26" s="1"/>
  <c r="E45" i="26"/>
  <c r="D45" i="26"/>
  <c r="F30" i="26"/>
  <c r="F52" i="26"/>
  <c r="F63" i="26"/>
  <c r="F74" i="26"/>
  <c r="F85" i="26"/>
  <c r="F96" i="26"/>
  <c r="F95" i="26"/>
  <c r="F94" i="26"/>
  <c r="F93" i="26"/>
  <c r="F92" i="26"/>
  <c r="F91" i="26"/>
  <c r="F84" i="26"/>
  <c r="F51" i="26"/>
  <c r="F50" i="26"/>
  <c r="F83" i="26"/>
  <c r="F82" i="26"/>
  <c r="F81" i="26"/>
  <c r="F80" i="26"/>
  <c r="F72" i="26"/>
  <c r="F71" i="26"/>
  <c r="F70" i="26"/>
  <c r="F69" i="26"/>
  <c r="F60" i="26"/>
  <c r="F59" i="26"/>
  <c r="F58" i="26"/>
  <c r="F49" i="26"/>
  <c r="F48" i="26"/>
  <c r="F47" i="26"/>
  <c r="F41" i="26"/>
  <c r="F39" i="26"/>
  <c r="F38" i="26"/>
  <c r="F37" i="26"/>
  <c r="F36" i="26"/>
  <c r="F26" i="26"/>
  <c r="F27" i="26"/>
  <c r="F28" i="26"/>
  <c r="F29" i="26"/>
  <c r="F25" i="26"/>
  <c r="E6" i="26"/>
  <c r="E14" i="26" s="1"/>
  <c r="F6" i="26"/>
  <c r="F13" i="26" s="1"/>
  <c r="G6" i="26"/>
  <c r="G14" i="26" s="1"/>
  <c r="H6" i="26"/>
  <c r="H14" i="26" s="1"/>
  <c r="I6" i="26"/>
  <c r="I14" i="26" s="1"/>
  <c r="J6" i="26"/>
  <c r="J12" i="26" s="1"/>
  <c r="K6" i="26"/>
  <c r="K12" i="26" s="1"/>
  <c r="L6" i="26"/>
  <c r="L14" i="26" s="1"/>
  <c r="M6" i="26"/>
  <c r="M14" i="26" s="1"/>
  <c r="N6" i="26"/>
  <c r="N14" i="26" s="1"/>
  <c r="O6" i="26"/>
  <c r="O14" i="26" s="1"/>
  <c r="P6" i="26"/>
  <c r="P14" i="26" s="1"/>
  <c r="Q6" i="26"/>
  <c r="Q14" i="26" s="1"/>
  <c r="R6" i="26"/>
  <c r="R13" i="26" s="1"/>
  <c r="S6" i="26"/>
  <c r="S14" i="26" s="1"/>
  <c r="T6" i="26"/>
  <c r="T14" i="26" s="1"/>
  <c r="U6" i="26"/>
  <c r="U14" i="26" s="1"/>
  <c r="V6" i="26"/>
  <c r="V12" i="26" s="1"/>
  <c r="W6" i="26"/>
  <c r="W12" i="26" s="1"/>
  <c r="X6" i="26"/>
  <c r="X13" i="26" s="1"/>
  <c r="Y6" i="26"/>
  <c r="Y14" i="26" s="1"/>
  <c r="Z6" i="26"/>
  <c r="Z14" i="26" s="1"/>
  <c r="AA6" i="26"/>
  <c r="AA14" i="26" s="1"/>
  <c r="AB6" i="26"/>
  <c r="AB14" i="26" s="1"/>
  <c r="AC6" i="26"/>
  <c r="AC14" i="26" s="1"/>
  <c r="AD6" i="26"/>
  <c r="AD13" i="26" s="1"/>
  <c r="AE6" i="26"/>
  <c r="AE14" i="26" s="1"/>
  <c r="AF6" i="26"/>
  <c r="AF14" i="26" s="1"/>
  <c r="AG6" i="26"/>
  <c r="AG14" i="26" s="1"/>
  <c r="AH6" i="26"/>
  <c r="AH12" i="26" s="1"/>
  <c r="AI6" i="26"/>
  <c r="AI12" i="26" s="1"/>
  <c r="AJ6" i="26"/>
  <c r="AJ14" i="26" s="1"/>
  <c r="AK6" i="26"/>
  <c r="AK14" i="26" s="1"/>
  <c r="AL6" i="26"/>
  <c r="AL14" i="26" s="1"/>
  <c r="E7" i="26"/>
  <c r="F7" i="26"/>
  <c r="G7" i="26"/>
  <c r="H7" i="26"/>
  <c r="I7" i="26"/>
  <c r="J7" i="26"/>
  <c r="K7" i="26"/>
  <c r="L7" i="26"/>
  <c r="M7" i="26"/>
  <c r="N7" i="26"/>
  <c r="O7" i="26"/>
  <c r="P7" i="26"/>
  <c r="Q7" i="26"/>
  <c r="R7" i="26"/>
  <c r="S7" i="26"/>
  <c r="T7" i="26"/>
  <c r="U7" i="26"/>
  <c r="V7" i="26"/>
  <c r="W7" i="26"/>
  <c r="X7" i="26"/>
  <c r="Y7" i="26"/>
  <c r="Z7" i="26"/>
  <c r="AA7" i="26"/>
  <c r="AB7" i="26"/>
  <c r="AC7" i="26"/>
  <c r="AD7" i="26"/>
  <c r="AE7" i="26"/>
  <c r="AF7" i="26"/>
  <c r="AG7" i="26"/>
  <c r="AH7" i="26"/>
  <c r="AI7" i="26"/>
  <c r="AJ7" i="26"/>
  <c r="AK7" i="26"/>
  <c r="AL7" i="26"/>
  <c r="E8" i="26"/>
  <c r="F8" i="26"/>
  <c r="G8" i="26"/>
  <c r="H8" i="26"/>
  <c r="I8" i="26"/>
  <c r="J8" i="26"/>
  <c r="K8" i="26"/>
  <c r="L8" i="26"/>
  <c r="M8" i="26"/>
  <c r="N8" i="26"/>
  <c r="O8" i="26"/>
  <c r="P8" i="26"/>
  <c r="Q8" i="26"/>
  <c r="R8" i="26"/>
  <c r="S8" i="26"/>
  <c r="T8" i="26"/>
  <c r="U8" i="26"/>
  <c r="V8" i="26"/>
  <c r="W8" i="26"/>
  <c r="X8" i="26"/>
  <c r="Y8" i="26"/>
  <c r="Z8" i="26"/>
  <c r="AA8" i="26"/>
  <c r="AB8" i="26"/>
  <c r="AC8" i="26"/>
  <c r="AD8" i="26"/>
  <c r="AE8" i="26"/>
  <c r="AF8" i="26"/>
  <c r="AG8" i="26"/>
  <c r="AH8" i="26"/>
  <c r="AI8" i="26"/>
  <c r="AJ8" i="26"/>
  <c r="AK8" i="26"/>
  <c r="AL8" i="26"/>
  <c r="E9" i="26"/>
  <c r="F9" i="26"/>
  <c r="G9" i="26"/>
  <c r="H9" i="26"/>
  <c r="I9" i="26"/>
  <c r="J9" i="26"/>
  <c r="K9" i="26"/>
  <c r="L9" i="26"/>
  <c r="M9" i="26"/>
  <c r="N9" i="26"/>
  <c r="O9" i="26"/>
  <c r="P9" i="26"/>
  <c r="Q9" i="26"/>
  <c r="R9" i="26"/>
  <c r="S9" i="26"/>
  <c r="T9" i="26"/>
  <c r="U9" i="26"/>
  <c r="V9" i="26"/>
  <c r="W9" i="26"/>
  <c r="X9" i="26"/>
  <c r="Y9" i="26"/>
  <c r="Z9" i="26"/>
  <c r="AA9" i="26"/>
  <c r="AB9" i="26"/>
  <c r="AC9" i="26"/>
  <c r="AD9" i="26"/>
  <c r="AE9" i="26"/>
  <c r="AF9" i="26"/>
  <c r="AG9" i="26"/>
  <c r="AH9" i="26"/>
  <c r="AI9" i="26"/>
  <c r="AJ9" i="26"/>
  <c r="AK9" i="26"/>
  <c r="AL9" i="26"/>
  <c r="E10" i="26"/>
  <c r="F10" i="26"/>
  <c r="G10" i="26"/>
  <c r="H10" i="26"/>
  <c r="I10" i="26"/>
  <c r="J10" i="26"/>
  <c r="K10" i="26"/>
  <c r="L10" i="26"/>
  <c r="M10" i="26"/>
  <c r="N10" i="26"/>
  <c r="O10" i="26"/>
  <c r="P10" i="26"/>
  <c r="Q10" i="26"/>
  <c r="R10" i="26"/>
  <c r="S10" i="26"/>
  <c r="T10" i="26"/>
  <c r="U10" i="26"/>
  <c r="V10" i="26"/>
  <c r="W10" i="26"/>
  <c r="X10" i="26"/>
  <c r="Y10" i="26"/>
  <c r="Z10" i="26"/>
  <c r="AA10" i="26"/>
  <c r="AB10" i="26"/>
  <c r="AC10" i="26"/>
  <c r="AD10" i="26"/>
  <c r="AE10" i="26"/>
  <c r="AF10" i="26"/>
  <c r="AG10" i="26"/>
  <c r="AH10" i="26"/>
  <c r="AI10" i="26"/>
  <c r="AJ10" i="26"/>
  <c r="AK10" i="26"/>
  <c r="AL10" i="26"/>
  <c r="E11" i="26"/>
  <c r="F11" i="26"/>
  <c r="G11" i="26"/>
  <c r="H11" i="26"/>
  <c r="I11" i="26"/>
  <c r="J11" i="26"/>
  <c r="K11" i="26"/>
  <c r="L11" i="26"/>
  <c r="M11" i="26"/>
  <c r="N11" i="26"/>
  <c r="O11" i="26"/>
  <c r="P11" i="26"/>
  <c r="Q11" i="26"/>
  <c r="R11" i="26"/>
  <c r="S11" i="26"/>
  <c r="T11" i="26"/>
  <c r="U11" i="26"/>
  <c r="V11" i="26"/>
  <c r="W11" i="26"/>
  <c r="X11" i="26"/>
  <c r="Y11" i="26"/>
  <c r="Z11" i="26"/>
  <c r="AA11" i="26"/>
  <c r="AB11" i="26"/>
  <c r="AC11" i="26"/>
  <c r="AD11" i="26"/>
  <c r="AE11" i="26"/>
  <c r="AF11" i="26"/>
  <c r="AG11" i="26"/>
  <c r="AH11" i="26"/>
  <c r="AI11" i="26"/>
  <c r="AJ11" i="26"/>
  <c r="AK11" i="26"/>
  <c r="AL11" i="26"/>
  <c r="D7" i="26"/>
  <c r="D8" i="26"/>
  <c r="D9" i="26"/>
  <c r="D10" i="26"/>
  <c r="D11" i="26"/>
  <c r="D6" i="26"/>
  <c r="D14" i="26" s="1"/>
  <c r="F34" i="26" l="1"/>
  <c r="G34" i="26" s="1"/>
  <c r="I34" i="26" s="1"/>
  <c r="G95" i="26" s="1"/>
  <c r="H95" i="26" s="1"/>
  <c r="F89" i="26"/>
  <c r="G89" i="26" s="1"/>
  <c r="I89" i="26" s="1"/>
  <c r="F23" i="26"/>
  <c r="G23" i="26" s="1"/>
  <c r="I23" i="26" s="1"/>
  <c r="G25" i="26" s="1"/>
  <c r="I25" i="26" s="1"/>
  <c r="F45" i="26"/>
  <c r="G45" i="26" s="1"/>
  <c r="I45" i="26" s="1"/>
  <c r="F78" i="26"/>
  <c r="G78" i="26" s="1"/>
  <c r="I78" i="26" s="1"/>
  <c r="L13" i="26"/>
  <c r="G12" i="26"/>
  <c r="F12" i="26"/>
  <c r="F14" i="26"/>
  <c r="AJ13" i="26"/>
  <c r="U13" i="26"/>
  <c r="T13" i="26"/>
  <c r="N13" i="26"/>
  <c r="AF12" i="26"/>
  <c r="AE12" i="26"/>
  <c r="AD12" i="26"/>
  <c r="AJ12" i="26"/>
  <c r="AL13" i="26"/>
  <c r="Y12" i="26"/>
  <c r="AK13" i="26"/>
  <c r="L12" i="26"/>
  <c r="H12" i="26"/>
  <c r="S13" i="26"/>
  <c r="AH13" i="26"/>
  <c r="M13" i="26"/>
  <c r="Z12" i="26"/>
  <c r="AG13" i="26"/>
  <c r="AF13" i="26"/>
  <c r="J13" i="26"/>
  <c r="X12" i="26"/>
  <c r="AE13" i="26"/>
  <c r="I13" i="26"/>
  <c r="T12" i="26"/>
  <c r="AD14" i="26"/>
  <c r="Z13" i="26"/>
  <c r="H13" i="26"/>
  <c r="S12" i="26"/>
  <c r="X14" i="26"/>
  <c r="Y13" i="26"/>
  <c r="G13" i="26"/>
  <c r="R12" i="26"/>
  <c r="R14" i="26"/>
  <c r="AL12" i="26"/>
  <c r="N12" i="26"/>
  <c r="V13" i="26"/>
  <c r="AK12" i="26"/>
  <c r="M12" i="26"/>
  <c r="AI13" i="26"/>
  <c r="W13" i="26"/>
  <c r="K13" i="26"/>
  <c r="AG12" i="26"/>
  <c r="U12" i="26"/>
  <c r="I12" i="26"/>
  <c r="W14" i="26"/>
  <c r="K14" i="26"/>
  <c r="V14" i="26"/>
  <c r="J14" i="26"/>
  <c r="AC12" i="26"/>
  <c r="Q12" i="26"/>
  <c r="E12" i="26"/>
  <c r="AI14" i="26"/>
  <c r="AH14" i="26"/>
  <c r="AB12" i="26"/>
  <c r="P12" i="26"/>
  <c r="AC13" i="26"/>
  <c r="Q13" i="26"/>
  <c r="E13" i="26"/>
  <c r="AA12" i="26"/>
  <c r="O12" i="26"/>
  <c r="AB13" i="26"/>
  <c r="P13" i="26"/>
  <c r="D12" i="26"/>
  <c r="AA13" i="26"/>
  <c r="O13" i="26"/>
  <c r="D13" i="26"/>
  <c r="G80" i="26" l="1"/>
  <c r="I80" i="26" s="1"/>
  <c r="G96" i="26"/>
  <c r="H96" i="26" s="1"/>
  <c r="G74" i="26"/>
  <c r="H74" i="26" s="1"/>
  <c r="G92" i="26"/>
  <c r="I92" i="26" s="1"/>
  <c r="G48" i="26"/>
  <c r="I48" i="26" s="1"/>
  <c r="G38" i="26"/>
  <c r="I38" i="26" s="1"/>
  <c r="G47" i="26"/>
  <c r="I47" i="26" s="1"/>
  <c r="G37" i="26"/>
  <c r="I37" i="26" s="1"/>
  <c r="G52" i="26"/>
  <c r="H52" i="26" s="1"/>
  <c r="G94" i="26"/>
  <c r="H94" i="26" s="1"/>
  <c r="H97" i="26" s="1"/>
  <c r="G91" i="26"/>
  <c r="I91" i="26" s="1"/>
  <c r="I97" i="26" s="1"/>
  <c r="G41" i="26"/>
  <c r="H41" i="26" s="1"/>
  <c r="G84" i="26"/>
  <c r="H84" i="26" s="1"/>
  <c r="G93" i="26"/>
  <c r="I93" i="26" s="1"/>
  <c r="G50" i="26"/>
  <c r="H50" i="26" s="1"/>
  <c r="G81" i="26"/>
  <c r="I81" i="26" s="1"/>
  <c r="G71" i="26"/>
  <c r="I71" i="26" s="1"/>
  <c r="G58" i="26"/>
  <c r="I58" i="26" s="1"/>
  <c r="G51" i="26"/>
  <c r="H51" i="26" s="1"/>
  <c r="G39" i="26"/>
  <c r="H39" i="26" s="1"/>
  <c r="G62" i="26"/>
  <c r="H62" i="26" s="1"/>
  <c r="G83" i="26"/>
  <c r="H83" i="26" s="1"/>
  <c r="G61" i="26"/>
  <c r="H61" i="26" s="1"/>
  <c r="G85" i="26"/>
  <c r="H85" i="26" s="1"/>
  <c r="G72" i="26"/>
  <c r="H72" i="26" s="1"/>
  <c r="G69" i="26"/>
  <c r="I69" i="26" s="1"/>
  <c r="G63" i="26"/>
  <c r="H63" i="26" s="1"/>
  <c r="G59" i="26"/>
  <c r="I59" i="26" s="1"/>
  <c r="G73" i="26"/>
  <c r="H73" i="26" s="1"/>
  <c r="G82" i="26"/>
  <c r="I82" i="26" s="1"/>
  <c r="G70" i="26"/>
  <c r="I70" i="26" s="1"/>
  <c r="G36" i="26"/>
  <c r="I36" i="26" s="1"/>
  <c r="G40" i="26"/>
  <c r="H40" i="26" s="1"/>
  <c r="G60" i="26"/>
  <c r="I60" i="26" s="1"/>
  <c r="G49" i="26"/>
  <c r="I49" i="26" s="1"/>
  <c r="G29" i="26"/>
  <c r="H29" i="26" s="1"/>
  <c r="G27" i="26"/>
  <c r="I27" i="26" s="1"/>
  <c r="G28" i="26"/>
  <c r="H28" i="26" s="1"/>
  <c r="G26" i="26"/>
  <c r="I26" i="26" s="1"/>
  <c r="I31" i="26" s="1"/>
  <c r="G30" i="26"/>
  <c r="H30" i="26" s="1"/>
  <c r="L72" i="11"/>
  <c r="H4" i="1"/>
  <c r="I42" i="26" l="1"/>
  <c r="H75" i="26"/>
  <c r="I86" i="26"/>
  <c r="H86" i="26"/>
  <c r="I75" i="26"/>
  <c r="H64" i="26"/>
  <c r="I64" i="26"/>
  <c r="H53" i="26"/>
  <c r="I53" i="26"/>
  <c r="X17" i="26" s="1"/>
  <c r="Z60" i="1" s="1"/>
  <c r="H42" i="26"/>
  <c r="G42" i="26"/>
  <c r="G75" i="26"/>
  <c r="G86" i="26"/>
  <c r="G53" i="26"/>
  <c r="G64" i="26"/>
  <c r="G97" i="26"/>
  <c r="H31" i="26"/>
  <c r="G31" i="26"/>
  <c r="AL26" i="11"/>
  <c r="L85" i="11" s="1"/>
  <c r="J8" i="1"/>
  <c r="AE17" i="26" l="1"/>
  <c r="AG60" i="1" s="1"/>
  <c r="J17" i="26"/>
  <c r="L60" i="1" s="1"/>
  <c r="AL16" i="26"/>
  <c r="AN57" i="1" s="1"/>
  <c r="AG17" i="26"/>
  <c r="AI60" i="1" s="1"/>
  <c r="AC17" i="26"/>
  <c r="AE60" i="1" s="1"/>
  <c r="H17" i="26"/>
  <c r="J60" i="1" s="1"/>
  <c r="D17" i="26"/>
  <c r="F60" i="1" s="1"/>
  <c r="E17" i="26"/>
  <c r="G60" i="1" s="1"/>
  <c r="F17" i="26"/>
  <c r="H60" i="1" s="1"/>
  <c r="R17" i="26"/>
  <c r="T60" i="1" s="1"/>
  <c r="L17" i="26"/>
  <c r="N60" i="1" s="1"/>
  <c r="Y17" i="26"/>
  <c r="AA60" i="1" s="1"/>
  <c r="S17" i="26"/>
  <c r="U60" i="1" s="1"/>
  <c r="G17" i="26"/>
  <c r="I60" i="1" s="1"/>
  <c r="AD17" i="26"/>
  <c r="AF60" i="1" s="1"/>
  <c r="AB17" i="26"/>
  <c r="AD60" i="1" s="1"/>
  <c r="AK17" i="26"/>
  <c r="AM60" i="1" s="1"/>
  <c r="M17" i="26"/>
  <c r="O60" i="1" s="1"/>
  <c r="AI17" i="26"/>
  <c r="AK60" i="1" s="1"/>
  <c r="AK16" i="26"/>
  <c r="AM57" i="1" s="1"/>
  <c r="O17" i="26"/>
  <c r="Q60" i="1" s="1"/>
  <c r="AF17" i="26"/>
  <c r="AH60" i="1" s="1"/>
  <c r="AH17" i="26"/>
  <c r="AJ60" i="1" s="1"/>
  <c r="J16" i="26"/>
  <c r="L57" i="1" s="1"/>
  <c r="W17" i="26"/>
  <c r="Y60" i="1" s="1"/>
  <c r="N17" i="26"/>
  <c r="P60" i="1" s="1"/>
  <c r="I17" i="26"/>
  <c r="K60" i="1" s="1"/>
  <c r="U17" i="26"/>
  <c r="W60" i="1" s="1"/>
  <c r="V17" i="26"/>
  <c r="X60" i="1" s="1"/>
  <c r="T17" i="26"/>
  <c r="V60" i="1" s="1"/>
  <c r="AJ17" i="26"/>
  <c r="AL60" i="1" s="1"/>
  <c r="P17" i="26"/>
  <c r="R60" i="1" s="1"/>
  <c r="Q17" i="26"/>
  <c r="S60" i="1" s="1"/>
  <c r="Z17" i="26"/>
  <c r="AB60" i="1" s="1"/>
  <c r="AA17" i="26"/>
  <c r="AC60" i="1" s="1"/>
  <c r="AL17" i="26"/>
  <c r="AN60" i="1" s="1"/>
  <c r="K17" i="26"/>
  <c r="M60" i="1" s="1"/>
  <c r="M16" i="26"/>
  <c r="O57" i="1" s="1"/>
  <c r="W16" i="26"/>
  <c r="Y57" i="1" s="1"/>
  <c r="AD16" i="26"/>
  <c r="AF57" i="1" s="1"/>
  <c r="N16" i="26"/>
  <c r="P57" i="1" s="1"/>
  <c r="K16" i="26"/>
  <c r="M57" i="1" s="1"/>
  <c r="L16" i="26"/>
  <c r="N57" i="1" s="1"/>
  <c r="D16" i="26"/>
  <c r="F57" i="1" s="1"/>
  <c r="AG16" i="26"/>
  <c r="AI57" i="1" s="1"/>
  <c r="R16" i="26"/>
  <c r="T57" i="1" s="1"/>
  <c r="AI16" i="26"/>
  <c r="AK57" i="1" s="1"/>
  <c r="V16" i="26"/>
  <c r="X57" i="1" s="1"/>
  <c r="I16" i="26"/>
  <c r="K57" i="1" s="1"/>
  <c r="AE16" i="26"/>
  <c r="AG57" i="1" s="1"/>
  <c r="AA16" i="26"/>
  <c r="AC57" i="1" s="1"/>
  <c r="AJ16" i="26"/>
  <c r="AL57" i="1" s="1"/>
  <c r="Z16" i="26"/>
  <c r="AB57" i="1" s="1"/>
  <c r="G16" i="26"/>
  <c r="I57" i="1" s="1"/>
  <c r="H16" i="26"/>
  <c r="J57" i="1" s="1"/>
  <c r="F16" i="26"/>
  <c r="H57" i="1" s="1"/>
  <c r="AC16" i="26"/>
  <c r="AE57" i="1" s="1"/>
  <c r="O16" i="26"/>
  <c r="Q57" i="1" s="1"/>
  <c r="AB16" i="26"/>
  <c r="AD57" i="1" s="1"/>
  <c r="AH16" i="26"/>
  <c r="AJ57" i="1" s="1"/>
  <c r="AF16" i="26"/>
  <c r="AH57" i="1" s="1"/>
  <c r="Q16" i="26"/>
  <c r="S57" i="1" s="1"/>
  <c r="S16" i="26"/>
  <c r="U57" i="1" s="1"/>
  <c r="Y16" i="26"/>
  <c r="AA57" i="1" s="1"/>
  <c r="P16" i="26"/>
  <c r="R57" i="1" s="1"/>
  <c r="E16" i="26"/>
  <c r="G57" i="1" s="1"/>
  <c r="X16" i="26"/>
  <c r="Z57" i="1" s="1"/>
  <c r="U16" i="26"/>
  <c r="W57" i="1" s="1"/>
  <c r="T16" i="26"/>
  <c r="V57" i="1" s="1"/>
  <c r="L65" i="11"/>
  <c r="J4" i="1"/>
  <c r="J15" i="1"/>
  <c r="E12" i="12"/>
  <c r="F12" i="12"/>
  <c r="G12" i="12"/>
  <c r="H12" i="12"/>
  <c r="I12" i="12"/>
  <c r="J12" i="12"/>
  <c r="K12" i="12"/>
  <c r="L12" i="12"/>
  <c r="M12" i="12"/>
  <c r="N12" i="12"/>
  <c r="O12" i="12"/>
  <c r="P12" i="12"/>
  <c r="Q12" i="12"/>
  <c r="R12" i="12"/>
  <c r="S12" i="12"/>
  <c r="T12" i="12"/>
  <c r="U12" i="12"/>
  <c r="V12" i="12"/>
  <c r="W12" i="12"/>
  <c r="X12" i="12"/>
  <c r="Y12" i="12"/>
  <c r="Z12" i="12"/>
  <c r="AA12" i="12"/>
  <c r="AB12" i="12"/>
  <c r="AC12" i="12"/>
  <c r="AD12" i="12"/>
  <c r="AE12" i="12"/>
  <c r="AF12" i="12"/>
  <c r="AG12" i="12"/>
  <c r="AH12" i="12"/>
  <c r="AI12" i="12"/>
  <c r="AJ12" i="12"/>
  <c r="AK12" i="12"/>
  <c r="AL12" i="12"/>
  <c r="D12" i="12"/>
  <c r="E17" i="12"/>
  <c r="G55" i="1" s="1"/>
  <c r="F16" i="19" s="1"/>
  <c r="F17" i="12"/>
  <c r="H55" i="1" s="1"/>
  <c r="G16" i="19" s="1"/>
  <c r="G17" i="12"/>
  <c r="I55" i="1" s="1"/>
  <c r="H16" i="19" s="1"/>
  <c r="H17" i="12"/>
  <c r="J55" i="1" s="1"/>
  <c r="I16" i="19" s="1"/>
  <c r="I17" i="12"/>
  <c r="K55" i="1" s="1"/>
  <c r="J16" i="19" s="1"/>
  <c r="J17" i="12"/>
  <c r="L55" i="1" s="1"/>
  <c r="K16" i="19" s="1"/>
  <c r="K17" i="12"/>
  <c r="M55" i="1" s="1"/>
  <c r="L16" i="19" s="1"/>
  <c r="L17" i="12"/>
  <c r="N55" i="1" s="1"/>
  <c r="M16" i="19" s="1"/>
  <c r="M17" i="12"/>
  <c r="O55" i="1" s="1"/>
  <c r="N16" i="19" s="1"/>
  <c r="N17" i="12"/>
  <c r="P55" i="1" s="1"/>
  <c r="O16" i="19" s="1"/>
  <c r="O17" i="12"/>
  <c r="Q55" i="1" s="1"/>
  <c r="P16" i="19" s="1"/>
  <c r="P17" i="12"/>
  <c r="R55" i="1" s="1"/>
  <c r="Q16" i="19" s="1"/>
  <c r="Q17" i="12"/>
  <c r="S55" i="1" s="1"/>
  <c r="R16" i="19" s="1"/>
  <c r="R17" i="12"/>
  <c r="T55" i="1" s="1"/>
  <c r="S16" i="19" s="1"/>
  <c r="S17" i="12"/>
  <c r="U55" i="1" s="1"/>
  <c r="T16" i="19" s="1"/>
  <c r="T17" i="12"/>
  <c r="V55" i="1" s="1"/>
  <c r="U16" i="19" s="1"/>
  <c r="U17" i="12"/>
  <c r="W55" i="1" s="1"/>
  <c r="V16" i="19" s="1"/>
  <c r="V17" i="12"/>
  <c r="X55" i="1" s="1"/>
  <c r="W16" i="19" s="1"/>
  <c r="W17" i="12"/>
  <c r="Y55" i="1" s="1"/>
  <c r="X16" i="19" s="1"/>
  <c r="X17" i="12"/>
  <c r="Z55" i="1" s="1"/>
  <c r="Y16" i="19" s="1"/>
  <c r="Y17" i="12"/>
  <c r="AA55" i="1" s="1"/>
  <c r="Z16" i="19" s="1"/>
  <c r="Z17" i="12"/>
  <c r="AB55" i="1" s="1"/>
  <c r="AA16" i="19" s="1"/>
  <c r="AA17" i="12"/>
  <c r="AC55" i="1" s="1"/>
  <c r="AB16" i="19" s="1"/>
  <c r="AB17" i="12"/>
  <c r="AD55" i="1" s="1"/>
  <c r="AC16" i="19" s="1"/>
  <c r="AC17" i="12"/>
  <c r="AE55" i="1" s="1"/>
  <c r="AD16" i="19" s="1"/>
  <c r="AD17" i="12"/>
  <c r="AF55" i="1" s="1"/>
  <c r="AE16" i="19" s="1"/>
  <c r="AE17" i="12"/>
  <c r="AG55" i="1" s="1"/>
  <c r="AF16" i="19" s="1"/>
  <c r="AF17" i="12"/>
  <c r="AH55" i="1" s="1"/>
  <c r="AG16" i="19" s="1"/>
  <c r="AG17" i="12"/>
  <c r="AI55" i="1" s="1"/>
  <c r="AH16" i="19" s="1"/>
  <c r="AH17" i="12"/>
  <c r="AJ55" i="1" s="1"/>
  <c r="AI16" i="19" s="1"/>
  <c r="AI17" i="12"/>
  <c r="AK55" i="1" s="1"/>
  <c r="AJ16" i="19" s="1"/>
  <c r="AJ17" i="12"/>
  <c r="AL55" i="1" s="1"/>
  <c r="AK16" i="19" s="1"/>
  <c r="AK17" i="12"/>
  <c r="AM55" i="1" s="1"/>
  <c r="AL16" i="19" s="1"/>
  <c r="AL17" i="12"/>
  <c r="AN55" i="1" s="1"/>
  <c r="AM16" i="19" s="1"/>
  <c r="D17" i="12"/>
  <c r="F55" i="1" s="1"/>
  <c r="E16" i="19" s="1"/>
  <c r="D2" i="24"/>
  <c r="E2" i="24" s="1"/>
  <c r="F2" i="24" s="1"/>
  <c r="G2" i="24" s="1"/>
  <c r="H2" i="24" s="1"/>
  <c r="I2" i="24" s="1"/>
  <c r="J2" i="24" s="1"/>
  <c r="K2" i="24" s="1"/>
  <c r="L2" i="24" s="1"/>
  <c r="M2" i="24" s="1"/>
  <c r="N2" i="24" s="1"/>
  <c r="O2" i="24" s="1"/>
  <c r="P2" i="24" s="1"/>
  <c r="Q2" i="24" s="1"/>
  <c r="R2" i="24" s="1"/>
  <c r="S2" i="24" s="1"/>
  <c r="T2" i="24" s="1"/>
  <c r="U2" i="24" s="1"/>
  <c r="V2" i="24" s="1"/>
  <c r="W2" i="24" s="1"/>
  <c r="X2" i="24" s="1"/>
  <c r="Y2" i="24" s="1"/>
  <c r="Z2" i="24" s="1"/>
  <c r="AA2" i="24" s="1"/>
  <c r="AB2" i="24" s="1"/>
  <c r="AC2" i="24" s="1"/>
  <c r="AD2" i="24" s="1"/>
  <c r="AE2" i="24" s="1"/>
  <c r="AF2" i="24" s="1"/>
  <c r="AG2" i="24" s="1"/>
  <c r="AH2" i="24" s="1"/>
  <c r="AI2" i="24" s="1"/>
  <c r="AJ2" i="24" s="1"/>
  <c r="AK2" i="24" s="1"/>
  <c r="B3" i="24"/>
  <c r="B4" i="24"/>
  <c r="B5" i="24"/>
  <c r="B6" i="24"/>
  <c r="B7" i="24"/>
  <c r="B8" i="24"/>
  <c r="B9" i="24"/>
  <c r="B10" i="24"/>
  <c r="B11" i="24"/>
  <c r="B12" i="24"/>
  <c r="B13" i="24"/>
  <c r="B14" i="24"/>
  <c r="B15" i="24"/>
  <c r="I18" i="12" l="1"/>
  <c r="AM17" i="26"/>
  <c r="AM16" i="26"/>
  <c r="O18" i="12"/>
  <c r="K18" i="12"/>
  <c r="AH18" i="12"/>
  <c r="AG18" i="12"/>
  <c r="AB18" i="12"/>
  <c r="AA18" i="12"/>
  <c r="V18" i="12"/>
  <c r="U18" i="12"/>
  <c r="P18" i="12"/>
  <c r="J18" i="12"/>
  <c r="AC18" i="12"/>
  <c r="Q18" i="12"/>
  <c r="E18" i="12"/>
  <c r="AL18" i="12"/>
  <c r="Z18" i="12"/>
  <c r="N18" i="12"/>
  <c r="AK18" i="12"/>
  <c r="Y18" i="12"/>
  <c r="M18" i="12"/>
  <c r="AJ18" i="12"/>
  <c r="X18" i="12"/>
  <c r="L18" i="12"/>
  <c r="AI18" i="12"/>
  <c r="W18" i="12"/>
  <c r="AF18" i="12"/>
  <c r="T18" i="12"/>
  <c r="H18" i="12"/>
  <c r="AE18" i="12"/>
  <c r="S18" i="12"/>
  <c r="G18" i="12"/>
  <c r="AD18" i="12"/>
  <c r="R18" i="12"/>
  <c r="F18" i="12"/>
  <c r="D18" i="12"/>
  <c r="C38" i="11"/>
  <c r="C97" i="11" s="1"/>
  <c r="L73" i="11"/>
  <c r="L66" i="11"/>
  <c r="L74" i="11"/>
  <c r="H9" i="1"/>
  <c r="L75" i="11" l="1"/>
  <c r="L76" i="11"/>
  <c r="L67" i="11"/>
  <c r="L68" i="11" l="1"/>
  <c r="D7" i="18"/>
  <c r="E7" i="18"/>
  <c r="F7" i="18" s="1"/>
  <c r="G7" i="18" s="1"/>
  <c r="H7" i="18" s="1"/>
  <c r="I7" i="18" s="1"/>
  <c r="J7" i="18" s="1"/>
  <c r="K7" i="18" s="1"/>
  <c r="L7" i="18" s="1"/>
  <c r="M7" i="18" s="1"/>
  <c r="N7" i="18" s="1"/>
  <c r="O7" i="18" s="1"/>
  <c r="P7" i="18" s="1"/>
  <c r="Q7" i="18" s="1"/>
  <c r="R7" i="18" s="1"/>
  <c r="S7" i="18" s="1"/>
  <c r="T7" i="18" s="1"/>
  <c r="U7" i="18" s="1"/>
  <c r="V7" i="18" s="1"/>
  <c r="W7" i="18" s="1"/>
  <c r="X7" i="18" s="1"/>
  <c r="Y7" i="18" s="1"/>
  <c r="Z7" i="18" s="1"/>
  <c r="AA7" i="18" s="1"/>
  <c r="AB7" i="18" s="1"/>
  <c r="AC7" i="18" s="1"/>
  <c r="AD7" i="18" s="1"/>
  <c r="AE7" i="18" s="1"/>
  <c r="AF7" i="18" s="1"/>
  <c r="AG7" i="18" s="1"/>
  <c r="AH7" i="18" s="1"/>
  <c r="AI7" i="18" s="1"/>
  <c r="AJ7" i="18" s="1"/>
  <c r="AK7" i="18" s="1"/>
  <c r="AL7" i="18" s="1"/>
  <c r="AM7" i="18" s="1"/>
  <c r="AN7" i="18" s="1"/>
  <c r="AO7" i="18" s="1"/>
  <c r="AP7" i="18" s="1"/>
  <c r="D3" i="15"/>
  <c r="Q9" i="15" s="1"/>
  <c r="E7" i="15"/>
  <c r="F7" i="15"/>
  <c r="G7" i="15"/>
  <c r="H7" i="15"/>
  <c r="I7" i="15"/>
  <c r="J7" i="15"/>
  <c r="K7" i="15"/>
  <c r="L7" i="15"/>
  <c r="M7" i="15"/>
  <c r="N7" i="15"/>
  <c r="O7" i="15"/>
  <c r="P7" i="15"/>
  <c r="Q7" i="15"/>
  <c r="R7" i="15"/>
  <c r="S7" i="15"/>
  <c r="T7" i="15"/>
  <c r="U7" i="15"/>
  <c r="V7" i="15"/>
  <c r="W7" i="15"/>
  <c r="X7" i="15"/>
  <c r="Y7" i="15"/>
  <c r="Z7" i="15"/>
  <c r="AA7" i="15"/>
  <c r="AB7" i="15"/>
  <c r="AC7" i="15"/>
  <c r="AD7" i="15"/>
  <c r="AE7" i="15"/>
  <c r="AF7" i="15"/>
  <c r="AG7" i="15"/>
  <c r="AH7" i="15"/>
  <c r="AI7" i="15"/>
  <c r="AJ7" i="15"/>
  <c r="AK7" i="15"/>
  <c r="AL7" i="15"/>
  <c r="AM7" i="15"/>
  <c r="H1" i="18"/>
  <c r="I1" i="18" s="1"/>
  <c r="J1" i="18" s="1"/>
  <c r="K1" i="18" s="1"/>
  <c r="L1" i="18" s="1"/>
  <c r="M1" i="18" s="1"/>
  <c r="N1" i="18" s="1"/>
  <c r="O1" i="18" s="1"/>
  <c r="P1" i="18" s="1"/>
  <c r="Q1" i="18" s="1"/>
  <c r="R1" i="18" s="1"/>
  <c r="S1" i="18" s="1"/>
  <c r="T1" i="18" s="1"/>
  <c r="U1" i="18" s="1"/>
  <c r="V1" i="18" s="1"/>
  <c r="W1" i="18" s="1"/>
  <c r="X1" i="18" s="1"/>
  <c r="Y1" i="18" s="1"/>
  <c r="Z1" i="18" s="1"/>
  <c r="AA1" i="18" s="1"/>
  <c r="AB1" i="18" s="1"/>
  <c r="AC1" i="18" s="1"/>
  <c r="AD1" i="18" s="1"/>
  <c r="AE1" i="18" s="1"/>
  <c r="AF1" i="18" s="1"/>
  <c r="AG1" i="18" s="1"/>
  <c r="AH1" i="18" s="1"/>
  <c r="AI1" i="18" s="1"/>
  <c r="AJ1" i="18" s="1"/>
  <c r="AK1" i="18" s="1"/>
  <c r="AL1" i="18" s="1"/>
  <c r="AM1" i="18" s="1"/>
  <c r="AN1" i="18" s="1"/>
  <c r="AO1" i="18" s="1"/>
  <c r="AP1" i="18" s="1"/>
  <c r="E2" i="18"/>
  <c r="F2" i="18" s="1"/>
  <c r="G2" i="18" s="1"/>
  <c r="H2" i="18" s="1"/>
  <c r="I2" i="18" s="1"/>
  <c r="J2" i="18" s="1"/>
  <c r="K2" i="18" s="1"/>
  <c r="L2" i="18" s="1"/>
  <c r="M2" i="18" s="1"/>
  <c r="N2" i="18" s="1"/>
  <c r="O2" i="18" s="1"/>
  <c r="P2" i="18" s="1"/>
  <c r="Q2" i="18" s="1"/>
  <c r="R2" i="18" s="1"/>
  <c r="S2" i="18" s="1"/>
  <c r="T2" i="18" s="1"/>
  <c r="U2" i="18" s="1"/>
  <c r="V2" i="18" s="1"/>
  <c r="W2" i="18" s="1"/>
  <c r="X2" i="18" s="1"/>
  <c r="Y2" i="18" s="1"/>
  <c r="Z2" i="18" s="1"/>
  <c r="AA2" i="18" s="1"/>
  <c r="AB2" i="18" s="1"/>
  <c r="AC2" i="18" s="1"/>
  <c r="AD2" i="18" s="1"/>
  <c r="AE2" i="18" s="1"/>
  <c r="AF2" i="18" s="1"/>
  <c r="AG2" i="18" s="1"/>
  <c r="AH2" i="18" s="1"/>
  <c r="AI2" i="18" s="1"/>
  <c r="AJ2" i="18" s="1"/>
  <c r="AK2" i="18" s="1"/>
  <c r="AL2" i="18" s="1"/>
  <c r="AM2" i="18" s="1"/>
  <c r="AN2" i="18" s="1"/>
  <c r="AO2" i="18" s="1"/>
  <c r="AP2" i="18" s="1"/>
  <c r="C7" i="18"/>
  <c r="C9" i="18"/>
  <c r="D9" i="18"/>
  <c r="E9" i="18"/>
  <c r="F9" i="18"/>
  <c r="G9" i="18"/>
  <c r="H9" i="18"/>
  <c r="I9" i="18"/>
  <c r="J9" i="18"/>
  <c r="K9" i="18"/>
  <c r="L9" i="18"/>
  <c r="M9" i="18"/>
  <c r="N9" i="18"/>
  <c r="O9" i="18"/>
  <c r="P9" i="18"/>
  <c r="Q9" i="18"/>
  <c r="R9" i="18"/>
  <c r="S9" i="18"/>
  <c r="T9" i="18"/>
  <c r="U9" i="18"/>
  <c r="V9" i="18"/>
  <c r="W9" i="18"/>
  <c r="X9" i="18"/>
  <c r="Y9" i="18"/>
  <c r="Z9" i="18"/>
  <c r="AA9" i="18"/>
  <c r="AB9" i="18"/>
  <c r="AC9" i="18"/>
  <c r="AD9" i="18"/>
  <c r="AE9" i="18"/>
  <c r="AF9" i="18"/>
  <c r="AG9" i="18"/>
  <c r="AH9" i="18"/>
  <c r="AI9" i="18"/>
  <c r="AJ9" i="18"/>
  <c r="AK9" i="18"/>
  <c r="AL9" i="18"/>
  <c r="AM9" i="18"/>
  <c r="AN9" i="18"/>
  <c r="H31" i="22"/>
  <c r="H61" i="22" s="1"/>
  <c r="I31" i="22"/>
  <c r="I61" i="22" s="1"/>
  <c r="J31" i="22"/>
  <c r="K31" i="22"/>
  <c r="K61" i="22" s="1"/>
  <c r="P31" i="22"/>
  <c r="P61" i="22" s="1"/>
  <c r="Q31" i="22"/>
  <c r="Q61" i="22" s="1"/>
  <c r="R31" i="22"/>
  <c r="R61" i="22" s="1"/>
  <c r="X31" i="22"/>
  <c r="X61" i="22" s="1"/>
  <c r="Y31" i="22"/>
  <c r="Y61" i="22" s="1"/>
  <c r="Z31" i="22"/>
  <c r="Z61" i="22" s="1"/>
  <c r="AA31" i="22"/>
  <c r="AC31" i="22"/>
  <c r="AC61" i="22" s="1"/>
  <c r="AD31" i="22"/>
  <c r="AD61" i="22" s="1"/>
  <c r="AF31" i="22"/>
  <c r="AF61" i="22" s="1"/>
  <c r="AG31" i="22"/>
  <c r="AH31" i="22"/>
  <c r="D28" i="22"/>
  <c r="D60" i="22" s="1"/>
  <c r="AQ4" i="21"/>
  <c r="I4" i="10"/>
  <c r="I6" i="10"/>
  <c r="I7" i="10"/>
  <c r="I8" i="10"/>
  <c r="I9" i="10"/>
  <c r="I10" i="10"/>
  <c r="AD28" i="10"/>
  <c r="AM2" i="23"/>
  <c r="F24" i="23"/>
  <c r="F22" i="23" s="1"/>
  <c r="O24" i="23"/>
  <c r="O22" i="23" s="1"/>
  <c r="V24" i="23"/>
  <c r="V22" i="23" s="1"/>
  <c r="AD24" i="23"/>
  <c r="AD22" i="23" s="1"/>
  <c r="A17" i="23"/>
  <c r="B21" i="23"/>
  <c r="G9" i="15" l="1"/>
  <c r="F9" i="15"/>
  <c r="E9" i="15"/>
  <c r="AD9" i="15"/>
  <c r="AD10" i="15" s="1"/>
  <c r="AE66" i="1" s="1"/>
  <c r="AC9" i="15"/>
  <c r="S9" i="15"/>
  <c r="AE9" i="15"/>
  <c r="AE10" i="15" s="1"/>
  <c r="AF66" i="1" s="1"/>
  <c r="R9" i="15"/>
  <c r="R10" i="15" s="1"/>
  <c r="S66" i="1" s="1"/>
  <c r="L77" i="11"/>
  <c r="L69" i="11"/>
  <c r="AA32" i="22"/>
  <c r="AA61" i="22"/>
  <c r="AH32" i="22"/>
  <c r="AH61" i="22"/>
  <c r="J32" i="22"/>
  <c r="J61" i="22"/>
  <c r="AG32" i="22"/>
  <c r="AG61" i="22"/>
  <c r="AF9" i="15"/>
  <c r="AF10" i="15" s="1"/>
  <c r="AG66" i="1" s="1"/>
  <c r="T9" i="15"/>
  <c r="T10" i="15" s="1"/>
  <c r="U66" i="1" s="1"/>
  <c r="H9" i="15"/>
  <c r="H10" i="15" s="1"/>
  <c r="I66" i="1" s="1"/>
  <c r="AB9" i="15"/>
  <c r="AB10" i="15" s="1"/>
  <c r="AC66" i="1" s="1"/>
  <c r="P9" i="15"/>
  <c r="P10" i="15" s="1"/>
  <c r="Q66" i="1" s="1"/>
  <c r="AM9" i="15"/>
  <c r="AM10" i="15" s="1"/>
  <c r="AN66" i="1" s="1"/>
  <c r="AA9" i="15"/>
  <c r="AA10" i="15" s="1"/>
  <c r="AB66" i="1" s="1"/>
  <c r="O9" i="15"/>
  <c r="O10" i="15" s="1"/>
  <c r="P66" i="1" s="1"/>
  <c r="AL9" i="15"/>
  <c r="AL10" i="15" s="1"/>
  <c r="AM66" i="1" s="1"/>
  <c r="Z9" i="15"/>
  <c r="Z10" i="15" s="1"/>
  <c r="AA66" i="1" s="1"/>
  <c r="N9" i="15"/>
  <c r="N10" i="15" s="1"/>
  <c r="O66" i="1" s="1"/>
  <c r="AK9" i="15"/>
  <c r="AK10" i="15" s="1"/>
  <c r="AL66" i="1" s="1"/>
  <c r="Y9" i="15"/>
  <c r="Y10" i="15" s="1"/>
  <c r="Z66" i="1" s="1"/>
  <c r="M9" i="15"/>
  <c r="M10" i="15" s="1"/>
  <c r="N66" i="1" s="1"/>
  <c r="AJ9" i="15"/>
  <c r="AJ10" i="15" s="1"/>
  <c r="AK66" i="1" s="1"/>
  <c r="X9" i="15"/>
  <c r="X10" i="15" s="1"/>
  <c r="Y66" i="1" s="1"/>
  <c r="L9" i="15"/>
  <c r="L10" i="15" s="1"/>
  <c r="M66" i="1" s="1"/>
  <c r="AI9" i="15"/>
  <c r="AI10" i="15" s="1"/>
  <c r="AJ66" i="1" s="1"/>
  <c r="W9" i="15"/>
  <c r="W10" i="15" s="1"/>
  <c r="X66" i="1" s="1"/>
  <c r="K9" i="15"/>
  <c r="K10" i="15" s="1"/>
  <c r="L66" i="1" s="1"/>
  <c r="AH9" i="15"/>
  <c r="AH10" i="15" s="1"/>
  <c r="AI66" i="1" s="1"/>
  <c r="V9" i="15"/>
  <c r="V10" i="15" s="1"/>
  <c r="W66" i="1" s="1"/>
  <c r="J9" i="15"/>
  <c r="J10" i="15" s="1"/>
  <c r="K66" i="1" s="1"/>
  <c r="AG9" i="15"/>
  <c r="AG10" i="15" s="1"/>
  <c r="AH66" i="1" s="1"/>
  <c r="U9" i="15"/>
  <c r="U10" i="15" s="1"/>
  <c r="V66" i="1" s="1"/>
  <c r="I9" i="15"/>
  <c r="I10" i="15" s="1"/>
  <c r="J66" i="1" s="1"/>
  <c r="AJ24" i="23"/>
  <c r="AJ22" i="23" s="1"/>
  <c r="AE24" i="23"/>
  <c r="AE22" i="23" s="1"/>
  <c r="AH24" i="23"/>
  <c r="AH22" i="23" s="1"/>
  <c r="AH23" i="23" s="1"/>
  <c r="AK24" i="23"/>
  <c r="AK22" i="23" s="1"/>
  <c r="AL24" i="23"/>
  <c r="AL22" i="23" s="1"/>
  <c r="AG24" i="23"/>
  <c r="AG22" i="23" s="1"/>
  <c r="H24" i="23"/>
  <c r="H22" i="23" s="1"/>
  <c r="G24" i="23"/>
  <c r="G22" i="23" s="1"/>
  <c r="Q10" i="15"/>
  <c r="R66" i="1" s="1"/>
  <c r="I32" i="22"/>
  <c r="H32" i="22"/>
  <c r="AC32" i="22"/>
  <c r="Q32" i="22"/>
  <c r="AA24" i="23"/>
  <c r="AA22" i="23" s="1"/>
  <c r="R32" i="22"/>
  <c r="Z24" i="23"/>
  <c r="Z22" i="23" s="1"/>
  <c r="G10" i="15"/>
  <c r="H66" i="1" s="1"/>
  <c r="X24" i="23"/>
  <c r="X25" i="23" s="1"/>
  <c r="W24" i="23"/>
  <c r="W22" i="23" s="1"/>
  <c r="U24" i="23"/>
  <c r="U22" i="23" s="1"/>
  <c r="T24" i="23"/>
  <c r="T22" i="23" s="1"/>
  <c r="S24" i="23"/>
  <c r="S22" i="23" s="1"/>
  <c r="S23" i="23" s="1"/>
  <c r="N24" i="23"/>
  <c r="N25" i="23" s="1"/>
  <c r="O25" i="23" s="1"/>
  <c r="AC24" i="23"/>
  <c r="R24" i="23"/>
  <c r="R22" i="23" s="1"/>
  <c r="AF24" i="23"/>
  <c r="AF22" i="23" s="1"/>
  <c r="P24" i="23"/>
  <c r="P22" i="23" s="1"/>
  <c r="Q24" i="23"/>
  <c r="Q22" i="23" s="1"/>
  <c r="L24" i="23"/>
  <c r="L22" i="23" s="1"/>
  <c r="K24" i="23"/>
  <c r="K22" i="23" s="1"/>
  <c r="Y24" i="23"/>
  <c r="Y22" i="23" s="1"/>
  <c r="AB24" i="23"/>
  <c r="AB22" i="23" s="1"/>
  <c r="J24" i="23"/>
  <c r="J22" i="23" s="1"/>
  <c r="M24" i="23"/>
  <c r="M22" i="23" s="1"/>
  <c r="I24" i="23"/>
  <c r="E24" i="23"/>
  <c r="E22" i="23" s="1"/>
  <c r="D24" i="23"/>
  <c r="X32" i="22"/>
  <c r="K32" i="22"/>
  <c r="Z32" i="22"/>
  <c r="F10" i="15"/>
  <c r="G66" i="1" s="1"/>
  <c r="AC10" i="15"/>
  <c r="AD66" i="1" s="1"/>
  <c r="E10" i="15"/>
  <c r="F66" i="1" s="1"/>
  <c r="S10" i="15"/>
  <c r="T66" i="1" s="1"/>
  <c r="D29" i="22"/>
  <c r="D30" i="22"/>
  <c r="W31" i="22"/>
  <c r="W61" i="22" s="1"/>
  <c r="G31" i="22"/>
  <c r="G61" i="22" s="1"/>
  <c r="AD32" i="22"/>
  <c r="AE31" i="22"/>
  <c r="AE61" i="22" s="1"/>
  <c r="O31" i="22"/>
  <c r="O61" i="22" s="1"/>
  <c r="V31" i="22"/>
  <c r="V61" i="22" s="1"/>
  <c r="N31" i="22"/>
  <c r="N61" i="22" s="1"/>
  <c r="F31" i="22"/>
  <c r="F61" i="22" s="1"/>
  <c r="T31" i="22"/>
  <c r="T61" i="22" s="1"/>
  <c r="AL31" i="22"/>
  <c r="AL61" i="22" s="1"/>
  <c r="AK31" i="22"/>
  <c r="AK61" i="22" s="1"/>
  <c r="E26" i="22"/>
  <c r="E59" i="22" s="1"/>
  <c r="E31" i="22"/>
  <c r="E61" i="22" s="1"/>
  <c r="AB31" i="22"/>
  <c r="AB61" i="22" s="1"/>
  <c r="Y32" i="22"/>
  <c r="M31" i="22"/>
  <c r="M61" i="22" s="1"/>
  <c r="L31" i="22"/>
  <c r="L61" i="22" s="1"/>
  <c r="P32" i="22"/>
  <c r="U31" i="22"/>
  <c r="U61" i="22" s="1"/>
  <c r="AJ31" i="22"/>
  <c r="AJ61" i="22" s="1"/>
  <c r="D24" i="22"/>
  <c r="D58" i="22" s="1"/>
  <c r="D31" i="22"/>
  <c r="D61" i="22" s="1"/>
  <c r="D26" i="22"/>
  <c r="D59" i="22" s="1"/>
  <c r="AF32" i="22"/>
  <c r="S31" i="22"/>
  <c r="S61" i="22" s="1"/>
  <c r="AI31" i="22"/>
  <c r="AI61" i="22" s="1"/>
  <c r="AE28" i="10"/>
  <c r="AI24" i="23"/>
  <c r="F20" i="14"/>
  <c r="G20" i="14"/>
  <c r="H20" i="14"/>
  <c r="I20" i="14"/>
  <c r="J20" i="14"/>
  <c r="K20" i="14"/>
  <c r="L20" i="14"/>
  <c r="M20" i="14"/>
  <c r="N20" i="14"/>
  <c r="O20" i="14"/>
  <c r="P20" i="14"/>
  <c r="Q20" i="14"/>
  <c r="R20" i="14"/>
  <c r="S20" i="14"/>
  <c r="T20" i="14"/>
  <c r="U20" i="14"/>
  <c r="V20" i="14"/>
  <c r="W20" i="14"/>
  <c r="X20" i="14"/>
  <c r="Y20" i="14"/>
  <c r="Z20" i="14"/>
  <c r="AA20" i="14"/>
  <c r="AB20" i="14"/>
  <c r="AC20" i="14"/>
  <c r="AD20" i="14"/>
  <c r="AE20" i="14"/>
  <c r="AF20" i="14"/>
  <c r="AG20" i="14"/>
  <c r="AH20" i="14"/>
  <c r="AI20" i="14"/>
  <c r="AJ20" i="14"/>
  <c r="AK20" i="14"/>
  <c r="AL20" i="14"/>
  <c r="AM20" i="14"/>
  <c r="E20" i="14"/>
  <c r="B83" i="7"/>
  <c r="B75" i="7"/>
  <c r="B67" i="7"/>
  <c r="B59" i="7"/>
  <c r="B51" i="7"/>
  <c r="B43" i="7"/>
  <c r="B35" i="7"/>
  <c r="AJ96" i="7"/>
  <c r="AK96" i="7"/>
  <c r="AL96" i="7"/>
  <c r="AJ97" i="7"/>
  <c r="AK97" i="7"/>
  <c r="AL97" i="7"/>
  <c r="X22" i="23" l="1"/>
  <c r="X23" i="23" s="1"/>
  <c r="Y23" i="23" s="1"/>
  <c r="Z23" i="23" s="1"/>
  <c r="AA23" i="23" s="1"/>
  <c r="AB23" i="23" s="1"/>
  <c r="AH25" i="23"/>
  <c r="AI25" i="23" s="1"/>
  <c r="AJ25" i="23" s="1"/>
  <c r="AK25" i="23" s="1"/>
  <c r="AL25" i="23" s="1"/>
  <c r="P25" i="23"/>
  <c r="Q25" i="23" s="1"/>
  <c r="R25" i="23" s="1"/>
  <c r="T23" i="23"/>
  <c r="U23" i="23" s="1"/>
  <c r="V23" i="23" s="1"/>
  <c r="W23" i="23" s="1"/>
  <c r="S25" i="23"/>
  <c r="T25" i="23" s="1"/>
  <c r="U25" i="23" s="1"/>
  <c r="V25" i="23" s="1"/>
  <c r="W25" i="23" s="1"/>
  <c r="N22" i="23"/>
  <c r="D22" i="23"/>
  <c r="D25" i="23"/>
  <c r="E25" i="23" s="1"/>
  <c r="F25" i="23" s="1"/>
  <c r="G25" i="23" s="1"/>
  <c r="H25" i="23" s="1"/>
  <c r="I25" i="23"/>
  <c r="J25" i="23" s="1"/>
  <c r="K25" i="23" s="1"/>
  <c r="L25" i="23" s="1"/>
  <c r="M25" i="23" s="1"/>
  <c r="I22" i="23"/>
  <c r="Y25" i="23"/>
  <c r="Z25" i="23" s="1"/>
  <c r="AA25" i="23" s="1"/>
  <c r="AB25" i="23" s="1"/>
  <c r="AC22" i="23"/>
  <c r="AC25" i="23"/>
  <c r="AD25" i="23" s="1"/>
  <c r="AE25" i="23" s="1"/>
  <c r="AF25" i="23" s="1"/>
  <c r="AG25" i="23" s="1"/>
  <c r="D33" i="22"/>
  <c r="G32" i="22"/>
  <c r="M32" i="22"/>
  <c r="E32" i="22"/>
  <c r="D32" i="22"/>
  <c r="E27" i="22"/>
  <c r="N32" i="22"/>
  <c r="AJ32" i="22"/>
  <c r="L32" i="22"/>
  <c r="T32" i="22"/>
  <c r="D25" i="22"/>
  <c r="O32" i="22"/>
  <c r="W32" i="22"/>
  <c r="AB32" i="22"/>
  <c r="U32" i="22"/>
  <c r="F32" i="22"/>
  <c r="AE32" i="22"/>
  <c r="D27" i="22"/>
  <c r="AI32" i="22"/>
  <c r="S32" i="22"/>
  <c r="AK32" i="22"/>
  <c r="AL32" i="22"/>
  <c r="V32" i="22"/>
  <c r="AF28" i="10"/>
  <c r="AI22" i="23"/>
  <c r="AI23" i="23" s="1"/>
  <c r="AJ23" i="23" s="1"/>
  <c r="AK23" i="23" s="1"/>
  <c r="AL23" i="23" s="1"/>
  <c r="AM24" i="23"/>
  <c r="D34" i="22" l="1"/>
  <c r="D62" i="22"/>
  <c r="N23" i="23"/>
  <c r="O23" i="23" s="1"/>
  <c r="P23" i="23" s="1"/>
  <c r="Q23" i="23" s="1"/>
  <c r="R23" i="23" s="1"/>
  <c r="AM25" i="23"/>
  <c r="I23" i="23"/>
  <c r="J23" i="23" s="1"/>
  <c r="K23" i="23" s="1"/>
  <c r="L23" i="23" s="1"/>
  <c r="M23" i="23" s="1"/>
  <c r="D23" i="23"/>
  <c r="E23" i="23" s="1"/>
  <c r="F23" i="23" s="1"/>
  <c r="G23" i="23" s="1"/>
  <c r="H23" i="23" s="1"/>
  <c r="AC23" i="23"/>
  <c r="AD23" i="23" s="1"/>
  <c r="AE23" i="23" s="1"/>
  <c r="AF23" i="23" s="1"/>
  <c r="AG23" i="23" s="1"/>
  <c r="AG28" i="10"/>
  <c r="AM22" i="23"/>
  <c r="D15" i="7"/>
  <c r="H15" i="7" s="1"/>
  <c r="AM23" i="23" l="1"/>
  <c r="AH28" i="10"/>
  <c r="N3" i="13"/>
  <c r="P3" i="13" s="1"/>
  <c r="N2" i="13"/>
  <c r="P2" i="13" l="1"/>
  <c r="AI28" i="10"/>
  <c r="AJ28" i="10" l="1"/>
  <c r="AK28" i="10" l="1"/>
  <c r="AL28" i="10" l="1"/>
  <c r="J76" i="5"/>
  <c r="I76" i="5"/>
  <c r="J68" i="5"/>
  <c r="I68" i="5"/>
  <c r="J60" i="5"/>
  <c r="I60" i="5"/>
  <c r="J52" i="5"/>
  <c r="I52" i="5"/>
  <c r="J28" i="5"/>
  <c r="I28" i="5"/>
  <c r="I4" i="5"/>
  <c r="J4" i="5"/>
  <c r="AI21" i="13" l="1"/>
  <c r="AJ21" i="13"/>
  <c r="AK21" i="13"/>
  <c r="AL21" i="13"/>
  <c r="AM21" i="13"/>
  <c r="D21" i="6" l="1"/>
  <c r="C3" i="19" s="1"/>
  <c r="AL34" i="6"/>
  <c r="AM34" i="6"/>
  <c r="AN34" i="6"/>
  <c r="AJ24" i="7"/>
  <c r="AK24" i="7"/>
  <c r="AL24" i="7"/>
  <c r="AJ10" i="13" l="1"/>
  <c r="AJ13" i="13" s="1"/>
  <c r="AI10" i="13"/>
  <c r="AI13" i="13" s="1"/>
  <c r="AM16" i="13"/>
  <c r="AM19" i="13" s="1"/>
  <c r="AM10" i="13"/>
  <c r="AM13" i="13" s="1"/>
  <c r="AK10" i="13"/>
  <c r="AK13" i="13" s="1"/>
  <c r="AK16" i="13" l="1"/>
  <c r="AK19" i="13" s="1"/>
  <c r="AM27" i="13"/>
  <c r="AM28" i="13" s="1"/>
  <c r="AM29" i="13" s="1"/>
  <c r="AN29" i="13" s="1"/>
  <c r="AM14" i="14"/>
  <c r="AM16" i="14"/>
  <c r="AM17" i="14"/>
  <c r="AM18" i="14"/>
  <c r="AM13" i="14"/>
  <c r="AM15" i="14"/>
  <c r="AL10" i="13"/>
  <c r="AL13" i="13" s="1"/>
  <c r="AJ13" i="14"/>
  <c r="AJ14" i="14"/>
  <c r="AJ16" i="14"/>
  <c r="AJ15" i="14"/>
  <c r="AJ17" i="14"/>
  <c r="AJ18" i="14"/>
  <c r="AI16" i="13"/>
  <c r="AI19" i="13" s="1"/>
  <c r="AK14" i="14"/>
  <c r="AK13" i="14"/>
  <c r="AK16" i="14"/>
  <c r="AK17" i="14"/>
  <c r="AK15" i="14"/>
  <c r="AK18" i="14"/>
  <c r="AM20" i="13"/>
  <c r="AM24" i="13"/>
  <c r="AM25" i="13" s="1"/>
  <c r="AM26" i="13" s="1"/>
  <c r="AI16" i="14"/>
  <c r="AI15" i="14"/>
  <c r="AI17" i="14"/>
  <c r="AI18" i="14"/>
  <c r="AI13" i="14"/>
  <c r="AI14" i="14"/>
  <c r="AJ24" i="13"/>
  <c r="AJ25" i="13" s="1"/>
  <c r="AJ26" i="13" s="1"/>
  <c r="AM24" i="14"/>
  <c r="AM23" i="14"/>
  <c r="AK24" i="13"/>
  <c r="AK25" i="13" s="1"/>
  <c r="AK26" i="13" s="1"/>
  <c r="AJ16" i="13"/>
  <c r="AJ19" i="13" s="1"/>
  <c r="AI24" i="13"/>
  <c r="AI25" i="13" s="1"/>
  <c r="AI26" i="13" s="1"/>
  <c r="J10" i="5"/>
  <c r="J7" i="6"/>
  <c r="J4" i="6"/>
  <c r="AO29" i="13" l="1"/>
  <c r="AM25" i="14"/>
  <c r="AM21" i="14"/>
  <c r="AJ21" i="14"/>
  <c r="AI21" i="14"/>
  <c r="AK21" i="14"/>
  <c r="AI20" i="13"/>
  <c r="AK20" i="13"/>
  <c r="AK27" i="13"/>
  <c r="AK28" i="13" s="1"/>
  <c r="AK29" i="13" s="1"/>
  <c r="AJ27" i="13"/>
  <c r="AJ28" i="13" s="1"/>
  <c r="AJ29" i="13" s="1"/>
  <c r="AK24" i="14"/>
  <c r="AK23" i="14"/>
  <c r="AL16" i="13"/>
  <c r="AL19" i="13" s="1"/>
  <c r="AJ20" i="13"/>
  <c r="AI27" i="13"/>
  <c r="AI28" i="13" s="1"/>
  <c r="AI29" i="13" s="1"/>
  <c r="AL24" i="13"/>
  <c r="AL25" i="13" s="1"/>
  <c r="AL26" i="13" s="1"/>
  <c r="AL23" i="14"/>
  <c r="AL24" i="14"/>
  <c r="AL13" i="14"/>
  <c r="AL16" i="14"/>
  <c r="AL18" i="14"/>
  <c r="AL17" i="14"/>
  <c r="AL15" i="14"/>
  <c r="AL14" i="14"/>
  <c r="AL21" i="14" l="1"/>
  <c r="AK25" i="14"/>
  <c r="AL25" i="14"/>
  <c r="AL20" i="13"/>
  <c r="AL27" i="13"/>
  <c r="AL28" i="13" s="1"/>
  <c r="AL29" i="13" s="1"/>
  <c r="AN7" i="19" l="1"/>
  <c r="J5" i="6" l="1"/>
  <c r="AN32" i="19" l="1"/>
  <c r="AK18" i="19" l="1"/>
  <c r="AL18" i="19"/>
  <c r="AL21" i="19"/>
  <c r="AM18" i="19"/>
  <c r="AM21" i="19"/>
  <c r="AK21" i="19" l="1"/>
  <c r="AI18" i="19"/>
  <c r="AI21" i="19"/>
  <c r="AJ21" i="19"/>
  <c r="AJ18" i="19"/>
  <c r="J6" i="6"/>
  <c r="J3" i="6"/>
  <c r="J2" i="6"/>
  <c r="H2" i="6"/>
  <c r="F21" i="13"/>
  <c r="G21" i="13"/>
  <c r="H21" i="13"/>
  <c r="I21" i="13"/>
  <c r="J21" i="13"/>
  <c r="K21" i="13"/>
  <c r="L21" i="13"/>
  <c r="M21" i="13"/>
  <c r="N21" i="13"/>
  <c r="O21" i="13"/>
  <c r="P21" i="13"/>
  <c r="Q21" i="13"/>
  <c r="R21" i="13"/>
  <c r="S21" i="13"/>
  <c r="T21" i="13"/>
  <c r="U21" i="13"/>
  <c r="V21" i="13"/>
  <c r="W21" i="13"/>
  <c r="X21" i="13"/>
  <c r="Y21" i="13"/>
  <c r="Z21" i="13"/>
  <c r="AA21" i="13"/>
  <c r="AB21" i="13"/>
  <c r="AC21" i="13"/>
  <c r="AD21" i="13"/>
  <c r="AE21" i="13"/>
  <c r="AF21" i="13"/>
  <c r="AG21" i="13"/>
  <c r="AH21" i="13"/>
  <c r="E21" i="13"/>
  <c r="AK204" i="1" l="1"/>
  <c r="AG204" i="1"/>
  <c r="AJ204" i="1"/>
  <c r="AI204" i="1"/>
  <c r="AJ207" i="1"/>
  <c r="AG202" i="1"/>
  <c r="AJ202" i="1"/>
  <c r="AI202" i="1"/>
  <c r="AI207" i="1"/>
  <c r="AG207" i="1"/>
  <c r="AK207" i="1" l="1"/>
  <c r="AK202" i="1"/>
  <c r="AH207" i="1"/>
  <c r="AH202" i="1"/>
  <c r="AH204" i="1"/>
  <c r="AJ22" i="13" l="1"/>
  <c r="D1" i="11" l="1"/>
  <c r="AK61" i="1"/>
  <c r="F60" i="5"/>
  <c r="E28" i="29" s="1"/>
  <c r="F28" i="5"/>
  <c r="E12" i="29" s="1"/>
  <c r="F59" i="5"/>
  <c r="E27" i="29" s="1"/>
  <c r="F52" i="5"/>
  <c r="E20" i="29" s="1"/>
  <c r="F68" i="5"/>
  <c r="E36" i="29" s="1"/>
  <c r="F4" i="5"/>
  <c r="E4" i="29" s="1"/>
  <c r="F76" i="5"/>
  <c r="E44" i="29" s="1"/>
  <c r="AK22" i="13"/>
  <c r="AL61" i="1" s="1"/>
  <c r="AL22" i="13"/>
  <c r="AM61" i="1" s="1"/>
  <c r="AM22" i="13"/>
  <c r="AN61" i="1" s="1"/>
  <c r="AI22" i="13"/>
  <c r="E1" i="11" l="1"/>
  <c r="E21" i="10"/>
  <c r="F21" i="10" s="1"/>
  <c r="G21" i="10" s="1"/>
  <c r="H21" i="10" s="1"/>
  <c r="I21" i="10" s="1"/>
  <c r="J21" i="10" s="1"/>
  <c r="K21" i="10" s="1"/>
  <c r="L21" i="10" s="1"/>
  <c r="M21" i="10" s="1"/>
  <c r="N21" i="10" s="1"/>
  <c r="O21" i="10" s="1"/>
  <c r="P21" i="10" s="1"/>
  <c r="Q21" i="10" s="1"/>
  <c r="R21" i="10" s="1"/>
  <c r="S21" i="10" s="1"/>
  <c r="T21" i="10" s="1"/>
  <c r="U21" i="10" s="1"/>
  <c r="V21" i="10" s="1"/>
  <c r="W21" i="10" s="1"/>
  <c r="X21" i="10" s="1"/>
  <c r="Y21" i="10" s="1"/>
  <c r="Z21" i="10" s="1"/>
  <c r="AA21" i="10" s="1"/>
  <c r="AB21" i="10" s="1"/>
  <c r="AC21" i="10" s="1"/>
  <c r="AD21" i="10" s="1"/>
  <c r="AE21" i="10" s="1"/>
  <c r="AF21" i="10" s="1"/>
  <c r="AG21" i="10" s="1"/>
  <c r="AH21" i="10" s="1"/>
  <c r="AI21" i="10" s="1"/>
  <c r="AJ21" i="10" s="1"/>
  <c r="AK21" i="10" s="1"/>
  <c r="AL21" i="10" s="1"/>
  <c r="AJ61" i="1"/>
  <c r="AM22" i="19"/>
  <c r="AK208" i="1"/>
  <c r="AL22" i="19"/>
  <c r="AJ208" i="1"/>
  <c r="AK22" i="19"/>
  <c r="AI208" i="1"/>
  <c r="AJ22" i="19"/>
  <c r="AH208" i="1"/>
  <c r="G68" i="5"/>
  <c r="F36" i="29" s="1"/>
  <c r="G76" i="5"/>
  <c r="F44" i="29" s="1"/>
  <c r="G52" i="5"/>
  <c r="F20" i="29" s="1"/>
  <c r="G4" i="5"/>
  <c r="F4" i="29" s="1"/>
  <c r="G28" i="5"/>
  <c r="F12" i="29" s="1"/>
  <c r="G60" i="5"/>
  <c r="F28" i="29" s="1"/>
  <c r="N16" i="13"/>
  <c r="N19" i="13" s="1"/>
  <c r="F23" i="14"/>
  <c r="F24" i="14"/>
  <c r="F16" i="13"/>
  <c r="F19" i="13" s="1"/>
  <c r="R16" i="13"/>
  <c r="R19" i="13" s="1"/>
  <c r="T16" i="13"/>
  <c r="T19" i="13" s="1"/>
  <c r="AD16" i="13"/>
  <c r="AD19" i="13" s="1"/>
  <c r="D45" i="11" l="1"/>
  <c r="C19" i="11"/>
  <c r="AL19" i="11" s="1"/>
  <c r="F1" i="11"/>
  <c r="F25" i="14"/>
  <c r="AI22" i="19"/>
  <c r="AG208" i="1"/>
  <c r="AI23" i="14"/>
  <c r="AI24" i="14"/>
  <c r="AJ23" i="14"/>
  <c r="AJ24" i="14"/>
  <c r="E10" i="13"/>
  <c r="E13" i="13" s="1"/>
  <c r="F27" i="13"/>
  <c r="F28" i="13" s="1"/>
  <c r="F29" i="13" s="1"/>
  <c r="R27" i="13"/>
  <c r="R28" i="13" s="1"/>
  <c r="R29" i="13" s="1"/>
  <c r="AD27" i="13"/>
  <c r="AD28" i="13" s="1"/>
  <c r="AD29" i="13" s="1"/>
  <c r="N27" i="13"/>
  <c r="N28" i="13" s="1"/>
  <c r="N29" i="13" s="1"/>
  <c r="T27" i="13"/>
  <c r="T28" i="13" s="1"/>
  <c r="T29" i="13" s="1"/>
  <c r="R10" i="13"/>
  <c r="R13" i="13" s="1"/>
  <c r="R13" i="14"/>
  <c r="AC16" i="13"/>
  <c r="AC19" i="13" s="1"/>
  <c r="M16" i="13"/>
  <c r="M19" i="13" s="1"/>
  <c r="I16" i="13"/>
  <c r="I19" i="13" s="1"/>
  <c r="M10" i="13"/>
  <c r="M13" i="13" s="1"/>
  <c r="I10" i="13"/>
  <c r="I13" i="13" s="1"/>
  <c r="AF23" i="14"/>
  <c r="AF24" i="14"/>
  <c r="X16" i="13"/>
  <c r="X19" i="13" s="1"/>
  <c r="AG16" i="13"/>
  <c r="AG19" i="13" s="1"/>
  <c r="V24" i="14"/>
  <c r="V23" i="14"/>
  <c r="T23" i="14"/>
  <c r="T24" i="14"/>
  <c r="Y16" i="13"/>
  <c r="Y19" i="13" s="1"/>
  <c r="U16" i="13"/>
  <c r="U19" i="13" s="1"/>
  <c r="Q16" i="13"/>
  <c r="Q19" i="13" s="1"/>
  <c r="V16" i="13"/>
  <c r="V19" i="13" s="1"/>
  <c r="H23" i="14"/>
  <c r="H24" i="14"/>
  <c r="P24" i="14"/>
  <c r="P23" i="14"/>
  <c r="T10" i="13"/>
  <c r="T13" i="13" s="1"/>
  <c r="U10" i="13"/>
  <c r="U13" i="13" s="1"/>
  <c r="V10" i="13"/>
  <c r="V13" i="13" s="1"/>
  <c r="F10" i="13"/>
  <c r="F13" i="13" s="1"/>
  <c r="AH16" i="13"/>
  <c r="AH19" i="13" s="1"/>
  <c r="Z16" i="13"/>
  <c r="Z19" i="13" s="1"/>
  <c r="G19" i="25" l="1"/>
  <c r="H19" i="25" s="1"/>
  <c r="G43" i="25"/>
  <c r="H43" i="25" s="1"/>
  <c r="C45" i="11"/>
  <c r="C78" i="11"/>
  <c r="G1" i="11"/>
  <c r="P25" i="14"/>
  <c r="V25" i="14"/>
  <c r="AJ25" i="14"/>
  <c r="AF25" i="14"/>
  <c r="H25" i="14"/>
  <c r="AI25" i="14"/>
  <c r="T25" i="14"/>
  <c r="I21" i="19"/>
  <c r="I18" i="19"/>
  <c r="S18" i="19"/>
  <c r="S21" i="19"/>
  <c r="AC21" i="19"/>
  <c r="AC18" i="19"/>
  <c r="V21" i="19"/>
  <c r="V18" i="19"/>
  <c r="Y18" i="19"/>
  <c r="Y21" i="19"/>
  <c r="AD21" i="19"/>
  <c r="AD18" i="19"/>
  <c r="U21" i="19"/>
  <c r="U18" i="19"/>
  <c r="AH21" i="19"/>
  <c r="AH18" i="19"/>
  <c r="X18" i="19"/>
  <c r="X21" i="19"/>
  <c r="H21" i="19"/>
  <c r="H18" i="19"/>
  <c r="R21" i="19"/>
  <c r="R18" i="19"/>
  <c r="F21" i="19"/>
  <c r="F18" i="19"/>
  <c r="N18" i="19"/>
  <c r="N21" i="19"/>
  <c r="T21" i="19"/>
  <c r="T18" i="19"/>
  <c r="K18" i="19"/>
  <c r="K21" i="19"/>
  <c r="AG21" i="19"/>
  <c r="AG18" i="19"/>
  <c r="L18" i="19"/>
  <c r="L21" i="19"/>
  <c r="G21" i="19"/>
  <c r="G18" i="19"/>
  <c r="Q21" i="19"/>
  <c r="Q18" i="19"/>
  <c r="V24" i="13"/>
  <c r="V25" i="13" s="1"/>
  <c r="V26" i="13" s="1"/>
  <c r="T24" i="13"/>
  <c r="T25" i="13" s="1"/>
  <c r="T26" i="13" s="1"/>
  <c r="T22" i="13"/>
  <c r="U61" i="1" s="1"/>
  <c r="T22" i="19" s="1"/>
  <c r="M24" i="13"/>
  <c r="M25" i="13" s="1"/>
  <c r="M26" i="13" s="1"/>
  <c r="E24" i="13"/>
  <c r="E25" i="13" s="1"/>
  <c r="E26" i="13" s="1"/>
  <c r="F24" i="13"/>
  <c r="F25" i="13" s="1"/>
  <c r="F26" i="13" s="1"/>
  <c r="F22" i="13"/>
  <c r="G61" i="1" s="1"/>
  <c r="U24" i="13"/>
  <c r="U25" i="13" s="1"/>
  <c r="U26" i="13" s="1"/>
  <c r="I24" i="13"/>
  <c r="I25" i="13" s="1"/>
  <c r="I26" i="13" s="1"/>
  <c r="E13" i="14"/>
  <c r="J16" i="14"/>
  <c r="R20" i="13"/>
  <c r="R24" i="13"/>
  <c r="R25" i="13" s="1"/>
  <c r="R26" i="13" s="1"/>
  <c r="I27" i="13"/>
  <c r="I28" i="13" s="1"/>
  <c r="I29" i="13" s="1"/>
  <c r="M27" i="13"/>
  <c r="M28" i="13" s="1"/>
  <c r="M29" i="13" s="1"/>
  <c r="U27" i="13"/>
  <c r="U28" i="13" s="1"/>
  <c r="U29" i="13" s="1"/>
  <c r="Z27" i="13"/>
  <c r="Z28" i="13" s="1"/>
  <c r="Z29" i="13" s="1"/>
  <c r="V27" i="13"/>
  <c r="V28" i="13" s="1"/>
  <c r="V29" i="13" s="1"/>
  <c r="AC27" i="13"/>
  <c r="AC28" i="13" s="1"/>
  <c r="AC29" i="13" s="1"/>
  <c r="Y27" i="13"/>
  <c r="Y28" i="13" s="1"/>
  <c r="Y29" i="13" s="1"/>
  <c r="AG27" i="13"/>
  <c r="AG28" i="13" s="1"/>
  <c r="AG29" i="13" s="1"/>
  <c r="Q27" i="13"/>
  <c r="Q28" i="13" s="1"/>
  <c r="Q29" i="13" s="1"/>
  <c r="X27" i="13"/>
  <c r="X28" i="13" s="1"/>
  <c r="X29" i="13" s="1"/>
  <c r="AH27" i="13"/>
  <c r="AH28" i="13" s="1"/>
  <c r="AH29" i="13" s="1"/>
  <c r="R14" i="14"/>
  <c r="J10" i="13"/>
  <c r="J13" i="13" s="1"/>
  <c r="G24" i="14"/>
  <c r="R22" i="13"/>
  <c r="S61" i="1" s="1"/>
  <c r="R15" i="14"/>
  <c r="R17" i="14"/>
  <c r="R16" i="14"/>
  <c r="R18" i="14"/>
  <c r="E24" i="14"/>
  <c r="E16" i="13"/>
  <c r="E19" i="13" s="1"/>
  <c r="AE16" i="13"/>
  <c r="AE19" i="13" s="1"/>
  <c r="X23" i="14"/>
  <c r="X24" i="14"/>
  <c r="Z24" i="14"/>
  <c r="Z23" i="14"/>
  <c r="AF16" i="13"/>
  <c r="AF19" i="13" s="1"/>
  <c r="G10" i="13"/>
  <c r="G13" i="13" s="1"/>
  <c r="O10" i="13"/>
  <c r="O13" i="13" s="1"/>
  <c r="AB24" i="14"/>
  <c r="AB23" i="14"/>
  <c r="F13" i="14"/>
  <c r="F16" i="14"/>
  <c r="F17" i="14"/>
  <c r="F15" i="14"/>
  <c r="F14" i="14"/>
  <c r="F18" i="14"/>
  <c r="T20" i="13"/>
  <c r="AA24" i="14"/>
  <c r="AA23" i="14"/>
  <c r="M20" i="13"/>
  <c r="O24" i="14"/>
  <c r="O23" i="14"/>
  <c r="K16" i="13"/>
  <c r="K19" i="13" s="1"/>
  <c r="L16" i="13"/>
  <c r="L19" i="13" s="1"/>
  <c r="S16" i="13"/>
  <c r="S19" i="13" s="1"/>
  <c r="J16" i="13"/>
  <c r="J19" i="13" s="1"/>
  <c r="K10" i="13"/>
  <c r="K13" i="13" s="1"/>
  <c r="S23" i="14"/>
  <c r="S24" i="14"/>
  <c r="M17" i="14"/>
  <c r="M18" i="14"/>
  <c r="M13" i="14"/>
  <c r="M16" i="14"/>
  <c r="M14" i="14"/>
  <c r="M15" i="14"/>
  <c r="L10" i="13"/>
  <c r="L13" i="13" s="1"/>
  <c r="F20" i="13"/>
  <c r="V20" i="13"/>
  <c r="U20" i="13"/>
  <c r="Q10" i="13"/>
  <c r="Q13" i="13" s="1"/>
  <c r="I13" i="14"/>
  <c r="I14" i="14"/>
  <c r="I17" i="14"/>
  <c r="I18" i="14"/>
  <c r="I16" i="14"/>
  <c r="I15" i="14"/>
  <c r="AE23" i="14"/>
  <c r="AE24" i="14"/>
  <c r="G16" i="13"/>
  <c r="G19" i="13" s="1"/>
  <c r="P16" i="13"/>
  <c r="P19" i="13" s="1"/>
  <c r="P10" i="13"/>
  <c r="P13" i="13" s="1"/>
  <c r="AA16" i="13"/>
  <c r="AA19" i="13" s="1"/>
  <c r="AB16" i="13"/>
  <c r="AB19" i="13" s="1"/>
  <c r="H16" i="13"/>
  <c r="H19" i="13" s="1"/>
  <c r="W16" i="13"/>
  <c r="W19" i="13" s="1"/>
  <c r="S10" i="13"/>
  <c r="S13" i="13" s="1"/>
  <c r="N10" i="13"/>
  <c r="N13" i="13" s="1"/>
  <c r="H10" i="13"/>
  <c r="H13" i="13" s="1"/>
  <c r="X10" i="13"/>
  <c r="X13" i="13" s="1"/>
  <c r="O16" i="13"/>
  <c r="O19" i="13" s="1"/>
  <c r="W10" i="13"/>
  <c r="W13" i="13" s="1"/>
  <c r="V17" i="14"/>
  <c r="V14" i="14"/>
  <c r="V15" i="14"/>
  <c r="V13" i="14"/>
  <c r="V18" i="14"/>
  <c r="V16" i="14"/>
  <c r="U18" i="14"/>
  <c r="U13" i="14"/>
  <c r="U16" i="14"/>
  <c r="U15" i="14"/>
  <c r="U14" i="14"/>
  <c r="U17" i="14"/>
  <c r="T13" i="14"/>
  <c r="T16" i="14"/>
  <c r="T17" i="14"/>
  <c r="T15" i="14"/>
  <c r="T14" i="14"/>
  <c r="T18" i="14"/>
  <c r="W23" i="14"/>
  <c r="W24" i="14"/>
  <c r="I20" i="13"/>
  <c r="K24" i="14"/>
  <c r="K23" i="14"/>
  <c r="E45" i="11" l="1"/>
  <c r="H1" i="11"/>
  <c r="X25" i="14"/>
  <c r="K25" i="14"/>
  <c r="O25" i="14"/>
  <c r="AB25" i="14"/>
  <c r="AA25" i="14"/>
  <c r="Z25" i="14"/>
  <c r="R21" i="14"/>
  <c r="M21" i="14"/>
  <c r="I21" i="14"/>
  <c r="F21" i="14"/>
  <c r="T21" i="14"/>
  <c r="S25" i="14"/>
  <c r="W25" i="14"/>
  <c r="AE25" i="14"/>
  <c r="U21" i="14"/>
  <c r="V21" i="14"/>
  <c r="R22" i="19"/>
  <c r="F22" i="19"/>
  <c r="O21" i="19"/>
  <c r="O18" i="19"/>
  <c r="AE21" i="19"/>
  <c r="AE18" i="19"/>
  <c r="AF21" i="19"/>
  <c r="AB18" i="19"/>
  <c r="AF18" i="19"/>
  <c r="AB21" i="19"/>
  <c r="W18" i="19"/>
  <c r="W21" i="19"/>
  <c r="Z21" i="19"/>
  <c r="E17" i="14"/>
  <c r="Z18" i="19"/>
  <c r="J21" i="19"/>
  <c r="J18" i="19"/>
  <c r="E18" i="19"/>
  <c r="E27" i="19"/>
  <c r="E21" i="19"/>
  <c r="AA18" i="19"/>
  <c r="AA21" i="19"/>
  <c r="M18" i="19"/>
  <c r="M21" i="19"/>
  <c r="P18" i="19"/>
  <c r="P21" i="19"/>
  <c r="Q24" i="13"/>
  <c r="Q25" i="13" s="1"/>
  <c r="Q26" i="13" s="1"/>
  <c r="Q22" i="13"/>
  <c r="O24" i="13"/>
  <c r="O25" i="13" s="1"/>
  <c r="O26" i="13" s="1"/>
  <c r="H24" i="13"/>
  <c r="H25" i="13" s="1"/>
  <c r="H26" i="13" s="1"/>
  <c r="S24" i="13"/>
  <c r="S25" i="13" s="1"/>
  <c r="S26" i="13" s="1"/>
  <c r="K24" i="13"/>
  <c r="K25" i="13" s="1"/>
  <c r="K26" i="13" s="1"/>
  <c r="X24" i="13"/>
  <c r="X25" i="13" s="1"/>
  <c r="X26" i="13" s="1"/>
  <c r="X22" i="13"/>
  <c r="Y61" i="1" s="1"/>
  <c r="N24" i="13"/>
  <c r="N25" i="13" s="1"/>
  <c r="N26" i="13" s="1"/>
  <c r="N22" i="13"/>
  <c r="O61" i="1" s="1"/>
  <c r="G24" i="13"/>
  <c r="G25" i="13" s="1"/>
  <c r="G26" i="13" s="1"/>
  <c r="W24" i="13"/>
  <c r="W25" i="13" s="1"/>
  <c r="W26" i="13" s="1"/>
  <c r="P24" i="13"/>
  <c r="P25" i="13" s="1"/>
  <c r="P26" i="13" s="1"/>
  <c r="L24" i="13"/>
  <c r="L25" i="13" s="1"/>
  <c r="L26" i="13" s="1"/>
  <c r="E14" i="14"/>
  <c r="E15" i="14"/>
  <c r="E18" i="14"/>
  <c r="M22" i="13"/>
  <c r="N61" i="1" s="1"/>
  <c r="E16" i="14"/>
  <c r="J15" i="14"/>
  <c r="U22" i="13"/>
  <c r="V61" i="1" s="1"/>
  <c r="J13" i="14"/>
  <c r="J18" i="14"/>
  <c r="J14" i="14"/>
  <c r="J17" i="14"/>
  <c r="V22" i="13"/>
  <c r="W61" i="1" s="1"/>
  <c r="I22" i="13"/>
  <c r="J61" i="1" s="1"/>
  <c r="J24" i="13"/>
  <c r="J25" i="13" s="1"/>
  <c r="J26" i="13" s="1"/>
  <c r="G27" i="13"/>
  <c r="G28" i="13" s="1"/>
  <c r="G29" i="13" s="1"/>
  <c r="E27" i="13"/>
  <c r="E28" i="13" s="1"/>
  <c r="E29" i="13" s="1"/>
  <c r="L27" i="13"/>
  <c r="L28" i="13" s="1"/>
  <c r="L29" i="13" s="1"/>
  <c r="K27" i="13"/>
  <c r="K28" i="13" s="1"/>
  <c r="K29" i="13" s="1"/>
  <c r="H27" i="13"/>
  <c r="H28" i="13" s="1"/>
  <c r="H29" i="13" s="1"/>
  <c r="J27" i="13"/>
  <c r="J28" i="13" s="1"/>
  <c r="J29" i="13" s="1"/>
  <c r="P27" i="13"/>
  <c r="P28" i="13" s="1"/>
  <c r="P29" i="13" s="1"/>
  <c r="AB27" i="13"/>
  <c r="AB28" i="13" s="1"/>
  <c r="AB29" i="13" s="1"/>
  <c r="AF27" i="13"/>
  <c r="AF28" i="13" s="1"/>
  <c r="AF29" i="13" s="1"/>
  <c r="O27" i="13"/>
  <c r="O28" i="13" s="1"/>
  <c r="O29" i="13" s="1"/>
  <c r="S27" i="13"/>
  <c r="S28" i="13" s="1"/>
  <c r="S29" i="13" s="1"/>
  <c r="AA27" i="13"/>
  <c r="AA28" i="13" s="1"/>
  <c r="AA29" i="13" s="1"/>
  <c r="AE27" i="13"/>
  <c r="AE28" i="13" s="1"/>
  <c r="AE29" i="13" s="1"/>
  <c r="W27" i="13"/>
  <c r="W28" i="13" s="1"/>
  <c r="W29" i="13" s="1"/>
  <c r="G23" i="14"/>
  <c r="G25" i="14" s="1"/>
  <c r="E23" i="14"/>
  <c r="E25" i="14" s="1"/>
  <c r="E20" i="13"/>
  <c r="J20" i="13"/>
  <c r="L24" i="14"/>
  <c r="L23" i="14"/>
  <c r="O20" i="13"/>
  <c r="AH23" i="14"/>
  <c r="AH24" i="14"/>
  <c r="Q23" i="14"/>
  <c r="Q24" i="14"/>
  <c r="X14" i="14"/>
  <c r="X13" i="14"/>
  <c r="X17" i="14"/>
  <c r="X18" i="14"/>
  <c r="X15" i="14"/>
  <c r="X16" i="14"/>
  <c r="H20" i="13"/>
  <c r="S18" i="14"/>
  <c r="S17" i="14"/>
  <c r="S15" i="14"/>
  <c r="S13" i="14"/>
  <c r="S14" i="14"/>
  <c r="S16" i="14"/>
  <c r="AC24" i="14"/>
  <c r="AC23" i="14"/>
  <c r="P16" i="14"/>
  <c r="P18" i="14"/>
  <c r="P15" i="14"/>
  <c r="P14" i="14"/>
  <c r="P13" i="14"/>
  <c r="P17" i="14"/>
  <c r="Q20" i="13"/>
  <c r="L20" i="13"/>
  <c r="K15" i="14"/>
  <c r="K18" i="14"/>
  <c r="K17" i="14"/>
  <c r="K14" i="14"/>
  <c r="K16" i="14"/>
  <c r="K13" i="14"/>
  <c r="M24" i="14"/>
  <c r="M23" i="14"/>
  <c r="G14" i="14"/>
  <c r="G16" i="14"/>
  <c r="G18" i="14"/>
  <c r="G17" i="14"/>
  <c r="G13" i="14"/>
  <c r="G15" i="14"/>
  <c r="AG23" i="14"/>
  <c r="AG24" i="14"/>
  <c r="Y24" i="14"/>
  <c r="Y23" i="14"/>
  <c r="Y10" i="13"/>
  <c r="Y13" i="13" s="1"/>
  <c r="W20" i="13"/>
  <c r="H16" i="14"/>
  <c r="H18" i="14"/>
  <c r="H17" i="14"/>
  <c r="H14" i="14"/>
  <c r="H13" i="14"/>
  <c r="H15" i="14"/>
  <c r="N20" i="13"/>
  <c r="AD23" i="14"/>
  <c r="AD24" i="14"/>
  <c r="I23" i="14"/>
  <c r="I24" i="14"/>
  <c r="L13" i="14"/>
  <c r="L15" i="14"/>
  <c r="L18" i="14"/>
  <c r="L17" i="14"/>
  <c r="L16" i="14"/>
  <c r="L14" i="14"/>
  <c r="N23" i="14"/>
  <c r="N24" i="14"/>
  <c r="O15" i="14"/>
  <c r="O14" i="14"/>
  <c r="O18" i="14"/>
  <c r="O16" i="14"/>
  <c r="O13" i="14"/>
  <c r="O17" i="14"/>
  <c r="X20" i="13"/>
  <c r="P20" i="13"/>
  <c r="W16" i="14"/>
  <c r="W17" i="14"/>
  <c r="W15" i="14"/>
  <c r="W14" i="14"/>
  <c r="W13" i="14"/>
  <c r="W18" i="14"/>
  <c r="N18" i="14"/>
  <c r="N15" i="14"/>
  <c r="N13" i="14"/>
  <c r="N16" i="14"/>
  <c r="N14" i="14"/>
  <c r="N17" i="14"/>
  <c r="S20" i="13"/>
  <c r="J24" i="14"/>
  <c r="J23" i="14"/>
  <c r="R23" i="14"/>
  <c r="R24" i="14"/>
  <c r="Q15" i="14"/>
  <c r="Q14" i="14"/>
  <c r="Q18" i="14"/>
  <c r="Q13" i="14"/>
  <c r="Q17" i="14"/>
  <c r="Q16" i="14"/>
  <c r="K20" i="13"/>
  <c r="U23" i="14"/>
  <c r="U24" i="14"/>
  <c r="G20" i="13"/>
  <c r="E38" i="13" l="1"/>
  <c r="F45" i="11"/>
  <c r="G45" i="11"/>
  <c r="I1" i="11"/>
  <c r="J25" i="14"/>
  <c r="AC25" i="14"/>
  <c r="E21" i="14"/>
  <c r="AH25" i="14"/>
  <c r="O21" i="14"/>
  <c r="Q21" i="14"/>
  <c r="M25" i="14"/>
  <c r="L25" i="14"/>
  <c r="Y25" i="14"/>
  <c r="R25" i="14"/>
  <c r="S21" i="14"/>
  <c r="Q25" i="14"/>
  <c r="AG25" i="14"/>
  <c r="X21" i="14"/>
  <c r="H21" i="14"/>
  <c r="G21" i="14"/>
  <c r="N25" i="14"/>
  <c r="U25" i="14"/>
  <c r="L21" i="14"/>
  <c r="P21" i="14"/>
  <c r="J21" i="14"/>
  <c r="N21" i="14"/>
  <c r="I25" i="14"/>
  <c r="K21" i="14"/>
  <c r="W21" i="14"/>
  <c r="AD25" i="14"/>
  <c r="M22" i="19"/>
  <c r="U22" i="19"/>
  <c r="N22" i="19"/>
  <c r="R61" i="1"/>
  <c r="I22" i="19"/>
  <c r="X22" i="19"/>
  <c r="V22" i="19"/>
  <c r="Y24" i="13"/>
  <c r="Y25" i="13" s="1"/>
  <c r="Y26" i="13" s="1"/>
  <c r="Y22" i="13"/>
  <c r="Z61" i="1" s="1"/>
  <c r="AO60" i="1"/>
  <c r="AO55" i="1"/>
  <c r="AO57" i="1"/>
  <c r="G22" i="13"/>
  <c r="H61" i="1" s="1"/>
  <c r="O22" i="13"/>
  <c r="P61" i="1" s="1"/>
  <c r="H22" i="13"/>
  <c r="I61" i="1" s="1"/>
  <c r="L22" i="13"/>
  <c r="M61" i="1" s="1"/>
  <c r="P22" i="13"/>
  <c r="Q61" i="1" s="1"/>
  <c r="K22" i="13"/>
  <c r="W22" i="13"/>
  <c r="J22" i="13"/>
  <c r="K61" i="1" s="1"/>
  <c r="S22" i="13"/>
  <c r="T61" i="1" s="1"/>
  <c r="Y20" i="13"/>
  <c r="Z10" i="13"/>
  <c r="Z13" i="13" s="1"/>
  <c r="Y15" i="14"/>
  <c r="Y14" i="14"/>
  <c r="Y17" i="14"/>
  <c r="Y18" i="14"/>
  <c r="Y13" i="14"/>
  <c r="Y16" i="14"/>
  <c r="E49" i="11" l="1"/>
  <c r="J1" i="11"/>
  <c r="Y21" i="14"/>
  <c r="S22" i="19"/>
  <c r="O22" i="19"/>
  <c r="J22" i="19"/>
  <c r="X61" i="1"/>
  <c r="Q22" i="19"/>
  <c r="G22" i="19"/>
  <c r="L61" i="1"/>
  <c r="L22" i="19"/>
  <c r="P22" i="19"/>
  <c r="H22" i="19"/>
  <c r="Y22" i="19"/>
  <c r="Z24" i="13"/>
  <c r="Z25" i="13" s="1"/>
  <c r="Z26" i="13" s="1"/>
  <c r="Z22" i="13"/>
  <c r="AA61" i="1" s="1"/>
  <c r="AN21" i="19"/>
  <c r="AN16" i="19"/>
  <c r="AN18" i="19"/>
  <c r="AA10" i="13"/>
  <c r="AA13" i="13" s="1"/>
  <c r="Z17" i="14"/>
  <c r="Z13" i="14"/>
  <c r="Z15" i="14"/>
  <c r="Z14" i="14"/>
  <c r="Z16" i="14"/>
  <c r="Z18" i="14"/>
  <c r="Z20" i="13"/>
  <c r="H45" i="11" l="1"/>
  <c r="K1" i="11"/>
  <c r="Z21" i="14"/>
  <c r="W22" i="19"/>
  <c r="K22" i="19"/>
  <c r="Z22" i="19"/>
  <c r="AA24" i="13"/>
  <c r="AA25" i="13" s="1"/>
  <c r="AA26" i="13" s="1"/>
  <c r="AA22" i="13"/>
  <c r="AB61" i="1" s="1"/>
  <c r="AB10" i="13"/>
  <c r="AB13" i="13" s="1"/>
  <c r="AA14" i="14"/>
  <c r="AA16" i="14"/>
  <c r="AA17" i="14"/>
  <c r="AA15" i="14"/>
  <c r="AA18" i="14"/>
  <c r="AA13" i="14"/>
  <c r="AA20" i="13"/>
  <c r="I45" i="11" l="1"/>
  <c r="L1" i="11"/>
  <c r="AA21" i="14"/>
  <c r="AA22" i="19"/>
  <c r="AB24" i="13"/>
  <c r="AB25" i="13" s="1"/>
  <c r="AB26" i="13" s="1"/>
  <c r="AB22" i="13"/>
  <c r="AC61" i="1" s="1"/>
  <c r="AC10" i="13"/>
  <c r="AC13" i="13" s="1"/>
  <c r="AB20" i="13"/>
  <c r="AB13" i="14"/>
  <c r="AB18" i="14"/>
  <c r="AB16" i="14"/>
  <c r="AB14" i="14"/>
  <c r="AB17" i="14"/>
  <c r="AB15" i="14"/>
  <c r="H5" i="1"/>
  <c r="H3" i="6" s="1"/>
  <c r="J45" i="11" l="1"/>
  <c r="K45" i="11"/>
  <c r="M1" i="11"/>
  <c r="AB21" i="14"/>
  <c r="AB22" i="19"/>
  <c r="AC24" i="13"/>
  <c r="AC25" i="13" s="1"/>
  <c r="AC26" i="13" s="1"/>
  <c r="AC22" i="13"/>
  <c r="AD10" i="13"/>
  <c r="AD13" i="13" s="1"/>
  <c r="AC20" i="13"/>
  <c r="AC17" i="14"/>
  <c r="AC15" i="14"/>
  <c r="AC16" i="14"/>
  <c r="AC14" i="14"/>
  <c r="AC18" i="14"/>
  <c r="AC13" i="14"/>
  <c r="H7" i="1"/>
  <c r="H5" i="6" s="1"/>
  <c r="H8" i="1"/>
  <c r="AI24" i="7"/>
  <c r="AH24" i="7"/>
  <c r="AG24" i="7"/>
  <c r="AF24" i="7"/>
  <c r="AE24" i="7"/>
  <c r="AD24" i="7"/>
  <c r="AC24" i="7"/>
  <c r="AB24" i="7"/>
  <c r="AA24" i="7"/>
  <c r="Z24" i="7"/>
  <c r="Y24" i="7"/>
  <c r="X24" i="7"/>
  <c r="W24" i="7"/>
  <c r="V24" i="7"/>
  <c r="U24" i="7"/>
  <c r="E50" i="11" l="1"/>
  <c r="L45" i="11"/>
  <c r="N1" i="11"/>
  <c r="AC21" i="14"/>
  <c r="AD61" i="1"/>
  <c r="AD24" i="13"/>
  <c r="AD25" i="13" s="1"/>
  <c r="AD26" i="13" s="1"/>
  <c r="AD22" i="13"/>
  <c r="AE61" i="1" s="1"/>
  <c r="C55" i="6"/>
  <c r="H6" i="6"/>
  <c r="H8" i="8" s="1"/>
  <c r="AE10" i="13"/>
  <c r="AE13" i="13" s="1"/>
  <c r="AD17" i="14"/>
  <c r="AD14" i="14"/>
  <c r="AD16" i="14"/>
  <c r="AD15" i="14"/>
  <c r="AD13" i="14"/>
  <c r="AD18" i="14"/>
  <c r="AD20" i="13"/>
  <c r="L15" i="7"/>
  <c r="P15" i="7" s="1"/>
  <c r="T15" i="7" s="1"/>
  <c r="X15" i="7" s="1"/>
  <c r="AB15" i="7" s="1"/>
  <c r="AF15" i="7" s="1"/>
  <c r="AJ15" i="7" s="1"/>
  <c r="AF96" i="7"/>
  <c r="AG96" i="7"/>
  <c r="AI34" i="6" s="1"/>
  <c r="AH96" i="7"/>
  <c r="AI96" i="7"/>
  <c r="AF97" i="7"/>
  <c r="AG97" i="7"/>
  <c r="AH97" i="7"/>
  <c r="AI97" i="7"/>
  <c r="D102" i="7"/>
  <c r="E102" i="7"/>
  <c r="F102" i="7"/>
  <c r="G102" i="7"/>
  <c r="O1" i="11" l="1"/>
  <c r="AD21" i="14"/>
  <c r="AD22" i="19"/>
  <c r="AC22" i="19"/>
  <c r="H36" i="6"/>
  <c r="I36" i="6"/>
  <c r="G36" i="6"/>
  <c r="F36" i="6"/>
  <c r="AE24" i="13"/>
  <c r="AE25" i="13" s="1"/>
  <c r="AE26" i="13" s="1"/>
  <c r="AE22" i="13"/>
  <c r="AF61" i="1" s="1"/>
  <c r="AJ34" i="6"/>
  <c r="AK34" i="6"/>
  <c r="D2" i="6"/>
  <c r="C56" i="6"/>
  <c r="H7" i="6"/>
  <c r="AH34" i="6"/>
  <c r="AF10" i="13"/>
  <c r="AF13" i="13" s="1"/>
  <c r="AE20" i="13"/>
  <c r="AE18" i="14"/>
  <c r="AE17" i="14"/>
  <c r="AE16" i="14"/>
  <c r="AE13" i="14"/>
  <c r="AE14" i="14"/>
  <c r="AE15" i="14"/>
  <c r="M45" i="11" l="1"/>
  <c r="N45" i="11"/>
  <c r="P1" i="11"/>
  <c r="AE21" i="14"/>
  <c r="AE22" i="19"/>
  <c r="AF24" i="13"/>
  <c r="AF25" i="13" s="1"/>
  <c r="AF26" i="13" s="1"/>
  <c r="AF22" i="13"/>
  <c r="AG61" i="1" s="1"/>
  <c r="AG10" i="13"/>
  <c r="AG13" i="13" s="1"/>
  <c r="AH10" i="13"/>
  <c r="AH13" i="13" s="1"/>
  <c r="AF14" i="14"/>
  <c r="AF15" i="14"/>
  <c r="AF16" i="14"/>
  <c r="AF18" i="14"/>
  <c r="AF13" i="14"/>
  <c r="AF17" i="14"/>
  <c r="AF20" i="13"/>
  <c r="I5" i="5"/>
  <c r="J5" i="5"/>
  <c r="P4" i="5"/>
  <c r="S4" i="5"/>
  <c r="T4" i="5" s="1"/>
  <c r="F6" i="5"/>
  <c r="E6" i="29" s="1"/>
  <c r="I6" i="5"/>
  <c r="J6" i="5"/>
  <c r="F7" i="5"/>
  <c r="E7" i="29" s="1"/>
  <c r="I7" i="5"/>
  <c r="J7" i="5"/>
  <c r="I8" i="5"/>
  <c r="J8" i="5"/>
  <c r="F9" i="5"/>
  <c r="E9" i="29" s="1"/>
  <c r="I9" i="5"/>
  <c r="J9" i="5"/>
  <c r="F10" i="5"/>
  <c r="E10" i="29" s="1"/>
  <c r="I10" i="5"/>
  <c r="F11" i="5"/>
  <c r="E11" i="29" s="1"/>
  <c r="F5" i="5"/>
  <c r="E5" i="29" s="1"/>
  <c r="F29" i="5"/>
  <c r="E13" i="29" s="1"/>
  <c r="I29" i="5"/>
  <c r="J29" i="5"/>
  <c r="P28" i="5"/>
  <c r="S28" i="5"/>
  <c r="T28" i="5" s="1"/>
  <c r="F30" i="5"/>
  <c r="E14" i="29" s="1"/>
  <c r="I30" i="5"/>
  <c r="J30" i="5"/>
  <c r="F31" i="5"/>
  <c r="E15" i="29" s="1"/>
  <c r="I31" i="5"/>
  <c r="J31" i="5"/>
  <c r="F32" i="5"/>
  <c r="E16" i="29" s="1"/>
  <c r="I32" i="5"/>
  <c r="J32" i="5"/>
  <c r="F33" i="5"/>
  <c r="E17" i="29" s="1"/>
  <c r="I33" i="5"/>
  <c r="J33" i="5"/>
  <c r="F34" i="5"/>
  <c r="E18" i="29" s="1"/>
  <c r="I34" i="5"/>
  <c r="J34" i="5"/>
  <c r="F35" i="5"/>
  <c r="E19" i="29" s="1"/>
  <c r="F53" i="5"/>
  <c r="E21" i="29" s="1"/>
  <c r="I53" i="5"/>
  <c r="J53" i="5"/>
  <c r="P52" i="5"/>
  <c r="S52" i="5"/>
  <c r="T52" i="5" s="1"/>
  <c r="F54" i="5"/>
  <c r="E22" i="29" s="1"/>
  <c r="I54" i="5"/>
  <c r="J54" i="5"/>
  <c r="F55" i="5"/>
  <c r="E23" i="29" s="1"/>
  <c r="I55" i="5"/>
  <c r="J55" i="5"/>
  <c r="F56" i="5"/>
  <c r="E24" i="29" s="1"/>
  <c r="I56" i="5"/>
  <c r="J56" i="5"/>
  <c r="F57" i="5"/>
  <c r="E25" i="29" s="1"/>
  <c r="I57" i="5"/>
  <c r="J57" i="5"/>
  <c r="F58" i="5"/>
  <c r="E26" i="29" s="1"/>
  <c r="I58" i="5"/>
  <c r="J58" i="5"/>
  <c r="F61" i="5"/>
  <c r="E29" i="29" s="1"/>
  <c r="I61" i="5"/>
  <c r="J61" i="5"/>
  <c r="P60" i="5"/>
  <c r="S60" i="5"/>
  <c r="T60" i="5" s="1"/>
  <c r="F62" i="5"/>
  <c r="E30" i="29" s="1"/>
  <c r="I62" i="5"/>
  <c r="J62" i="5"/>
  <c r="F63" i="5"/>
  <c r="E31" i="29" s="1"/>
  <c r="I63" i="5"/>
  <c r="J63" i="5"/>
  <c r="F64" i="5"/>
  <c r="E32" i="29" s="1"/>
  <c r="I64" i="5"/>
  <c r="J64" i="5"/>
  <c r="F65" i="5"/>
  <c r="E33" i="29" s="1"/>
  <c r="I65" i="5"/>
  <c r="J65" i="5"/>
  <c r="F66" i="5"/>
  <c r="E34" i="29" s="1"/>
  <c r="I66" i="5"/>
  <c r="J66" i="5"/>
  <c r="F67" i="5"/>
  <c r="E35" i="29" s="1"/>
  <c r="F69" i="5"/>
  <c r="E37" i="29" s="1"/>
  <c r="I69" i="5"/>
  <c r="J69" i="5"/>
  <c r="P68" i="5"/>
  <c r="S68" i="5"/>
  <c r="T68" i="5" s="1"/>
  <c r="F70" i="5"/>
  <c r="E38" i="29" s="1"/>
  <c r="I70" i="5"/>
  <c r="J70" i="5"/>
  <c r="F71" i="5"/>
  <c r="E39" i="29" s="1"/>
  <c r="I71" i="5"/>
  <c r="J71" i="5"/>
  <c r="F72" i="5"/>
  <c r="E40" i="29" s="1"/>
  <c r="I72" i="5"/>
  <c r="J72" i="5"/>
  <c r="F73" i="5"/>
  <c r="E41" i="29" s="1"/>
  <c r="I73" i="5"/>
  <c r="J73" i="5"/>
  <c r="F74" i="5"/>
  <c r="E42" i="29" s="1"/>
  <c r="I74" i="5"/>
  <c r="J74" i="5"/>
  <c r="F75" i="5"/>
  <c r="E43" i="29" s="1"/>
  <c r="F77" i="5"/>
  <c r="E45" i="29" s="1"/>
  <c r="I77" i="5"/>
  <c r="J77" i="5"/>
  <c r="P76" i="5"/>
  <c r="S76" i="5"/>
  <c r="T76" i="5" s="1"/>
  <c r="F78" i="5"/>
  <c r="E46" i="29" s="1"/>
  <c r="I78" i="5"/>
  <c r="J78" i="5"/>
  <c r="F79" i="5"/>
  <c r="E47" i="29" s="1"/>
  <c r="I79" i="5"/>
  <c r="J79" i="5"/>
  <c r="F80" i="5"/>
  <c r="E48" i="29" s="1"/>
  <c r="I80" i="5"/>
  <c r="J80" i="5"/>
  <c r="F81" i="5"/>
  <c r="E49" i="29" s="1"/>
  <c r="I81" i="5"/>
  <c r="J81" i="5"/>
  <c r="F82" i="5"/>
  <c r="E50" i="29" s="1"/>
  <c r="I82" i="5"/>
  <c r="J82" i="5"/>
  <c r="F83" i="5"/>
  <c r="E51" i="29" s="1"/>
  <c r="O84" i="5"/>
  <c r="J5" i="29" l="1"/>
  <c r="J45" i="29"/>
  <c r="J13" i="29"/>
  <c r="J14" i="29" s="1"/>
  <c r="J29" i="29"/>
  <c r="J21" i="29"/>
  <c r="J37" i="29"/>
  <c r="E51" i="11"/>
  <c r="O45" i="11"/>
  <c r="Q1" i="11"/>
  <c r="AF21" i="14"/>
  <c r="AF22" i="19"/>
  <c r="AG24" i="13"/>
  <c r="AG25" i="13" s="1"/>
  <c r="AG26" i="13" s="1"/>
  <c r="AG22" i="13"/>
  <c r="AH61" i="1" s="1"/>
  <c r="AH24" i="13"/>
  <c r="AH25" i="13" s="1"/>
  <c r="AH26" i="13" s="1"/>
  <c r="AH22" i="13"/>
  <c r="R79" i="5"/>
  <c r="R81" i="5"/>
  <c r="R83" i="5"/>
  <c r="R77" i="5"/>
  <c r="R78" i="5"/>
  <c r="R80" i="5"/>
  <c r="R82" i="5"/>
  <c r="R67" i="5"/>
  <c r="R63" i="5"/>
  <c r="R65" i="5"/>
  <c r="R61" i="5"/>
  <c r="R66" i="5"/>
  <c r="R62" i="5"/>
  <c r="R64" i="5"/>
  <c r="R57" i="5"/>
  <c r="R59" i="5"/>
  <c r="R54" i="5"/>
  <c r="R55" i="5"/>
  <c r="R56" i="5"/>
  <c r="R58" i="5"/>
  <c r="R53" i="5"/>
  <c r="R70" i="5"/>
  <c r="R72" i="5"/>
  <c r="R73" i="5"/>
  <c r="R74" i="5"/>
  <c r="R69" i="5"/>
  <c r="R71" i="5"/>
  <c r="R75" i="5"/>
  <c r="R35" i="5"/>
  <c r="R32" i="5"/>
  <c r="R30" i="5"/>
  <c r="R29" i="5"/>
  <c r="R31" i="5"/>
  <c r="R33" i="5"/>
  <c r="R34" i="5"/>
  <c r="R7" i="5"/>
  <c r="R5" i="5"/>
  <c r="R11" i="5"/>
  <c r="R9" i="5"/>
  <c r="R6" i="5"/>
  <c r="R8" i="5"/>
  <c r="R10" i="5"/>
  <c r="X60" i="5"/>
  <c r="X28" i="5"/>
  <c r="X68" i="5"/>
  <c r="V77" i="5"/>
  <c r="X76" i="5"/>
  <c r="X52" i="5"/>
  <c r="W57" i="5"/>
  <c r="W55" i="5"/>
  <c r="W58" i="5"/>
  <c r="W54" i="5"/>
  <c r="W56" i="5"/>
  <c r="W59" i="5"/>
  <c r="W53" i="5"/>
  <c r="W52" i="5"/>
  <c r="W74" i="5"/>
  <c r="W70" i="5"/>
  <c r="W68" i="5"/>
  <c r="W75" i="5"/>
  <c r="W71" i="5"/>
  <c r="W72" i="5"/>
  <c r="W73" i="5"/>
  <c r="W69" i="5"/>
  <c r="W64" i="5"/>
  <c r="W63" i="5"/>
  <c r="W66" i="5"/>
  <c r="W62" i="5"/>
  <c r="W67" i="5"/>
  <c r="W61" i="5"/>
  <c r="W60" i="5"/>
  <c r="W65" i="5"/>
  <c r="W7" i="5"/>
  <c r="W6" i="5"/>
  <c r="W33" i="5"/>
  <c r="W32" i="5"/>
  <c r="W34" i="5"/>
  <c r="W30" i="5"/>
  <c r="W28" i="5"/>
  <c r="W35" i="5"/>
  <c r="W31" i="5"/>
  <c r="W29" i="5"/>
  <c r="W76" i="5"/>
  <c r="W79" i="5"/>
  <c r="W82" i="5"/>
  <c r="W78" i="5"/>
  <c r="W80" i="5"/>
  <c r="W83" i="5"/>
  <c r="W81" i="5"/>
  <c r="W77" i="5"/>
  <c r="R68" i="5"/>
  <c r="V28" i="5"/>
  <c r="R28" i="5"/>
  <c r="V60" i="5"/>
  <c r="Q60" i="5"/>
  <c r="R60" i="5"/>
  <c r="U76" i="5"/>
  <c r="V76" i="5"/>
  <c r="Q76" i="5"/>
  <c r="R76" i="5"/>
  <c r="V52" i="5"/>
  <c r="V68" i="5"/>
  <c r="R52" i="5"/>
  <c r="R4" i="5"/>
  <c r="W4" i="5"/>
  <c r="V4" i="5"/>
  <c r="X4" i="5"/>
  <c r="AG20" i="13"/>
  <c r="AG13" i="14"/>
  <c r="AG14" i="14"/>
  <c r="AG16" i="14"/>
  <c r="AG17" i="14"/>
  <c r="AG18" i="14"/>
  <c r="AG15" i="14"/>
  <c r="AH14" i="14"/>
  <c r="AH18" i="14"/>
  <c r="AH13" i="14"/>
  <c r="AH16" i="14"/>
  <c r="AH17" i="14"/>
  <c r="AH15" i="14"/>
  <c r="AH20" i="13"/>
  <c r="Q4" i="5"/>
  <c r="V56" i="5"/>
  <c r="V82" i="5"/>
  <c r="Q52" i="5"/>
  <c r="Q28" i="5"/>
  <c r="V83" i="5"/>
  <c r="V78" i="5"/>
  <c r="U4" i="5"/>
  <c r="T84" i="5"/>
  <c r="V8" i="5"/>
  <c r="V10" i="5"/>
  <c r="V5" i="5"/>
  <c r="V34" i="5"/>
  <c r="V30" i="5"/>
  <c r="V80" i="5"/>
  <c r="V81" i="5"/>
  <c r="V79" i="5"/>
  <c r="G79" i="5"/>
  <c r="F47" i="29" s="1"/>
  <c r="V71" i="5"/>
  <c r="U68" i="5"/>
  <c r="V74" i="5"/>
  <c r="V70" i="5"/>
  <c r="V73" i="5"/>
  <c r="G65" i="5"/>
  <c r="F33" i="29" s="1"/>
  <c r="G29" i="5"/>
  <c r="F13" i="29" s="1"/>
  <c r="K13" i="29" s="1"/>
  <c r="G53" i="5"/>
  <c r="F21" i="29" s="1"/>
  <c r="K21" i="29" s="1"/>
  <c r="G56" i="5"/>
  <c r="F24" i="29" s="1"/>
  <c r="G77" i="5"/>
  <c r="F45" i="29" s="1"/>
  <c r="K45" i="29" s="1"/>
  <c r="G80" i="5"/>
  <c r="F48" i="29" s="1"/>
  <c r="G9" i="5"/>
  <c r="F9" i="29" s="1"/>
  <c r="G61" i="5"/>
  <c r="F29" i="29" s="1"/>
  <c r="K29" i="29" s="1"/>
  <c r="G64" i="5"/>
  <c r="F32" i="29" s="1"/>
  <c r="G69" i="5"/>
  <c r="F37" i="29" s="1"/>
  <c r="K37" i="29" s="1"/>
  <c r="G72" i="5"/>
  <c r="F40" i="29" s="1"/>
  <c r="G33" i="5"/>
  <c r="F17" i="29" s="1"/>
  <c r="G73" i="5"/>
  <c r="F41" i="29" s="1"/>
  <c r="G81" i="5"/>
  <c r="F49" i="29" s="1"/>
  <c r="G54" i="5"/>
  <c r="F22" i="29" s="1"/>
  <c r="V7" i="5"/>
  <c r="U60" i="5"/>
  <c r="V66" i="5"/>
  <c r="U52" i="5"/>
  <c r="V55" i="5"/>
  <c r="V32" i="5"/>
  <c r="G82" i="5"/>
  <c r="F50" i="29" s="1"/>
  <c r="V54" i="5"/>
  <c r="G57" i="5"/>
  <c r="F25" i="29" s="1"/>
  <c r="V75" i="5"/>
  <c r="Q68" i="5"/>
  <c r="G62" i="5"/>
  <c r="F30" i="29" s="1"/>
  <c r="G58" i="5"/>
  <c r="F26" i="29" s="1"/>
  <c r="V57" i="5"/>
  <c r="S84" i="5"/>
  <c r="U28" i="5"/>
  <c r="V29" i="5"/>
  <c r="P84" i="5"/>
  <c r="V11" i="5"/>
  <c r="G10" i="5"/>
  <c r="F10" i="29" s="1"/>
  <c r="G83" i="5"/>
  <c r="F51" i="29" s="1"/>
  <c r="G75" i="5"/>
  <c r="F43" i="29" s="1"/>
  <c r="V72" i="5"/>
  <c r="G71" i="5"/>
  <c r="F39" i="29" s="1"/>
  <c r="V69" i="5"/>
  <c r="G67" i="5"/>
  <c r="F35" i="29" s="1"/>
  <c r="V65" i="5"/>
  <c r="V64" i="5"/>
  <c r="V63" i="5"/>
  <c r="V62" i="5"/>
  <c r="V61" i="5"/>
  <c r="V58" i="5"/>
  <c r="V6" i="5"/>
  <c r="G70" i="5"/>
  <c r="F38" i="29" s="1"/>
  <c r="G66" i="5"/>
  <c r="F34" i="29" s="1"/>
  <c r="V59" i="5"/>
  <c r="G55" i="5"/>
  <c r="F23" i="29" s="1"/>
  <c r="G34" i="5"/>
  <c r="F18" i="29" s="1"/>
  <c r="V33" i="5"/>
  <c r="V31" i="5"/>
  <c r="G11" i="5"/>
  <c r="F11" i="29" s="1"/>
  <c r="G78" i="5"/>
  <c r="F46" i="29" s="1"/>
  <c r="G74" i="5"/>
  <c r="F42" i="29" s="1"/>
  <c r="V67" i="5"/>
  <c r="G63" i="5"/>
  <c r="F31" i="29" s="1"/>
  <c r="G59" i="5"/>
  <c r="F27" i="29" s="1"/>
  <c r="V53" i="5"/>
  <c r="G35" i="5"/>
  <c r="F19" i="29" s="1"/>
  <c r="G5" i="5"/>
  <c r="F5" i="29" s="1"/>
  <c r="K5" i="29" s="1"/>
  <c r="V35" i="5"/>
  <c r="G32" i="5"/>
  <c r="F16" i="29" s="1"/>
  <c r="G31" i="5"/>
  <c r="F15" i="29" s="1"/>
  <c r="G30" i="5"/>
  <c r="F14" i="29" s="1"/>
  <c r="V9" i="5"/>
  <c r="G7" i="5"/>
  <c r="F7" i="29" s="1"/>
  <c r="G6" i="5"/>
  <c r="F6" i="29" s="1"/>
  <c r="W5" i="5"/>
  <c r="F8" i="5"/>
  <c r="E8" i="29" s="1"/>
  <c r="K22" i="29" l="1"/>
  <c r="K23" i="29" s="1"/>
  <c r="K24" i="29" s="1"/>
  <c r="K25" i="29" s="1"/>
  <c r="K26" i="29" s="1"/>
  <c r="K27" i="29" s="1"/>
  <c r="L37" i="29"/>
  <c r="P37" i="29" s="1"/>
  <c r="Q37" i="29" s="1"/>
  <c r="J38" i="29"/>
  <c r="J22" i="29"/>
  <c r="L21" i="29"/>
  <c r="P21" i="29" s="1"/>
  <c r="Q21" i="29" s="1"/>
  <c r="J30" i="29"/>
  <c r="L29" i="29"/>
  <c r="P29" i="29" s="1"/>
  <c r="Q29" i="29" s="1"/>
  <c r="K38" i="29"/>
  <c r="K39" i="29" s="1"/>
  <c r="K40" i="29" s="1"/>
  <c r="K41" i="29" s="1"/>
  <c r="K42" i="29" s="1"/>
  <c r="K43" i="29" s="1"/>
  <c r="J15" i="29"/>
  <c r="K30" i="29"/>
  <c r="K31" i="29" s="1"/>
  <c r="K32" i="29" s="1"/>
  <c r="K33" i="29" s="1"/>
  <c r="K34" i="29" s="1"/>
  <c r="L13" i="29"/>
  <c r="P13" i="29" s="1"/>
  <c r="Q13" i="29" s="1"/>
  <c r="K14" i="29"/>
  <c r="K15" i="29" s="1"/>
  <c r="K16" i="29" s="1"/>
  <c r="K17" i="29" s="1"/>
  <c r="K18" i="29" s="1"/>
  <c r="K19" i="29" s="1"/>
  <c r="J46" i="29"/>
  <c r="L45" i="29"/>
  <c r="P45" i="29" s="1"/>
  <c r="Q45" i="29" s="1"/>
  <c r="K46" i="29"/>
  <c r="K47" i="29" s="1"/>
  <c r="K48" i="29" s="1"/>
  <c r="K49" i="29" s="1"/>
  <c r="K50" i="29" s="1"/>
  <c r="K51" i="29" s="1"/>
  <c r="J6" i="29"/>
  <c r="L5" i="29"/>
  <c r="P5" i="29" s="1"/>
  <c r="Q5" i="29" s="1"/>
  <c r="K6" i="29"/>
  <c r="K7" i="29" s="1"/>
  <c r="AI61" i="1"/>
  <c r="AH22" i="19" s="1"/>
  <c r="E37" i="13"/>
  <c r="R1" i="11"/>
  <c r="AH21" i="14"/>
  <c r="AG21" i="14"/>
  <c r="AG22" i="19"/>
  <c r="G8" i="5"/>
  <c r="R84" i="5"/>
  <c r="X62" i="5"/>
  <c r="X53" i="5"/>
  <c r="X71" i="5"/>
  <c r="X5" i="5"/>
  <c r="W11" i="5"/>
  <c r="X33" i="5"/>
  <c r="X59" i="5"/>
  <c r="X83" i="5"/>
  <c r="X77" i="5"/>
  <c r="X30" i="5"/>
  <c r="X58" i="5"/>
  <c r="X54" i="5"/>
  <c r="X82" i="5"/>
  <c r="X79" i="5"/>
  <c r="X69" i="5"/>
  <c r="X72" i="5"/>
  <c r="X29" i="5"/>
  <c r="X32" i="5"/>
  <c r="X64" i="5"/>
  <c r="X65" i="5"/>
  <c r="W10" i="5"/>
  <c r="W9" i="5"/>
  <c r="X55" i="5"/>
  <c r="X57" i="5"/>
  <c r="X78" i="5"/>
  <c r="X81" i="5"/>
  <c r="X74" i="5"/>
  <c r="X70" i="5"/>
  <c r="X34" i="5"/>
  <c r="X35" i="5"/>
  <c r="X61" i="5"/>
  <c r="X67" i="5"/>
  <c r="W8" i="5"/>
  <c r="X56" i="5"/>
  <c r="X80" i="5"/>
  <c r="X75" i="5"/>
  <c r="X73" i="5"/>
  <c r="X31" i="5"/>
  <c r="X66" i="5"/>
  <c r="X63" i="5"/>
  <c r="X6" i="5"/>
  <c r="V84" i="5"/>
  <c r="Q84" i="5"/>
  <c r="U84" i="5"/>
  <c r="X7" i="5"/>
  <c r="L14" i="29" l="1"/>
  <c r="P14" i="29" s="1"/>
  <c r="Q14" i="29" s="1"/>
  <c r="K35" i="29"/>
  <c r="L15" i="29"/>
  <c r="P15" i="29" s="1"/>
  <c r="Q15" i="29" s="1"/>
  <c r="J16" i="29"/>
  <c r="L30" i="29"/>
  <c r="P30" i="29" s="1"/>
  <c r="Q30" i="29" s="1"/>
  <c r="J31" i="29"/>
  <c r="J7" i="29"/>
  <c r="L6" i="29"/>
  <c r="P6" i="29" s="1"/>
  <c r="Q6" i="29" s="1"/>
  <c r="J23" i="29"/>
  <c r="L22" i="29"/>
  <c r="P22" i="29" s="1"/>
  <c r="Q22" i="29" s="1"/>
  <c r="J39" i="29"/>
  <c r="L38" i="29"/>
  <c r="P38" i="29" s="1"/>
  <c r="Q38" i="29" s="1"/>
  <c r="J47" i="29"/>
  <c r="L46" i="29"/>
  <c r="P46" i="29" s="1"/>
  <c r="Q46" i="29" s="1"/>
  <c r="X11" i="5"/>
  <c r="F8" i="29"/>
  <c r="K8" i="29" s="1"/>
  <c r="K9" i="29" s="1"/>
  <c r="K10" i="29" s="1"/>
  <c r="K11" i="29" s="1"/>
  <c r="P45" i="11"/>
  <c r="S1" i="11"/>
  <c r="X9" i="5"/>
  <c r="X8" i="5"/>
  <c r="X10" i="5"/>
  <c r="W84" i="5"/>
  <c r="J48" i="29" l="1"/>
  <c r="L47" i="29"/>
  <c r="P47" i="29" s="1"/>
  <c r="Q47" i="29" s="1"/>
  <c r="L23" i="29"/>
  <c r="P23" i="29" s="1"/>
  <c r="Q23" i="29" s="1"/>
  <c r="J24" i="29"/>
  <c r="L7" i="29"/>
  <c r="P7" i="29" s="1"/>
  <c r="Q7" i="29" s="1"/>
  <c r="J8" i="29"/>
  <c r="J40" i="29"/>
  <c r="L39" i="29"/>
  <c r="P39" i="29" s="1"/>
  <c r="Q39" i="29" s="1"/>
  <c r="J32" i="29"/>
  <c r="L31" i="29"/>
  <c r="P31" i="29" s="1"/>
  <c r="Q31" i="29" s="1"/>
  <c r="J17" i="29"/>
  <c r="L16" i="29"/>
  <c r="P16" i="29" s="1"/>
  <c r="Q16" i="29" s="1"/>
  <c r="Q45" i="11"/>
  <c r="T1" i="11"/>
  <c r="Y89" i="5"/>
  <c r="X84" i="5"/>
  <c r="W86" i="5" s="1"/>
  <c r="J13" i="1" l="1"/>
  <c r="E54" i="29"/>
  <c r="L17" i="29"/>
  <c r="P17" i="29" s="1"/>
  <c r="Q17" i="29" s="1"/>
  <c r="J18" i="29"/>
  <c r="J33" i="29"/>
  <c r="L32" i="29"/>
  <c r="P32" i="29" s="1"/>
  <c r="Q32" i="29" s="1"/>
  <c r="J41" i="29"/>
  <c r="L40" i="29"/>
  <c r="P40" i="29" s="1"/>
  <c r="Q40" i="29" s="1"/>
  <c r="J9" i="29"/>
  <c r="L8" i="29"/>
  <c r="P8" i="29" s="1"/>
  <c r="Q8" i="29" s="1"/>
  <c r="L24" i="29"/>
  <c r="P24" i="29" s="1"/>
  <c r="Q24" i="29" s="1"/>
  <c r="J25" i="29"/>
  <c r="J49" i="29"/>
  <c r="L48" i="29"/>
  <c r="P48" i="29" s="1"/>
  <c r="Q48" i="29" s="1"/>
  <c r="Y15" i="5"/>
  <c r="Y19" i="5"/>
  <c r="Y24" i="5"/>
  <c r="Y16" i="5"/>
  <c r="Y20" i="5"/>
  <c r="Y22" i="5"/>
  <c r="Y27" i="5"/>
  <c r="Y18" i="5"/>
  <c r="Y12" i="5"/>
  <c r="Y23" i="5"/>
  <c r="Y14" i="5"/>
  <c r="Y21" i="5"/>
  <c r="Y25" i="5"/>
  <c r="Y26" i="5"/>
  <c r="Y17" i="5"/>
  <c r="Y13" i="5"/>
  <c r="Y40" i="5"/>
  <c r="Y43" i="5"/>
  <c r="Y37" i="5"/>
  <c r="Y51" i="5"/>
  <c r="Y48" i="5"/>
  <c r="Y50" i="5"/>
  <c r="Y38" i="5"/>
  <c r="Y45" i="5"/>
  <c r="Y46" i="5"/>
  <c r="Y39" i="5"/>
  <c r="Y36" i="5"/>
  <c r="Y41" i="5"/>
  <c r="Y49" i="5"/>
  <c r="Y42" i="5"/>
  <c r="Y44" i="5"/>
  <c r="Y47" i="5"/>
  <c r="M28" i="1"/>
  <c r="M29" i="1" s="1"/>
  <c r="M30" i="1" s="1"/>
  <c r="Y28" i="1"/>
  <c r="Y29" i="1" s="1"/>
  <c r="Y30" i="1" s="1"/>
  <c r="AK28" i="1"/>
  <c r="AK29" i="1" s="1"/>
  <c r="AK30" i="1" s="1"/>
  <c r="AG28" i="1"/>
  <c r="N28" i="1"/>
  <c r="N29" i="1" s="1"/>
  <c r="N30" i="1" s="1"/>
  <c r="Z28" i="1"/>
  <c r="AL28" i="1"/>
  <c r="U28" i="1"/>
  <c r="O28" i="1"/>
  <c r="AA28" i="1"/>
  <c r="AM28" i="1"/>
  <c r="I28" i="1"/>
  <c r="P28" i="1"/>
  <c r="AB28" i="1"/>
  <c r="AN28" i="1"/>
  <c r="Q28" i="1"/>
  <c r="Q29" i="1" s="1"/>
  <c r="Q30" i="1" s="1"/>
  <c r="AC28" i="1"/>
  <c r="AC29" i="1" s="1"/>
  <c r="AC30" i="1" s="1"/>
  <c r="R28" i="1"/>
  <c r="AD28" i="1"/>
  <c r="G28" i="1"/>
  <c r="S28" i="1"/>
  <c r="S29" i="1" s="1"/>
  <c r="S30" i="1" s="1"/>
  <c r="AE28" i="1"/>
  <c r="AE29" i="1" s="1"/>
  <c r="AE30" i="1" s="1"/>
  <c r="H28" i="1"/>
  <c r="T28" i="1"/>
  <c r="AF28" i="1"/>
  <c r="J28" i="1"/>
  <c r="V28" i="1"/>
  <c r="AH28" i="1"/>
  <c r="X28" i="1"/>
  <c r="K28" i="1"/>
  <c r="W28" i="1"/>
  <c r="AI28" i="1"/>
  <c r="L28" i="1"/>
  <c r="AJ28" i="1"/>
  <c r="F28" i="1"/>
  <c r="R45" i="11"/>
  <c r="E52" i="11" s="1"/>
  <c r="U1" i="11"/>
  <c r="D3" i="8"/>
  <c r="Y86" i="5"/>
  <c r="Y28" i="5"/>
  <c r="Z89" i="5"/>
  <c r="Y54" i="5"/>
  <c r="Y63" i="5"/>
  <c r="Y71" i="5"/>
  <c r="Y58" i="5"/>
  <c r="Y78" i="5"/>
  <c r="Y90" i="5" l="1"/>
  <c r="J14" i="1" s="1"/>
  <c r="F54" i="29"/>
  <c r="L25" i="29"/>
  <c r="P25" i="29" s="1"/>
  <c r="Q25" i="29" s="1"/>
  <c r="J26" i="29"/>
  <c r="L9" i="29"/>
  <c r="P9" i="29" s="1"/>
  <c r="Q9" i="29" s="1"/>
  <c r="J10" i="29"/>
  <c r="L49" i="29"/>
  <c r="P49" i="29" s="1"/>
  <c r="Q49" i="29" s="1"/>
  <c r="J50" i="29"/>
  <c r="L41" i="29"/>
  <c r="P41" i="29" s="1"/>
  <c r="Q41" i="29" s="1"/>
  <c r="J42" i="29"/>
  <c r="L33" i="29"/>
  <c r="P33" i="29" s="1"/>
  <c r="Q33" i="29" s="1"/>
  <c r="J34" i="29"/>
  <c r="L18" i="29"/>
  <c r="P18" i="29" s="1"/>
  <c r="Q18" i="29" s="1"/>
  <c r="J19" i="29"/>
  <c r="L19" i="29" s="1"/>
  <c r="P19" i="29" s="1"/>
  <c r="Q19" i="29" s="1"/>
  <c r="Z12" i="5"/>
  <c r="Z44" i="5"/>
  <c r="Z20" i="5"/>
  <c r="Z36" i="5"/>
  <c r="I29" i="1"/>
  <c r="I30" i="1" s="1"/>
  <c r="AA29" i="1"/>
  <c r="AA30" i="1" s="1"/>
  <c r="T29" i="1"/>
  <c r="T30" i="1" s="1"/>
  <c r="O29" i="1"/>
  <c r="O30" i="1" s="1"/>
  <c r="AI29" i="1"/>
  <c r="AI30" i="1" s="1"/>
  <c r="G29" i="1"/>
  <c r="G30" i="1" s="1"/>
  <c r="U29" i="1"/>
  <c r="U30" i="1" s="1"/>
  <c r="L29" i="1"/>
  <c r="L30" i="1" s="1"/>
  <c r="AD29" i="1"/>
  <c r="AD30" i="1" s="1"/>
  <c r="AL29" i="1"/>
  <c r="AL30" i="1" s="1"/>
  <c r="H29" i="1"/>
  <c r="H30" i="1" s="1"/>
  <c r="K29" i="1"/>
  <c r="K30" i="1" s="1"/>
  <c r="R29" i="1"/>
  <c r="R30" i="1" s="1"/>
  <c r="Z29" i="1"/>
  <c r="Z30" i="1" s="1"/>
  <c r="X29" i="1"/>
  <c r="X30" i="1" s="1"/>
  <c r="AH29" i="1"/>
  <c r="AH30" i="1" s="1"/>
  <c r="AG29" i="1"/>
  <c r="AG30" i="1" s="1"/>
  <c r="AM29" i="1"/>
  <c r="AM30" i="1" s="1"/>
  <c r="V29" i="1"/>
  <c r="V30" i="1" s="1"/>
  <c r="AN29" i="1"/>
  <c r="AN30" i="1" s="1"/>
  <c r="J29" i="1"/>
  <c r="J30" i="1" s="1"/>
  <c r="AB29" i="1"/>
  <c r="AB30" i="1" s="1"/>
  <c r="AJ29" i="1"/>
  <c r="AJ30" i="1" s="1"/>
  <c r="W29" i="1"/>
  <c r="W30" i="1" s="1"/>
  <c r="F35" i="1"/>
  <c r="G35" i="1"/>
  <c r="S35" i="1"/>
  <c r="S36" i="1" s="1"/>
  <c r="S37" i="1" s="1"/>
  <c r="AE35" i="1"/>
  <c r="AE36" i="1" s="1"/>
  <c r="AE37" i="1" s="1"/>
  <c r="H35" i="1"/>
  <c r="H36" i="1" s="1"/>
  <c r="H37" i="1" s="1"/>
  <c r="T35" i="1"/>
  <c r="T36" i="1" s="1"/>
  <c r="T37" i="1" s="1"/>
  <c r="AF35" i="1"/>
  <c r="AF36" i="1" s="1"/>
  <c r="AF37" i="1" s="1"/>
  <c r="I35" i="1"/>
  <c r="U35" i="1"/>
  <c r="AG35" i="1"/>
  <c r="J35" i="1"/>
  <c r="V35" i="1"/>
  <c r="AH35" i="1"/>
  <c r="K35" i="1"/>
  <c r="W35" i="1"/>
  <c r="W36" i="1" s="1"/>
  <c r="W37" i="1" s="1"/>
  <c r="AI35" i="1"/>
  <c r="L35" i="1"/>
  <c r="L36" i="1" s="1"/>
  <c r="L37" i="1" s="1"/>
  <c r="X35" i="1"/>
  <c r="X36" i="1" s="1"/>
  <c r="X37" i="1" s="1"/>
  <c r="AJ35" i="1"/>
  <c r="AJ36" i="1" s="1"/>
  <c r="AJ37" i="1" s="1"/>
  <c r="AM35" i="1"/>
  <c r="M35" i="1"/>
  <c r="M36" i="1" s="1"/>
  <c r="M37" i="1" s="1"/>
  <c r="Y35" i="1"/>
  <c r="Y36" i="1" s="1"/>
  <c r="Y37" i="1" s="1"/>
  <c r="AK35" i="1"/>
  <c r="AK36" i="1" s="1"/>
  <c r="AK37" i="1" s="1"/>
  <c r="AA35" i="1"/>
  <c r="N35" i="1"/>
  <c r="Z35" i="1"/>
  <c r="AL35" i="1"/>
  <c r="O35" i="1"/>
  <c r="O36" i="1" s="1"/>
  <c r="O37" i="1" s="1"/>
  <c r="P35" i="1"/>
  <c r="AB35" i="1"/>
  <c r="AN35" i="1"/>
  <c r="R35" i="1"/>
  <c r="R36" i="1" s="1"/>
  <c r="R37" i="1" s="1"/>
  <c r="Q35" i="1"/>
  <c r="AC35" i="1"/>
  <c r="AD35" i="1"/>
  <c r="AD36" i="1" s="1"/>
  <c r="AD37" i="1" s="1"/>
  <c r="AF29" i="1"/>
  <c r="AF30" i="1" s="1"/>
  <c r="P29" i="1"/>
  <c r="P30" i="1" s="1"/>
  <c r="S45" i="11"/>
  <c r="T45" i="11"/>
  <c r="V1" i="11"/>
  <c r="Y9" i="5"/>
  <c r="Y52" i="5"/>
  <c r="Y76" i="5"/>
  <c r="Y31" i="5"/>
  <c r="Y53" i="5"/>
  <c r="Y10" i="5"/>
  <c r="Y72" i="5"/>
  <c r="Y79" i="5"/>
  <c r="Y64" i="5"/>
  <c r="Y83" i="5"/>
  <c r="Y7" i="5"/>
  <c r="Y6" i="5"/>
  <c r="Y74" i="5"/>
  <c r="Y68" i="5"/>
  <c r="Y61" i="5"/>
  <c r="Y8" i="5"/>
  <c r="Y81" i="5"/>
  <c r="Y65" i="5"/>
  <c r="Y66" i="5"/>
  <c r="Y35" i="5"/>
  <c r="Y59" i="5"/>
  <c r="Y82" i="5"/>
  <c r="Y4" i="5"/>
  <c r="Y60" i="5"/>
  <c r="Y75" i="5"/>
  <c r="Y62" i="5"/>
  <c r="Y32" i="5"/>
  <c r="Y80" i="5"/>
  <c r="Y11" i="5"/>
  <c r="Y70" i="5"/>
  <c r="Y57" i="5"/>
  <c r="Y69" i="5"/>
  <c r="Y5" i="5"/>
  <c r="Y33" i="5"/>
  <c r="Y29" i="5"/>
  <c r="Y67" i="5"/>
  <c r="Y34" i="5"/>
  <c r="Y77" i="5"/>
  <c r="Y30" i="5"/>
  <c r="Y56" i="5"/>
  <c r="Y73" i="5"/>
  <c r="Y55" i="5"/>
  <c r="H3" i="8"/>
  <c r="L42" i="29" l="1"/>
  <c r="P42" i="29" s="1"/>
  <c r="Q42" i="29" s="1"/>
  <c r="J43" i="29"/>
  <c r="L43" i="29" s="1"/>
  <c r="P43" i="29" s="1"/>
  <c r="Q43" i="29" s="1"/>
  <c r="L50" i="29"/>
  <c r="P50" i="29" s="1"/>
  <c r="Q50" i="29" s="1"/>
  <c r="J51" i="29"/>
  <c r="L51" i="29" s="1"/>
  <c r="P51" i="29" s="1"/>
  <c r="Q51" i="29" s="1"/>
  <c r="J11" i="29"/>
  <c r="L11" i="29" s="1"/>
  <c r="P11" i="29" s="1"/>
  <c r="Q11" i="29" s="1"/>
  <c r="L10" i="29"/>
  <c r="P10" i="29" s="1"/>
  <c r="Q10" i="29" s="1"/>
  <c r="J35" i="29"/>
  <c r="L35" i="29" s="1"/>
  <c r="P35" i="29" s="1"/>
  <c r="Q35" i="29" s="1"/>
  <c r="L34" i="29"/>
  <c r="P34" i="29" s="1"/>
  <c r="Q34" i="29" s="1"/>
  <c r="L26" i="29"/>
  <c r="P26" i="29" s="1"/>
  <c r="Q26" i="29" s="1"/>
  <c r="J27" i="29"/>
  <c r="L27" i="29" s="1"/>
  <c r="P27" i="29" s="1"/>
  <c r="Q27" i="29" s="1"/>
  <c r="AA36" i="1"/>
  <c r="AA37" i="1" s="1"/>
  <c r="V36" i="1"/>
  <c r="V37" i="1" s="1"/>
  <c r="Q36" i="1"/>
  <c r="Q37" i="1" s="1"/>
  <c r="U36" i="1"/>
  <c r="U37" i="1" s="1"/>
  <c r="AM36" i="1"/>
  <c r="AM37" i="1" s="1"/>
  <c r="I36" i="1"/>
  <c r="I37" i="1" s="1"/>
  <c r="J36" i="1"/>
  <c r="J37" i="1" s="1"/>
  <c r="AC36" i="1"/>
  <c r="AC37" i="1" s="1"/>
  <c r="AB36" i="1"/>
  <c r="AB37" i="1" s="1"/>
  <c r="P36" i="1"/>
  <c r="P37" i="1" s="1"/>
  <c r="AI36" i="1"/>
  <c r="AI37" i="1" s="1"/>
  <c r="AG36" i="1"/>
  <c r="AG37" i="1" s="1"/>
  <c r="AN36" i="1"/>
  <c r="AN37" i="1" s="1"/>
  <c r="Z36" i="1"/>
  <c r="Z37" i="1" s="1"/>
  <c r="K36" i="1"/>
  <c r="K37" i="1" s="1"/>
  <c r="G36" i="1"/>
  <c r="G37" i="1" s="1"/>
  <c r="AL36" i="1"/>
  <c r="AL37" i="1" s="1"/>
  <c r="N36" i="1"/>
  <c r="N37" i="1" s="1"/>
  <c r="AH36" i="1"/>
  <c r="AH37" i="1" s="1"/>
  <c r="W1" i="11"/>
  <c r="Z4" i="5"/>
  <c r="Z52" i="5"/>
  <c r="Z76" i="5"/>
  <c r="Z60" i="5"/>
  <c r="Z28" i="5"/>
  <c r="Z68" i="5"/>
  <c r="Y84" i="5"/>
  <c r="U45" i="11" l="1"/>
  <c r="X1" i="11"/>
  <c r="Z84" i="5"/>
  <c r="V45" i="11" l="1"/>
  <c r="Y1" i="11"/>
  <c r="E53" i="11" l="1"/>
  <c r="W45" i="11"/>
  <c r="X45" i="11"/>
  <c r="Z1" i="11"/>
  <c r="AA1" i="11" l="1"/>
  <c r="Y45" i="11" l="1"/>
  <c r="AB1" i="11"/>
  <c r="Z45" i="11" l="1"/>
  <c r="AC1" i="11"/>
  <c r="E54" i="11" l="1"/>
  <c r="AA45" i="11"/>
  <c r="AD1" i="11"/>
  <c r="AB45" i="11" l="1"/>
  <c r="AC45" i="11"/>
  <c r="AE1" i="11"/>
  <c r="AF1" i="11" l="1"/>
  <c r="T51" i="1"/>
  <c r="Y51" i="1"/>
  <c r="R51" i="1"/>
  <c r="S51" i="1"/>
  <c r="AA51" i="1"/>
  <c r="AD51" i="1"/>
  <c r="AB51" i="1"/>
  <c r="AE51" i="1"/>
  <c r="AC51" i="1"/>
  <c r="V51" i="1"/>
  <c r="X51" i="1"/>
  <c r="Q51" i="1"/>
  <c r="W51" i="1"/>
  <c r="U51" i="1"/>
  <c r="AD45" i="11" l="1"/>
  <c r="AG1" i="11"/>
  <c r="Z51" i="1"/>
  <c r="AF51" i="1"/>
  <c r="AG51" i="1" l="1"/>
  <c r="E55" i="11"/>
  <c r="AE45" i="11"/>
  <c r="AH1" i="11"/>
  <c r="AJ23" i="1"/>
  <c r="AH34" i="7"/>
  <c r="AH95" i="7" s="1"/>
  <c r="AH51" i="1" l="1"/>
  <c r="AF45" i="11"/>
  <c r="AI51" i="1" s="1"/>
  <c r="AI4" i="15"/>
  <c r="AH3" i="22"/>
  <c r="AI31" i="13"/>
  <c r="AI4" i="17"/>
  <c r="AH4" i="23"/>
  <c r="AJ20" i="6"/>
  <c r="AI2" i="19" s="1"/>
  <c r="AI10" i="14"/>
  <c r="AG194" i="1"/>
  <c r="AH3" i="26"/>
  <c r="AH3" i="12"/>
  <c r="AI1" i="11"/>
  <c r="AK23" i="1"/>
  <c r="AI34" i="7"/>
  <c r="AI95" i="7" s="1"/>
  <c r="AG45" i="11" l="1"/>
  <c r="AJ51" i="1" s="1"/>
  <c r="AG200" i="1" s="1"/>
  <c r="AJ10" i="14"/>
  <c r="AJ4" i="15"/>
  <c r="AJ4" i="17"/>
  <c r="AI3" i="26"/>
  <c r="AI4" i="23"/>
  <c r="AJ31" i="13"/>
  <c r="AK20" i="6"/>
  <c r="AJ2" i="19" s="1"/>
  <c r="AH194" i="1"/>
  <c r="AI3" i="22"/>
  <c r="AI3" i="12"/>
  <c r="AH26" i="22"/>
  <c r="AH24" i="22"/>
  <c r="AH11" i="22"/>
  <c r="AH13" i="22"/>
  <c r="AH28" i="22"/>
  <c r="AJ1" i="11"/>
  <c r="AL23" i="1"/>
  <c r="AJ34" i="7"/>
  <c r="AJ95" i="7" s="1"/>
  <c r="AH45" i="11" l="1"/>
  <c r="AH60" i="22"/>
  <c r="AH29" i="22"/>
  <c r="AH33" i="22"/>
  <c r="AH30" i="22"/>
  <c r="AK1" i="11"/>
  <c r="AM23" i="1"/>
  <c r="AH53" i="22"/>
  <c r="AH12" i="22"/>
  <c r="AJ4" i="23"/>
  <c r="AK10" i="14"/>
  <c r="AJ3" i="26"/>
  <c r="AI194" i="1"/>
  <c r="AK31" i="13"/>
  <c r="AL20" i="6"/>
  <c r="AK2" i="19" s="1"/>
  <c r="AJ3" i="12"/>
  <c r="AK4" i="15"/>
  <c r="AK4" i="17"/>
  <c r="AJ3" i="22"/>
  <c r="AH59" i="22"/>
  <c r="AH27" i="22"/>
  <c r="AH54" i="22"/>
  <c r="AH14" i="22"/>
  <c r="AH58" i="22"/>
  <c r="AH25" i="22"/>
  <c r="AI26" i="22"/>
  <c r="AI28" i="22"/>
  <c r="AI11" i="22"/>
  <c r="AI13" i="22"/>
  <c r="AI24" i="22"/>
  <c r="AK34" i="7"/>
  <c r="AK95" i="7" s="1"/>
  <c r="AK51" i="1" l="1"/>
  <c r="AH200" i="1" s="1"/>
  <c r="E56" i="11"/>
  <c r="AI45" i="11"/>
  <c r="AL25" i="11"/>
  <c r="L84" i="11" s="1"/>
  <c r="AL33" i="11"/>
  <c r="L92" i="11" s="1"/>
  <c r="AL27" i="11"/>
  <c r="L86" i="11" s="1"/>
  <c r="AL37" i="11"/>
  <c r="L96" i="11" s="1"/>
  <c r="AL35" i="11"/>
  <c r="L94" i="11" s="1"/>
  <c r="AL32" i="11"/>
  <c r="L91" i="11" s="1"/>
  <c r="AL34" i="11"/>
  <c r="L93" i="11" s="1"/>
  <c r="AL29" i="11"/>
  <c r="L88" i="11" s="1"/>
  <c r="AI54" i="22"/>
  <c r="AI14" i="22"/>
  <c r="AJ11" i="22"/>
  <c r="AJ24" i="22"/>
  <c r="AJ13" i="22"/>
  <c r="AJ26" i="22"/>
  <c r="AJ28" i="22"/>
  <c r="AI53" i="22"/>
  <c r="AI12" i="22"/>
  <c r="AI60" i="22"/>
  <c r="AI33" i="22"/>
  <c r="AI30" i="22"/>
  <c r="AI29" i="22"/>
  <c r="AK3" i="12"/>
  <c r="AL4" i="17"/>
  <c r="AL4" i="15"/>
  <c r="AK4" i="23"/>
  <c r="AL31" i="13"/>
  <c r="AM20" i="6"/>
  <c r="AL2" i="19" s="1"/>
  <c r="AJ194" i="1"/>
  <c r="AK3" i="26"/>
  <c r="AK3" i="22"/>
  <c r="AL10" i="14"/>
  <c r="AH62" i="22"/>
  <c r="AH34" i="22"/>
  <c r="AI59" i="22"/>
  <c r="AI27" i="22"/>
  <c r="AN23" i="1"/>
  <c r="AI58" i="22"/>
  <c r="AI25" i="22"/>
  <c r="AJ45" i="11" l="1"/>
  <c r="AM51" i="1" s="1"/>
  <c r="AJ200" i="1" s="1"/>
  <c r="AL51" i="1"/>
  <c r="AI200" i="1" s="1"/>
  <c r="AL38" i="11"/>
  <c r="G47" i="25" s="1"/>
  <c r="H47" i="25" s="1"/>
  <c r="AL36" i="11"/>
  <c r="L95" i="11" s="1"/>
  <c r="AL28" i="11"/>
  <c r="L87" i="11" s="1"/>
  <c r="AJ54" i="22"/>
  <c r="AJ14" i="22"/>
  <c r="AM10" i="14"/>
  <c r="AK194" i="1"/>
  <c r="AL3" i="26"/>
  <c r="AM4" i="15"/>
  <c r="AL3" i="22"/>
  <c r="AM4" i="17"/>
  <c r="AL3" i="12"/>
  <c r="AM31" i="13"/>
  <c r="AL4" i="23"/>
  <c r="AN20" i="6"/>
  <c r="AM2" i="19" s="1"/>
  <c r="AJ58" i="22"/>
  <c r="AJ25" i="22"/>
  <c r="AI62" i="22"/>
  <c r="AI34" i="22"/>
  <c r="AK26" i="22"/>
  <c r="AK24" i="22"/>
  <c r="AK13" i="22"/>
  <c r="AK11" i="22"/>
  <c r="AK28" i="22"/>
  <c r="AJ53" i="22"/>
  <c r="AJ12" i="22"/>
  <c r="AJ60" i="22"/>
  <c r="AJ30" i="22"/>
  <c r="AJ29" i="22"/>
  <c r="AJ33" i="22"/>
  <c r="AJ59" i="22"/>
  <c r="AJ27" i="22"/>
  <c r="AL34" i="7"/>
  <c r="AL95" i="7" s="1"/>
  <c r="AJ21" i="7"/>
  <c r="AF21" i="7"/>
  <c r="L97" i="11" l="1"/>
  <c r="G38" i="25"/>
  <c r="H38" i="25" s="1"/>
  <c r="L78" i="11"/>
  <c r="AK45" i="11"/>
  <c r="AK58" i="22"/>
  <c r="AK25" i="22"/>
  <c r="AK59" i="22"/>
  <c r="AK27" i="22"/>
  <c r="AL26" i="22"/>
  <c r="A15" i="22"/>
  <c r="A18" i="22"/>
  <c r="AL28" i="22"/>
  <c r="AL13" i="22"/>
  <c r="AL24" i="22"/>
  <c r="AL11" i="22"/>
  <c r="AK53" i="22"/>
  <c r="AK12" i="22"/>
  <c r="AJ62" i="22"/>
  <c r="AJ34" i="22"/>
  <c r="AK54" i="22"/>
  <c r="AK14" i="22"/>
  <c r="AK60" i="22"/>
  <c r="AK29" i="22"/>
  <c r="AK33" i="22"/>
  <c r="AK30" i="22"/>
  <c r="D20" i="6"/>
  <c r="C2" i="19" s="1"/>
  <c r="B23" i="1"/>
  <c r="E20" i="6"/>
  <c r="D2" i="19" s="1"/>
  <c r="AK62" i="22" l="1"/>
  <c r="AK34" i="22"/>
  <c r="AD15" i="22"/>
  <c r="I15" i="22"/>
  <c r="AF15" i="22"/>
  <c r="AG15" i="22"/>
  <c r="M15" i="22"/>
  <c r="N15" i="22"/>
  <c r="AI15" i="22"/>
  <c r="W15" i="22"/>
  <c r="P15" i="22"/>
  <c r="AB15" i="22"/>
  <c r="X15" i="22"/>
  <c r="AC15" i="22"/>
  <c r="K15" i="22"/>
  <c r="Z15" i="22"/>
  <c r="Y15" i="22"/>
  <c r="L15" i="22"/>
  <c r="AA15" i="22"/>
  <c r="H15" i="22"/>
  <c r="AJ15" i="22"/>
  <c r="AK15" i="22"/>
  <c r="V15" i="22"/>
  <c r="AL15" i="22"/>
  <c r="R15" i="22"/>
  <c r="J15" i="22"/>
  <c r="E15" i="22"/>
  <c r="G15" i="22"/>
  <c r="F15" i="22"/>
  <c r="U15" i="22"/>
  <c r="Q15" i="22"/>
  <c r="AE15" i="22"/>
  <c r="AH15" i="22"/>
  <c r="T15" i="22"/>
  <c r="O15" i="22"/>
  <c r="S15" i="22"/>
  <c r="D15" i="22"/>
  <c r="AL59" i="22"/>
  <c r="AL27" i="22"/>
  <c r="AL53" i="22"/>
  <c r="AL12" i="22"/>
  <c r="AL58" i="22"/>
  <c r="AL25" i="22"/>
  <c r="AL54" i="22"/>
  <c r="AL14" i="22"/>
  <c r="AL60" i="22"/>
  <c r="AL30" i="22"/>
  <c r="AL29" i="22"/>
  <c r="AL33" i="22"/>
  <c r="AN51" i="1"/>
  <c r="AK200" i="1" s="1"/>
  <c r="AL45" i="11"/>
  <c r="E18" i="22"/>
  <c r="G18" i="22"/>
  <c r="W18" i="22"/>
  <c r="Y18" i="22"/>
  <c r="O18" i="22"/>
  <c r="AB18" i="22"/>
  <c r="AD18" i="22"/>
  <c r="K18" i="22"/>
  <c r="AG18" i="22"/>
  <c r="T18" i="22"/>
  <c r="X18" i="22"/>
  <c r="Z18" i="22"/>
  <c r="AK18" i="22"/>
  <c r="V18" i="22"/>
  <c r="R18" i="22"/>
  <c r="AC18" i="22"/>
  <c r="Q18" i="22"/>
  <c r="AF18" i="22"/>
  <c r="AA18" i="22"/>
  <c r="AH18" i="22"/>
  <c r="H18" i="22"/>
  <c r="M18" i="22"/>
  <c r="J18" i="22"/>
  <c r="U18" i="22"/>
  <c r="P18" i="22"/>
  <c r="AE18" i="22"/>
  <c r="L18" i="22"/>
  <c r="D18" i="22"/>
  <c r="I18" i="22"/>
  <c r="F18" i="22"/>
  <c r="S18" i="22"/>
  <c r="AI18" i="22"/>
  <c r="AL18" i="22"/>
  <c r="N18" i="22"/>
  <c r="AJ18" i="22"/>
  <c r="P23" i="1"/>
  <c r="E21" i="6"/>
  <c r="D3" i="19" s="1"/>
  <c r="M23" i="1"/>
  <c r="O23" i="1"/>
  <c r="N23" i="1"/>
  <c r="F23" i="1"/>
  <c r="G23" i="1"/>
  <c r="H23" i="1"/>
  <c r="I23" i="1"/>
  <c r="J23" i="1"/>
  <c r="K23" i="1"/>
  <c r="L23" i="1"/>
  <c r="E59" i="11" l="1"/>
  <c r="D56" i="22"/>
  <c r="D19" i="22"/>
  <c r="D20" i="22"/>
  <c r="Z55" i="22"/>
  <c r="Z16" i="22"/>
  <c r="Z17" i="22"/>
  <c r="AJ56" i="22"/>
  <c r="AJ20" i="22"/>
  <c r="AJ19" i="22"/>
  <c r="L56" i="22"/>
  <c r="L19" i="22"/>
  <c r="L20" i="22"/>
  <c r="AA56" i="22"/>
  <c r="AA20" i="22"/>
  <c r="AA19" i="22"/>
  <c r="W56" i="22"/>
  <c r="W19" i="22"/>
  <c r="W20" i="22"/>
  <c r="Q55" i="22"/>
  <c r="Q17" i="22"/>
  <c r="Q16" i="22"/>
  <c r="V55" i="22"/>
  <c r="V16" i="22"/>
  <c r="V17" i="22"/>
  <c r="K55" i="22"/>
  <c r="K16" i="22"/>
  <c r="K17" i="22"/>
  <c r="M55" i="22"/>
  <c r="M17" i="22"/>
  <c r="M16" i="22"/>
  <c r="AE55" i="22"/>
  <c r="AE17" i="22"/>
  <c r="AE16" i="22"/>
  <c r="N55" i="22"/>
  <c r="N17" i="22"/>
  <c r="N16" i="22"/>
  <c r="X56" i="22"/>
  <c r="X19" i="22"/>
  <c r="X20" i="22"/>
  <c r="N56" i="22"/>
  <c r="N19" i="22"/>
  <c r="N20" i="22"/>
  <c r="AE56" i="22"/>
  <c r="AE20" i="22"/>
  <c r="AE19" i="22"/>
  <c r="AF56" i="22"/>
  <c r="AF20" i="22"/>
  <c r="AF19" i="22"/>
  <c r="T56" i="22"/>
  <c r="T20" i="22"/>
  <c r="T19" i="22"/>
  <c r="G56" i="22"/>
  <c r="G20" i="22"/>
  <c r="G19" i="22"/>
  <c r="U55" i="22"/>
  <c r="U16" i="22"/>
  <c r="U17" i="22"/>
  <c r="AK55" i="22"/>
  <c r="AK17" i="22"/>
  <c r="AK16" i="22"/>
  <c r="AK21" i="22"/>
  <c r="AC55" i="22"/>
  <c r="AC17" i="22"/>
  <c r="AC16" i="22"/>
  <c r="AG55" i="22"/>
  <c r="AG16" i="22"/>
  <c r="AG17" i="22"/>
  <c r="AL55" i="22"/>
  <c r="AL16" i="22"/>
  <c r="AL17" i="22"/>
  <c r="AL56" i="22"/>
  <c r="AL19" i="22"/>
  <c r="AL20" i="22"/>
  <c r="P56" i="22"/>
  <c r="P19" i="22"/>
  <c r="P20" i="22"/>
  <c r="Q56" i="22"/>
  <c r="Q19" i="22"/>
  <c r="Q20" i="22"/>
  <c r="AG56" i="22"/>
  <c r="AG19" i="22"/>
  <c r="AG20" i="22"/>
  <c r="E56" i="22"/>
  <c r="E20" i="22"/>
  <c r="E19" i="22"/>
  <c r="D55" i="22"/>
  <c r="D16" i="22"/>
  <c r="D17" i="22"/>
  <c r="F55" i="22"/>
  <c r="F17" i="22"/>
  <c r="F16" i="22"/>
  <c r="AJ55" i="22"/>
  <c r="AJ16" i="22"/>
  <c r="AJ17" i="22"/>
  <c r="AJ21" i="22"/>
  <c r="X55" i="22"/>
  <c r="X16" i="22"/>
  <c r="X17" i="22"/>
  <c r="AF55" i="22"/>
  <c r="AF17" i="22"/>
  <c r="AF16" i="22"/>
  <c r="Z56" i="22"/>
  <c r="Z19" i="22"/>
  <c r="Z20" i="22"/>
  <c r="AI56" i="22"/>
  <c r="AI19" i="22"/>
  <c r="AI20" i="22"/>
  <c r="U56" i="22"/>
  <c r="U20" i="22"/>
  <c r="U19" i="22"/>
  <c r="AC56" i="22"/>
  <c r="AC20" i="22"/>
  <c r="AC19" i="22"/>
  <c r="K56" i="22"/>
  <c r="K19" i="22"/>
  <c r="K20" i="22"/>
  <c r="S55" i="22"/>
  <c r="S17" i="22"/>
  <c r="S16" i="22"/>
  <c r="G55" i="22"/>
  <c r="G16" i="22"/>
  <c r="G17" i="22"/>
  <c r="H55" i="22"/>
  <c r="H16" i="22"/>
  <c r="H17" i="22"/>
  <c r="AB55" i="22"/>
  <c r="AB16" i="22"/>
  <c r="AB17" i="22"/>
  <c r="I55" i="22"/>
  <c r="I17" i="22"/>
  <c r="I16" i="22"/>
  <c r="S56" i="22"/>
  <c r="S20" i="22"/>
  <c r="S19" i="22"/>
  <c r="J56" i="22"/>
  <c r="J20" i="22"/>
  <c r="J19" i="22"/>
  <c r="AD56" i="22"/>
  <c r="AD19" i="22"/>
  <c r="AD20" i="22"/>
  <c r="O55" i="22"/>
  <c r="O16" i="22"/>
  <c r="O17" i="22"/>
  <c r="E55" i="22"/>
  <c r="E17" i="22"/>
  <c r="E16" i="22"/>
  <c r="AA55" i="22"/>
  <c r="AA16" i="22"/>
  <c r="AA17" i="22"/>
  <c r="P55" i="22"/>
  <c r="P16" i="22"/>
  <c r="P17" i="22"/>
  <c r="AD55" i="22"/>
  <c r="AD16" i="22"/>
  <c r="AD17" i="22"/>
  <c r="Y56" i="22"/>
  <c r="Y19" i="22"/>
  <c r="Y20" i="22"/>
  <c r="R56" i="22"/>
  <c r="R20" i="22"/>
  <c r="R19" i="22"/>
  <c r="F56" i="22"/>
  <c r="F20" i="22"/>
  <c r="F19" i="22"/>
  <c r="M56" i="22"/>
  <c r="M20" i="22"/>
  <c r="M19" i="22"/>
  <c r="V56" i="22"/>
  <c r="V19" i="22"/>
  <c r="V20" i="22"/>
  <c r="AB56" i="22"/>
  <c r="AB20" i="22"/>
  <c r="AB19" i="22"/>
  <c r="AL21" i="22"/>
  <c r="T55" i="22"/>
  <c r="T16" i="22"/>
  <c r="T17" i="22"/>
  <c r="J55" i="22"/>
  <c r="J17" i="22"/>
  <c r="J16" i="22"/>
  <c r="L55" i="22"/>
  <c r="L16" i="22"/>
  <c r="L17" i="22"/>
  <c r="W55" i="22"/>
  <c r="W16" i="22"/>
  <c r="W17" i="22"/>
  <c r="AH56" i="22"/>
  <c r="AH19" i="22"/>
  <c r="AH20" i="22"/>
  <c r="I56" i="22"/>
  <c r="I19" i="22"/>
  <c r="I20" i="22"/>
  <c r="H56" i="22"/>
  <c r="H20" i="22"/>
  <c r="H19" i="22"/>
  <c r="AK56" i="22"/>
  <c r="AK20" i="22"/>
  <c r="AK19" i="22"/>
  <c r="O56" i="22"/>
  <c r="O19" i="22"/>
  <c r="O20" i="22"/>
  <c r="AL62" i="22"/>
  <c r="AL34" i="22"/>
  <c r="AH55" i="22"/>
  <c r="AH16" i="22"/>
  <c r="AH17" i="22"/>
  <c r="AH21" i="22"/>
  <c r="R55" i="22"/>
  <c r="R17" i="22"/>
  <c r="R16" i="22"/>
  <c r="Y55" i="22"/>
  <c r="Y16" i="22"/>
  <c r="Y17" i="22"/>
  <c r="AI55" i="22"/>
  <c r="AI16" i="22"/>
  <c r="AI17" i="22"/>
  <c r="AI21" i="22"/>
  <c r="J10" i="14"/>
  <c r="I3" i="26"/>
  <c r="F10" i="14"/>
  <c r="E3" i="26"/>
  <c r="H10" i="14"/>
  <c r="G3" i="26"/>
  <c r="G10" i="14"/>
  <c r="F3" i="26"/>
  <c r="I10" i="14"/>
  <c r="H3" i="26"/>
  <c r="E10" i="14"/>
  <c r="D3" i="26"/>
  <c r="O10" i="14"/>
  <c r="N3" i="26"/>
  <c r="M10" i="14"/>
  <c r="L3" i="26"/>
  <c r="N10" i="14"/>
  <c r="M3" i="26"/>
  <c r="L10" i="14"/>
  <c r="K3" i="26"/>
  <c r="K10" i="14"/>
  <c r="J3" i="26"/>
  <c r="I3" i="12"/>
  <c r="I3" i="22"/>
  <c r="J4" i="15"/>
  <c r="I4" i="23"/>
  <c r="H4" i="15"/>
  <c r="G3" i="22"/>
  <c r="G3" i="12"/>
  <c r="G4" i="23"/>
  <c r="H3" i="12"/>
  <c r="I4" i="15"/>
  <c r="H4" i="23"/>
  <c r="H3" i="22"/>
  <c r="E4" i="15"/>
  <c r="D3" i="22"/>
  <c r="D3" i="12"/>
  <c r="D4" i="23"/>
  <c r="G4" i="15"/>
  <c r="F3" i="22"/>
  <c r="F26" i="22" s="1"/>
  <c r="F3" i="12"/>
  <c r="F4" i="23"/>
  <c r="M4" i="15"/>
  <c r="L3" i="22"/>
  <c r="L3" i="12"/>
  <c r="L4" i="23"/>
  <c r="O4" i="15"/>
  <c r="N3" i="22"/>
  <c r="N3" i="12"/>
  <c r="N4" i="23"/>
  <c r="F4" i="15"/>
  <c r="E3" i="22"/>
  <c r="E28" i="22" s="1"/>
  <c r="E3" i="12"/>
  <c r="E4" i="23"/>
  <c r="N4" i="15"/>
  <c r="M3" i="22"/>
  <c r="M3" i="12"/>
  <c r="M4" i="23"/>
  <c r="K3" i="22"/>
  <c r="K3" i="12"/>
  <c r="L4" i="15"/>
  <c r="K4" i="23"/>
  <c r="J3" i="12"/>
  <c r="K4" i="15"/>
  <c r="J3" i="22"/>
  <c r="J4" i="23"/>
  <c r="H4" i="17"/>
  <c r="H31" i="13"/>
  <c r="I20" i="6"/>
  <c r="G4" i="17"/>
  <c r="G31" i="13"/>
  <c r="H20" i="6"/>
  <c r="F31" i="13"/>
  <c r="F4" i="17"/>
  <c r="G20" i="6"/>
  <c r="N31" i="13"/>
  <c r="N4" i="17"/>
  <c r="O20" i="6"/>
  <c r="J4" i="17"/>
  <c r="J31" i="13"/>
  <c r="K20" i="6"/>
  <c r="L31" i="13"/>
  <c r="L4" i="17"/>
  <c r="M20" i="6"/>
  <c r="O4" i="17"/>
  <c r="O31" i="13"/>
  <c r="P20" i="6"/>
  <c r="E31" i="13"/>
  <c r="E4" i="17"/>
  <c r="F20" i="6"/>
  <c r="M31" i="13"/>
  <c r="M4" i="17"/>
  <c r="N20" i="6"/>
  <c r="K4" i="17"/>
  <c r="K31" i="13"/>
  <c r="L20" i="6"/>
  <c r="I31" i="13"/>
  <c r="I4" i="17"/>
  <c r="J20" i="6"/>
  <c r="D34" i="7"/>
  <c r="D95" i="7" s="1"/>
  <c r="Q23" i="1"/>
  <c r="E34" i="7"/>
  <c r="E95" i="7" s="1"/>
  <c r="F59" i="22" l="1"/>
  <c r="F27" i="22"/>
  <c r="E60" i="22"/>
  <c r="E30" i="22"/>
  <c r="E29" i="22"/>
  <c r="AK57" i="22"/>
  <c r="AK63" i="22" s="1"/>
  <c r="AM56" i="1" s="1"/>
  <c r="AK22" i="22"/>
  <c r="AK37" i="22" s="1"/>
  <c r="AI57" i="22"/>
  <c r="AI63" i="22" s="1"/>
  <c r="AK56" i="1" s="1"/>
  <c r="AI22" i="22"/>
  <c r="AI37" i="22" s="1"/>
  <c r="AH57" i="22"/>
  <c r="AH63" i="22" s="1"/>
  <c r="AJ56" i="1" s="1"/>
  <c r="AH22" i="22"/>
  <c r="AH37" i="22" s="1"/>
  <c r="AJ57" i="22"/>
  <c r="AJ63" i="22" s="1"/>
  <c r="AL56" i="1" s="1"/>
  <c r="AJ22" i="22"/>
  <c r="AJ37" i="22" s="1"/>
  <c r="AL57" i="22"/>
  <c r="AL63" i="22" s="1"/>
  <c r="AN56" i="1" s="1"/>
  <c r="AL22" i="22"/>
  <c r="AL37" i="22" s="1"/>
  <c r="P10" i="14"/>
  <c r="O3" i="26"/>
  <c r="AI6" i="17"/>
  <c r="AI7" i="17" s="1"/>
  <c r="AJ6" i="17"/>
  <c r="AJ7" i="17" s="1"/>
  <c r="AM6" i="17"/>
  <c r="AM7" i="17" s="1"/>
  <c r="AK6" i="17"/>
  <c r="AK7" i="17" s="1"/>
  <c r="AL6" i="17"/>
  <c r="AL7" i="17" s="1"/>
  <c r="H11" i="22"/>
  <c r="H53" i="22" s="1"/>
  <c r="H13" i="22"/>
  <c r="H54" i="22" s="1"/>
  <c r="H28" i="22"/>
  <c r="H60" i="22" s="1"/>
  <c r="H24" i="22"/>
  <c r="H58" i="22" s="1"/>
  <c r="H26" i="22"/>
  <c r="H59" i="22" s="1"/>
  <c r="F28" i="22"/>
  <c r="F60" i="22" s="1"/>
  <c r="F13" i="22"/>
  <c r="F54" i="22" s="1"/>
  <c r="F11" i="22"/>
  <c r="F53" i="22" s="1"/>
  <c r="F24" i="22"/>
  <c r="F58" i="22" s="1"/>
  <c r="P4" i="15"/>
  <c r="O3" i="22"/>
  <c r="O3" i="12"/>
  <c r="O4" i="23"/>
  <c r="M28" i="22"/>
  <c r="M60" i="22" s="1"/>
  <c r="M11" i="22"/>
  <c r="M53" i="22" s="1"/>
  <c r="M13" i="22"/>
  <c r="M54" i="22" s="1"/>
  <c r="M24" i="22"/>
  <c r="M58" i="22" s="1"/>
  <c r="M26" i="22"/>
  <c r="M59" i="22" s="1"/>
  <c r="L11" i="22"/>
  <c r="L53" i="22" s="1"/>
  <c r="L13" i="22"/>
  <c r="L54" i="22" s="1"/>
  <c r="L28" i="22"/>
  <c r="L60" i="22" s="1"/>
  <c r="L24" i="22"/>
  <c r="L58" i="22" s="1"/>
  <c r="L26" i="22"/>
  <c r="L59" i="22" s="1"/>
  <c r="J24" i="22"/>
  <c r="J58" i="22" s="1"/>
  <c r="J26" i="22"/>
  <c r="J59" i="22" s="1"/>
  <c r="J28" i="22"/>
  <c r="J60" i="22" s="1"/>
  <c r="J11" i="22"/>
  <c r="J53" i="22" s="1"/>
  <c r="J13" i="22"/>
  <c r="J54" i="22" s="1"/>
  <c r="G28" i="22"/>
  <c r="G60" i="22" s="1"/>
  <c r="G11" i="22"/>
  <c r="G53" i="22" s="1"/>
  <c r="G13" i="22"/>
  <c r="G54" i="22" s="1"/>
  <c r="G26" i="22"/>
  <c r="G59" i="22" s="1"/>
  <c r="G24" i="22"/>
  <c r="G58" i="22" s="1"/>
  <c r="E24" i="22"/>
  <c r="E58" i="22" s="1"/>
  <c r="E13" i="22"/>
  <c r="E54" i="22" s="1"/>
  <c r="E11" i="22"/>
  <c r="E53" i="22" s="1"/>
  <c r="N13" i="22"/>
  <c r="N54" i="22" s="1"/>
  <c r="N11" i="22"/>
  <c r="N53" i="22" s="1"/>
  <c r="N28" i="22"/>
  <c r="N60" i="22" s="1"/>
  <c r="N24" i="22"/>
  <c r="N58" i="22" s="1"/>
  <c r="N26" i="22"/>
  <c r="N59" i="22" s="1"/>
  <c r="D13" i="22"/>
  <c r="D54" i="22" s="1"/>
  <c r="D11" i="22"/>
  <c r="D53" i="22" s="1"/>
  <c r="I11" i="22"/>
  <c r="I53" i="22" s="1"/>
  <c r="I24" i="22"/>
  <c r="I58" i="22" s="1"/>
  <c r="I13" i="22"/>
  <c r="I54" i="22" s="1"/>
  <c r="I26" i="22"/>
  <c r="I59" i="22" s="1"/>
  <c r="I28" i="22"/>
  <c r="I60" i="22" s="1"/>
  <c r="K26" i="22"/>
  <c r="K59" i="22" s="1"/>
  <c r="K24" i="22"/>
  <c r="K58" i="22" s="1"/>
  <c r="K13" i="22"/>
  <c r="K54" i="22" s="1"/>
  <c r="K11" i="22"/>
  <c r="K53" i="22" s="1"/>
  <c r="K28" i="22"/>
  <c r="K60" i="22" s="1"/>
  <c r="E2" i="19"/>
  <c r="F2" i="19"/>
  <c r="K2" i="19"/>
  <c r="O2" i="19"/>
  <c r="J2" i="19"/>
  <c r="N2" i="19"/>
  <c r="H2" i="19"/>
  <c r="I2" i="19"/>
  <c r="M2" i="19"/>
  <c r="L2" i="19"/>
  <c r="G2" i="19"/>
  <c r="P4" i="17"/>
  <c r="P31" i="13"/>
  <c r="Q20" i="6"/>
  <c r="S6" i="17"/>
  <c r="S7" i="17" s="1"/>
  <c r="T6" i="17"/>
  <c r="T7" i="17" s="1"/>
  <c r="R23" i="1"/>
  <c r="F34" i="7"/>
  <c r="F95" i="7" s="1"/>
  <c r="AM17" i="19" l="1"/>
  <c r="AK203" i="1"/>
  <c r="AJ38" i="22"/>
  <c r="AJ36" i="22"/>
  <c r="AJ40" i="22" s="1"/>
  <c r="AG203" i="1"/>
  <c r="AI17" i="19"/>
  <c r="AJ17" i="19"/>
  <c r="AH203" i="1"/>
  <c r="AI203" i="1"/>
  <c r="AK17" i="19"/>
  <c r="AH36" i="22"/>
  <c r="AH40" i="22" s="1"/>
  <c r="AH38" i="22"/>
  <c r="AI36" i="22"/>
  <c r="AI40" i="22" s="1"/>
  <c r="AI38" i="22"/>
  <c r="AK36" i="22"/>
  <c r="AK40" i="22" s="1"/>
  <c r="AK38" i="22"/>
  <c r="AL38" i="22"/>
  <c r="AL36" i="22"/>
  <c r="AL40" i="22" s="1"/>
  <c r="AJ203" i="1"/>
  <c r="AL17" i="19"/>
  <c r="Q10" i="14"/>
  <c r="P3" i="26"/>
  <c r="Q4" i="15"/>
  <c r="P3" i="22"/>
  <c r="P3" i="12"/>
  <c r="P4" i="23"/>
  <c r="I27" i="22"/>
  <c r="E14" i="22"/>
  <c r="J25" i="22"/>
  <c r="I14" i="22"/>
  <c r="E33" i="22"/>
  <c r="E62" i="22" s="1"/>
  <c r="E25" i="22"/>
  <c r="L27" i="22"/>
  <c r="O24" i="22"/>
  <c r="O58" i="22" s="1"/>
  <c r="O28" i="22"/>
  <c r="O60" i="22" s="1"/>
  <c r="O13" i="22"/>
  <c r="O54" i="22" s="1"/>
  <c r="O26" i="22"/>
  <c r="O59" i="22" s="1"/>
  <c r="O11" i="22"/>
  <c r="O53" i="22" s="1"/>
  <c r="L25" i="22"/>
  <c r="I25" i="22"/>
  <c r="I12" i="22"/>
  <c r="I21" i="22"/>
  <c r="I57" i="22" s="1"/>
  <c r="G25" i="22"/>
  <c r="L29" i="22"/>
  <c r="L30" i="22"/>
  <c r="L33" i="22"/>
  <c r="L62" i="22" s="1"/>
  <c r="F25" i="22"/>
  <c r="D21" i="22"/>
  <c r="D57" i="22" s="1"/>
  <c r="D12" i="22"/>
  <c r="G27" i="22"/>
  <c r="L14" i="22"/>
  <c r="F21" i="22"/>
  <c r="F57" i="22" s="1"/>
  <c r="F12" i="22"/>
  <c r="D14" i="22"/>
  <c r="G14" i="22"/>
  <c r="L12" i="22"/>
  <c r="L21" i="22"/>
  <c r="L57" i="22" s="1"/>
  <c r="F14" i="22"/>
  <c r="K29" i="22"/>
  <c r="K30" i="22"/>
  <c r="K33" i="22"/>
  <c r="K62" i="22" s="1"/>
  <c r="N27" i="22"/>
  <c r="G12" i="22"/>
  <c r="G21" i="22"/>
  <c r="G57" i="22" s="1"/>
  <c r="M27" i="22"/>
  <c r="F29" i="22"/>
  <c r="F30" i="22"/>
  <c r="F33" i="22"/>
  <c r="F62" i="22" s="1"/>
  <c r="N25" i="22"/>
  <c r="G29" i="22"/>
  <c r="G30" i="22"/>
  <c r="G33" i="22"/>
  <c r="G62" i="22" s="1"/>
  <c r="M25" i="22"/>
  <c r="H27" i="22"/>
  <c r="K12" i="22"/>
  <c r="K21" i="22"/>
  <c r="K57" i="22" s="1"/>
  <c r="K14" i="22"/>
  <c r="N30" i="22"/>
  <c r="N29" i="22"/>
  <c r="N33" i="22"/>
  <c r="N62" i="22" s="1"/>
  <c r="J14" i="22"/>
  <c r="M14" i="22"/>
  <c r="H25" i="22"/>
  <c r="K25" i="22"/>
  <c r="N12" i="22"/>
  <c r="N21" i="22"/>
  <c r="N57" i="22" s="1"/>
  <c r="J12" i="22"/>
  <c r="J21" i="22"/>
  <c r="J57" i="22" s="1"/>
  <c r="M12" i="22"/>
  <c r="M21" i="22"/>
  <c r="M57" i="22" s="1"/>
  <c r="H29" i="22"/>
  <c r="H30" i="22"/>
  <c r="H33" i="22"/>
  <c r="H62" i="22" s="1"/>
  <c r="K27" i="22"/>
  <c r="N14" i="22"/>
  <c r="J29" i="22"/>
  <c r="J30" i="22"/>
  <c r="J33" i="22"/>
  <c r="J62" i="22" s="1"/>
  <c r="M30" i="22"/>
  <c r="M29" i="22"/>
  <c r="M33" i="22"/>
  <c r="M62" i="22" s="1"/>
  <c r="H14" i="22"/>
  <c r="I30" i="22"/>
  <c r="I29" i="22"/>
  <c r="I33" i="22"/>
  <c r="I62" i="22" s="1"/>
  <c r="E21" i="22"/>
  <c r="E57" i="22" s="1"/>
  <c r="E12" i="22"/>
  <c r="J27" i="22"/>
  <c r="H12" i="22"/>
  <c r="H21" i="22"/>
  <c r="H57" i="22" s="1"/>
  <c r="Q4" i="17"/>
  <c r="Q31" i="13"/>
  <c r="R20" i="6"/>
  <c r="P2" i="19"/>
  <c r="AA6" i="17"/>
  <c r="AA7" i="17" s="1"/>
  <c r="R6" i="17"/>
  <c r="R7" i="17" s="1"/>
  <c r="Q6" i="17"/>
  <c r="Q7" i="17" s="1"/>
  <c r="V6" i="17"/>
  <c r="V7" i="17" s="1"/>
  <c r="AB6" i="17"/>
  <c r="AB7" i="17" s="1"/>
  <c r="W6" i="17"/>
  <c r="W7" i="17" s="1"/>
  <c r="O6" i="17"/>
  <c r="O7" i="17" s="1"/>
  <c r="AG6" i="17"/>
  <c r="AG7" i="17" s="1"/>
  <c r="Y6" i="17"/>
  <c r="Y7" i="17" s="1"/>
  <c r="AF6" i="17"/>
  <c r="AF7" i="17" s="1"/>
  <c r="AH6" i="17"/>
  <c r="AH7" i="17" s="1"/>
  <c r="Z6" i="17"/>
  <c r="Z7" i="17" s="1"/>
  <c r="P6" i="17"/>
  <c r="P7" i="17" s="1"/>
  <c r="X6" i="17"/>
  <c r="X7" i="17" s="1"/>
  <c r="AD6" i="17"/>
  <c r="AD7" i="17" s="1"/>
  <c r="AC6" i="17"/>
  <c r="AC7" i="17" s="1"/>
  <c r="AE6" i="17"/>
  <c r="AE7" i="17" s="1"/>
  <c r="U6" i="17"/>
  <c r="U7" i="17" s="1"/>
  <c r="S23" i="1"/>
  <c r="G34" i="7"/>
  <c r="G95" i="7" s="1"/>
  <c r="R10" i="14" l="1"/>
  <c r="Q3" i="26"/>
  <c r="AO28" i="1"/>
  <c r="F29" i="1"/>
  <c r="J22" i="22"/>
  <c r="J37" i="22" s="1"/>
  <c r="L34" i="22"/>
  <c r="N34" i="22"/>
  <c r="O21" i="22"/>
  <c r="O57" i="22" s="1"/>
  <c r="O12" i="22"/>
  <c r="H22" i="22"/>
  <c r="H37" i="22" s="1"/>
  <c r="N22" i="22"/>
  <c r="N37" i="22" s="1"/>
  <c r="G34" i="22"/>
  <c r="L22" i="22"/>
  <c r="L37" i="22" s="1"/>
  <c r="O27" i="22"/>
  <c r="G22" i="22"/>
  <c r="G37" i="22" s="1"/>
  <c r="O14" i="22"/>
  <c r="R4" i="15"/>
  <c r="Q3" i="22"/>
  <c r="Q4" i="23"/>
  <c r="Q3" i="12"/>
  <c r="M34" i="22"/>
  <c r="H34" i="22"/>
  <c r="O33" i="22"/>
  <c r="O62" i="22" s="1"/>
  <c r="O29" i="22"/>
  <c r="O30" i="22"/>
  <c r="O25" i="22"/>
  <c r="D63" i="22"/>
  <c r="F56" i="1" s="1"/>
  <c r="D22" i="22"/>
  <c r="D37" i="22" s="1"/>
  <c r="I22" i="22"/>
  <c r="I37" i="22" s="1"/>
  <c r="J34" i="22"/>
  <c r="M22" i="22"/>
  <c r="M37" i="22" s="1"/>
  <c r="K22" i="22"/>
  <c r="K37" i="22" s="1"/>
  <c r="F34" i="22"/>
  <c r="E22" i="22"/>
  <c r="E37" i="22" s="1"/>
  <c r="K34" i="22"/>
  <c r="I34" i="22"/>
  <c r="P24" i="22"/>
  <c r="P58" i="22" s="1"/>
  <c r="P13" i="22"/>
  <c r="P54" i="22" s="1"/>
  <c r="P28" i="22"/>
  <c r="P60" i="22" s="1"/>
  <c r="P26" i="22"/>
  <c r="P59" i="22" s="1"/>
  <c r="P11" i="22"/>
  <c r="P53" i="22" s="1"/>
  <c r="F22" i="22"/>
  <c r="F37" i="22" s="1"/>
  <c r="E34" i="22"/>
  <c r="R4" i="17"/>
  <c r="R31" i="13"/>
  <c r="S20" i="6"/>
  <c r="Q2" i="19"/>
  <c r="T23" i="1"/>
  <c r="AO29" i="1" l="1"/>
  <c r="F30" i="1"/>
  <c r="S10" i="14"/>
  <c r="R3" i="26"/>
  <c r="E17" i="19"/>
  <c r="L63" i="22"/>
  <c r="N56" i="1" s="1"/>
  <c r="F6" i="17"/>
  <c r="F7" i="17" s="1"/>
  <c r="N63" i="22"/>
  <c r="P56" i="1" s="1"/>
  <c r="G63" i="22"/>
  <c r="I56" i="1" s="1"/>
  <c r="H63" i="22"/>
  <c r="J56" i="1" s="1"/>
  <c r="F63" i="22"/>
  <c r="H56" i="1" s="1"/>
  <c r="K63" i="22"/>
  <c r="M56" i="1" s="1"/>
  <c r="P29" i="22"/>
  <c r="P33" i="22"/>
  <c r="P62" i="22" s="1"/>
  <c r="P30" i="22"/>
  <c r="E36" i="22"/>
  <c r="E40" i="22" s="1"/>
  <c r="E38" i="22"/>
  <c r="H38" i="22"/>
  <c r="H36" i="22"/>
  <c r="H40" i="22" s="1"/>
  <c r="P25" i="22"/>
  <c r="I38" i="22"/>
  <c r="I36" i="22"/>
  <c r="I40" i="22" s="1"/>
  <c r="N36" i="22"/>
  <c r="N40" i="22" s="1"/>
  <c r="N38" i="22"/>
  <c r="F38" i="22"/>
  <c r="F36" i="22"/>
  <c r="F40" i="22" s="1"/>
  <c r="G36" i="22"/>
  <c r="G40" i="22" s="1"/>
  <c r="G38" i="22"/>
  <c r="I63" i="22"/>
  <c r="K56" i="1" s="1"/>
  <c r="O22" i="22"/>
  <c r="O37" i="22" s="1"/>
  <c r="E63" i="22"/>
  <c r="G56" i="1" s="1"/>
  <c r="L38" i="22"/>
  <c r="L36" i="22"/>
  <c r="L40" i="22" s="1"/>
  <c r="D36" i="22"/>
  <c r="D40" i="22" s="1"/>
  <c r="D38" i="22"/>
  <c r="K38" i="22"/>
  <c r="K36" i="22"/>
  <c r="K40" i="22" s="1"/>
  <c r="P14" i="22"/>
  <c r="S4" i="15"/>
  <c r="R3" i="22"/>
  <c r="R3" i="12"/>
  <c r="R4" i="23"/>
  <c r="M63" i="22"/>
  <c r="O56" i="1" s="1"/>
  <c r="Q26" i="22"/>
  <c r="Q59" i="22" s="1"/>
  <c r="Q13" i="22"/>
  <c r="Q54" i="22" s="1"/>
  <c r="Q11" i="22"/>
  <c r="Q53" i="22" s="1"/>
  <c r="Q24" i="22"/>
  <c r="Q58" i="22" s="1"/>
  <c r="Q28" i="22"/>
  <c r="Q60" i="22" s="1"/>
  <c r="P12" i="22"/>
  <c r="P21" i="22"/>
  <c r="P57" i="22" s="1"/>
  <c r="M38" i="22"/>
  <c r="M36" i="22"/>
  <c r="M40" i="22" s="1"/>
  <c r="J38" i="22"/>
  <c r="J36" i="22"/>
  <c r="J40" i="22" s="1"/>
  <c r="P27" i="22"/>
  <c r="O34" i="22"/>
  <c r="J63" i="22"/>
  <c r="L56" i="1" s="1"/>
  <c r="S4" i="17"/>
  <c r="S31" i="13"/>
  <c r="T20" i="6"/>
  <c r="R2" i="19"/>
  <c r="N6" i="17"/>
  <c r="N7" i="17" s="1"/>
  <c r="H6" i="17"/>
  <c r="H7" i="17" s="1"/>
  <c r="I6" i="17"/>
  <c r="I7" i="17" s="1"/>
  <c r="M6" i="17"/>
  <c r="M7" i="17" s="1"/>
  <c r="G6" i="17"/>
  <c r="G7" i="17" s="1"/>
  <c r="L6" i="17"/>
  <c r="L7" i="17" s="1"/>
  <c r="K6" i="17"/>
  <c r="K7" i="17" s="1"/>
  <c r="J6" i="17"/>
  <c r="J7" i="17" s="1"/>
  <c r="H34" i="7"/>
  <c r="H95" i="7" s="1"/>
  <c r="P51" i="1"/>
  <c r="U23" i="1"/>
  <c r="L51" i="1"/>
  <c r="M51" i="1"/>
  <c r="F51" i="1"/>
  <c r="K51" i="1"/>
  <c r="I34" i="7"/>
  <c r="I95" i="7" s="1"/>
  <c r="H51" i="1"/>
  <c r="G51" i="1"/>
  <c r="I51" i="1"/>
  <c r="J51" i="1"/>
  <c r="N51" i="1"/>
  <c r="T10" i="14" l="1"/>
  <c r="S3" i="26"/>
  <c r="L17" i="19"/>
  <c r="N17" i="19"/>
  <c r="G17" i="19"/>
  <c r="I17" i="19"/>
  <c r="H17" i="19"/>
  <c r="F17" i="19"/>
  <c r="O17" i="19"/>
  <c r="M17" i="19"/>
  <c r="J17" i="19"/>
  <c r="K17" i="19"/>
  <c r="O63" i="22"/>
  <c r="Q56" i="1" s="1"/>
  <c r="Q33" i="22"/>
  <c r="Q62" i="22" s="1"/>
  <c r="Q29" i="22"/>
  <c r="Q30" i="22"/>
  <c r="Q25" i="22"/>
  <c r="Q12" i="22"/>
  <c r="Q21" i="22"/>
  <c r="Q57" i="22" s="1"/>
  <c r="Q14" i="22"/>
  <c r="Q27" i="22"/>
  <c r="T4" i="15"/>
  <c r="S3" i="22"/>
  <c r="S3" i="12"/>
  <c r="S4" i="23"/>
  <c r="O36" i="22"/>
  <c r="O40" i="22" s="1"/>
  <c r="O38" i="22"/>
  <c r="P34" i="22"/>
  <c r="P22" i="22"/>
  <c r="P37" i="22" s="1"/>
  <c r="R24" i="22"/>
  <c r="R58" i="22" s="1"/>
  <c r="R11" i="22"/>
  <c r="R53" i="22" s="1"/>
  <c r="R26" i="22"/>
  <c r="R59" i="22" s="1"/>
  <c r="R13" i="22"/>
  <c r="R54" i="22" s="1"/>
  <c r="R28" i="22"/>
  <c r="R60" i="22" s="1"/>
  <c r="T31" i="13"/>
  <c r="T4" i="17"/>
  <c r="U20" i="6"/>
  <c r="S2" i="19"/>
  <c r="F31" i="1"/>
  <c r="AO30" i="1"/>
  <c r="E6" i="17"/>
  <c r="E7" i="17" s="1"/>
  <c r="V23" i="1"/>
  <c r="J34" i="7"/>
  <c r="J95" i="7" s="1"/>
  <c r="O51" i="1"/>
  <c r="AO51" i="1" s="1"/>
  <c r="E5" i="19" l="1"/>
  <c r="G31" i="1"/>
  <c r="F5" i="19" s="1"/>
  <c r="U10" i="14"/>
  <c r="T3" i="26"/>
  <c r="P17" i="19"/>
  <c r="P63" i="22"/>
  <c r="R56" i="1" s="1"/>
  <c r="R27" i="22"/>
  <c r="R21" i="22"/>
  <c r="R57" i="22" s="1"/>
  <c r="R12" i="22"/>
  <c r="Q22" i="22"/>
  <c r="Q37" i="22" s="1"/>
  <c r="R25" i="22"/>
  <c r="P36" i="22"/>
  <c r="P40" i="22" s="1"/>
  <c r="P38" i="22"/>
  <c r="T3" i="12"/>
  <c r="U4" i="15"/>
  <c r="T3" i="22"/>
  <c r="T4" i="23"/>
  <c r="S26" i="22"/>
  <c r="S59" i="22" s="1"/>
  <c r="S28" i="22"/>
  <c r="S60" i="22" s="1"/>
  <c r="S11" i="22"/>
  <c r="S53" i="22" s="1"/>
  <c r="S24" i="22"/>
  <c r="S58" i="22" s="1"/>
  <c r="S13" i="22"/>
  <c r="S54" i="22" s="1"/>
  <c r="R30" i="22"/>
  <c r="R33" i="22"/>
  <c r="R62" i="22" s="1"/>
  <c r="R29" i="22"/>
  <c r="Q34" i="22"/>
  <c r="R14" i="22"/>
  <c r="U4" i="17"/>
  <c r="U31" i="13"/>
  <c r="V20" i="6"/>
  <c r="T2" i="19"/>
  <c r="F32" i="1"/>
  <c r="W23" i="1"/>
  <c r="K34" i="7"/>
  <c r="K95" i="7" s="1"/>
  <c r="G32" i="1" l="1"/>
  <c r="H31" i="1"/>
  <c r="G5" i="19" s="1"/>
  <c r="V10" i="14"/>
  <c r="U3" i="26"/>
  <c r="Q17" i="19"/>
  <c r="Q63" i="22"/>
  <c r="S56" i="1" s="1"/>
  <c r="U3" i="12"/>
  <c r="U3" i="22"/>
  <c r="V4" i="15"/>
  <c r="U4" i="23"/>
  <c r="S25" i="22"/>
  <c r="S21" i="22"/>
  <c r="S57" i="22" s="1"/>
  <c r="S12" i="22"/>
  <c r="S30" i="22"/>
  <c r="S33" i="22"/>
  <c r="S62" i="22" s="1"/>
  <c r="S29" i="22"/>
  <c r="S27" i="22"/>
  <c r="Q36" i="22"/>
  <c r="Q40" i="22" s="1"/>
  <c r="Q38" i="22"/>
  <c r="T26" i="22"/>
  <c r="T59" i="22" s="1"/>
  <c r="T11" i="22"/>
  <c r="T53" i="22" s="1"/>
  <c r="T13" i="22"/>
  <c r="T54" i="22" s="1"/>
  <c r="T28" i="22"/>
  <c r="T60" i="22" s="1"/>
  <c r="T24" i="22"/>
  <c r="T58" i="22" s="1"/>
  <c r="R22" i="22"/>
  <c r="R37" i="22" s="1"/>
  <c r="R34" i="22"/>
  <c r="S14" i="22"/>
  <c r="V31" i="13"/>
  <c r="V4" i="17"/>
  <c r="W20" i="6"/>
  <c r="U2" i="19"/>
  <c r="X23" i="1"/>
  <c r="H32" i="1" l="1"/>
  <c r="I31" i="1"/>
  <c r="H5" i="19" s="1"/>
  <c r="W10" i="14"/>
  <c r="V3" i="26"/>
  <c r="R17" i="19"/>
  <c r="R36" i="22"/>
  <c r="R40" i="22" s="1"/>
  <c r="R38" i="22"/>
  <c r="T12" i="22"/>
  <c r="T21" i="22"/>
  <c r="T57" i="22" s="1"/>
  <c r="S22" i="22"/>
  <c r="S37" i="22" s="1"/>
  <c r="V3" i="12"/>
  <c r="W4" i="15"/>
  <c r="V3" i="22"/>
  <c r="V4" i="23"/>
  <c r="R63" i="22"/>
  <c r="T56" i="1" s="1"/>
  <c r="U28" i="22"/>
  <c r="U60" i="22" s="1"/>
  <c r="U24" i="22"/>
  <c r="U58" i="22" s="1"/>
  <c r="U26" i="22"/>
  <c r="U59" i="22" s="1"/>
  <c r="U13" i="22"/>
  <c r="U54" i="22" s="1"/>
  <c r="U11" i="22"/>
  <c r="U53" i="22" s="1"/>
  <c r="T25" i="22"/>
  <c r="T27" i="22"/>
  <c r="T30" i="22"/>
  <c r="T29" i="22"/>
  <c r="T33" i="22"/>
  <c r="T62" i="22" s="1"/>
  <c r="T14" i="22"/>
  <c r="S34" i="22"/>
  <c r="W4" i="17"/>
  <c r="W31" i="13"/>
  <c r="X20" i="6"/>
  <c r="V2" i="19"/>
  <c r="L34" i="7"/>
  <c r="L95" i="7" s="1"/>
  <c r="Z23" i="1"/>
  <c r="Y23" i="1"/>
  <c r="J31" i="1" l="1"/>
  <c r="I5" i="19" s="1"/>
  <c r="I32" i="1"/>
  <c r="Y10" i="14"/>
  <c r="X3" i="26"/>
  <c r="X10" i="14"/>
  <c r="W3" i="26"/>
  <c r="S17" i="19"/>
  <c r="S63" i="22"/>
  <c r="U56" i="1" s="1"/>
  <c r="U30" i="22"/>
  <c r="U29" i="22"/>
  <c r="U33" i="22"/>
  <c r="U62" i="22" s="1"/>
  <c r="W3" i="22"/>
  <c r="W3" i="12"/>
  <c r="X4" i="15"/>
  <c r="W4" i="23"/>
  <c r="T34" i="22"/>
  <c r="V11" i="22"/>
  <c r="V53" i="22" s="1"/>
  <c r="V28" i="22"/>
  <c r="V60" i="22" s="1"/>
  <c r="V26" i="22"/>
  <c r="V59" i="22" s="1"/>
  <c r="V24" i="22"/>
  <c r="V58" i="22" s="1"/>
  <c r="V13" i="22"/>
  <c r="V54" i="22" s="1"/>
  <c r="S36" i="22"/>
  <c r="S40" i="22" s="1"/>
  <c r="S38" i="22"/>
  <c r="T22" i="22"/>
  <c r="T37" i="22" s="1"/>
  <c r="U21" i="22"/>
  <c r="U57" i="22" s="1"/>
  <c r="U12" i="22"/>
  <c r="U14" i="22"/>
  <c r="U27" i="22"/>
  <c r="Y4" i="15"/>
  <c r="X3" i="22"/>
  <c r="X3" i="12"/>
  <c r="X4" i="23"/>
  <c r="U25" i="22"/>
  <c r="Y4" i="17"/>
  <c r="Y31" i="13"/>
  <c r="Z20" i="6"/>
  <c r="W2" i="19"/>
  <c r="X4" i="17"/>
  <c r="X31" i="13"/>
  <c r="Y20" i="6"/>
  <c r="N34" i="7"/>
  <c r="N95" i="7" s="1"/>
  <c r="AA23" i="1"/>
  <c r="K31" i="1" l="1"/>
  <c r="J5" i="19" s="1"/>
  <c r="J32" i="1"/>
  <c r="Z10" i="14"/>
  <c r="Y3" i="26"/>
  <c r="T17" i="19"/>
  <c r="T63" i="22"/>
  <c r="V56" i="1" s="1"/>
  <c r="T36" i="22"/>
  <c r="T40" i="22" s="1"/>
  <c r="T38" i="22"/>
  <c r="V29" i="22"/>
  <c r="V30" i="22"/>
  <c r="V33" i="22"/>
  <c r="V62" i="22" s="1"/>
  <c r="V12" i="22"/>
  <c r="V21" i="22"/>
  <c r="V57" i="22" s="1"/>
  <c r="W11" i="22"/>
  <c r="W53" i="22" s="1"/>
  <c r="W28" i="22"/>
  <c r="W60" i="22" s="1"/>
  <c r="W13" i="22"/>
  <c r="W54" i="22" s="1"/>
  <c r="W26" i="22"/>
  <c r="W59" i="22" s="1"/>
  <c r="W24" i="22"/>
  <c r="W58" i="22" s="1"/>
  <c r="U22" i="22"/>
  <c r="U37" i="22" s="1"/>
  <c r="U34" i="22"/>
  <c r="V14" i="22"/>
  <c r="X11" i="22"/>
  <c r="X53" i="22" s="1"/>
  <c r="X28" i="22"/>
  <c r="X60" i="22" s="1"/>
  <c r="X13" i="22"/>
  <c r="X54" i="22" s="1"/>
  <c r="X24" i="22"/>
  <c r="X58" i="22" s="1"/>
  <c r="X26" i="22"/>
  <c r="X59" i="22" s="1"/>
  <c r="V25" i="22"/>
  <c r="Z4" i="15"/>
  <c r="Y3" i="22"/>
  <c r="Y3" i="12"/>
  <c r="Y4" i="23"/>
  <c r="V27" i="22"/>
  <c r="Y2" i="19"/>
  <c r="Z4" i="17"/>
  <c r="Z31" i="13"/>
  <c r="AA20" i="6"/>
  <c r="X2" i="19"/>
  <c r="O34" i="7"/>
  <c r="O95" i="7" s="1"/>
  <c r="M34" i="7"/>
  <c r="M95" i="7" s="1"/>
  <c r="AB23" i="1"/>
  <c r="K32" i="1" l="1"/>
  <c r="L31" i="1"/>
  <c r="K5" i="19" s="1"/>
  <c r="AA10" i="14"/>
  <c r="Z3" i="26"/>
  <c r="U17" i="19"/>
  <c r="U63" i="22"/>
  <c r="W56" i="1" s="1"/>
  <c r="W29" i="22"/>
  <c r="W30" i="22"/>
  <c r="W33" i="22"/>
  <c r="W62" i="22" s="1"/>
  <c r="W21" i="22"/>
  <c r="W57" i="22" s="1"/>
  <c r="W12" i="22"/>
  <c r="X27" i="22"/>
  <c r="V22" i="22"/>
  <c r="V37" i="22" s="1"/>
  <c r="X25" i="22"/>
  <c r="X14" i="22"/>
  <c r="X30" i="22"/>
  <c r="X33" i="22"/>
  <c r="X62" i="22" s="1"/>
  <c r="X29" i="22"/>
  <c r="V34" i="22"/>
  <c r="X12" i="22"/>
  <c r="X21" i="22"/>
  <c r="X57" i="22" s="1"/>
  <c r="Y26" i="22"/>
  <c r="Y59" i="22" s="1"/>
  <c r="Y11" i="22"/>
  <c r="Y53" i="22" s="1"/>
  <c r="Y24" i="22"/>
  <c r="Y58" i="22" s="1"/>
  <c r="Y13" i="22"/>
  <c r="Y54" i="22" s="1"/>
  <c r="Y28" i="22"/>
  <c r="Y60" i="22" s="1"/>
  <c r="U36" i="22"/>
  <c r="U40" i="22" s="1"/>
  <c r="U38" i="22"/>
  <c r="W25" i="22"/>
  <c r="W27" i="22"/>
  <c r="AA4" i="15"/>
  <c r="Z3" i="22"/>
  <c r="Z3" i="12"/>
  <c r="Z4" i="23"/>
  <c r="W14" i="22"/>
  <c r="Z2" i="19"/>
  <c r="AA4" i="17"/>
  <c r="AA31" i="13"/>
  <c r="AB20" i="6"/>
  <c r="P34" i="7"/>
  <c r="P95" i="7" s="1"/>
  <c r="AC23" i="1"/>
  <c r="Q34" i="7"/>
  <c r="Q95" i="7" s="1"/>
  <c r="M31" i="1" l="1"/>
  <c r="L5" i="19" s="1"/>
  <c r="L32" i="1"/>
  <c r="AB10" i="14"/>
  <c r="AA3" i="26"/>
  <c r="V17" i="19"/>
  <c r="V63" i="22"/>
  <c r="X56" i="1" s="1"/>
  <c r="V38" i="22"/>
  <c r="V36" i="22"/>
  <c r="V40" i="22" s="1"/>
  <c r="AB4" i="15"/>
  <c r="AA3" i="22"/>
  <c r="AA3" i="12"/>
  <c r="AA4" i="23"/>
  <c r="Y29" i="22"/>
  <c r="Y30" i="22"/>
  <c r="Y33" i="22"/>
  <c r="Y62" i="22" s="1"/>
  <c r="W22" i="22"/>
  <c r="W37" i="22" s="1"/>
  <c r="Y12" i="22"/>
  <c r="Y21" i="22"/>
  <c r="Y57" i="22" s="1"/>
  <c r="Y25" i="22"/>
  <c r="Y27" i="22"/>
  <c r="W34" i="22"/>
  <c r="Y14" i="22"/>
  <c r="Z28" i="22"/>
  <c r="Z60" i="22" s="1"/>
  <c r="Z24" i="22"/>
  <c r="Z58" i="22" s="1"/>
  <c r="Z11" i="22"/>
  <c r="Z53" i="22" s="1"/>
  <c r="Z26" i="22"/>
  <c r="Z59" i="22" s="1"/>
  <c r="Z13" i="22"/>
  <c r="Z54" i="22" s="1"/>
  <c r="X22" i="22"/>
  <c r="X37" i="22" s="1"/>
  <c r="X34" i="22"/>
  <c r="AA2" i="19"/>
  <c r="AB31" i="13"/>
  <c r="AB4" i="17"/>
  <c r="AC20" i="6"/>
  <c r="AD23" i="1"/>
  <c r="N31" i="1" l="1"/>
  <c r="M5" i="19" s="1"/>
  <c r="M32" i="1"/>
  <c r="AC10" i="14"/>
  <c r="AB3" i="26"/>
  <c r="W17" i="19"/>
  <c r="X63" i="22"/>
  <c r="Z56" i="1" s="1"/>
  <c r="X36" i="22"/>
  <c r="X40" i="22" s="1"/>
  <c r="X38" i="22"/>
  <c r="W38" i="22"/>
  <c r="W36" i="22"/>
  <c r="W40" i="22" s="1"/>
  <c r="AA24" i="22"/>
  <c r="AA58" i="22" s="1"/>
  <c r="AA26" i="22"/>
  <c r="AA59" i="22" s="1"/>
  <c r="AA28" i="22"/>
  <c r="AA60" i="22" s="1"/>
  <c r="AA11" i="22"/>
  <c r="AA53" i="22" s="1"/>
  <c r="AA13" i="22"/>
  <c r="AA54" i="22" s="1"/>
  <c r="Z27" i="22"/>
  <c r="Y34" i="22"/>
  <c r="Z21" i="22"/>
  <c r="Z57" i="22" s="1"/>
  <c r="Z12" i="22"/>
  <c r="Y22" i="22"/>
  <c r="Y37" i="22" s="1"/>
  <c r="AC4" i="15"/>
  <c r="AB3" i="22"/>
  <c r="AB3" i="12"/>
  <c r="AB4" i="23"/>
  <c r="Z25" i="22"/>
  <c r="Z14" i="22"/>
  <c r="Z29" i="22"/>
  <c r="Z33" i="22"/>
  <c r="Z62" i="22" s="1"/>
  <c r="Z30" i="22"/>
  <c r="W63" i="22"/>
  <c r="Y56" i="1" s="1"/>
  <c r="AB2" i="19"/>
  <c r="AC31" i="13"/>
  <c r="AC4" i="17"/>
  <c r="AD20" i="6"/>
  <c r="R34" i="7"/>
  <c r="R95" i="7" s="1"/>
  <c r="AE23" i="1"/>
  <c r="S34" i="7"/>
  <c r="S95" i="7" s="1"/>
  <c r="O31" i="1" l="1"/>
  <c r="N5" i="19" s="1"/>
  <c r="N32" i="1"/>
  <c r="AD10" i="14"/>
  <c r="AC3" i="26"/>
  <c r="Y17" i="19"/>
  <c r="X17" i="19"/>
  <c r="Y63" i="22"/>
  <c r="AA56" i="1" s="1"/>
  <c r="Y38" i="22"/>
  <c r="Y36" i="22"/>
  <c r="Y40" i="22" s="1"/>
  <c r="AA14" i="22"/>
  <c r="AA21" i="22"/>
  <c r="AA57" i="22" s="1"/>
  <c r="AA12" i="22"/>
  <c r="AA30" i="22"/>
  <c r="AA33" i="22"/>
  <c r="AA62" i="22" s="1"/>
  <c r="AA29" i="22"/>
  <c r="AB11" i="22"/>
  <c r="AB53" i="22" s="1"/>
  <c r="AB24" i="22"/>
  <c r="AB58" i="22" s="1"/>
  <c r="AB26" i="22"/>
  <c r="AB59" i="22" s="1"/>
  <c r="AB28" i="22"/>
  <c r="AB60" i="22" s="1"/>
  <c r="AB13" i="22"/>
  <c r="AB54" i="22" s="1"/>
  <c r="Z34" i="22"/>
  <c r="AA25" i="22"/>
  <c r="AD4" i="15"/>
  <c r="AC3" i="22"/>
  <c r="AC4" i="23"/>
  <c r="AC3" i="12"/>
  <c r="Z22" i="22"/>
  <c r="Z37" i="22" s="1"/>
  <c r="AA27" i="22"/>
  <c r="AC2" i="19"/>
  <c r="AD31" i="13"/>
  <c r="AD4" i="17"/>
  <c r="AE20" i="6"/>
  <c r="AF23" i="1"/>
  <c r="O32" i="1" l="1"/>
  <c r="P31" i="1"/>
  <c r="O5" i="19" s="1"/>
  <c r="AE10" i="14"/>
  <c r="AD3" i="26"/>
  <c r="Z17" i="19"/>
  <c r="AB12" i="22"/>
  <c r="AB21" i="22"/>
  <c r="AB57" i="22" s="1"/>
  <c r="AA34" i="22"/>
  <c r="AC28" i="22"/>
  <c r="AC60" i="22" s="1"/>
  <c r="AC24" i="22"/>
  <c r="AC58" i="22" s="1"/>
  <c r="AC26" i="22"/>
  <c r="AC59" i="22" s="1"/>
  <c r="AC13" i="22"/>
  <c r="AC54" i="22" s="1"/>
  <c r="AC11" i="22"/>
  <c r="AC53" i="22" s="1"/>
  <c r="AA22" i="22"/>
  <c r="AA37" i="22" s="1"/>
  <c r="AB14" i="22"/>
  <c r="AE4" i="15"/>
  <c r="AD3" i="22"/>
  <c r="AD3" i="12"/>
  <c r="AD4" i="23"/>
  <c r="AB30" i="22"/>
  <c r="AB29" i="22"/>
  <c r="AB33" i="22"/>
  <c r="AB62" i="22" s="1"/>
  <c r="Z36" i="22"/>
  <c r="Z40" i="22" s="1"/>
  <c r="Z38" i="22"/>
  <c r="AB27" i="22"/>
  <c r="Z63" i="22"/>
  <c r="AB56" i="1" s="1"/>
  <c r="AB25" i="22"/>
  <c r="AE4" i="17"/>
  <c r="AE31" i="13"/>
  <c r="AF20" i="6"/>
  <c r="AD2" i="19"/>
  <c r="T34" i="7"/>
  <c r="T95" i="7" s="1"/>
  <c r="AG23" i="1"/>
  <c r="U34" i="7"/>
  <c r="U95" i="7" s="1"/>
  <c r="P32" i="1" l="1"/>
  <c r="Q31" i="1"/>
  <c r="P5" i="19" s="1"/>
  <c r="AF10" i="14"/>
  <c r="AE3" i="26"/>
  <c r="AA17" i="19"/>
  <c r="AA63" i="22"/>
  <c r="AC56" i="1" s="1"/>
  <c r="AA36" i="22"/>
  <c r="AA40" i="22" s="1"/>
  <c r="AA38" i="22"/>
  <c r="AC14" i="22"/>
  <c r="AB34" i="22"/>
  <c r="AC25" i="22"/>
  <c r="AC30" i="22"/>
  <c r="AC29" i="22"/>
  <c r="AC33" i="22"/>
  <c r="AC62" i="22" s="1"/>
  <c r="AD13" i="22"/>
  <c r="AD54" i="22" s="1"/>
  <c r="AD11" i="22"/>
  <c r="AD53" i="22" s="1"/>
  <c r="AD28" i="22"/>
  <c r="AD60" i="22" s="1"/>
  <c r="AD24" i="22"/>
  <c r="AD58" i="22" s="1"/>
  <c r="AD26" i="22"/>
  <c r="AD59" i="22" s="1"/>
  <c r="AB22" i="22"/>
  <c r="AB37" i="22" s="1"/>
  <c r="AC27" i="22"/>
  <c r="AC12" i="22"/>
  <c r="AC21" i="22"/>
  <c r="AC57" i="22" s="1"/>
  <c r="AF4" i="15"/>
  <c r="AE3" i="22"/>
  <c r="AE3" i="12"/>
  <c r="AE4" i="23"/>
  <c r="AE2" i="19"/>
  <c r="AF31" i="13"/>
  <c r="AF4" i="17"/>
  <c r="AG20" i="6"/>
  <c r="AH23" i="1"/>
  <c r="V34" i="7"/>
  <c r="V95" i="7" s="1"/>
  <c r="F24" i="1"/>
  <c r="D2" i="7" l="1"/>
  <c r="C4" i="11"/>
  <c r="R31" i="1"/>
  <c r="Q5" i="19" s="1"/>
  <c r="Q32" i="1"/>
  <c r="E11" i="14"/>
  <c r="AG10" i="14"/>
  <c r="AF3" i="26"/>
  <c r="AB17" i="19"/>
  <c r="AB63" i="22"/>
  <c r="AD56" i="1" s="1"/>
  <c r="AC34" i="22"/>
  <c r="E5" i="15"/>
  <c r="D4" i="22"/>
  <c r="H4" i="21"/>
  <c r="AB38" i="22"/>
  <c r="AB36" i="22"/>
  <c r="AB40" i="22" s="1"/>
  <c r="AF3" i="12"/>
  <c r="AG4" i="15"/>
  <c r="AF3" i="22"/>
  <c r="AF4" i="23"/>
  <c r="AD25" i="22"/>
  <c r="AC22" i="22"/>
  <c r="AC37" i="22" s="1"/>
  <c r="AD30" i="22"/>
  <c r="AD33" i="22"/>
  <c r="AD62" i="22" s="1"/>
  <c r="AD29" i="22"/>
  <c r="AE28" i="22"/>
  <c r="AE60" i="22" s="1"/>
  <c r="AE13" i="22"/>
  <c r="AE54" i="22" s="1"/>
  <c r="AE26" i="22"/>
  <c r="AE59" i="22" s="1"/>
  <c r="AE11" i="22"/>
  <c r="AE53" i="22" s="1"/>
  <c r="AE24" i="22"/>
  <c r="AE58" i="22" s="1"/>
  <c r="AD12" i="22"/>
  <c r="AD21" i="22"/>
  <c r="AD57" i="22" s="1"/>
  <c r="AD27" i="22"/>
  <c r="AD14" i="22"/>
  <c r="E5" i="17"/>
  <c r="F21" i="6"/>
  <c r="AG31" i="13"/>
  <c r="AG4" i="17"/>
  <c r="AH20" i="6"/>
  <c r="AF2" i="19"/>
  <c r="G24" i="1"/>
  <c r="E2" i="7" s="1"/>
  <c r="AI23" i="1"/>
  <c r="C42" i="11" l="1"/>
  <c r="D4" i="26"/>
  <c r="D5" i="23"/>
  <c r="E7" i="13"/>
  <c r="E32" i="13" s="1"/>
  <c r="D4" i="12"/>
  <c r="D4" i="11"/>
  <c r="S31" i="1"/>
  <c r="R5" i="19" s="1"/>
  <c r="R32" i="1"/>
  <c r="AH10" i="14"/>
  <c r="AG3" i="26"/>
  <c r="F11" i="14"/>
  <c r="AC17" i="19"/>
  <c r="AC63" i="22"/>
  <c r="AE56" i="1" s="1"/>
  <c r="AC36" i="22"/>
  <c r="AC40" i="22" s="1"/>
  <c r="AC38" i="22"/>
  <c r="AE14" i="22"/>
  <c r="AF26" i="22"/>
  <c r="AF59" i="22" s="1"/>
  <c r="AF11" i="22"/>
  <c r="AF53" i="22" s="1"/>
  <c r="AF13" i="22"/>
  <c r="AF54" i="22" s="1"/>
  <c r="AF28" i="22"/>
  <c r="AF60" i="22" s="1"/>
  <c r="AF24" i="22"/>
  <c r="AF58" i="22" s="1"/>
  <c r="AE29" i="22"/>
  <c r="AE30" i="22"/>
  <c r="AE33" i="22"/>
  <c r="AE62" i="22" s="1"/>
  <c r="AD34" i="22"/>
  <c r="AD22" i="22"/>
  <c r="AD37" i="22" s="1"/>
  <c r="H1" i="21"/>
  <c r="H43" i="21"/>
  <c r="H82" i="21" s="1"/>
  <c r="F5" i="15"/>
  <c r="E4" i="22"/>
  <c r="I4" i="21"/>
  <c r="AE25" i="22"/>
  <c r="AE12" i="22"/>
  <c r="AE21" i="22"/>
  <c r="AE57" i="22" s="1"/>
  <c r="AG3" i="12"/>
  <c r="AG3" i="22"/>
  <c r="AH4" i="15"/>
  <c r="AG4" i="23"/>
  <c r="AE27" i="22"/>
  <c r="AH4" i="17"/>
  <c r="AH31" i="13"/>
  <c r="AI20" i="6"/>
  <c r="E3" i="19"/>
  <c r="F5" i="17"/>
  <c r="G21" i="6"/>
  <c r="AG2" i="19"/>
  <c r="H24" i="1"/>
  <c r="F2" i="7" s="1"/>
  <c r="Y34" i="7"/>
  <c r="Y95" i="7" s="1"/>
  <c r="E4" i="12" l="1"/>
  <c r="E4" i="11"/>
  <c r="F7" i="13"/>
  <c r="F32" i="13" s="1"/>
  <c r="D42" i="11"/>
  <c r="E4" i="26"/>
  <c r="E5" i="23"/>
  <c r="S32" i="1"/>
  <c r="T31" i="1"/>
  <c r="S5" i="19" s="1"/>
  <c r="G11" i="14"/>
  <c r="AD17" i="19"/>
  <c r="AD63" i="22"/>
  <c r="AF56" i="1" s="1"/>
  <c r="AD38" i="22"/>
  <c r="AD36" i="22"/>
  <c r="AD40" i="22" s="1"/>
  <c r="I1" i="21"/>
  <c r="I43" i="21"/>
  <c r="I82" i="21" s="1"/>
  <c r="AG26" i="22"/>
  <c r="AG59" i="22" s="1"/>
  <c r="AG13" i="22"/>
  <c r="AG54" i="22" s="1"/>
  <c r="AG24" i="22"/>
  <c r="AG58" i="22" s="1"/>
  <c r="AG28" i="22"/>
  <c r="AG60" i="22" s="1"/>
  <c r="AG11" i="22"/>
  <c r="AG53" i="22" s="1"/>
  <c r="AF25" i="22"/>
  <c r="AF29" i="22"/>
  <c r="AF30" i="22"/>
  <c r="AF33" i="22"/>
  <c r="AF62" i="22" s="1"/>
  <c r="H121" i="21"/>
  <c r="AF14" i="22"/>
  <c r="J4" i="21"/>
  <c r="G5" i="15"/>
  <c r="F4" i="22"/>
  <c r="AF21" i="22"/>
  <c r="AF57" i="22" s="1"/>
  <c r="AF12" i="22"/>
  <c r="AF27" i="22"/>
  <c r="AE22" i="22"/>
  <c r="AE37" i="22" s="1"/>
  <c r="AE34" i="22"/>
  <c r="AH2" i="19"/>
  <c r="F3" i="19"/>
  <c r="G5" i="17"/>
  <c r="H21" i="6"/>
  <c r="I24" i="1"/>
  <c r="G2" i="7" s="1"/>
  <c r="W34" i="7"/>
  <c r="W95" i="7" s="1"/>
  <c r="X34" i="7"/>
  <c r="X95" i="7" s="1"/>
  <c r="Z34" i="7"/>
  <c r="Z95" i="7" s="1"/>
  <c r="F4" i="12" l="1"/>
  <c r="F4" i="26"/>
  <c r="G7" i="13"/>
  <c r="G32" i="13" s="1"/>
  <c r="F5" i="23"/>
  <c r="F4" i="11"/>
  <c r="E42" i="11"/>
  <c r="T32" i="1"/>
  <c r="U31" i="1"/>
  <c r="T5" i="19" s="1"/>
  <c r="H11" i="14"/>
  <c r="AE17" i="19"/>
  <c r="AE38" i="22"/>
  <c r="AE36" i="22"/>
  <c r="AE40" i="22" s="1"/>
  <c r="K4" i="21"/>
  <c r="H5" i="15"/>
  <c r="G4" i="22"/>
  <c r="AE63" i="22"/>
  <c r="AG56" i="1" s="1"/>
  <c r="AG21" i="22"/>
  <c r="AG57" i="22" s="1"/>
  <c r="AG12" i="22"/>
  <c r="AG30" i="22"/>
  <c r="AG33" i="22"/>
  <c r="AG62" i="22" s="1"/>
  <c r="AG29" i="22"/>
  <c r="J1" i="21"/>
  <c r="J43" i="21"/>
  <c r="J82" i="21" s="1"/>
  <c r="AG25" i="22"/>
  <c r="AG14" i="22"/>
  <c r="AG27" i="22"/>
  <c r="AF34" i="22"/>
  <c r="I121" i="21"/>
  <c r="AF22" i="22"/>
  <c r="AF37" i="22" s="1"/>
  <c r="H5" i="17"/>
  <c r="I21" i="6"/>
  <c r="G3" i="19"/>
  <c r="J24" i="1"/>
  <c r="H2" i="7" s="1"/>
  <c r="AA34" i="7"/>
  <c r="AA95" i="7" s="1"/>
  <c r="G5" i="23" l="1"/>
  <c r="F42" i="11"/>
  <c r="H7" i="13"/>
  <c r="H32" i="13" s="1"/>
  <c r="G4" i="12"/>
  <c r="G4" i="26"/>
  <c r="G4" i="11"/>
  <c r="U32" i="1"/>
  <c r="V31" i="1"/>
  <c r="U5" i="19" s="1"/>
  <c r="I11" i="14"/>
  <c r="AF17" i="19"/>
  <c r="AG22" i="22"/>
  <c r="AG37" i="22" s="1"/>
  <c r="L4" i="21"/>
  <c r="I5" i="15"/>
  <c r="H4" i="22"/>
  <c r="AF38" i="22"/>
  <c r="AF36" i="22"/>
  <c r="AF40" i="22" s="1"/>
  <c r="J121" i="21"/>
  <c r="AF63" i="22"/>
  <c r="AH56" i="1" s="1"/>
  <c r="AG34" i="22"/>
  <c r="K1" i="21"/>
  <c r="K43" i="21"/>
  <c r="K82" i="21" s="1"/>
  <c r="I5" i="17"/>
  <c r="J21" i="6"/>
  <c r="H3" i="19"/>
  <c r="K24" i="1"/>
  <c r="I2" i="7" s="1"/>
  <c r="H4" i="11" l="1"/>
  <c r="G42" i="11"/>
  <c r="H5" i="23"/>
  <c r="H4" i="12"/>
  <c r="I7" i="13"/>
  <c r="I32" i="13" s="1"/>
  <c r="H4" i="26"/>
  <c r="W31" i="1"/>
  <c r="V5" i="19" s="1"/>
  <c r="V32" i="1"/>
  <c r="J11" i="14"/>
  <c r="AG17" i="19"/>
  <c r="AG63" i="22"/>
  <c r="AI56" i="1" s="1"/>
  <c r="L43" i="21"/>
  <c r="L82" i="21" s="1"/>
  <c r="L1" i="21"/>
  <c r="K121" i="21"/>
  <c r="J5" i="15"/>
  <c r="M4" i="21"/>
  <c r="I4" i="22"/>
  <c r="AG36" i="22"/>
  <c r="AG40" i="22" s="1"/>
  <c r="AG38" i="22"/>
  <c r="J5" i="17"/>
  <c r="K21" i="6"/>
  <c r="I3" i="19"/>
  <c r="L24" i="1"/>
  <c r="J2" i="7" s="1"/>
  <c r="AB34" i="7"/>
  <c r="AB95" i="7" s="1"/>
  <c r="AC34" i="7"/>
  <c r="AC95" i="7" s="1"/>
  <c r="H42" i="11" l="1"/>
  <c r="I5" i="23"/>
  <c r="I4" i="26"/>
  <c r="J7" i="13"/>
  <c r="J32" i="13" s="1"/>
  <c r="I4" i="12"/>
  <c r="I4" i="11"/>
  <c r="W32" i="1"/>
  <c r="X31" i="1"/>
  <c r="W5" i="19" s="1"/>
  <c r="K11" i="14"/>
  <c r="AH17" i="19"/>
  <c r="AN17" i="19" s="1"/>
  <c r="AO56" i="1"/>
  <c r="L121" i="21"/>
  <c r="J4" i="22"/>
  <c r="N4" i="21"/>
  <c r="K5" i="15"/>
  <c r="M43" i="21"/>
  <c r="M82" i="21" s="1"/>
  <c r="M1" i="21"/>
  <c r="K5" i="17"/>
  <c r="L21" i="6"/>
  <c r="J3" i="19"/>
  <c r="M24" i="1"/>
  <c r="K2" i="7" s="1"/>
  <c r="J4" i="11" l="1"/>
  <c r="J4" i="12"/>
  <c r="I42" i="11"/>
  <c r="J4" i="26"/>
  <c r="K7" i="13"/>
  <c r="K32" i="13" s="1"/>
  <c r="J5" i="23"/>
  <c r="Y31" i="1"/>
  <c r="X32" i="1"/>
  <c r="L11" i="14"/>
  <c r="O4" i="21"/>
  <c r="L5" i="15"/>
  <c r="K4" i="22"/>
  <c r="M121" i="21"/>
  <c r="N1" i="21"/>
  <c r="N43" i="21"/>
  <c r="N82" i="21" s="1"/>
  <c r="K3" i="19"/>
  <c r="L5" i="17"/>
  <c r="M21" i="6"/>
  <c r="N24" i="1"/>
  <c r="L2" i="7" s="1"/>
  <c r="AD34" i="7"/>
  <c r="AD95" i="7" s="1"/>
  <c r="AE34" i="7"/>
  <c r="AE95" i="7" s="1"/>
  <c r="J42" i="11" l="1"/>
  <c r="K5" i="23"/>
  <c r="K4" i="26"/>
  <c r="K4" i="12"/>
  <c r="L7" i="13"/>
  <c r="L32" i="13" s="1"/>
  <c r="K4" i="11"/>
  <c r="Z31" i="1"/>
  <c r="Y5" i="19" s="1"/>
  <c r="Y32" i="1"/>
  <c r="M11" i="14"/>
  <c r="X5" i="19"/>
  <c r="N121" i="21"/>
  <c r="L4" i="22"/>
  <c r="P4" i="21"/>
  <c r="M5" i="15"/>
  <c r="O1" i="21"/>
  <c r="O43" i="21"/>
  <c r="O82" i="21" s="1"/>
  <c r="M5" i="17"/>
  <c r="N21" i="6"/>
  <c r="L3" i="19"/>
  <c r="AN42" i="1"/>
  <c r="AN63" i="1" s="1"/>
  <c r="AB42" i="1"/>
  <c r="AB63" i="1" s="1"/>
  <c r="AA25" i="19" s="1"/>
  <c r="AG42" i="1"/>
  <c r="AG63" i="1" s="1"/>
  <c r="AF25" i="19" s="1"/>
  <c r="W42" i="1"/>
  <c r="W63" i="1" s="1"/>
  <c r="V25" i="19" s="1"/>
  <c r="AH42" i="1"/>
  <c r="AH63" i="1" s="1"/>
  <c r="AG25" i="19" s="1"/>
  <c r="AE42" i="1"/>
  <c r="AE63" i="1" s="1"/>
  <c r="AD25" i="19" s="1"/>
  <c r="Y42" i="1"/>
  <c r="Y63" i="1" s="1"/>
  <c r="X25" i="19" s="1"/>
  <c r="AF42" i="1"/>
  <c r="AF63" i="1" s="1"/>
  <c r="AE25" i="19" s="1"/>
  <c r="S42" i="1"/>
  <c r="S63" i="1" s="1"/>
  <c r="R25" i="19" s="1"/>
  <c r="Q42" i="1"/>
  <c r="Q63" i="1" s="1"/>
  <c r="P25" i="19" s="1"/>
  <c r="AD42" i="1"/>
  <c r="AD63" i="1" s="1"/>
  <c r="AC25" i="19" s="1"/>
  <c r="T42" i="1"/>
  <c r="T63" i="1" s="1"/>
  <c r="S25" i="19" s="1"/>
  <c r="P42" i="1"/>
  <c r="P63" i="1" s="1"/>
  <c r="O25" i="19" s="1"/>
  <c r="AA42" i="1"/>
  <c r="AA63" i="1" s="1"/>
  <c r="Z25" i="19" s="1"/>
  <c r="O24" i="1"/>
  <c r="M2" i="7" s="1"/>
  <c r="M7" i="13" l="1"/>
  <c r="M32" i="13" s="1"/>
  <c r="K42" i="11"/>
  <c r="L4" i="12"/>
  <c r="L5" i="23"/>
  <c r="L4" i="11"/>
  <c r="L4" i="26"/>
  <c r="Z32" i="1"/>
  <c r="AA31" i="1"/>
  <c r="Z5" i="19" s="1"/>
  <c r="AM25" i="19"/>
  <c r="AK210" i="1"/>
  <c r="N11" i="14"/>
  <c r="AJ8" i="17"/>
  <c r="AJ9" i="17" s="1"/>
  <c r="AJ10" i="17" s="1"/>
  <c r="AK64" i="1" s="1"/>
  <c r="AK8" i="17"/>
  <c r="AK9" i="17" s="1"/>
  <c r="AK10" i="17" s="1"/>
  <c r="AL64" i="1" s="1"/>
  <c r="AL8" i="17"/>
  <c r="AL9" i="17" s="1"/>
  <c r="AL10" i="17" s="1"/>
  <c r="AM64" i="1" s="1"/>
  <c r="AI8" i="17"/>
  <c r="AI9" i="17" s="1"/>
  <c r="AI10" i="17" s="1"/>
  <c r="AJ64" i="1" s="1"/>
  <c r="O121" i="21"/>
  <c r="N5" i="15"/>
  <c r="M4" i="22"/>
  <c r="Q4" i="21"/>
  <c r="P1" i="21"/>
  <c r="P43" i="21"/>
  <c r="P82" i="21" s="1"/>
  <c r="AD22" i="10"/>
  <c r="AB22" i="10"/>
  <c r="W22" i="10"/>
  <c r="Z22" i="10"/>
  <c r="AC22" i="10"/>
  <c r="AF22" i="10"/>
  <c r="Y22" i="10"/>
  <c r="U22" i="10"/>
  <c r="N22" i="10"/>
  <c r="AL22" i="10"/>
  <c r="O22" i="10"/>
  <c r="R22" i="10"/>
  <c r="Q22" i="10"/>
  <c r="AE22" i="10"/>
  <c r="M3" i="19"/>
  <c r="N5" i="17"/>
  <c r="O21" i="6"/>
  <c r="AK42" i="1"/>
  <c r="AK63" i="1" s="1"/>
  <c r="AJ42" i="1"/>
  <c r="AJ63" i="1" s="1"/>
  <c r="AL42" i="1"/>
  <c r="AL63" i="1" s="1"/>
  <c r="AK196" i="1"/>
  <c r="AN81" i="1"/>
  <c r="AM42" i="1"/>
  <c r="AM63" i="1" s="1"/>
  <c r="Z42" i="1"/>
  <c r="Z63" i="1" s="1"/>
  <c r="Y25" i="19" s="1"/>
  <c r="V42" i="1"/>
  <c r="V63" i="1" s="1"/>
  <c r="U25" i="19" s="1"/>
  <c r="U42" i="1"/>
  <c r="U63" i="1" s="1"/>
  <c r="T25" i="19" s="1"/>
  <c r="AI42" i="1"/>
  <c r="AI63" i="1" s="1"/>
  <c r="AH25" i="19" s="1"/>
  <c r="AC42" i="1"/>
  <c r="AC63" i="1" s="1"/>
  <c r="AB25" i="19" s="1"/>
  <c r="R42" i="1"/>
  <c r="R63" i="1" s="1"/>
  <c r="Q25" i="19" s="1"/>
  <c r="X42" i="1"/>
  <c r="X63" i="1" s="1"/>
  <c r="W25" i="19" s="1"/>
  <c r="AB8" i="17"/>
  <c r="AB9" i="17" s="1"/>
  <c r="AB10" i="17" s="1"/>
  <c r="AC64" i="1" s="1"/>
  <c r="W8" i="17"/>
  <c r="W9" i="17" s="1"/>
  <c r="W10" i="17" s="1"/>
  <c r="X64" i="1" s="1"/>
  <c r="Q8" i="17"/>
  <c r="Q9" i="17" s="1"/>
  <c r="Q10" i="17" s="1"/>
  <c r="R64" i="1" s="1"/>
  <c r="AH8" i="17"/>
  <c r="AH9" i="17" s="1"/>
  <c r="AH10" i="17" s="1"/>
  <c r="AI64" i="1" s="1"/>
  <c r="T8" i="17"/>
  <c r="T9" i="17" s="1"/>
  <c r="T10" i="17" s="1"/>
  <c r="U64" i="1" s="1"/>
  <c r="U8" i="17"/>
  <c r="U9" i="17" s="1"/>
  <c r="U10" i="17" s="1"/>
  <c r="V64" i="1" s="1"/>
  <c r="Y8" i="17"/>
  <c r="Y9" i="17" s="1"/>
  <c r="Y10" i="17" s="1"/>
  <c r="Z64" i="1" s="1"/>
  <c r="P24" i="1"/>
  <c r="N2" i="7" s="1"/>
  <c r="AA81" i="1"/>
  <c r="P81" i="1"/>
  <c r="W81" i="1"/>
  <c r="AF34" i="7"/>
  <c r="AF95" i="7" s="1"/>
  <c r="AH81" i="1"/>
  <c r="AE81" i="1"/>
  <c r="S81" i="1"/>
  <c r="AG81" i="1"/>
  <c r="AB81" i="1"/>
  <c r="Y81" i="1"/>
  <c r="AD81" i="1"/>
  <c r="AF81" i="1"/>
  <c r="T81" i="1"/>
  <c r="Q81" i="1"/>
  <c r="AB21" i="7"/>
  <c r="M4" i="11" l="1"/>
  <c r="M4" i="26"/>
  <c r="L42" i="11"/>
  <c r="M5" i="23"/>
  <c r="N7" i="13"/>
  <c r="N32" i="13" s="1"/>
  <c r="M4" i="12"/>
  <c r="AB31" i="1"/>
  <c r="AA5" i="19" s="1"/>
  <c r="AA32" i="1"/>
  <c r="AL25" i="19"/>
  <c r="AJ210" i="1"/>
  <c r="AI25" i="19"/>
  <c r="AG210" i="1"/>
  <c r="AJ25" i="19"/>
  <c r="AH210" i="1"/>
  <c r="O11" i="14"/>
  <c r="AK25" i="19"/>
  <c r="AI210" i="1"/>
  <c r="U26" i="19"/>
  <c r="AH26" i="19"/>
  <c r="AB26" i="19"/>
  <c r="Y26" i="19"/>
  <c r="T26" i="19"/>
  <c r="AI26" i="19"/>
  <c r="AG211" i="1"/>
  <c r="AL26" i="19"/>
  <c r="AJ211" i="1"/>
  <c r="Q26" i="19"/>
  <c r="AK26" i="19"/>
  <c r="AI211" i="1"/>
  <c r="W26" i="19"/>
  <c r="AJ26" i="19"/>
  <c r="AH211" i="1"/>
  <c r="AM8" i="17"/>
  <c r="AM9" i="17" s="1"/>
  <c r="AM10" i="17" s="1"/>
  <c r="AN64" i="1" s="1"/>
  <c r="O5" i="15"/>
  <c r="N4" i="22"/>
  <c r="R4" i="21"/>
  <c r="P121" i="21"/>
  <c r="Q1" i="21"/>
  <c r="Q43" i="21"/>
  <c r="Q82" i="21" s="1"/>
  <c r="AK22" i="10"/>
  <c r="AJ22" i="10"/>
  <c r="AH22" i="10"/>
  <c r="AI22" i="10"/>
  <c r="S22" i="10"/>
  <c r="AG22" i="10"/>
  <c r="X22" i="10"/>
  <c r="V22" i="10"/>
  <c r="P22" i="10"/>
  <c r="AA22" i="10"/>
  <c r="T22" i="10"/>
  <c r="AK81" i="1"/>
  <c r="N3" i="19"/>
  <c r="O5" i="17"/>
  <c r="P21" i="6"/>
  <c r="AG196" i="1"/>
  <c r="AJ81" i="1"/>
  <c r="AH196" i="1"/>
  <c r="AI196" i="1"/>
  <c r="AL81" i="1"/>
  <c r="AM81" i="1"/>
  <c r="AJ196" i="1"/>
  <c r="AF8" i="17"/>
  <c r="AF9" i="17" s="1"/>
  <c r="AF10" i="17" s="1"/>
  <c r="AG64" i="1" s="1"/>
  <c r="AG8" i="17"/>
  <c r="AG9" i="17" s="1"/>
  <c r="AG10" i="17" s="1"/>
  <c r="AH64" i="1" s="1"/>
  <c r="R8" i="17"/>
  <c r="R9" i="17" s="1"/>
  <c r="R10" i="17" s="1"/>
  <c r="S64" i="1" s="1"/>
  <c r="P8" i="17"/>
  <c r="P9" i="17" s="1"/>
  <c r="P10" i="17" s="1"/>
  <c r="Q64" i="1" s="1"/>
  <c r="S8" i="17"/>
  <c r="S9" i="17" s="1"/>
  <c r="S10" i="17" s="1"/>
  <c r="T64" i="1" s="1"/>
  <c r="R81" i="1"/>
  <c r="AD8" i="17"/>
  <c r="AD9" i="17" s="1"/>
  <c r="AD10" i="17" s="1"/>
  <c r="AE64" i="1" s="1"/>
  <c r="AI81" i="1"/>
  <c r="V81" i="1"/>
  <c r="O8" i="17"/>
  <c r="O9" i="17" s="1"/>
  <c r="O10" i="17" s="1"/>
  <c r="P64" i="1" s="1"/>
  <c r="AA8" i="17"/>
  <c r="AA9" i="17" s="1"/>
  <c r="AA10" i="17" s="1"/>
  <c r="AB64" i="1" s="1"/>
  <c r="V8" i="17"/>
  <c r="V9" i="17" s="1"/>
  <c r="V10" i="17" s="1"/>
  <c r="W64" i="1" s="1"/>
  <c r="X8" i="17"/>
  <c r="X9" i="17" s="1"/>
  <c r="X10" i="17" s="1"/>
  <c r="Y64" i="1" s="1"/>
  <c r="X81" i="1"/>
  <c r="AC8" i="17"/>
  <c r="AC9" i="17" s="1"/>
  <c r="AC10" i="17" s="1"/>
  <c r="AD64" i="1" s="1"/>
  <c r="Z8" i="17"/>
  <c r="Z9" i="17" s="1"/>
  <c r="Z10" i="17" s="1"/>
  <c r="AA64" i="1" s="1"/>
  <c r="AC81" i="1"/>
  <c r="AE8" i="17"/>
  <c r="AE9" i="17" s="1"/>
  <c r="AE10" i="17" s="1"/>
  <c r="AF64" i="1" s="1"/>
  <c r="U81" i="1"/>
  <c r="Z81" i="1"/>
  <c r="Q24" i="1"/>
  <c r="O2" i="7" s="1"/>
  <c r="X21" i="7"/>
  <c r="AG34" i="7"/>
  <c r="AG95" i="7" s="1"/>
  <c r="D21" i="7"/>
  <c r="H21" i="7"/>
  <c r="L21" i="7"/>
  <c r="P21" i="7"/>
  <c r="T21" i="7"/>
  <c r="O7" i="13" l="1"/>
  <c r="O32" i="13" s="1"/>
  <c r="N4" i="12"/>
  <c r="N5" i="23"/>
  <c r="N4" i="11"/>
  <c r="M42" i="11"/>
  <c r="N4" i="26"/>
  <c r="AC31" i="1"/>
  <c r="AB5" i="19" s="1"/>
  <c r="AB32" i="1"/>
  <c r="P11" i="14"/>
  <c r="Z26" i="19"/>
  <c r="V26" i="19"/>
  <c r="AA26" i="19"/>
  <c r="O26" i="19"/>
  <c r="AD26" i="19"/>
  <c r="AE26" i="19"/>
  <c r="S26" i="19"/>
  <c r="AM26" i="19"/>
  <c r="AK211" i="1"/>
  <c r="P26" i="19"/>
  <c r="R26" i="19"/>
  <c r="AC26" i="19"/>
  <c r="AG26" i="19"/>
  <c r="X26" i="19"/>
  <c r="AF26" i="19"/>
  <c r="P5" i="15"/>
  <c r="O4" i="22"/>
  <c r="S4" i="21"/>
  <c r="Q121" i="21"/>
  <c r="R1" i="21"/>
  <c r="R43" i="21"/>
  <c r="R82" i="21" s="1"/>
  <c r="P5" i="17"/>
  <c r="Q21" i="6"/>
  <c r="O3" i="19"/>
  <c r="R24" i="1"/>
  <c r="P2" i="7" s="1"/>
  <c r="F36" i="1"/>
  <c r="F37" i="1" s="1"/>
  <c r="O4" i="26" l="1"/>
  <c r="O5" i="23"/>
  <c r="O4" i="12"/>
  <c r="O4" i="11"/>
  <c r="P7" i="13"/>
  <c r="P32" i="13" s="1"/>
  <c r="N42" i="11"/>
  <c r="AD31" i="1"/>
  <c r="AC5" i="19" s="1"/>
  <c r="AC32" i="1"/>
  <c r="Q11" i="14"/>
  <c r="R121" i="21"/>
  <c r="S1" i="21"/>
  <c r="S43" i="21"/>
  <c r="S82" i="21" s="1"/>
  <c r="Q5" i="15"/>
  <c r="P4" i="22"/>
  <c r="T4" i="21"/>
  <c r="P3" i="19"/>
  <c r="Q5" i="17"/>
  <c r="R21" i="6"/>
  <c r="AO35" i="1"/>
  <c r="L42" i="1"/>
  <c r="L63" i="1" s="1"/>
  <c r="K25" i="19" s="1"/>
  <c r="I42" i="1"/>
  <c r="I63" i="1" s="1"/>
  <c r="H25" i="19" s="1"/>
  <c r="J42" i="1"/>
  <c r="J63" i="1" s="1"/>
  <c r="I25" i="19" s="1"/>
  <c r="M42" i="1"/>
  <c r="M63" i="1" s="1"/>
  <c r="L25" i="19" s="1"/>
  <c r="K42" i="1"/>
  <c r="K63" i="1" s="1"/>
  <c r="J25" i="19" s="1"/>
  <c r="S24" i="1"/>
  <c r="Q2" i="7" s="1"/>
  <c r="F42" i="1"/>
  <c r="F63" i="1" s="1"/>
  <c r="P4" i="11" l="1"/>
  <c r="P5" i="23"/>
  <c r="Q7" i="13"/>
  <c r="Q32" i="13" s="1"/>
  <c r="O42" i="11"/>
  <c r="P4" i="26"/>
  <c r="P4" i="12"/>
  <c r="AD32" i="1"/>
  <c r="AE31" i="1"/>
  <c r="AD5" i="19" s="1"/>
  <c r="R11" i="14"/>
  <c r="E25" i="19"/>
  <c r="E8" i="17"/>
  <c r="E9" i="17" s="1"/>
  <c r="E10" i="17" s="1"/>
  <c r="F64" i="1" s="1"/>
  <c r="S121" i="21"/>
  <c r="R5" i="15"/>
  <c r="Q4" i="22"/>
  <c r="U4" i="21"/>
  <c r="T1" i="21"/>
  <c r="T43" i="21"/>
  <c r="T82" i="21" s="1"/>
  <c r="D22" i="10"/>
  <c r="J22" i="10"/>
  <c r="G22" i="10"/>
  <c r="I22" i="10"/>
  <c r="K22" i="10"/>
  <c r="H22" i="10"/>
  <c r="R5" i="17"/>
  <c r="S21" i="6"/>
  <c r="Q3" i="19"/>
  <c r="F38" i="1"/>
  <c r="AO36" i="1"/>
  <c r="M345" i="25" s="1"/>
  <c r="G42" i="1"/>
  <c r="G63" i="1" s="1"/>
  <c r="F25" i="19" s="1"/>
  <c r="O42" i="1"/>
  <c r="O63" i="1" s="1"/>
  <c r="N25" i="19" s="1"/>
  <c r="F8" i="17"/>
  <c r="F9" i="17" s="1"/>
  <c r="F10" i="17" s="1"/>
  <c r="G64" i="1" s="1"/>
  <c r="T24" i="1"/>
  <c r="R2" i="7" s="1"/>
  <c r="F81" i="1"/>
  <c r="I81" i="1"/>
  <c r="M81" i="1"/>
  <c r="K81" i="1"/>
  <c r="J81" i="1"/>
  <c r="L81" i="1"/>
  <c r="H42" i="1"/>
  <c r="H63" i="1" s="1"/>
  <c r="G25" i="19" s="1"/>
  <c r="N42" i="1"/>
  <c r="N63" i="1" s="1"/>
  <c r="M25" i="19" s="1"/>
  <c r="P42" i="11" l="1"/>
  <c r="Q4" i="26"/>
  <c r="R7" i="13"/>
  <c r="R32" i="13" s="1"/>
  <c r="Q5" i="23"/>
  <c r="Q4" i="11"/>
  <c r="Q4" i="12"/>
  <c r="F43" i="1"/>
  <c r="F76" i="1" s="1"/>
  <c r="G38" i="1"/>
  <c r="AE32" i="1"/>
  <c r="AF31" i="1"/>
  <c r="AE5" i="19" s="1"/>
  <c r="S11" i="14"/>
  <c r="AO63" i="1"/>
  <c r="AN25" i="19"/>
  <c r="F26" i="19"/>
  <c r="E26" i="19"/>
  <c r="D23" i="10"/>
  <c r="E6" i="19"/>
  <c r="M8" i="17"/>
  <c r="M9" i="17" s="1"/>
  <c r="M10" i="17" s="1"/>
  <c r="N64" i="1" s="1"/>
  <c r="G8" i="17"/>
  <c r="G9" i="17" s="1"/>
  <c r="G10" i="17" s="1"/>
  <c r="H64" i="1" s="1"/>
  <c r="T121" i="21"/>
  <c r="U1" i="21"/>
  <c r="U43" i="21"/>
  <c r="U82" i="21" s="1"/>
  <c r="V4" i="21"/>
  <c r="S5" i="15"/>
  <c r="R4" i="22"/>
  <c r="M22" i="10"/>
  <c r="E22" i="10"/>
  <c r="F22" i="10"/>
  <c r="L22" i="10"/>
  <c r="F39" i="1"/>
  <c r="R3" i="19"/>
  <c r="S5" i="17"/>
  <c r="T21" i="6"/>
  <c r="AO42" i="1"/>
  <c r="AO37" i="1"/>
  <c r="O81" i="1"/>
  <c r="K8" i="17"/>
  <c r="K9" i="17" s="1"/>
  <c r="K10" i="17" s="1"/>
  <c r="L64" i="1" s="1"/>
  <c r="J8" i="17"/>
  <c r="J9" i="17" s="1"/>
  <c r="J10" i="17" s="1"/>
  <c r="K64" i="1" s="1"/>
  <c r="G81" i="1"/>
  <c r="L8" i="17"/>
  <c r="L9" i="17" s="1"/>
  <c r="L10" i="17" s="1"/>
  <c r="M64" i="1" s="1"/>
  <c r="I8" i="17"/>
  <c r="I9" i="17" s="1"/>
  <c r="I10" i="17" s="1"/>
  <c r="J64" i="1" s="1"/>
  <c r="H8" i="17"/>
  <c r="H9" i="17" s="1"/>
  <c r="H10" i="17" s="1"/>
  <c r="I64" i="1" s="1"/>
  <c r="N8" i="17"/>
  <c r="N9" i="17" s="1"/>
  <c r="N10" i="17" s="1"/>
  <c r="O64" i="1" s="1"/>
  <c r="U24" i="1"/>
  <c r="S2" i="7" s="1"/>
  <c r="N81" i="1"/>
  <c r="H81" i="1"/>
  <c r="R4" i="11" l="1"/>
  <c r="S7" i="13"/>
  <c r="S32" i="13" s="1"/>
  <c r="R4" i="12"/>
  <c r="Q42" i="11"/>
  <c r="R5" i="23"/>
  <c r="R4" i="26"/>
  <c r="F82" i="1"/>
  <c r="F83" i="1" s="1"/>
  <c r="F44" i="1"/>
  <c r="AG31" i="1"/>
  <c r="AF5" i="19" s="1"/>
  <c r="AF32" i="1"/>
  <c r="G39" i="1"/>
  <c r="H38" i="1"/>
  <c r="G6" i="19" s="1"/>
  <c r="T11" i="14"/>
  <c r="G26" i="19"/>
  <c r="M26" i="19"/>
  <c r="H26" i="19"/>
  <c r="J26" i="19"/>
  <c r="I26" i="19"/>
  <c r="K26" i="19"/>
  <c r="L26" i="19"/>
  <c r="AO64" i="1"/>
  <c r="N26" i="19"/>
  <c r="B23" i="10"/>
  <c r="F6" i="19"/>
  <c r="E4" i="19"/>
  <c r="W4" i="21"/>
  <c r="T5" i="15"/>
  <c r="S4" i="22"/>
  <c r="V1" i="21"/>
  <c r="V43" i="21"/>
  <c r="V82" i="21" s="1"/>
  <c r="U121" i="21"/>
  <c r="E23" i="10"/>
  <c r="F23" i="10" s="1"/>
  <c r="G23" i="10" s="1"/>
  <c r="H23" i="10" s="1"/>
  <c r="I23" i="10" s="1"/>
  <c r="J23" i="10" s="1"/>
  <c r="K23" i="10" s="1"/>
  <c r="L23" i="10" s="1"/>
  <c r="M23" i="10" s="1"/>
  <c r="N23" i="10" s="1"/>
  <c r="O23" i="10" s="1"/>
  <c r="P23" i="10" s="1"/>
  <c r="Q23" i="10" s="1"/>
  <c r="R23" i="10" s="1"/>
  <c r="S23" i="10" s="1"/>
  <c r="T23" i="10" s="1"/>
  <c r="U23" i="10" s="1"/>
  <c r="V23" i="10" s="1"/>
  <c r="W23" i="10" s="1"/>
  <c r="X23" i="10" s="1"/>
  <c r="Y23" i="10" s="1"/>
  <c r="Z23" i="10" s="1"/>
  <c r="AA23" i="10" s="1"/>
  <c r="AB23" i="10" s="1"/>
  <c r="AC23" i="10" s="1"/>
  <c r="AD23" i="10" s="1"/>
  <c r="AE23" i="10" s="1"/>
  <c r="AF23" i="10" s="1"/>
  <c r="AG23" i="10" s="1"/>
  <c r="AH23" i="10" s="1"/>
  <c r="AI23" i="10" s="1"/>
  <c r="AJ23" i="10" s="1"/>
  <c r="AK23" i="10" s="1"/>
  <c r="AL23" i="10" s="1"/>
  <c r="G43" i="1"/>
  <c r="T5" i="17"/>
  <c r="U21" i="6"/>
  <c r="S3" i="19"/>
  <c r="AO81" i="1"/>
  <c r="E31" i="19"/>
  <c r="V24" i="1"/>
  <c r="T2" i="7" s="1"/>
  <c r="S5" i="23" l="1"/>
  <c r="T7" i="13"/>
  <c r="T32" i="13" s="1"/>
  <c r="S4" i="26"/>
  <c r="S4" i="12"/>
  <c r="S4" i="11"/>
  <c r="R42" i="11"/>
  <c r="H39" i="1"/>
  <c r="I38" i="1"/>
  <c r="H6" i="19" s="1"/>
  <c r="AG32" i="1"/>
  <c r="AH31" i="1"/>
  <c r="AG5" i="19" s="1"/>
  <c r="AN26" i="19"/>
  <c r="U11" i="14"/>
  <c r="E29" i="10"/>
  <c r="E32" i="10" s="1"/>
  <c r="E34" i="10" s="1"/>
  <c r="Q29" i="10"/>
  <c r="Q32" i="10" s="1"/>
  <c r="Q34" i="10" s="1"/>
  <c r="AC29" i="10"/>
  <c r="AC32" i="10" s="1"/>
  <c r="AC34" i="10" s="1"/>
  <c r="U29" i="10"/>
  <c r="U32" i="10" s="1"/>
  <c r="U34" i="10" s="1"/>
  <c r="F29" i="10"/>
  <c r="F32" i="10" s="1"/>
  <c r="F34" i="10" s="1"/>
  <c r="R29" i="10"/>
  <c r="R32" i="10" s="1"/>
  <c r="R34" i="10" s="1"/>
  <c r="G29" i="10"/>
  <c r="G32" i="10" s="1"/>
  <c r="G34" i="10" s="1"/>
  <c r="S29" i="10"/>
  <c r="S32" i="10" s="1"/>
  <c r="S34" i="10" s="1"/>
  <c r="T29" i="10"/>
  <c r="T32" i="10" s="1"/>
  <c r="T34" i="10" s="1"/>
  <c r="H29" i="10"/>
  <c r="H32" i="10" s="1"/>
  <c r="H34" i="10" s="1"/>
  <c r="I29" i="10"/>
  <c r="I32" i="10" s="1"/>
  <c r="I34" i="10" s="1"/>
  <c r="J29" i="10"/>
  <c r="J32" i="10" s="1"/>
  <c r="J34" i="10" s="1"/>
  <c r="K29" i="10"/>
  <c r="K32" i="10" s="1"/>
  <c r="K34" i="10" s="1"/>
  <c r="W29" i="10"/>
  <c r="W32" i="10" s="1"/>
  <c r="W34" i="10" s="1"/>
  <c r="P29" i="10"/>
  <c r="P32" i="10" s="1"/>
  <c r="P34" i="10" s="1"/>
  <c r="L29" i="10"/>
  <c r="L32" i="10" s="1"/>
  <c r="L34" i="10" s="1"/>
  <c r="X29" i="10"/>
  <c r="X32" i="10" s="1"/>
  <c r="X34" i="10" s="1"/>
  <c r="D29" i="10"/>
  <c r="D32" i="10" s="1"/>
  <c r="D34" i="10" s="1"/>
  <c r="AB29" i="10"/>
  <c r="AB32" i="10" s="1"/>
  <c r="AB34" i="10" s="1"/>
  <c r="M29" i="10"/>
  <c r="M32" i="10" s="1"/>
  <c r="M34" i="10" s="1"/>
  <c r="Y29" i="10"/>
  <c r="Y32" i="10" s="1"/>
  <c r="Y34" i="10" s="1"/>
  <c r="N29" i="10"/>
  <c r="N32" i="10" s="1"/>
  <c r="N34" i="10" s="1"/>
  <c r="Z29" i="10"/>
  <c r="Z32" i="10" s="1"/>
  <c r="Z34" i="10" s="1"/>
  <c r="AA29" i="10"/>
  <c r="AA32" i="10" s="1"/>
  <c r="AA34" i="10" s="1"/>
  <c r="V29" i="10"/>
  <c r="V32" i="10" s="1"/>
  <c r="V34" i="10" s="1"/>
  <c r="O29" i="10"/>
  <c r="O32" i="10" s="1"/>
  <c r="O34" i="10" s="1"/>
  <c r="AG26" i="10"/>
  <c r="Z26" i="10"/>
  <c r="Q26" i="10"/>
  <c r="W26" i="10"/>
  <c r="AL26" i="10"/>
  <c r="AN73" i="1" s="1"/>
  <c r="AC26" i="10"/>
  <c r="L26" i="10"/>
  <c r="X26" i="10"/>
  <c r="AE26" i="10"/>
  <c r="R26" i="10"/>
  <c r="M26" i="10"/>
  <c r="O26" i="10"/>
  <c r="AD26" i="10"/>
  <c r="AF26" i="10"/>
  <c r="J26" i="10"/>
  <c r="AA26" i="10"/>
  <c r="S26" i="10"/>
  <c r="AD29" i="10"/>
  <c r="AD32" i="10" s="1"/>
  <c r="AD34" i="10" s="1"/>
  <c r="V26" i="10"/>
  <c r="AK26" i="10"/>
  <c r="AM73" i="1" s="1"/>
  <c r="H26" i="10"/>
  <c r="AH26" i="10"/>
  <c r="AJ73" i="1" s="1"/>
  <c r="P26" i="10"/>
  <c r="D26" i="10"/>
  <c r="T26" i="10"/>
  <c r="AI26" i="10"/>
  <c r="AK73" i="1" s="1"/>
  <c r="AB26" i="10"/>
  <c r="U26" i="10"/>
  <c r="AJ26" i="10"/>
  <c r="AL73" i="1" s="1"/>
  <c r="F26" i="10"/>
  <c r="K26" i="10"/>
  <c r="Y26" i="10"/>
  <c r="G26" i="10"/>
  <c r="I26" i="10"/>
  <c r="N26" i="10"/>
  <c r="E26" i="10"/>
  <c r="AE29" i="10"/>
  <c r="AE32" i="10" s="1"/>
  <c r="AE34" i="10" s="1"/>
  <c r="AF29" i="10"/>
  <c r="AF32" i="10" s="1"/>
  <c r="AF34" i="10" s="1"/>
  <c r="AG29" i="10"/>
  <c r="AG32" i="10" s="1"/>
  <c r="AG34" i="10" s="1"/>
  <c r="AH29" i="10"/>
  <c r="AH32" i="10" s="1"/>
  <c r="AH34" i="10" s="1"/>
  <c r="AI29" i="10"/>
  <c r="AI32" i="10" s="1"/>
  <c r="AI34" i="10" s="1"/>
  <c r="AJ29" i="10"/>
  <c r="AJ32" i="10" s="1"/>
  <c r="AJ34" i="10" s="1"/>
  <c r="AK29" i="10"/>
  <c r="AK32" i="10" s="1"/>
  <c r="AK34" i="10" s="1"/>
  <c r="AL29" i="10"/>
  <c r="AL32" i="10" s="1"/>
  <c r="AL34" i="10" s="1"/>
  <c r="G4" i="19"/>
  <c r="F4" i="19"/>
  <c r="V121" i="21"/>
  <c r="X4" i="21"/>
  <c r="U5" i="15"/>
  <c r="T4" i="22"/>
  <c r="W43" i="21"/>
  <c r="W82" i="21" s="1"/>
  <c r="W1" i="21"/>
  <c r="G82" i="1"/>
  <c r="G83" i="1" s="1"/>
  <c r="G76" i="1"/>
  <c r="F31" i="19" s="1"/>
  <c r="D24" i="10"/>
  <c r="E24" i="10" s="1"/>
  <c r="F24" i="10" s="1"/>
  <c r="G24" i="10" s="1"/>
  <c r="H24" i="10" s="1"/>
  <c r="I24" i="10" s="1"/>
  <c r="J24" i="10" s="1"/>
  <c r="K24" i="10" s="1"/>
  <c r="L24" i="10" s="1"/>
  <c r="M24" i="10" s="1"/>
  <c r="N24" i="10" s="1"/>
  <c r="O24" i="10" s="1"/>
  <c r="P24" i="10" s="1"/>
  <c r="Q24" i="10" s="1"/>
  <c r="R24" i="10" s="1"/>
  <c r="S24" i="10" s="1"/>
  <c r="T24" i="10" s="1"/>
  <c r="U24" i="10" s="1"/>
  <c r="V24" i="10" s="1"/>
  <c r="W24" i="10" s="1"/>
  <c r="X24" i="10" s="1"/>
  <c r="Y24" i="10" s="1"/>
  <c r="Z24" i="10" s="1"/>
  <c r="AA24" i="10" s="1"/>
  <c r="AB24" i="10" s="1"/>
  <c r="AC24" i="10" s="1"/>
  <c r="AD24" i="10" s="1"/>
  <c r="AE24" i="10" s="1"/>
  <c r="AF24" i="10" s="1"/>
  <c r="AG24" i="10" s="1"/>
  <c r="AH24" i="10" s="1"/>
  <c r="AI24" i="10" s="1"/>
  <c r="AJ24" i="10" s="1"/>
  <c r="AK24" i="10" s="1"/>
  <c r="AL24" i="10" s="1"/>
  <c r="G44" i="1"/>
  <c r="H43" i="1"/>
  <c r="T3" i="19"/>
  <c r="U5" i="17"/>
  <c r="V21" i="6"/>
  <c r="W24" i="1"/>
  <c r="U2" i="7" s="1"/>
  <c r="T4" i="11" l="1"/>
  <c r="T4" i="12"/>
  <c r="T4" i="26"/>
  <c r="S42" i="11"/>
  <c r="U7" i="13"/>
  <c r="U32" i="13" s="1"/>
  <c r="T5" i="23"/>
  <c r="AH32" i="1"/>
  <c r="AI31" i="1"/>
  <c r="AH5" i="19" s="1"/>
  <c r="I39" i="1"/>
  <c r="J38" i="1"/>
  <c r="V11" i="14"/>
  <c r="H4" i="19"/>
  <c r="AL72" i="1"/>
  <c r="AK30" i="19" s="1"/>
  <c r="V5" i="15"/>
  <c r="U4" i="22"/>
  <c r="Y4" i="21"/>
  <c r="W121" i="21"/>
  <c r="X1" i="21"/>
  <c r="X43" i="21"/>
  <c r="X82" i="21" s="1"/>
  <c r="H76" i="1"/>
  <c r="G31" i="19" s="1"/>
  <c r="AN72" i="1"/>
  <c r="AM30" i="19" s="1"/>
  <c r="F72" i="1"/>
  <c r="E30" i="19" s="1"/>
  <c r="H82" i="1"/>
  <c r="H83" i="1" s="1"/>
  <c r="H44" i="1"/>
  <c r="I43" i="1"/>
  <c r="U3" i="19"/>
  <c r="V5" i="17"/>
  <c r="W21" i="6"/>
  <c r="AK72" i="1"/>
  <c r="AJ30" i="19" s="1"/>
  <c r="AM72" i="1"/>
  <c r="AL30" i="19" s="1"/>
  <c r="AJ72" i="1"/>
  <c r="G73" i="1"/>
  <c r="F73" i="1"/>
  <c r="X24" i="1"/>
  <c r="V2" i="7" s="1"/>
  <c r="G72" i="1"/>
  <c r="F30" i="19" s="1"/>
  <c r="U4" i="11" l="1"/>
  <c r="U4" i="12"/>
  <c r="V7" i="13"/>
  <c r="V32" i="13" s="1"/>
  <c r="T42" i="11"/>
  <c r="U5" i="23"/>
  <c r="U4" i="26"/>
  <c r="J39" i="1"/>
  <c r="K38" i="1"/>
  <c r="J6" i="19" s="1"/>
  <c r="AJ31" i="1"/>
  <c r="AI5" i="19" s="1"/>
  <c r="AI32" i="1"/>
  <c r="W11" i="14"/>
  <c r="AI30" i="19"/>
  <c r="I6" i="19"/>
  <c r="V4" i="22"/>
  <c r="W5" i="15"/>
  <c r="Z4" i="21"/>
  <c r="X121" i="21"/>
  <c r="Y1" i="21"/>
  <c r="Y43" i="21"/>
  <c r="Y82" i="21" s="1"/>
  <c r="I76" i="1"/>
  <c r="H31" i="19" s="1"/>
  <c r="I82" i="1"/>
  <c r="I83" i="1" s="1"/>
  <c r="J43" i="1"/>
  <c r="I44" i="1"/>
  <c r="W5" i="17"/>
  <c r="X21" i="6"/>
  <c r="V3" i="19"/>
  <c r="H73" i="1"/>
  <c r="Y24" i="1"/>
  <c r="W2" i="7" s="1"/>
  <c r="H72" i="1"/>
  <c r="G30" i="19" s="1"/>
  <c r="V4" i="11" l="1"/>
  <c r="U42" i="11"/>
  <c r="V5" i="23"/>
  <c r="V4" i="12"/>
  <c r="W7" i="13"/>
  <c r="W32" i="13" s="1"/>
  <c r="V4" i="26"/>
  <c r="AJ32" i="1"/>
  <c r="AK31" i="1"/>
  <c r="AJ5" i="19" s="1"/>
  <c r="L38" i="1"/>
  <c r="K6" i="19" s="1"/>
  <c r="K4" i="19" s="1"/>
  <c r="K39" i="1"/>
  <c r="X11" i="14"/>
  <c r="K43" i="1"/>
  <c r="K76" i="1" s="1"/>
  <c r="J31" i="19" s="1"/>
  <c r="I4" i="19"/>
  <c r="J4" i="19"/>
  <c r="Z1" i="21"/>
  <c r="Z43" i="21"/>
  <c r="Z82" i="21" s="1"/>
  <c r="AA4" i="21"/>
  <c r="X5" i="15"/>
  <c r="W4" i="22"/>
  <c r="Y121" i="21"/>
  <c r="J44" i="1"/>
  <c r="J76" i="1"/>
  <c r="I31" i="19" s="1"/>
  <c r="J82" i="1"/>
  <c r="J83" i="1" s="1"/>
  <c r="X5" i="17"/>
  <c r="Y21" i="6"/>
  <c r="W3" i="19"/>
  <c r="I73" i="1"/>
  <c r="Z24" i="1"/>
  <c r="X2" i="7" s="1"/>
  <c r="D10" i="1"/>
  <c r="H3" i="30" s="1"/>
  <c r="I72" i="1"/>
  <c r="H30" i="19" s="1"/>
  <c r="W5" i="23" l="1"/>
  <c r="X7" i="13"/>
  <c r="X32" i="13" s="1"/>
  <c r="W4" i="26"/>
  <c r="V42" i="11"/>
  <c r="W4" i="12"/>
  <c r="W4" i="11"/>
  <c r="H8" i="30"/>
  <c r="H38" i="30"/>
  <c r="H39" i="30"/>
  <c r="H37" i="30"/>
  <c r="H7" i="30"/>
  <c r="J7" i="30" s="1"/>
  <c r="H36" i="30"/>
  <c r="M38" i="1"/>
  <c r="L6" i="19" s="1"/>
  <c r="L4" i="19" s="1"/>
  <c r="L39" i="1"/>
  <c r="AK32" i="1"/>
  <c r="AL31" i="1"/>
  <c r="AK5" i="19" s="1"/>
  <c r="Y11" i="14"/>
  <c r="K82" i="1"/>
  <c r="K83" i="1" s="1"/>
  <c r="K44" i="1"/>
  <c r="L43" i="1"/>
  <c r="L76" i="1" s="1"/>
  <c r="K31" i="19" s="1"/>
  <c r="H27" i="6"/>
  <c r="P27" i="6"/>
  <c r="P40" i="6" s="1"/>
  <c r="X27" i="6"/>
  <c r="X40" i="6" s="1"/>
  <c r="AF27" i="6"/>
  <c r="AF40" i="6" s="1"/>
  <c r="AN27" i="6"/>
  <c r="AN40" i="6" s="1"/>
  <c r="S27" i="6"/>
  <c r="S40" i="6" s="1"/>
  <c r="AI27" i="6"/>
  <c r="AI40" i="6" s="1"/>
  <c r="AB27" i="6"/>
  <c r="AB40" i="6" s="1"/>
  <c r="I27" i="6"/>
  <c r="Q27" i="6"/>
  <c r="Q40" i="6" s="1"/>
  <c r="Y27" i="6"/>
  <c r="Y40" i="6" s="1"/>
  <c r="AG27" i="6"/>
  <c r="AG40" i="6" s="1"/>
  <c r="F27" i="6"/>
  <c r="K27" i="6"/>
  <c r="K40" i="6" s="1"/>
  <c r="T27" i="6"/>
  <c r="T40" i="6" s="1"/>
  <c r="AJ27" i="6"/>
  <c r="AJ40" i="6" s="1"/>
  <c r="J27" i="6"/>
  <c r="R27" i="6"/>
  <c r="R40" i="6" s="1"/>
  <c r="Z27" i="6"/>
  <c r="Z40" i="6" s="1"/>
  <c r="AH27" i="6"/>
  <c r="AH40" i="6" s="1"/>
  <c r="AA27" i="6"/>
  <c r="AA40" i="6" s="1"/>
  <c r="L27" i="6"/>
  <c r="L40" i="6" s="1"/>
  <c r="N27" i="6"/>
  <c r="N40" i="6" s="1"/>
  <c r="V27" i="6"/>
  <c r="V40" i="6" s="1"/>
  <c r="AD27" i="6"/>
  <c r="AD40" i="6" s="1"/>
  <c r="AL27" i="6"/>
  <c r="AL40" i="6" s="1"/>
  <c r="U27" i="6"/>
  <c r="U40" i="6" s="1"/>
  <c r="AM27" i="6"/>
  <c r="AM40" i="6" s="1"/>
  <c r="W27" i="6"/>
  <c r="W40" i="6" s="1"/>
  <c r="G27" i="6"/>
  <c r="AC27" i="6"/>
  <c r="AC40" i="6" s="1"/>
  <c r="AE27" i="6"/>
  <c r="AE40" i="6" s="1"/>
  <c r="AK27" i="6"/>
  <c r="AK40" i="6" s="1"/>
  <c r="O27" i="6"/>
  <c r="O40" i="6" s="1"/>
  <c r="M27" i="6"/>
  <c r="M40" i="6" s="1"/>
  <c r="Z121" i="21"/>
  <c r="AA43" i="21"/>
  <c r="AA82" i="21" s="1"/>
  <c r="AA1" i="21"/>
  <c r="X4" i="22"/>
  <c r="AB4" i="21"/>
  <c r="Y5" i="15"/>
  <c r="Y5" i="17"/>
  <c r="Z21" i="6"/>
  <c r="X3" i="19"/>
  <c r="J73" i="1"/>
  <c r="AA24" i="1"/>
  <c r="Y2" i="7" s="1"/>
  <c r="D16" i="8"/>
  <c r="J72" i="1"/>
  <c r="I30" i="19" s="1"/>
  <c r="X4" i="11" l="1"/>
  <c r="Y7" i="13"/>
  <c r="Y32" i="13" s="1"/>
  <c r="W42" i="11"/>
  <c r="X4" i="12"/>
  <c r="X4" i="26"/>
  <c r="X5" i="23"/>
  <c r="F40" i="6"/>
  <c r="AM31" i="1"/>
  <c r="AL32" i="1"/>
  <c r="N38" i="1"/>
  <c r="M6" i="19" s="1"/>
  <c r="M4" i="19" s="1"/>
  <c r="M39" i="1"/>
  <c r="H40" i="6"/>
  <c r="J40" i="6"/>
  <c r="I40" i="6"/>
  <c r="G40" i="6"/>
  <c r="Z11" i="14"/>
  <c r="M43" i="1"/>
  <c r="M76" i="1" s="1"/>
  <c r="L31" i="19" s="1"/>
  <c r="L44" i="1"/>
  <c r="L82" i="1"/>
  <c r="L83" i="1" s="1"/>
  <c r="AA121" i="21"/>
  <c r="Z5" i="15"/>
  <c r="Y4" i="22"/>
  <c r="AC4" i="21"/>
  <c r="AB1" i="21"/>
  <c r="AB43" i="21"/>
  <c r="AB82" i="21" s="1"/>
  <c r="Y3" i="19"/>
  <c r="Z5" i="17"/>
  <c r="AA21" i="6"/>
  <c r="AO27" i="6"/>
  <c r="C27" i="6" s="1"/>
  <c r="H16" i="30" s="1"/>
  <c r="AK26" i="6"/>
  <c r="AN26" i="6"/>
  <c r="AM26" i="6"/>
  <c r="AL26" i="6"/>
  <c r="AJ26" i="6"/>
  <c r="K73" i="1"/>
  <c r="AB24" i="1"/>
  <c r="Z2" i="7" s="1"/>
  <c r="K72" i="1"/>
  <c r="J30" i="19" s="1"/>
  <c r="Y4" i="11" l="1"/>
  <c r="Y5" i="23"/>
  <c r="X42" i="11"/>
  <c r="Y4" i="12"/>
  <c r="Z7" i="13"/>
  <c r="Z32" i="13" s="1"/>
  <c r="Y4" i="26"/>
  <c r="AM32" i="1"/>
  <c r="AN31" i="1"/>
  <c r="AN32" i="1" s="1"/>
  <c r="AL5" i="19"/>
  <c r="O38" i="1"/>
  <c r="N39" i="1"/>
  <c r="AO40" i="6"/>
  <c r="C40" i="6" s="1"/>
  <c r="AA11" i="14"/>
  <c r="M44" i="1"/>
  <c r="M82" i="1"/>
  <c r="M83" i="1" s="1"/>
  <c r="N43" i="1"/>
  <c r="N76" i="1" s="1"/>
  <c r="M31" i="19" s="1"/>
  <c r="AA5" i="15"/>
  <c r="Z4" i="22"/>
  <c r="AD4" i="21"/>
  <c r="AB121" i="21"/>
  <c r="AC43" i="21"/>
  <c r="AC82" i="21" s="1"/>
  <c r="AC1" i="21"/>
  <c r="Z3" i="19"/>
  <c r="AA5" i="17"/>
  <c r="AB21" i="6"/>
  <c r="L73" i="1"/>
  <c r="AC24" i="1"/>
  <c r="AA2" i="7" s="1"/>
  <c r="L72" i="1"/>
  <c r="K30" i="19" s="1"/>
  <c r="Z4" i="11" l="1"/>
  <c r="Z4" i="12"/>
  <c r="Y42" i="11"/>
  <c r="AA7" i="13"/>
  <c r="AA32" i="13" s="1"/>
  <c r="Z5" i="23"/>
  <c r="Z4" i="26"/>
  <c r="AM5" i="19"/>
  <c r="AN5" i="19" s="1"/>
  <c r="O39" i="1"/>
  <c r="P38" i="1"/>
  <c r="P43" i="1" s="1"/>
  <c r="P76" i="1" s="1"/>
  <c r="O31" i="19" s="1"/>
  <c r="AB11" i="14"/>
  <c r="N44" i="1"/>
  <c r="N82" i="1"/>
  <c r="N83" i="1" s="1"/>
  <c r="N6" i="19"/>
  <c r="N4" i="19" s="1"/>
  <c r="O43" i="1"/>
  <c r="O44" i="1" s="1"/>
  <c r="AB5" i="15"/>
  <c r="AA4" i="22"/>
  <c r="AE4" i="21"/>
  <c r="AC121" i="21"/>
  <c r="AD1" i="21"/>
  <c r="AD43" i="21"/>
  <c r="AD82" i="21" s="1"/>
  <c r="AB5" i="17"/>
  <c r="AC21" i="6"/>
  <c r="AA3" i="19"/>
  <c r="AO31" i="1"/>
  <c r="AO32" i="1"/>
  <c r="M73" i="1"/>
  <c r="AD24" i="1"/>
  <c r="AB2" i="7" s="1"/>
  <c r="M72" i="1"/>
  <c r="L30" i="19" s="1"/>
  <c r="Z42" i="11" l="1"/>
  <c r="AA4" i="26"/>
  <c r="AB7" i="13"/>
  <c r="AB32" i="13" s="1"/>
  <c r="AA5" i="23"/>
  <c r="AA4" i="12"/>
  <c r="AA4" i="11"/>
  <c r="P39" i="1"/>
  <c r="Q38" i="1"/>
  <c r="Q43" i="1" s="1"/>
  <c r="Q76" i="1" s="1"/>
  <c r="P31" i="19" s="1"/>
  <c r="O6" i="19"/>
  <c r="O4" i="19" s="1"/>
  <c r="AC11" i="14"/>
  <c r="O76" i="1"/>
  <c r="N31" i="19" s="1"/>
  <c r="O82" i="1"/>
  <c r="O83" i="1" s="1"/>
  <c r="AD121" i="21"/>
  <c r="AE1" i="21"/>
  <c r="AE43" i="21"/>
  <c r="AE82" i="21" s="1"/>
  <c r="AC5" i="15"/>
  <c r="AB4" i="22"/>
  <c r="AF4" i="21"/>
  <c r="AB3" i="19"/>
  <c r="AC5" i="17"/>
  <c r="AD21" i="6"/>
  <c r="N73" i="1"/>
  <c r="P82" i="1"/>
  <c r="P83" i="1" s="1"/>
  <c r="P44" i="1"/>
  <c r="AE24" i="1"/>
  <c r="AC2" i="7" s="1"/>
  <c r="N72" i="1"/>
  <c r="M30" i="19" s="1"/>
  <c r="AB4" i="11" l="1"/>
  <c r="AB4" i="12"/>
  <c r="AB5" i="23"/>
  <c r="AA42" i="11"/>
  <c r="AB4" i="26"/>
  <c r="AC7" i="13"/>
  <c r="AC32" i="13" s="1"/>
  <c r="P6" i="19"/>
  <c r="P4" i="19" s="1"/>
  <c r="Q39" i="1"/>
  <c r="R38" i="1"/>
  <c r="R43" i="1" s="1"/>
  <c r="R44" i="1" s="1"/>
  <c r="AD11" i="14"/>
  <c r="AF1" i="21"/>
  <c r="AF43" i="21"/>
  <c r="AF82" i="21" s="1"/>
  <c r="AD5" i="15"/>
  <c r="AC4" i="22"/>
  <c r="AG4" i="21"/>
  <c r="AE121" i="21"/>
  <c r="AD5" i="17"/>
  <c r="AE21" i="6"/>
  <c r="AC3" i="19"/>
  <c r="O73" i="1"/>
  <c r="Q44" i="1"/>
  <c r="Q82" i="1"/>
  <c r="Q83" i="1" s="1"/>
  <c r="AF24" i="1"/>
  <c r="AD2" i="7" s="1"/>
  <c r="O72" i="1"/>
  <c r="N30" i="19" s="1"/>
  <c r="AC4" i="11" l="1"/>
  <c r="AB42" i="11"/>
  <c r="AC5" i="23"/>
  <c r="AD7" i="13"/>
  <c r="AD32" i="13" s="1"/>
  <c r="AC4" i="26"/>
  <c r="AC4" i="12"/>
  <c r="R39" i="1"/>
  <c r="S38" i="1"/>
  <c r="S43" i="1" s="1"/>
  <c r="S82" i="1" s="1"/>
  <c r="Q6" i="19"/>
  <c r="Q4" i="19" s="1"/>
  <c r="AE11" i="14"/>
  <c r="R76" i="1"/>
  <c r="Q31" i="19" s="1"/>
  <c r="R82" i="1"/>
  <c r="R83" i="1" s="1"/>
  <c r="AH4" i="21"/>
  <c r="AE5" i="15"/>
  <c r="AD4" i="22"/>
  <c r="AG1" i="21"/>
  <c r="AG43" i="21"/>
  <c r="AG82" i="21" s="1"/>
  <c r="AF121" i="21"/>
  <c r="AD3" i="19"/>
  <c r="AE5" i="17"/>
  <c r="AF21" i="6"/>
  <c r="P73" i="1"/>
  <c r="AG24" i="1"/>
  <c r="AE2" i="7" s="1"/>
  <c r="P72" i="1"/>
  <c r="O30" i="19" s="1"/>
  <c r="AD4" i="11" l="1"/>
  <c r="AD5" i="23"/>
  <c r="AC42" i="11"/>
  <c r="AD4" i="12"/>
  <c r="AD4" i="26"/>
  <c r="AE7" i="13"/>
  <c r="AE32" i="13" s="1"/>
  <c r="S39" i="1"/>
  <c r="T38" i="1"/>
  <c r="T43" i="1" s="1"/>
  <c r="T44" i="1" s="1"/>
  <c r="R6" i="19"/>
  <c r="R4" i="19" s="1"/>
  <c r="S76" i="1"/>
  <c r="R31" i="19" s="1"/>
  <c r="S44" i="1"/>
  <c r="AF11" i="14"/>
  <c r="AI4" i="21"/>
  <c r="AF5" i="15"/>
  <c r="AE4" i="22"/>
  <c r="AG121" i="21"/>
  <c r="AH1" i="21"/>
  <c r="AH43" i="21"/>
  <c r="AH82" i="21" s="1"/>
  <c r="AE3" i="19"/>
  <c r="AF5" i="17"/>
  <c r="AG21" i="6"/>
  <c r="Q73" i="1"/>
  <c r="S83" i="1"/>
  <c r="AH24" i="1"/>
  <c r="AF2" i="7" s="1"/>
  <c r="Q72" i="1"/>
  <c r="P30" i="19" s="1"/>
  <c r="AE4" i="11" l="1"/>
  <c r="AE5" i="23"/>
  <c r="AD42" i="11"/>
  <c r="AF7" i="13"/>
  <c r="AF32" i="13" s="1"/>
  <c r="AE4" i="26"/>
  <c r="AE4" i="12"/>
  <c r="U38" i="1"/>
  <c r="T6" i="19" s="1"/>
  <c r="T4" i="19" s="1"/>
  <c r="T39" i="1"/>
  <c r="S6" i="19"/>
  <c r="S4" i="19" s="1"/>
  <c r="T82" i="1"/>
  <c r="T83" i="1" s="1"/>
  <c r="AG11" i="14"/>
  <c r="T76" i="1"/>
  <c r="S31" i="19" s="1"/>
  <c r="AJ4" i="21"/>
  <c r="AG5" i="15"/>
  <c r="AF4" i="22"/>
  <c r="AH121" i="21"/>
  <c r="AI1" i="21"/>
  <c r="AI43" i="21"/>
  <c r="AI82" i="21" s="1"/>
  <c r="AG5" i="17"/>
  <c r="AH21" i="6"/>
  <c r="AF3" i="19"/>
  <c r="R73" i="1"/>
  <c r="AI24" i="1"/>
  <c r="AG2" i="7" s="1"/>
  <c r="R72" i="1"/>
  <c r="Q30" i="19" s="1"/>
  <c r="AF4" i="11" l="1"/>
  <c r="AF4" i="12"/>
  <c r="AE42" i="11"/>
  <c r="AG7" i="13"/>
  <c r="AG32" i="13" s="1"/>
  <c r="AF5" i="23"/>
  <c r="AF4" i="26"/>
  <c r="V38" i="1"/>
  <c r="U6" i="19" s="1"/>
  <c r="U4" i="19" s="1"/>
  <c r="U39" i="1"/>
  <c r="U43" i="1"/>
  <c r="AH11" i="14"/>
  <c r="AI121" i="21"/>
  <c r="AH5" i="15"/>
  <c r="AG4" i="22"/>
  <c r="AK4" i="21"/>
  <c r="AJ1" i="21"/>
  <c r="AJ43" i="21"/>
  <c r="AJ82" i="21" s="1"/>
  <c r="AG3" i="19"/>
  <c r="AH5" i="17"/>
  <c r="AI21" i="6"/>
  <c r="AJ24" i="1"/>
  <c r="AH2" i="7" s="1"/>
  <c r="S73" i="1"/>
  <c r="S72" i="1"/>
  <c r="R30" i="19" s="1"/>
  <c r="AG4" i="11" l="1"/>
  <c r="AG4" i="12"/>
  <c r="AF42" i="11"/>
  <c r="AH7" i="13"/>
  <c r="AH32" i="13" s="1"/>
  <c r="AG4" i="26"/>
  <c r="AG5" i="23"/>
  <c r="U76" i="1"/>
  <c r="T31" i="19" s="1"/>
  <c r="U82" i="1"/>
  <c r="U83" i="1" s="1"/>
  <c r="U44" i="1"/>
  <c r="V39" i="1"/>
  <c r="W38" i="1"/>
  <c r="W43" i="1" s="1"/>
  <c r="V43" i="1"/>
  <c r="AI11" i="14"/>
  <c r="AJ121" i="21"/>
  <c r="AK1" i="21"/>
  <c r="AK43" i="21"/>
  <c r="AK82" i="21" s="1"/>
  <c r="AH4" i="22"/>
  <c r="AI5" i="15"/>
  <c r="AL4" i="21"/>
  <c r="AI5" i="17"/>
  <c r="AJ21" i="6"/>
  <c r="AH3" i="19"/>
  <c r="AK24" i="1"/>
  <c r="AI2" i="7" s="1"/>
  <c r="AG195" i="1"/>
  <c r="T73" i="1"/>
  <c r="T72" i="1"/>
  <c r="S30" i="19" s="1"/>
  <c r="AH4" i="11" l="1"/>
  <c r="AI7" i="13"/>
  <c r="AI32" i="13" s="1"/>
  <c r="AG42" i="11"/>
  <c r="AH4" i="12"/>
  <c r="AH4" i="26"/>
  <c r="AH5" i="23"/>
  <c r="V82" i="1"/>
  <c r="V83" i="1" s="1"/>
  <c r="V44" i="1"/>
  <c r="V76" i="1"/>
  <c r="U31" i="19" s="1"/>
  <c r="X38" i="1"/>
  <c r="X43" i="1" s="1"/>
  <c r="X76" i="1" s="1"/>
  <c r="W31" i="19" s="1"/>
  <c r="W39" i="1"/>
  <c r="V6" i="19"/>
  <c r="V4" i="19" s="1"/>
  <c r="AJ11" i="14"/>
  <c r="W44" i="1"/>
  <c r="W82" i="1"/>
  <c r="W83" i="1" s="1"/>
  <c r="W76" i="1"/>
  <c r="V31" i="19" s="1"/>
  <c r="AK121" i="21"/>
  <c r="AM4" i="21"/>
  <c r="AJ5" i="15"/>
  <c r="AI4" i="22"/>
  <c r="AL1" i="21"/>
  <c r="AL43" i="21"/>
  <c r="AL82" i="21" s="1"/>
  <c r="AI3" i="19"/>
  <c r="AJ5" i="17"/>
  <c r="AK21" i="6"/>
  <c r="AH195" i="1"/>
  <c r="AL24" i="1"/>
  <c r="AJ2" i="7" s="1"/>
  <c r="U73" i="1"/>
  <c r="U72" i="1"/>
  <c r="T30" i="19" s="1"/>
  <c r="AI4" i="11" l="1"/>
  <c r="AI5" i="23"/>
  <c r="AI4" i="12"/>
  <c r="AH42" i="11"/>
  <c r="AI4" i="26"/>
  <c r="AJ7" i="13"/>
  <c r="AJ32" i="13" s="1"/>
  <c r="X39" i="1"/>
  <c r="Y38" i="1"/>
  <c r="Y43" i="1" s="1"/>
  <c r="Y76" i="1" s="1"/>
  <c r="X31" i="19" s="1"/>
  <c r="W6" i="19"/>
  <c r="W4" i="19" s="1"/>
  <c r="X44" i="1"/>
  <c r="X82" i="1"/>
  <c r="X83" i="1" s="1"/>
  <c r="AK11" i="14"/>
  <c r="AM1" i="21"/>
  <c r="AM43" i="21"/>
  <c r="AM82" i="21" s="1"/>
  <c r="AL121" i="21"/>
  <c r="AJ4" i="22"/>
  <c r="AK5" i="15"/>
  <c r="AN4" i="21"/>
  <c r="AJ3" i="19"/>
  <c r="AK5" i="17"/>
  <c r="AL21" i="6"/>
  <c r="AM24" i="1"/>
  <c r="AK2" i="7" s="1"/>
  <c r="AI195" i="1"/>
  <c r="V73" i="1"/>
  <c r="V72" i="1"/>
  <c r="U30" i="19" s="1"/>
  <c r="AJ4" i="11" l="1"/>
  <c r="AJ5" i="23"/>
  <c r="AI42" i="11"/>
  <c r="AJ4" i="26"/>
  <c r="AJ4" i="12"/>
  <c r="AK7" i="13"/>
  <c r="AK32" i="13" s="1"/>
  <c r="Y39" i="1"/>
  <c r="Z38" i="1"/>
  <c r="Z43" i="1" s="1"/>
  <c r="Z76" i="1" s="1"/>
  <c r="Y31" i="19" s="1"/>
  <c r="X6" i="19"/>
  <c r="X4" i="19" s="1"/>
  <c r="AL11" i="14"/>
  <c r="Y44" i="1"/>
  <c r="Y82" i="1"/>
  <c r="Y83" i="1" s="1"/>
  <c r="AN1" i="21"/>
  <c r="AN43" i="21"/>
  <c r="AN82" i="21" s="1"/>
  <c r="AM121" i="21"/>
  <c r="AL5" i="15"/>
  <c r="AK4" i="22"/>
  <c r="AO4" i="21"/>
  <c r="AK3" i="19"/>
  <c r="AL5" i="17"/>
  <c r="AM21" i="6"/>
  <c r="AN24" i="1"/>
  <c r="AL2" i="7" s="1"/>
  <c r="AJ195" i="1"/>
  <c r="W73" i="1"/>
  <c r="W72" i="1"/>
  <c r="V30" i="19" s="1"/>
  <c r="AK4" i="11" l="1"/>
  <c r="AK5" i="23"/>
  <c r="AK4" i="26"/>
  <c r="AJ42" i="11"/>
  <c r="AL7" i="13"/>
  <c r="AL32" i="13" s="1"/>
  <c r="AK4" i="12"/>
  <c r="Z39" i="1"/>
  <c r="AA38" i="1"/>
  <c r="AA43" i="1" s="1"/>
  <c r="AA44" i="1" s="1"/>
  <c r="Y6" i="19"/>
  <c r="Y4" i="19" s="1"/>
  <c r="AM11" i="14"/>
  <c r="Z44" i="1"/>
  <c r="Z82" i="1"/>
  <c r="Z83" i="1" s="1"/>
  <c r="AO1" i="21"/>
  <c r="AO43" i="21"/>
  <c r="AO82" i="21" s="1"/>
  <c r="AM5" i="15"/>
  <c r="AL4" i="22"/>
  <c r="AP4" i="21"/>
  <c r="AN121" i="21"/>
  <c r="AL3" i="19"/>
  <c r="AM5" i="17"/>
  <c r="AN21" i="6"/>
  <c r="AK195" i="1"/>
  <c r="X73" i="1"/>
  <c r="X72" i="1"/>
  <c r="W30" i="19" s="1"/>
  <c r="AL4" i="12" l="1"/>
  <c r="AL4" i="26"/>
  <c r="AK42" i="11"/>
  <c r="AM7" i="13"/>
  <c r="AM32" i="13" s="1"/>
  <c r="AL5" i="23"/>
  <c r="AA39" i="1"/>
  <c r="AB38" i="1"/>
  <c r="AA6" i="19" s="1"/>
  <c r="AA4" i="19" s="1"/>
  <c r="Z6" i="19"/>
  <c r="Z4" i="19" s="1"/>
  <c r="AA76" i="1"/>
  <c r="Z31" i="19" s="1"/>
  <c r="AA82" i="1"/>
  <c r="AA83" i="1" s="1"/>
  <c r="B1" i="21"/>
  <c r="AP43" i="21"/>
  <c r="AP82" i="21" s="1"/>
  <c r="AP1" i="21"/>
  <c r="E5" i="21" a="1"/>
  <c r="AO121" i="21"/>
  <c r="AM3" i="19"/>
  <c r="Y73" i="1"/>
  <c r="Y72" i="1"/>
  <c r="X30" i="19" s="1"/>
  <c r="AB43" i="1" l="1"/>
  <c r="AB76" i="1" s="1"/>
  <c r="AA31" i="19" s="1"/>
  <c r="AC38" i="1"/>
  <c r="AC43" i="1" s="1"/>
  <c r="AC82" i="1" s="1"/>
  <c r="AC83" i="1" s="1"/>
  <c r="AB39" i="1"/>
  <c r="AP121" i="21"/>
  <c r="E33" i="21"/>
  <c r="E18" i="21"/>
  <c r="E37" i="21"/>
  <c r="E11" i="21"/>
  <c r="E10" i="21"/>
  <c r="E39" i="21"/>
  <c r="E12" i="21"/>
  <c r="E34" i="21"/>
  <c r="E38" i="21"/>
  <c r="E5" i="21"/>
  <c r="E35" i="21"/>
  <c r="E31" i="21"/>
  <c r="E23" i="21"/>
  <c r="E13" i="21"/>
  <c r="E25" i="21"/>
  <c r="E24" i="21"/>
  <c r="E6" i="21"/>
  <c r="E14" i="21"/>
  <c r="E30" i="21"/>
  <c r="E7" i="21"/>
  <c r="E9" i="21"/>
  <c r="E29" i="21"/>
  <c r="E26" i="21"/>
  <c r="E17" i="21"/>
  <c r="E27" i="21"/>
  <c r="E36" i="21"/>
  <c r="E28" i="21"/>
  <c r="E32" i="21"/>
  <c r="E15" i="21"/>
  <c r="E19" i="21"/>
  <c r="E21" i="21"/>
  <c r="E20" i="21"/>
  <c r="E22" i="21"/>
  <c r="E8" i="21"/>
  <c r="E16" i="21"/>
  <c r="Z73" i="1"/>
  <c r="Z72" i="1"/>
  <c r="Y30" i="19" s="1"/>
  <c r="AB6" i="19" l="1"/>
  <c r="AB4" i="19" s="1"/>
  <c r="AB82" i="1"/>
  <c r="AB83" i="1" s="1"/>
  <c r="AB44" i="1"/>
  <c r="AC39" i="1"/>
  <c r="AD38" i="1"/>
  <c r="AD43" i="1" s="1"/>
  <c r="AD76" i="1" s="1"/>
  <c r="AC31" i="19" s="1"/>
  <c r="AC44" i="1"/>
  <c r="AC76" i="1"/>
  <c r="AB31" i="19" s="1"/>
  <c r="D28" i="21"/>
  <c r="F28" i="21" s="1"/>
  <c r="E67" i="21"/>
  <c r="E106" i="21" s="1"/>
  <c r="D25" i="21"/>
  <c r="F25" i="21" s="1"/>
  <c r="E64" i="21"/>
  <c r="E103" i="21" s="1"/>
  <c r="E76" i="21"/>
  <c r="E115" i="21" s="1"/>
  <c r="D37" i="21"/>
  <c r="F37" i="21" s="1"/>
  <c r="D36" i="21"/>
  <c r="F36" i="21" s="1"/>
  <c r="E75" i="21"/>
  <c r="E114" i="21" s="1"/>
  <c r="D27" i="21"/>
  <c r="F27" i="21" s="1"/>
  <c r="E66" i="21"/>
  <c r="E105" i="21" s="1"/>
  <c r="D23" i="21"/>
  <c r="F23" i="21" s="1"/>
  <c r="E62" i="21"/>
  <c r="E101" i="21" s="1"/>
  <c r="D33" i="21"/>
  <c r="F33" i="21" s="1"/>
  <c r="E72" i="21"/>
  <c r="E111" i="21" s="1"/>
  <c r="D17" i="21"/>
  <c r="F17" i="21" s="1"/>
  <c r="E56" i="21"/>
  <c r="E95" i="21" s="1"/>
  <c r="D31" i="21"/>
  <c r="F31" i="21" s="1"/>
  <c r="E70" i="21"/>
  <c r="E109" i="21" s="1"/>
  <c r="D18" i="21"/>
  <c r="F18" i="21" s="1"/>
  <c r="E57" i="21"/>
  <c r="E96" i="21" s="1"/>
  <c r="D16" i="21"/>
  <c r="F16" i="21" s="1"/>
  <c r="E55" i="21"/>
  <c r="E94" i="21" s="1"/>
  <c r="E65" i="21"/>
  <c r="E104" i="21" s="1"/>
  <c r="D26" i="21"/>
  <c r="F26" i="21" s="1"/>
  <c r="D35" i="21"/>
  <c r="F35" i="21" s="1"/>
  <c r="E74" i="21"/>
  <c r="E113" i="21" s="1"/>
  <c r="D8" i="21"/>
  <c r="F8" i="21" s="1"/>
  <c r="E47" i="21"/>
  <c r="E86" i="21" s="1"/>
  <c r="D29" i="21"/>
  <c r="F29" i="21" s="1"/>
  <c r="E68" i="21"/>
  <c r="E107" i="21" s="1"/>
  <c r="D5" i="21"/>
  <c r="F5" i="21" s="1"/>
  <c r="E44" i="21"/>
  <c r="E83" i="21" s="1"/>
  <c r="D13" i="21"/>
  <c r="F13" i="21" s="1"/>
  <c r="E52" i="21"/>
  <c r="E91" i="21" s="1"/>
  <c r="D22" i="21"/>
  <c r="F22" i="21" s="1"/>
  <c r="E61" i="21"/>
  <c r="E100" i="21" s="1"/>
  <c r="D9" i="21"/>
  <c r="F9" i="21" s="1"/>
  <c r="E48" i="21"/>
  <c r="E87" i="21" s="1"/>
  <c r="E77" i="21"/>
  <c r="E116" i="21" s="1"/>
  <c r="D38" i="21"/>
  <c r="F38" i="21" s="1"/>
  <c r="E46" i="21"/>
  <c r="E85" i="21" s="1"/>
  <c r="D7" i="21"/>
  <c r="F7" i="21" s="1"/>
  <c r="E73" i="21"/>
  <c r="E112" i="21" s="1"/>
  <c r="D34" i="21"/>
  <c r="F34" i="21" s="1"/>
  <c r="D20" i="21"/>
  <c r="F20" i="21" s="1"/>
  <c r="E59" i="21"/>
  <c r="E98" i="21" s="1"/>
  <c r="D21" i="21"/>
  <c r="F21" i="21" s="1"/>
  <c r="E60" i="21"/>
  <c r="E99" i="21" s="1"/>
  <c r="D30" i="21"/>
  <c r="F30" i="21" s="1"/>
  <c r="E69" i="21"/>
  <c r="E108" i="21" s="1"/>
  <c r="E51" i="21"/>
  <c r="E90" i="21" s="1"/>
  <c r="D12" i="21"/>
  <c r="F12" i="21" s="1"/>
  <c r="D19" i="21"/>
  <c r="F19" i="21" s="1"/>
  <c r="E58" i="21"/>
  <c r="E97" i="21" s="1"/>
  <c r="D14" i="21"/>
  <c r="F14" i="21" s="1"/>
  <c r="E53" i="21"/>
  <c r="E92" i="21" s="1"/>
  <c r="E78" i="21"/>
  <c r="E117" i="21" s="1"/>
  <c r="D39" i="21"/>
  <c r="F39" i="21" s="1"/>
  <c r="E54" i="21"/>
  <c r="E93" i="21" s="1"/>
  <c r="D15" i="21"/>
  <c r="F15" i="21" s="1"/>
  <c r="D6" i="21"/>
  <c r="F6" i="21" s="1"/>
  <c r="E45" i="21"/>
  <c r="E84" i="21" s="1"/>
  <c r="D10" i="21"/>
  <c r="F10" i="21" s="1"/>
  <c r="E49" i="21"/>
  <c r="E88" i="21" s="1"/>
  <c r="E71" i="21"/>
  <c r="E110" i="21" s="1"/>
  <c r="D32" i="21"/>
  <c r="F32" i="21" s="1"/>
  <c r="E63" i="21"/>
  <c r="E102" i="21" s="1"/>
  <c r="D24" i="21"/>
  <c r="F24" i="21" s="1"/>
  <c r="D11" i="21"/>
  <c r="F11" i="21" s="1"/>
  <c r="E50" i="21"/>
  <c r="E89" i="21" s="1"/>
  <c r="AA73" i="1"/>
  <c r="AA72" i="1"/>
  <c r="Z30" i="19" s="1"/>
  <c r="AD39" i="1" l="1"/>
  <c r="AE38" i="1"/>
  <c r="AE43" i="1" s="1"/>
  <c r="AE82" i="1" s="1"/>
  <c r="AE83" i="1" s="1"/>
  <c r="AC6" i="19"/>
  <c r="AC4" i="19" s="1"/>
  <c r="AD82" i="1"/>
  <c r="AD83" i="1" s="1"/>
  <c r="AD44" i="1"/>
  <c r="N15" i="21"/>
  <c r="J15" i="21"/>
  <c r="P15" i="21"/>
  <c r="K15" i="21"/>
  <c r="L15" i="21"/>
  <c r="O15" i="21"/>
  <c r="I15" i="21"/>
  <c r="Q15" i="21"/>
  <c r="M15" i="21"/>
  <c r="H15" i="21"/>
  <c r="E138" i="21"/>
  <c r="H99" i="21"/>
  <c r="I99" i="21"/>
  <c r="J99" i="21"/>
  <c r="K99" i="21"/>
  <c r="L99" i="21"/>
  <c r="M99" i="21"/>
  <c r="N99" i="21"/>
  <c r="O99" i="21"/>
  <c r="P99" i="21"/>
  <c r="Q99" i="21"/>
  <c r="R99" i="21"/>
  <c r="S99" i="21"/>
  <c r="T99" i="21"/>
  <c r="U99" i="21"/>
  <c r="V99" i="21"/>
  <c r="W99" i="21"/>
  <c r="X99" i="21"/>
  <c r="Y99" i="21"/>
  <c r="Z99" i="21"/>
  <c r="AA99" i="21"/>
  <c r="AB99" i="21"/>
  <c r="AC99" i="21"/>
  <c r="AD99" i="21"/>
  <c r="AE99" i="21"/>
  <c r="AF99" i="21"/>
  <c r="AG99" i="21"/>
  <c r="AH99" i="21"/>
  <c r="AI99" i="21"/>
  <c r="AJ99" i="21"/>
  <c r="AK99" i="21"/>
  <c r="AL99" i="21"/>
  <c r="AM99" i="21"/>
  <c r="AN99" i="21"/>
  <c r="AO99" i="21"/>
  <c r="AP99" i="21"/>
  <c r="E139" i="21"/>
  <c r="H100" i="21"/>
  <c r="I100" i="21"/>
  <c r="J100" i="21"/>
  <c r="K100" i="21"/>
  <c r="L100" i="21"/>
  <c r="M100" i="21"/>
  <c r="N100" i="21"/>
  <c r="O100" i="21"/>
  <c r="P100" i="21"/>
  <c r="Q100" i="21"/>
  <c r="R100" i="21"/>
  <c r="S100" i="21"/>
  <c r="T100" i="21"/>
  <c r="U100" i="21"/>
  <c r="V100" i="21"/>
  <c r="W100" i="21"/>
  <c r="X100" i="21"/>
  <c r="Y100" i="21"/>
  <c r="Z100" i="21"/>
  <c r="AA100" i="21"/>
  <c r="AB100" i="21"/>
  <c r="AC100" i="21"/>
  <c r="AD100" i="21"/>
  <c r="AE100" i="21"/>
  <c r="AF100" i="21"/>
  <c r="AG100" i="21"/>
  <c r="AH100" i="21"/>
  <c r="AI100" i="21"/>
  <c r="AJ100" i="21"/>
  <c r="AK100" i="21"/>
  <c r="AL100" i="21"/>
  <c r="AM100" i="21"/>
  <c r="AN100" i="21"/>
  <c r="AO100" i="21"/>
  <c r="AP100" i="21"/>
  <c r="Q26" i="21"/>
  <c r="O26" i="21"/>
  <c r="AB26" i="21"/>
  <c r="W26" i="21"/>
  <c r="N26" i="21"/>
  <c r="R26" i="21"/>
  <c r="H26" i="21"/>
  <c r="S26" i="21"/>
  <c r="P26" i="21"/>
  <c r="L26" i="21"/>
  <c r="X26" i="21"/>
  <c r="T26" i="21"/>
  <c r="M26" i="21"/>
  <c r="Z26" i="21"/>
  <c r="V26" i="21"/>
  <c r="K26" i="21"/>
  <c r="I26" i="21"/>
  <c r="J26" i="21"/>
  <c r="AA26" i="21"/>
  <c r="Y26" i="21"/>
  <c r="U26" i="21"/>
  <c r="E140" i="21"/>
  <c r="H101" i="21"/>
  <c r="I101" i="21"/>
  <c r="J101" i="21"/>
  <c r="K101" i="21"/>
  <c r="L101" i="21"/>
  <c r="M101" i="21"/>
  <c r="N101" i="21"/>
  <c r="O101" i="21"/>
  <c r="P101" i="21"/>
  <c r="Q101" i="21"/>
  <c r="R101" i="21"/>
  <c r="S101" i="21"/>
  <c r="T101" i="21"/>
  <c r="U101" i="21"/>
  <c r="V101" i="21"/>
  <c r="W101" i="21"/>
  <c r="X101" i="21"/>
  <c r="Y101" i="21"/>
  <c r="Z101" i="21"/>
  <c r="AA101" i="21"/>
  <c r="AB101" i="21"/>
  <c r="AC101" i="21"/>
  <c r="AD101" i="21"/>
  <c r="AE101" i="21"/>
  <c r="AF101" i="21"/>
  <c r="AG101" i="21"/>
  <c r="AH101" i="21"/>
  <c r="AI101" i="21"/>
  <c r="AJ101" i="21"/>
  <c r="AK101" i="21"/>
  <c r="AL101" i="21"/>
  <c r="AM101" i="21"/>
  <c r="AN101" i="21"/>
  <c r="AO101" i="21"/>
  <c r="AP101" i="21"/>
  <c r="L21" i="21"/>
  <c r="H21" i="21"/>
  <c r="R21" i="21"/>
  <c r="T21" i="21"/>
  <c r="W21" i="21"/>
  <c r="P21" i="21"/>
  <c r="N21" i="21"/>
  <c r="I21" i="21"/>
  <c r="V21" i="21"/>
  <c r="Q21" i="21"/>
  <c r="K21" i="21"/>
  <c r="O21" i="21"/>
  <c r="M21" i="21"/>
  <c r="S21" i="21"/>
  <c r="J21" i="21"/>
  <c r="U21" i="21"/>
  <c r="P22" i="21"/>
  <c r="L22" i="21"/>
  <c r="O22" i="21"/>
  <c r="U22" i="21"/>
  <c r="K22" i="21"/>
  <c r="R22" i="21"/>
  <c r="W22" i="21"/>
  <c r="V22" i="21"/>
  <c r="J22" i="21"/>
  <c r="H22" i="21"/>
  <c r="S22" i="21"/>
  <c r="X22" i="21"/>
  <c r="M22" i="21"/>
  <c r="I22" i="21"/>
  <c r="T22" i="21"/>
  <c r="Q22" i="21"/>
  <c r="N22" i="21"/>
  <c r="E143" i="21"/>
  <c r="H104" i="21"/>
  <c r="I104" i="21"/>
  <c r="J104" i="21"/>
  <c r="K104" i="21"/>
  <c r="L104" i="21"/>
  <c r="M104" i="21"/>
  <c r="N104" i="21"/>
  <c r="O104" i="21"/>
  <c r="P104" i="21"/>
  <c r="Q104" i="21"/>
  <c r="R104" i="21"/>
  <c r="S104" i="21"/>
  <c r="T104" i="21"/>
  <c r="U104" i="21"/>
  <c r="V104" i="21"/>
  <c r="W104" i="21"/>
  <c r="X104" i="21"/>
  <c r="Y104" i="21"/>
  <c r="Z104" i="21"/>
  <c r="AA104" i="21"/>
  <c r="AB104" i="21"/>
  <c r="AC104" i="21"/>
  <c r="AD104" i="21"/>
  <c r="AE104" i="21"/>
  <c r="AF104" i="21"/>
  <c r="AG104" i="21"/>
  <c r="AH104" i="21"/>
  <c r="AI104" i="21"/>
  <c r="AJ104" i="21"/>
  <c r="AK104" i="21"/>
  <c r="AL104" i="21"/>
  <c r="AM104" i="21"/>
  <c r="AN104" i="21"/>
  <c r="AO104" i="21"/>
  <c r="AP104" i="21"/>
  <c r="L23" i="21"/>
  <c r="Q23" i="21"/>
  <c r="J23" i="21"/>
  <c r="N23" i="21"/>
  <c r="U23" i="21"/>
  <c r="P23" i="21"/>
  <c r="K23" i="21"/>
  <c r="S23" i="21"/>
  <c r="H23" i="21"/>
  <c r="R23" i="21"/>
  <c r="X23" i="21"/>
  <c r="M23" i="21"/>
  <c r="I23" i="21"/>
  <c r="Y23" i="21"/>
  <c r="V23" i="21"/>
  <c r="T23" i="21"/>
  <c r="O23" i="21"/>
  <c r="W23" i="21"/>
  <c r="E128" i="21"/>
  <c r="H89" i="21"/>
  <c r="I89" i="21"/>
  <c r="J89" i="21"/>
  <c r="K89" i="21"/>
  <c r="L89" i="21"/>
  <c r="M89" i="21"/>
  <c r="N89" i="21"/>
  <c r="O89" i="21"/>
  <c r="P89" i="21"/>
  <c r="Q89" i="21"/>
  <c r="R89" i="21"/>
  <c r="S89" i="21"/>
  <c r="T89" i="21"/>
  <c r="U89" i="21"/>
  <c r="V89" i="21"/>
  <c r="W89" i="21"/>
  <c r="X89" i="21"/>
  <c r="Y89" i="21"/>
  <c r="Z89" i="21"/>
  <c r="AA89" i="21"/>
  <c r="AB89" i="21"/>
  <c r="AC89" i="21"/>
  <c r="AD89" i="21"/>
  <c r="AE89" i="21"/>
  <c r="AF89" i="21"/>
  <c r="AG89" i="21"/>
  <c r="AH89" i="21"/>
  <c r="AI89" i="21"/>
  <c r="AJ89" i="21"/>
  <c r="AK89" i="21"/>
  <c r="AL89" i="21"/>
  <c r="AM89" i="21"/>
  <c r="AN89" i="21"/>
  <c r="AO89" i="21"/>
  <c r="AP89" i="21"/>
  <c r="O39" i="21"/>
  <c r="Q39" i="21"/>
  <c r="V39" i="21"/>
  <c r="R39" i="21"/>
  <c r="AH39" i="21"/>
  <c r="S39" i="21"/>
  <c r="Y39" i="21"/>
  <c r="W39" i="21"/>
  <c r="AB39" i="21"/>
  <c r="AM39" i="21"/>
  <c r="U39" i="21"/>
  <c r="P39" i="21"/>
  <c r="AI39" i="21"/>
  <c r="AK39" i="21"/>
  <c r="AO39" i="21"/>
  <c r="AN39" i="21"/>
  <c r="M39" i="21"/>
  <c r="K39" i="21"/>
  <c r="AC39" i="21"/>
  <c r="N39" i="21"/>
  <c r="H39" i="21"/>
  <c r="Z39" i="21"/>
  <c r="AA39" i="21"/>
  <c r="X39" i="21"/>
  <c r="AJ39" i="21"/>
  <c r="AG39" i="21"/>
  <c r="I39" i="21"/>
  <c r="J39" i="21"/>
  <c r="AL39" i="21"/>
  <c r="AD39" i="21"/>
  <c r="AE39" i="21"/>
  <c r="T39" i="21"/>
  <c r="AF39" i="21"/>
  <c r="L39" i="21"/>
  <c r="E137" i="21"/>
  <c r="H98" i="21"/>
  <c r="I98" i="21"/>
  <c r="J98" i="21"/>
  <c r="K98" i="21"/>
  <c r="L98" i="21"/>
  <c r="M98" i="21"/>
  <c r="N98" i="21"/>
  <c r="O98" i="21"/>
  <c r="P98" i="21"/>
  <c r="Q98" i="21"/>
  <c r="R98" i="21"/>
  <c r="S98" i="21"/>
  <c r="T98" i="21"/>
  <c r="U98" i="21"/>
  <c r="V98" i="21"/>
  <c r="W98" i="21"/>
  <c r="X98" i="21"/>
  <c r="Y98" i="21"/>
  <c r="Z98" i="21"/>
  <c r="AA98" i="21"/>
  <c r="AB98" i="21"/>
  <c r="AC98" i="21"/>
  <c r="AD98" i="21"/>
  <c r="AE98" i="21"/>
  <c r="AF98" i="21"/>
  <c r="AG98" i="21"/>
  <c r="AH98" i="21"/>
  <c r="AI98" i="21"/>
  <c r="AJ98" i="21"/>
  <c r="AK98" i="21"/>
  <c r="AL98" i="21"/>
  <c r="AM98" i="21"/>
  <c r="AN98" i="21"/>
  <c r="AO98" i="21"/>
  <c r="AP98" i="21"/>
  <c r="E130" i="21"/>
  <c r="H91" i="21"/>
  <c r="I91" i="21"/>
  <c r="J91" i="21"/>
  <c r="K91" i="21"/>
  <c r="L91" i="21"/>
  <c r="M91" i="21"/>
  <c r="N91" i="21"/>
  <c r="O91" i="21"/>
  <c r="P91" i="21"/>
  <c r="Q91" i="21"/>
  <c r="R91" i="21"/>
  <c r="S91" i="21"/>
  <c r="T91" i="21"/>
  <c r="U91" i="21"/>
  <c r="V91" i="21"/>
  <c r="W91" i="21"/>
  <c r="X91" i="21"/>
  <c r="Y91" i="21"/>
  <c r="Z91" i="21"/>
  <c r="AA91" i="21"/>
  <c r="AB91" i="21"/>
  <c r="AC91" i="21"/>
  <c r="AD91" i="21"/>
  <c r="AE91" i="21"/>
  <c r="AF91" i="21"/>
  <c r="AG91" i="21"/>
  <c r="AH91" i="21"/>
  <c r="AI91" i="21"/>
  <c r="AJ91" i="21"/>
  <c r="AK91" i="21"/>
  <c r="AL91" i="21"/>
  <c r="AM91" i="21"/>
  <c r="AN91" i="21"/>
  <c r="AO91" i="21"/>
  <c r="AP91" i="21"/>
  <c r="E133" i="21"/>
  <c r="H94" i="21"/>
  <c r="I94" i="21"/>
  <c r="J94" i="21"/>
  <c r="K94" i="21"/>
  <c r="L94" i="21"/>
  <c r="M94" i="21"/>
  <c r="N94" i="21"/>
  <c r="O94" i="21"/>
  <c r="P94" i="21"/>
  <c r="Q94" i="21"/>
  <c r="R94" i="21"/>
  <c r="S94" i="21"/>
  <c r="T94" i="21"/>
  <c r="U94" i="21"/>
  <c r="V94" i="21"/>
  <c r="W94" i="21"/>
  <c r="X94" i="21"/>
  <c r="Y94" i="21"/>
  <c r="Z94" i="21"/>
  <c r="AA94" i="21"/>
  <c r="AB94" i="21"/>
  <c r="AC94" i="21"/>
  <c r="AD94" i="21"/>
  <c r="AE94" i="21"/>
  <c r="AF94" i="21"/>
  <c r="AG94" i="21"/>
  <c r="AH94" i="21"/>
  <c r="AI94" i="21"/>
  <c r="AJ94" i="21"/>
  <c r="AK94" i="21"/>
  <c r="AL94" i="21"/>
  <c r="AM94" i="21"/>
  <c r="AN94" i="21"/>
  <c r="AO94" i="21"/>
  <c r="AP94" i="21"/>
  <c r="E144" i="21"/>
  <c r="H105" i="21"/>
  <c r="I105" i="21"/>
  <c r="J105" i="21"/>
  <c r="K105" i="21"/>
  <c r="L105" i="21"/>
  <c r="M105" i="21"/>
  <c r="N105" i="21"/>
  <c r="O105" i="21"/>
  <c r="P105" i="21"/>
  <c r="Q105" i="21"/>
  <c r="R105" i="21"/>
  <c r="S105" i="21"/>
  <c r="T105" i="21"/>
  <c r="U105" i="21"/>
  <c r="V105" i="21"/>
  <c r="W105" i="21"/>
  <c r="X105" i="21"/>
  <c r="Y105" i="21"/>
  <c r="Z105" i="21"/>
  <c r="AA105" i="21"/>
  <c r="AB105" i="21"/>
  <c r="AC105" i="21"/>
  <c r="AD105" i="21"/>
  <c r="AE105" i="21"/>
  <c r="AF105" i="21"/>
  <c r="AG105" i="21"/>
  <c r="AH105" i="21"/>
  <c r="AI105" i="21"/>
  <c r="AJ105" i="21"/>
  <c r="AK105" i="21"/>
  <c r="AL105" i="21"/>
  <c r="AM105" i="21"/>
  <c r="AN105" i="21"/>
  <c r="AO105" i="21"/>
  <c r="AP105" i="21"/>
  <c r="E132" i="21"/>
  <c r="H93" i="21"/>
  <c r="I93" i="21"/>
  <c r="J93" i="21"/>
  <c r="K93" i="21"/>
  <c r="L93" i="21"/>
  <c r="M93" i="21"/>
  <c r="N93" i="21"/>
  <c r="O93" i="21"/>
  <c r="P93" i="21"/>
  <c r="Q93" i="21"/>
  <c r="R93" i="21"/>
  <c r="S93" i="21"/>
  <c r="T93" i="21"/>
  <c r="U93" i="21"/>
  <c r="V93" i="21"/>
  <c r="W93" i="21"/>
  <c r="X93" i="21"/>
  <c r="Y93" i="21"/>
  <c r="Z93" i="21"/>
  <c r="AA93" i="21"/>
  <c r="AB93" i="21"/>
  <c r="AC93" i="21"/>
  <c r="AD93" i="21"/>
  <c r="AE93" i="21"/>
  <c r="AF93" i="21"/>
  <c r="AG93" i="21"/>
  <c r="AH93" i="21"/>
  <c r="AI93" i="21"/>
  <c r="AJ93" i="21"/>
  <c r="AK93" i="21"/>
  <c r="AL93" i="21"/>
  <c r="AM93" i="21"/>
  <c r="AN93" i="21"/>
  <c r="AO93" i="21"/>
  <c r="AP93" i="21"/>
  <c r="J11" i="21"/>
  <c r="K11" i="21"/>
  <c r="H11" i="21"/>
  <c r="L11" i="21"/>
  <c r="M11" i="21"/>
  <c r="I11" i="21"/>
  <c r="E156" i="21"/>
  <c r="H117" i="21"/>
  <c r="I117" i="21"/>
  <c r="J117" i="21"/>
  <c r="K117" i="21"/>
  <c r="L117" i="21"/>
  <c r="M117" i="21"/>
  <c r="N117" i="21"/>
  <c r="O117" i="21"/>
  <c r="P117" i="21"/>
  <c r="Q117" i="21"/>
  <c r="R117" i="21"/>
  <c r="S117" i="21"/>
  <c r="T117" i="21"/>
  <c r="U117" i="21"/>
  <c r="V117" i="21"/>
  <c r="W117" i="21"/>
  <c r="X117" i="21"/>
  <c r="Y117" i="21"/>
  <c r="Z117" i="21"/>
  <c r="AA117" i="21"/>
  <c r="AB117" i="21"/>
  <c r="AC117" i="21"/>
  <c r="AD117" i="21"/>
  <c r="AE117" i="21"/>
  <c r="AF117" i="21"/>
  <c r="AG117" i="21"/>
  <c r="AH117" i="21"/>
  <c r="AI117" i="21"/>
  <c r="AJ117" i="21"/>
  <c r="AK117" i="21"/>
  <c r="AL117" i="21"/>
  <c r="AM117" i="21"/>
  <c r="AN117" i="21"/>
  <c r="AO117" i="21"/>
  <c r="AP117" i="21"/>
  <c r="O20" i="21"/>
  <c r="M20" i="21"/>
  <c r="K20" i="21"/>
  <c r="L20" i="21"/>
  <c r="R20" i="21"/>
  <c r="S20" i="21"/>
  <c r="H20" i="21"/>
  <c r="J20" i="21"/>
  <c r="V20" i="21"/>
  <c r="T20" i="21"/>
  <c r="I20" i="21"/>
  <c r="U20" i="21"/>
  <c r="P20" i="21"/>
  <c r="Q20" i="21"/>
  <c r="N20" i="21"/>
  <c r="I13" i="21"/>
  <c r="O13" i="21"/>
  <c r="M13" i="21"/>
  <c r="J13" i="21"/>
  <c r="K13" i="21"/>
  <c r="H13" i="21"/>
  <c r="L13" i="21"/>
  <c r="N13" i="21"/>
  <c r="M16" i="21"/>
  <c r="R16" i="21"/>
  <c r="P16" i="21"/>
  <c r="N16" i="21"/>
  <c r="J16" i="21"/>
  <c r="K16" i="21"/>
  <c r="L16" i="21"/>
  <c r="H16" i="21"/>
  <c r="O16" i="21"/>
  <c r="I16" i="21"/>
  <c r="Q16" i="21"/>
  <c r="O27" i="21"/>
  <c r="K27" i="21"/>
  <c r="N27" i="21"/>
  <c r="T27" i="21"/>
  <c r="X27" i="21"/>
  <c r="AC27" i="21"/>
  <c r="M27" i="21"/>
  <c r="S27" i="21"/>
  <c r="V27" i="21"/>
  <c r="I27" i="21"/>
  <c r="Z27" i="21"/>
  <c r="L27" i="21"/>
  <c r="Y27" i="21"/>
  <c r="AA27" i="21"/>
  <c r="Q27" i="21"/>
  <c r="AB27" i="21"/>
  <c r="R27" i="21"/>
  <c r="J27" i="21"/>
  <c r="W27" i="21"/>
  <c r="H27" i="21"/>
  <c r="U27" i="21"/>
  <c r="P27" i="21"/>
  <c r="O24" i="21"/>
  <c r="T24" i="21"/>
  <c r="X24" i="21"/>
  <c r="K24" i="21"/>
  <c r="I24" i="21"/>
  <c r="M24" i="21"/>
  <c r="Y24" i="21"/>
  <c r="R24" i="21"/>
  <c r="H24" i="21"/>
  <c r="P24" i="21"/>
  <c r="L24" i="21"/>
  <c r="Q24" i="21"/>
  <c r="S24" i="21"/>
  <c r="J24" i="21"/>
  <c r="U24" i="21"/>
  <c r="V24" i="21"/>
  <c r="Z24" i="21"/>
  <c r="W24" i="21"/>
  <c r="N24" i="21"/>
  <c r="E131" i="21"/>
  <c r="H92" i="21"/>
  <c r="I92" i="21"/>
  <c r="J92" i="21"/>
  <c r="K92" i="21"/>
  <c r="L92" i="21"/>
  <c r="M92" i="21"/>
  <c r="N92" i="21"/>
  <c r="O92" i="21"/>
  <c r="P92" i="21"/>
  <c r="Q92" i="21"/>
  <c r="R92" i="21"/>
  <c r="S92" i="21"/>
  <c r="T92" i="21"/>
  <c r="U92" i="21"/>
  <c r="V92" i="21"/>
  <c r="W92" i="21"/>
  <c r="X92" i="21"/>
  <c r="Y92" i="21"/>
  <c r="Z92" i="21"/>
  <c r="AA92" i="21"/>
  <c r="AB92" i="21"/>
  <c r="AC92" i="21"/>
  <c r="AD92" i="21"/>
  <c r="AE92" i="21"/>
  <c r="AF92" i="21"/>
  <c r="AG92" i="21"/>
  <c r="AH92" i="21"/>
  <c r="AI92" i="21"/>
  <c r="AJ92" i="21"/>
  <c r="AK92" i="21"/>
  <c r="AL92" i="21"/>
  <c r="AM92" i="21"/>
  <c r="AN92" i="21"/>
  <c r="AO92" i="21"/>
  <c r="AP92" i="21"/>
  <c r="N34" i="21"/>
  <c r="AE34" i="21"/>
  <c r="R34" i="21"/>
  <c r="J34" i="21"/>
  <c r="AC34" i="21"/>
  <c r="AA34" i="21"/>
  <c r="X34" i="21"/>
  <c r="T34" i="21"/>
  <c r="AB34" i="21"/>
  <c r="AF34" i="21"/>
  <c r="AH34" i="21"/>
  <c r="L34" i="21"/>
  <c r="V34" i="21"/>
  <c r="W34" i="21"/>
  <c r="I34" i="21"/>
  <c r="AI34" i="21"/>
  <c r="Z34" i="21"/>
  <c r="Q34" i="21"/>
  <c r="M34" i="21"/>
  <c r="H34" i="21"/>
  <c r="Y34" i="21"/>
  <c r="AJ34" i="21"/>
  <c r="O34" i="21"/>
  <c r="AG34" i="21"/>
  <c r="K34" i="21"/>
  <c r="P34" i="21"/>
  <c r="S34" i="21"/>
  <c r="AD34" i="21"/>
  <c r="U34" i="21"/>
  <c r="E122" i="21"/>
  <c r="H83" i="21"/>
  <c r="I83" i="21"/>
  <c r="J83" i="21"/>
  <c r="K83" i="21"/>
  <c r="L83" i="21"/>
  <c r="M83" i="21"/>
  <c r="N83" i="21"/>
  <c r="O83" i="21"/>
  <c r="P83" i="21"/>
  <c r="Q83" i="21"/>
  <c r="R83" i="21"/>
  <c r="S83" i="21"/>
  <c r="T83" i="21"/>
  <c r="U83" i="21"/>
  <c r="V83" i="21"/>
  <c r="W83" i="21"/>
  <c r="X83" i="21"/>
  <c r="Y83" i="21"/>
  <c r="Z83" i="21"/>
  <c r="AA83" i="21"/>
  <c r="AB83" i="21"/>
  <c r="AC83" i="21"/>
  <c r="AD83" i="21"/>
  <c r="AE83" i="21"/>
  <c r="AF83" i="21"/>
  <c r="AG83" i="21"/>
  <c r="AH83" i="21"/>
  <c r="AI83" i="21"/>
  <c r="AJ83" i="21"/>
  <c r="AK83" i="21"/>
  <c r="AL83" i="21"/>
  <c r="AM83" i="21"/>
  <c r="AN83" i="21"/>
  <c r="AO83" i="21"/>
  <c r="AP83" i="21"/>
  <c r="E135" i="21"/>
  <c r="H96" i="21"/>
  <c r="I96" i="21"/>
  <c r="J96" i="21"/>
  <c r="K96" i="21"/>
  <c r="L96" i="21"/>
  <c r="M96" i="21"/>
  <c r="N96" i="21"/>
  <c r="O96" i="21"/>
  <c r="P96" i="21"/>
  <c r="Q96" i="21"/>
  <c r="R96" i="21"/>
  <c r="S96" i="21"/>
  <c r="T96" i="21"/>
  <c r="U96" i="21"/>
  <c r="V96" i="21"/>
  <c r="W96" i="21"/>
  <c r="X96" i="21"/>
  <c r="Y96" i="21"/>
  <c r="Z96" i="21"/>
  <c r="AA96" i="21"/>
  <c r="AB96" i="21"/>
  <c r="AC96" i="21"/>
  <c r="AD96" i="21"/>
  <c r="AE96" i="21"/>
  <c r="AF96" i="21"/>
  <c r="AG96" i="21"/>
  <c r="AH96" i="21"/>
  <c r="AI96" i="21"/>
  <c r="AJ96" i="21"/>
  <c r="AK96" i="21"/>
  <c r="AL96" i="21"/>
  <c r="AM96" i="21"/>
  <c r="AN96" i="21"/>
  <c r="AO96" i="21"/>
  <c r="AP96" i="21"/>
  <c r="E153" i="21"/>
  <c r="H114" i="21"/>
  <c r="I114" i="21"/>
  <c r="J114" i="21"/>
  <c r="K114" i="21"/>
  <c r="L114" i="21"/>
  <c r="M114" i="21"/>
  <c r="N114" i="21"/>
  <c r="O114" i="21"/>
  <c r="P114" i="21"/>
  <c r="Q114" i="21"/>
  <c r="R114" i="21"/>
  <c r="S114" i="21"/>
  <c r="T114" i="21"/>
  <c r="U114" i="21"/>
  <c r="V114" i="21"/>
  <c r="W114" i="21"/>
  <c r="X114" i="21"/>
  <c r="Y114" i="21"/>
  <c r="Z114" i="21"/>
  <c r="AA114" i="21"/>
  <c r="AB114" i="21"/>
  <c r="AC114" i="21"/>
  <c r="AD114" i="21"/>
  <c r="AE114" i="21"/>
  <c r="AF114" i="21"/>
  <c r="AG114" i="21"/>
  <c r="AH114" i="21"/>
  <c r="AI114" i="21"/>
  <c r="AJ114" i="21"/>
  <c r="AK114" i="21"/>
  <c r="AL114" i="21"/>
  <c r="AM114" i="21"/>
  <c r="AN114" i="21"/>
  <c r="AO114" i="21"/>
  <c r="AP114" i="21"/>
  <c r="E141" i="21"/>
  <c r="H102" i="21"/>
  <c r="I102" i="21"/>
  <c r="J102" i="21"/>
  <c r="K102" i="21"/>
  <c r="L102" i="21"/>
  <c r="M102" i="21"/>
  <c r="N102" i="21"/>
  <c r="O102" i="21"/>
  <c r="P102" i="21"/>
  <c r="Q102" i="21"/>
  <c r="R102" i="21"/>
  <c r="S102" i="21"/>
  <c r="T102" i="21"/>
  <c r="U102" i="21"/>
  <c r="V102" i="21"/>
  <c r="W102" i="21"/>
  <c r="X102" i="21"/>
  <c r="Y102" i="21"/>
  <c r="Z102" i="21"/>
  <c r="AA102" i="21"/>
  <c r="AB102" i="21"/>
  <c r="AC102" i="21"/>
  <c r="AD102" i="21"/>
  <c r="AE102" i="21"/>
  <c r="AF102" i="21"/>
  <c r="AG102" i="21"/>
  <c r="AH102" i="21"/>
  <c r="AI102" i="21"/>
  <c r="AJ102" i="21"/>
  <c r="AK102" i="21"/>
  <c r="AL102" i="21"/>
  <c r="AM102" i="21"/>
  <c r="AN102" i="21"/>
  <c r="AO102" i="21"/>
  <c r="AP102" i="21"/>
  <c r="J14" i="21"/>
  <c r="L14" i="21"/>
  <c r="M14" i="21"/>
  <c r="I14" i="21"/>
  <c r="N14" i="21"/>
  <c r="H14" i="21"/>
  <c r="O14" i="21"/>
  <c r="K14" i="21"/>
  <c r="P14" i="21"/>
  <c r="E151" i="21"/>
  <c r="H112" i="21"/>
  <c r="I112" i="21"/>
  <c r="J112" i="21"/>
  <c r="K112" i="21"/>
  <c r="L112" i="21"/>
  <c r="M112" i="21"/>
  <c r="N112" i="21"/>
  <c r="O112" i="21"/>
  <c r="P112" i="21"/>
  <c r="Q112" i="21"/>
  <c r="R112" i="21"/>
  <c r="S112" i="21"/>
  <c r="T112" i="21"/>
  <c r="U112" i="21"/>
  <c r="V112" i="21"/>
  <c r="W112" i="21"/>
  <c r="X112" i="21"/>
  <c r="Y112" i="21"/>
  <c r="Z112" i="21"/>
  <c r="AA112" i="21"/>
  <c r="AB112" i="21"/>
  <c r="AC112" i="21"/>
  <c r="AD112" i="21"/>
  <c r="AE112" i="21"/>
  <c r="AF112" i="21"/>
  <c r="AG112" i="21"/>
  <c r="AH112" i="21"/>
  <c r="AI112" i="21"/>
  <c r="AJ112" i="21"/>
  <c r="AK112" i="21"/>
  <c r="AL112" i="21"/>
  <c r="AM112" i="21"/>
  <c r="AN112" i="21"/>
  <c r="AO112" i="21"/>
  <c r="AP112" i="21"/>
  <c r="H18" i="21"/>
  <c r="P18" i="21"/>
  <c r="O18" i="21"/>
  <c r="I18" i="21"/>
  <c r="L18" i="21"/>
  <c r="Q18" i="21"/>
  <c r="K18" i="21"/>
  <c r="T18" i="21"/>
  <c r="J18" i="21"/>
  <c r="M18" i="21"/>
  <c r="S18" i="21"/>
  <c r="R18" i="21"/>
  <c r="N18" i="21"/>
  <c r="X36" i="21"/>
  <c r="AC36" i="21"/>
  <c r="T36" i="21"/>
  <c r="AF36" i="21"/>
  <c r="U36" i="21"/>
  <c r="AD36" i="21"/>
  <c r="AK36" i="21"/>
  <c r="AA36" i="21"/>
  <c r="I36" i="21"/>
  <c r="V36" i="21"/>
  <c r="L36" i="21"/>
  <c r="Q36" i="21"/>
  <c r="AL36" i="21"/>
  <c r="M36" i="21"/>
  <c r="Y36" i="21"/>
  <c r="J36" i="21"/>
  <c r="O36" i="21"/>
  <c r="AG36" i="21"/>
  <c r="Z36" i="21"/>
  <c r="W36" i="21"/>
  <c r="S36" i="21"/>
  <c r="AE36" i="21"/>
  <c r="N36" i="21"/>
  <c r="AI36" i="21"/>
  <c r="AB36" i="21"/>
  <c r="AH36" i="21"/>
  <c r="H36" i="21"/>
  <c r="AJ36" i="21"/>
  <c r="P36" i="21"/>
  <c r="R36" i="21"/>
  <c r="K36" i="21"/>
  <c r="Q32" i="21"/>
  <c r="L32" i="21"/>
  <c r="Z32" i="21"/>
  <c r="O32" i="21"/>
  <c r="AG32" i="21"/>
  <c r="M32" i="21"/>
  <c r="H32" i="21"/>
  <c r="J32" i="21"/>
  <c r="AA32" i="21"/>
  <c r="P32" i="21"/>
  <c r="U32" i="21"/>
  <c r="R32" i="21"/>
  <c r="AF32" i="21"/>
  <c r="K32" i="21"/>
  <c r="I32" i="21"/>
  <c r="S32" i="21"/>
  <c r="AD32" i="21"/>
  <c r="AE32" i="21"/>
  <c r="N32" i="21"/>
  <c r="X32" i="21"/>
  <c r="AB32" i="21"/>
  <c r="Y32" i="21"/>
  <c r="T32" i="21"/>
  <c r="AH32" i="21"/>
  <c r="V32" i="21"/>
  <c r="AC32" i="21"/>
  <c r="W32" i="21"/>
  <c r="E136" i="21"/>
  <c r="H97" i="21"/>
  <c r="I97" i="21"/>
  <c r="J97" i="21"/>
  <c r="K97" i="21"/>
  <c r="L97" i="21"/>
  <c r="M97" i="21"/>
  <c r="N97" i="21"/>
  <c r="O97" i="21"/>
  <c r="P97" i="21"/>
  <c r="Q97" i="21"/>
  <c r="R97" i="21"/>
  <c r="S97" i="21"/>
  <c r="T97" i="21"/>
  <c r="U97" i="21"/>
  <c r="V97" i="21"/>
  <c r="W97" i="21"/>
  <c r="X97" i="21"/>
  <c r="Y97" i="21"/>
  <c r="Z97" i="21"/>
  <c r="AA97" i="21"/>
  <c r="AB97" i="21"/>
  <c r="AC97" i="21"/>
  <c r="AD97" i="21"/>
  <c r="AE97" i="21"/>
  <c r="AF97" i="21"/>
  <c r="AG97" i="21"/>
  <c r="AH97" i="21"/>
  <c r="AI97" i="21"/>
  <c r="AJ97" i="21"/>
  <c r="AK97" i="21"/>
  <c r="AL97" i="21"/>
  <c r="AM97" i="21"/>
  <c r="AN97" i="21"/>
  <c r="AO97" i="21"/>
  <c r="AP97" i="21"/>
  <c r="I7" i="21"/>
  <c r="H7" i="21"/>
  <c r="E146" i="21"/>
  <c r="H107" i="21"/>
  <c r="I107" i="21"/>
  <c r="J107" i="21"/>
  <c r="K107" i="21"/>
  <c r="L107" i="21"/>
  <c r="M107" i="21"/>
  <c r="N107" i="21"/>
  <c r="O107" i="21"/>
  <c r="P107" i="21"/>
  <c r="Q107" i="21"/>
  <c r="R107" i="21"/>
  <c r="S107" i="21"/>
  <c r="T107" i="21"/>
  <c r="U107" i="21"/>
  <c r="V107" i="21"/>
  <c r="W107" i="21"/>
  <c r="X107" i="21"/>
  <c r="Y107" i="21"/>
  <c r="Z107" i="21"/>
  <c r="AA107" i="21"/>
  <c r="AB107" i="21"/>
  <c r="AC107" i="21"/>
  <c r="AD107" i="21"/>
  <c r="AE107" i="21"/>
  <c r="AF107" i="21"/>
  <c r="AG107" i="21"/>
  <c r="AH107" i="21"/>
  <c r="AI107" i="21"/>
  <c r="AJ107" i="21"/>
  <c r="AK107" i="21"/>
  <c r="AL107" i="21"/>
  <c r="AM107" i="21"/>
  <c r="AN107" i="21"/>
  <c r="AO107" i="21"/>
  <c r="AP107" i="21"/>
  <c r="E148" i="21"/>
  <c r="H109" i="21"/>
  <c r="I109" i="21"/>
  <c r="J109" i="21"/>
  <c r="K109" i="21"/>
  <c r="L109" i="21"/>
  <c r="M109" i="21"/>
  <c r="N109" i="21"/>
  <c r="O109" i="21"/>
  <c r="P109" i="21"/>
  <c r="Q109" i="21"/>
  <c r="R109" i="21"/>
  <c r="S109" i="21"/>
  <c r="T109" i="21"/>
  <c r="U109" i="21"/>
  <c r="V109" i="21"/>
  <c r="W109" i="21"/>
  <c r="X109" i="21"/>
  <c r="Y109" i="21"/>
  <c r="Z109" i="21"/>
  <c r="AA109" i="21"/>
  <c r="AB109" i="21"/>
  <c r="AC109" i="21"/>
  <c r="AD109" i="21"/>
  <c r="AE109" i="21"/>
  <c r="AF109" i="21"/>
  <c r="AG109" i="21"/>
  <c r="AH109" i="21"/>
  <c r="AI109" i="21"/>
  <c r="AJ109" i="21"/>
  <c r="AK109" i="21"/>
  <c r="AL109" i="21"/>
  <c r="AM109" i="21"/>
  <c r="AN109" i="21"/>
  <c r="AO109" i="21"/>
  <c r="AP109" i="21"/>
  <c r="X37" i="21"/>
  <c r="AB37" i="21"/>
  <c r="AK37" i="21"/>
  <c r="W37" i="21"/>
  <c r="AJ37" i="21"/>
  <c r="AC37" i="21"/>
  <c r="M37" i="21"/>
  <c r="Z37" i="21"/>
  <c r="O37" i="21"/>
  <c r="AA37" i="21"/>
  <c r="AD37" i="21"/>
  <c r="AE37" i="21"/>
  <c r="AL37" i="21"/>
  <c r="L37" i="21"/>
  <c r="AM37" i="21"/>
  <c r="N37" i="21"/>
  <c r="J37" i="21"/>
  <c r="P37" i="21"/>
  <c r="R37" i="21"/>
  <c r="V37" i="21"/>
  <c r="AF37" i="21"/>
  <c r="AH37" i="21"/>
  <c r="S37" i="21"/>
  <c r="I37" i="21"/>
  <c r="AI37" i="21"/>
  <c r="Q37" i="21"/>
  <c r="T37" i="21"/>
  <c r="Y37" i="21"/>
  <c r="K37" i="21"/>
  <c r="AG37" i="21"/>
  <c r="U37" i="21"/>
  <c r="H37" i="21"/>
  <c r="E149" i="21"/>
  <c r="H110" i="21"/>
  <c r="I110" i="21"/>
  <c r="J110" i="21"/>
  <c r="K110" i="21"/>
  <c r="L110" i="21"/>
  <c r="M110" i="21"/>
  <c r="N110" i="21"/>
  <c r="O110" i="21"/>
  <c r="P110" i="21"/>
  <c r="Q110" i="21"/>
  <c r="R110" i="21"/>
  <c r="S110" i="21"/>
  <c r="T110" i="21"/>
  <c r="U110" i="21"/>
  <c r="V110" i="21"/>
  <c r="W110" i="21"/>
  <c r="X110" i="21"/>
  <c r="Y110" i="21"/>
  <c r="Z110" i="21"/>
  <c r="AA110" i="21"/>
  <c r="AB110" i="21"/>
  <c r="AC110" i="21"/>
  <c r="AD110" i="21"/>
  <c r="AE110" i="21"/>
  <c r="AF110" i="21"/>
  <c r="AG110" i="21"/>
  <c r="AH110" i="21"/>
  <c r="AI110" i="21"/>
  <c r="AJ110" i="21"/>
  <c r="AK110" i="21"/>
  <c r="AL110" i="21"/>
  <c r="AM110" i="21"/>
  <c r="AN110" i="21"/>
  <c r="AO110" i="21"/>
  <c r="AP110" i="21"/>
  <c r="I19" i="21"/>
  <c r="T19" i="21"/>
  <c r="U19" i="21"/>
  <c r="R19" i="21"/>
  <c r="N19" i="21"/>
  <c r="H19" i="21"/>
  <c r="P19" i="21"/>
  <c r="O19" i="21"/>
  <c r="Q19" i="21"/>
  <c r="K19" i="21"/>
  <c r="L19" i="21"/>
  <c r="J19" i="21"/>
  <c r="S19" i="21"/>
  <c r="M19" i="21"/>
  <c r="E124" i="21"/>
  <c r="H85" i="21"/>
  <c r="I85" i="21"/>
  <c r="J85" i="21"/>
  <c r="K85" i="21"/>
  <c r="L85" i="21"/>
  <c r="M85" i="21"/>
  <c r="N85" i="21"/>
  <c r="O85" i="21"/>
  <c r="P85" i="21"/>
  <c r="Q85" i="21"/>
  <c r="R85" i="21"/>
  <c r="S85" i="21"/>
  <c r="T85" i="21"/>
  <c r="U85" i="21"/>
  <c r="V85" i="21"/>
  <c r="W85" i="21"/>
  <c r="X85" i="21"/>
  <c r="Y85" i="21"/>
  <c r="Z85" i="21"/>
  <c r="AA85" i="21"/>
  <c r="AB85" i="21"/>
  <c r="AC85" i="21"/>
  <c r="AD85" i="21"/>
  <c r="AE85" i="21"/>
  <c r="AF85" i="21"/>
  <c r="AG85" i="21"/>
  <c r="AH85" i="21"/>
  <c r="AI85" i="21"/>
  <c r="AJ85" i="21"/>
  <c r="AK85" i="21"/>
  <c r="AL85" i="21"/>
  <c r="AM85" i="21"/>
  <c r="AN85" i="21"/>
  <c r="AO85" i="21"/>
  <c r="AP85" i="21"/>
  <c r="P29" i="21"/>
  <c r="M29" i="21"/>
  <c r="U29" i="21"/>
  <c r="X29" i="21"/>
  <c r="AA29" i="21"/>
  <c r="V29" i="21"/>
  <c r="R29" i="21"/>
  <c r="N29" i="21"/>
  <c r="S29" i="21"/>
  <c r="I29" i="21"/>
  <c r="AB29" i="21"/>
  <c r="Q29" i="21"/>
  <c r="Y29" i="21"/>
  <c r="AC29" i="21"/>
  <c r="O29" i="21"/>
  <c r="J29" i="21"/>
  <c r="W29" i="21"/>
  <c r="AD29" i="21"/>
  <c r="AE29" i="21"/>
  <c r="L29" i="21"/>
  <c r="K29" i="21"/>
  <c r="Z29" i="21"/>
  <c r="H29" i="21"/>
  <c r="T29" i="21"/>
  <c r="X31" i="21"/>
  <c r="V31" i="21"/>
  <c r="AB31" i="21"/>
  <c r="L31" i="21"/>
  <c r="T31" i="21"/>
  <c r="O31" i="21"/>
  <c r="AG31" i="21"/>
  <c r="M31" i="21"/>
  <c r="W31" i="21"/>
  <c r="AD31" i="21"/>
  <c r="U31" i="21"/>
  <c r="P31" i="21"/>
  <c r="K31" i="21"/>
  <c r="R31" i="21"/>
  <c r="J31" i="21"/>
  <c r="Z31" i="21"/>
  <c r="AC31" i="21"/>
  <c r="AE31" i="21"/>
  <c r="N31" i="21"/>
  <c r="H31" i="21"/>
  <c r="AA31" i="21"/>
  <c r="AF31" i="21"/>
  <c r="S31" i="21"/>
  <c r="I31" i="21"/>
  <c r="Q31" i="21"/>
  <c r="Y31" i="21"/>
  <c r="E154" i="21"/>
  <c r="H115" i="21"/>
  <c r="I115" i="21"/>
  <c r="J115" i="21"/>
  <c r="K115" i="21"/>
  <c r="L115" i="21"/>
  <c r="M115" i="21"/>
  <c r="N115" i="21"/>
  <c r="O115" i="21"/>
  <c r="P115" i="21"/>
  <c r="Q115" i="21"/>
  <c r="R115" i="21"/>
  <c r="S115" i="21"/>
  <c r="T115" i="21"/>
  <c r="U115" i="21"/>
  <c r="V115" i="21"/>
  <c r="W115" i="21"/>
  <c r="X115" i="21"/>
  <c r="Y115" i="21"/>
  <c r="Z115" i="21"/>
  <c r="AA115" i="21"/>
  <c r="AB115" i="21"/>
  <c r="AC115" i="21"/>
  <c r="AD115" i="21"/>
  <c r="AE115" i="21"/>
  <c r="AF115" i="21"/>
  <c r="AG115" i="21"/>
  <c r="AH115" i="21"/>
  <c r="AI115" i="21"/>
  <c r="AJ115" i="21"/>
  <c r="AK115" i="21"/>
  <c r="AL115" i="21"/>
  <c r="AM115" i="21"/>
  <c r="AN115" i="21"/>
  <c r="AO115" i="21"/>
  <c r="AP115" i="21"/>
  <c r="E127" i="21"/>
  <c r="H88" i="21"/>
  <c r="I88" i="21"/>
  <c r="J88" i="21"/>
  <c r="K88" i="21"/>
  <c r="L88" i="21"/>
  <c r="M88" i="21"/>
  <c r="N88" i="21"/>
  <c r="O88" i="21"/>
  <c r="P88" i="21"/>
  <c r="Q88" i="21"/>
  <c r="R88" i="21"/>
  <c r="S88" i="21"/>
  <c r="T88" i="21"/>
  <c r="U88" i="21"/>
  <c r="V88" i="21"/>
  <c r="W88" i="21"/>
  <c r="X88" i="21"/>
  <c r="Y88" i="21"/>
  <c r="Z88" i="21"/>
  <c r="AA88" i="21"/>
  <c r="AB88" i="21"/>
  <c r="AC88" i="21"/>
  <c r="AD88" i="21"/>
  <c r="AE88" i="21"/>
  <c r="AF88" i="21"/>
  <c r="AG88" i="21"/>
  <c r="AH88" i="21"/>
  <c r="AI88" i="21"/>
  <c r="AJ88" i="21"/>
  <c r="AK88" i="21"/>
  <c r="AL88" i="21"/>
  <c r="AM88" i="21"/>
  <c r="AN88" i="21"/>
  <c r="AO88" i="21"/>
  <c r="AP88" i="21"/>
  <c r="K12" i="21"/>
  <c r="H12" i="21"/>
  <c r="L12" i="21"/>
  <c r="I12" i="21"/>
  <c r="N12" i="21"/>
  <c r="J12" i="21"/>
  <c r="M12" i="21"/>
  <c r="AB38" i="21"/>
  <c r="K38" i="21"/>
  <c r="Y38" i="21"/>
  <c r="AC38" i="21"/>
  <c r="O38" i="21"/>
  <c r="AG38" i="21"/>
  <c r="N38" i="21"/>
  <c r="AM38" i="21"/>
  <c r="Z38" i="21"/>
  <c r="H38" i="21"/>
  <c r="AK38" i="21"/>
  <c r="T38" i="21"/>
  <c r="P38" i="21"/>
  <c r="M38" i="21"/>
  <c r="V38" i="21"/>
  <c r="R38" i="21"/>
  <c r="AD38" i="21"/>
  <c r="X38" i="21"/>
  <c r="AA38" i="21"/>
  <c r="AH38" i="21"/>
  <c r="AF38" i="21"/>
  <c r="AL38" i="21"/>
  <c r="S38" i="21"/>
  <c r="W38" i="21"/>
  <c r="AN38" i="21"/>
  <c r="J38" i="21"/>
  <c r="AI38" i="21"/>
  <c r="I38" i="21"/>
  <c r="AJ38" i="21"/>
  <c r="Q38" i="21"/>
  <c r="AE38" i="21"/>
  <c r="L38" i="21"/>
  <c r="U38" i="21"/>
  <c r="E125" i="21"/>
  <c r="H86" i="21"/>
  <c r="I86" i="21"/>
  <c r="J86" i="21"/>
  <c r="K86" i="21"/>
  <c r="L86" i="21"/>
  <c r="M86" i="21"/>
  <c r="N86" i="21"/>
  <c r="O86" i="21"/>
  <c r="P86" i="21"/>
  <c r="Q86" i="21"/>
  <c r="R86" i="21"/>
  <c r="S86" i="21"/>
  <c r="T86" i="21"/>
  <c r="U86" i="21"/>
  <c r="V86" i="21"/>
  <c r="W86" i="21"/>
  <c r="X86" i="21"/>
  <c r="Y86" i="21"/>
  <c r="Z86" i="21"/>
  <c r="AA86" i="21"/>
  <c r="AB86" i="21"/>
  <c r="AC86" i="21"/>
  <c r="AD86" i="21"/>
  <c r="AE86" i="21"/>
  <c r="AF86" i="21"/>
  <c r="AG86" i="21"/>
  <c r="AH86" i="21"/>
  <c r="AI86" i="21"/>
  <c r="AJ86" i="21"/>
  <c r="AK86" i="21"/>
  <c r="AL86" i="21"/>
  <c r="AM86" i="21"/>
  <c r="AN86" i="21"/>
  <c r="AO86" i="21"/>
  <c r="AP86" i="21"/>
  <c r="E134" i="21"/>
  <c r="H95" i="21"/>
  <c r="I95" i="21"/>
  <c r="J95" i="21"/>
  <c r="K95" i="21"/>
  <c r="L95" i="21"/>
  <c r="M95" i="21"/>
  <c r="N95" i="21"/>
  <c r="O95" i="21"/>
  <c r="P95" i="21"/>
  <c r="Q95" i="21"/>
  <c r="R95" i="21"/>
  <c r="S95" i="21"/>
  <c r="T95" i="21"/>
  <c r="U95" i="21"/>
  <c r="V95" i="21"/>
  <c r="W95" i="21"/>
  <c r="X95" i="21"/>
  <c r="Y95" i="21"/>
  <c r="Z95" i="21"/>
  <c r="AA95" i="21"/>
  <c r="AB95" i="21"/>
  <c r="AC95" i="21"/>
  <c r="AD95" i="21"/>
  <c r="AE95" i="21"/>
  <c r="AF95" i="21"/>
  <c r="AG95" i="21"/>
  <c r="AH95" i="21"/>
  <c r="AI95" i="21"/>
  <c r="AJ95" i="21"/>
  <c r="AK95" i="21"/>
  <c r="AL95" i="21"/>
  <c r="AM95" i="21"/>
  <c r="AN95" i="21"/>
  <c r="AO95" i="21"/>
  <c r="AP95" i="21"/>
  <c r="E142" i="21"/>
  <c r="H103" i="21"/>
  <c r="I103" i="21"/>
  <c r="J103" i="21"/>
  <c r="K103" i="21"/>
  <c r="L103" i="21"/>
  <c r="M103" i="21"/>
  <c r="N103" i="21"/>
  <c r="O103" i="21"/>
  <c r="P103" i="21"/>
  <c r="Q103" i="21"/>
  <c r="R103" i="21"/>
  <c r="S103" i="21"/>
  <c r="T103" i="21"/>
  <c r="U103" i="21"/>
  <c r="V103" i="21"/>
  <c r="W103" i="21"/>
  <c r="X103" i="21"/>
  <c r="Y103" i="21"/>
  <c r="Z103" i="21"/>
  <c r="AA103" i="21"/>
  <c r="AB103" i="21"/>
  <c r="AC103" i="21"/>
  <c r="AD103" i="21"/>
  <c r="AE103" i="21"/>
  <c r="AF103" i="21"/>
  <c r="AG103" i="21"/>
  <c r="AH103" i="21"/>
  <c r="AI103" i="21"/>
  <c r="AJ103" i="21"/>
  <c r="AK103" i="21"/>
  <c r="AL103" i="21"/>
  <c r="AM103" i="21"/>
  <c r="AN103" i="21"/>
  <c r="AO103" i="21"/>
  <c r="AP103" i="21"/>
  <c r="H10" i="21"/>
  <c r="L10" i="21"/>
  <c r="I10" i="21"/>
  <c r="K10" i="21"/>
  <c r="J10" i="21"/>
  <c r="E129" i="21"/>
  <c r="H90" i="21"/>
  <c r="I90" i="21"/>
  <c r="J90" i="21"/>
  <c r="K90" i="21"/>
  <c r="L90" i="21"/>
  <c r="M90" i="21"/>
  <c r="N90" i="21"/>
  <c r="O90" i="21"/>
  <c r="P90" i="21"/>
  <c r="Q90" i="21"/>
  <c r="R90" i="21"/>
  <c r="S90" i="21"/>
  <c r="T90" i="21"/>
  <c r="U90" i="21"/>
  <c r="V90" i="21"/>
  <c r="W90" i="21"/>
  <c r="X90" i="21"/>
  <c r="Y90" i="21"/>
  <c r="Z90" i="21"/>
  <c r="AA90" i="21"/>
  <c r="AB90" i="21"/>
  <c r="AC90" i="21"/>
  <c r="AD90" i="21"/>
  <c r="AE90" i="21"/>
  <c r="AF90" i="21"/>
  <c r="AG90" i="21"/>
  <c r="AH90" i="21"/>
  <c r="AI90" i="21"/>
  <c r="AJ90" i="21"/>
  <c r="AK90" i="21"/>
  <c r="AL90" i="21"/>
  <c r="AM90" i="21"/>
  <c r="AN90" i="21"/>
  <c r="AO90" i="21"/>
  <c r="AP90" i="21"/>
  <c r="E155" i="21"/>
  <c r="H116" i="21"/>
  <c r="I116" i="21"/>
  <c r="J116" i="21"/>
  <c r="K116" i="21"/>
  <c r="L116" i="21"/>
  <c r="M116" i="21"/>
  <c r="N116" i="21"/>
  <c r="O116" i="21"/>
  <c r="P116" i="21"/>
  <c r="Q116" i="21"/>
  <c r="R116" i="21"/>
  <c r="S116" i="21"/>
  <c r="T116" i="21"/>
  <c r="U116" i="21"/>
  <c r="V116" i="21"/>
  <c r="W116" i="21"/>
  <c r="X116" i="21"/>
  <c r="Y116" i="21"/>
  <c r="Z116" i="21"/>
  <c r="AA116" i="21"/>
  <c r="AB116" i="21"/>
  <c r="AC116" i="21"/>
  <c r="AD116" i="21"/>
  <c r="AE116" i="21"/>
  <c r="AF116" i="21"/>
  <c r="AG116" i="21"/>
  <c r="AH116" i="21"/>
  <c r="AI116" i="21"/>
  <c r="AJ116" i="21"/>
  <c r="AK116" i="21"/>
  <c r="AL116" i="21"/>
  <c r="AM116" i="21"/>
  <c r="AN116" i="21"/>
  <c r="AO116" i="21"/>
  <c r="AP116" i="21"/>
  <c r="I8" i="21"/>
  <c r="H8" i="21"/>
  <c r="J8" i="21"/>
  <c r="M17" i="21"/>
  <c r="J17" i="21"/>
  <c r="R17" i="21"/>
  <c r="N17" i="21"/>
  <c r="H17" i="21"/>
  <c r="S17" i="21"/>
  <c r="P17" i="21"/>
  <c r="K17" i="21"/>
  <c r="I17" i="21"/>
  <c r="L17" i="21"/>
  <c r="Q17" i="21"/>
  <c r="O17" i="21"/>
  <c r="I25" i="21"/>
  <c r="Z25" i="21"/>
  <c r="M25" i="21"/>
  <c r="Y25" i="21"/>
  <c r="K25" i="21"/>
  <c r="O25" i="21"/>
  <c r="R25" i="21"/>
  <c r="H25" i="21"/>
  <c r="T25" i="21"/>
  <c r="X25" i="21"/>
  <c r="J25" i="21"/>
  <c r="V25" i="21"/>
  <c r="U25" i="21"/>
  <c r="L25" i="21"/>
  <c r="W25" i="21"/>
  <c r="P25" i="21"/>
  <c r="Q25" i="21"/>
  <c r="S25" i="21"/>
  <c r="AA25" i="21"/>
  <c r="N25" i="21"/>
  <c r="E123" i="21"/>
  <c r="H84" i="21"/>
  <c r="I84" i="21"/>
  <c r="J84" i="21"/>
  <c r="K84" i="21"/>
  <c r="L84" i="21"/>
  <c r="M84" i="21"/>
  <c r="N84" i="21"/>
  <c r="O84" i="21"/>
  <c r="P84" i="21"/>
  <c r="Q84" i="21"/>
  <c r="R84" i="21"/>
  <c r="S84" i="21"/>
  <c r="T84" i="21"/>
  <c r="U84" i="21"/>
  <c r="V84" i="21"/>
  <c r="W84" i="21"/>
  <c r="X84" i="21"/>
  <c r="Y84" i="21"/>
  <c r="Z84" i="21"/>
  <c r="AA84" i="21"/>
  <c r="AB84" i="21"/>
  <c r="AC84" i="21"/>
  <c r="AD84" i="21"/>
  <c r="AE84" i="21"/>
  <c r="AF84" i="21"/>
  <c r="AG84" i="21"/>
  <c r="AH84" i="21"/>
  <c r="AI84" i="21"/>
  <c r="AJ84" i="21"/>
  <c r="AK84" i="21"/>
  <c r="AL84" i="21"/>
  <c r="AM84" i="21"/>
  <c r="AN84" i="21"/>
  <c r="AO84" i="21"/>
  <c r="AP84" i="21"/>
  <c r="E147" i="21"/>
  <c r="H108" i="21"/>
  <c r="I108" i="21"/>
  <c r="J108" i="21"/>
  <c r="K108" i="21"/>
  <c r="L108" i="21"/>
  <c r="M108" i="21"/>
  <c r="N108" i="21"/>
  <c r="O108" i="21"/>
  <c r="P108" i="21"/>
  <c r="Q108" i="21"/>
  <c r="R108" i="21"/>
  <c r="S108" i="21"/>
  <c r="T108" i="21"/>
  <c r="U108" i="21"/>
  <c r="V108" i="21"/>
  <c r="W108" i="21"/>
  <c r="X108" i="21"/>
  <c r="Y108" i="21"/>
  <c r="Z108" i="21"/>
  <c r="AA108" i="21"/>
  <c r="AB108" i="21"/>
  <c r="AC108" i="21"/>
  <c r="AD108" i="21"/>
  <c r="AE108" i="21"/>
  <c r="AF108" i="21"/>
  <c r="AG108" i="21"/>
  <c r="AH108" i="21"/>
  <c r="AI108" i="21"/>
  <c r="AJ108" i="21"/>
  <c r="AK108" i="21"/>
  <c r="AL108" i="21"/>
  <c r="AM108" i="21"/>
  <c r="AN108" i="21"/>
  <c r="AO108" i="21"/>
  <c r="AP108" i="21"/>
  <c r="E126" i="21"/>
  <c r="H87" i="21"/>
  <c r="I87" i="21"/>
  <c r="J87" i="21"/>
  <c r="K87" i="21"/>
  <c r="L87" i="21"/>
  <c r="M87" i="21"/>
  <c r="N87" i="21"/>
  <c r="O87" i="21"/>
  <c r="P87" i="21"/>
  <c r="Q87" i="21"/>
  <c r="R87" i="21"/>
  <c r="S87" i="21"/>
  <c r="T87" i="21"/>
  <c r="U87" i="21"/>
  <c r="V87" i="21"/>
  <c r="W87" i="21"/>
  <c r="X87" i="21"/>
  <c r="Y87" i="21"/>
  <c r="Z87" i="21"/>
  <c r="AA87" i="21"/>
  <c r="AB87" i="21"/>
  <c r="AC87" i="21"/>
  <c r="AD87" i="21"/>
  <c r="AE87" i="21"/>
  <c r="AF87" i="21"/>
  <c r="AG87" i="21"/>
  <c r="AH87" i="21"/>
  <c r="AI87" i="21"/>
  <c r="AJ87" i="21"/>
  <c r="AK87" i="21"/>
  <c r="AL87" i="21"/>
  <c r="AM87" i="21"/>
  <c r="AN87" i="21"/>
  <c r="AO87" i="21"/>
  <c r="AP87" i="21"/>
  <c r="E152" i="21"/>
  <c r="H113" i="21"/>
  <c r="I113" i="21"/>
  <c r="J113" i="21"/>
  <c r="K113" i="21"/>
  <c r="L113" i="21"/>
  <c r="M113" i="21"/>
  <c r="N113" i="21"/>
  <c r="O113" i="21"/>
  <c r="P113" i="21"/>
  <c r="Q113" i="21"/>
  <c r="R113" i="21"/>
  <c r="S113" i="21"/>
  <c r="T113" i="21"/>
  <c r="U113" i="21"/>
  <c r="V113" i="21"/>
  <c r="W113" i="21"/>
  <c r="X113" i="21"/>
  <c r="Y113" i="21"/>
  <c r="Z113" i="21"/>
  <c r="AA113" i="21"/>
  <c r="AB113" i="21"/>
  <c r="AC113" i="21"/>
  <c r="AD113" i="21"/>
  <c r="AE113" i="21"/>
  <c r="AF113" i="21"/>
  <c r="AG113" i="21"/>
  <c r="AH113" i="21"/>
  <c r="AI113" i="21"/>
  <c r="AJ113" i="21"/>
  <c r="AK113" i="21"/>
  <c r="AL113" i="21"/>
  <c r="AM113" i="21"/>
  <c r="AN113" i="21"/>
  <c r="AO113" i="21"/>
  <c r="AP113" i="21"/>
  <c r="E150" i="21"/>
  <c r="H111" i="21"/>
  <c r="I111" i="21"/>
  <c r="J111" i="21"/>
  <c r="K111" i="21"/>
  <c r="L111" i="21"/>
  <c r="M111" i="21"/>
  <c r="N111" i="21"/>
  <c r="O111" i="21"/>
  <c r="P111" i="21"/>
  <c r="Q111" i="21"/>
  <c r="R111" i="21"/>
  <c r="S111" i="21"/>
  <c r="T111" i="21"/>
  <c r="U111" i="21"/>
  <c r="V111" i="21"/>
  <c r="W111" i="21"/>
  <c r="X111" i="21"/>
  <c r="Y111" i="21"/>
  <c r="Z111" i="21"/>
  <c r="AA111" i="21"/>
  <c r="AB111" i="21"/>
  <c r="AC111" i="21"/>
  <c r="AD111" i="21"/>
  <c r="AE111" i="21"/>
  <c r="AF111" i="21"/>
  <c r="AG111" i="21"/>
  <c r="AH111" i="21"/>
  <c r="AI111" i="21"/>
  <c r="AJ111" i="21"/>
  <c r="AK111" i="21"/>
  <c r="AL111" i="21"/>
  <c r="AM111" i="21"/>
  <c r="AN111" i="21"/>
  <c r="AO111" i="21"/>
  <c r="AP111" i="21"/>
  <c r="E145" i="21"/>
  <c r="H106" i="21"/>
  <c r="I106" i="21"/>
  <c r="J106" i="21"/>
  <c r="K106" i="21"/>
  <c r="L106" i="21"/>
  <c r="M106" i="21"/>
  <c r="N106" i="21"/>
  <c r="O106" i="21"/>
  <c r="P106" i="21"/>
  <c r="Q106" i="21"/>
  <c r="R106" i="21"/>
  <c r="S106" i="21"/>
  <c r="T106" i="21"/>
  <c r="U106" i="21"/>
  <c r="V106" i="21"/>
  <c r="W106" i="21"/>
  <c r="X106" i="21"/>
  <c r="Y106" i="21"/>
  <c r="Z106" i="21"/>
  <c r="AA106" i="21"/>
  <c r="AB106" i="21"/>
  <c r="AC106" i="21"/>
  <c r="AD106" i="21"/>
  <c r="AE106" i="21"/>
  <c r="AF106" i="21"/>
  <c r="AG106" i="21"/>
  <c r="AH106" i="21"/>
  <c r="AI106" i="21"/>
  <c r="AJ106" i="21"/>
  <c r="AK106" i="21"/>
  <c r="AL106" i="21"/>
  <c r="AM106" i="21"/>
  <c r="AN106" i="21"/>
  <c r="AO106" i="21"/>
  <c r="AP106" i="21"/>
  <c r="H6" i="21"/>
  <c r="AF30" i="21"/>
  <c r="I30" i="21"/>
  <c r="AA30" i="21"/>
  <c r="T30" i="21"/>
  <c r="W30" i="21"/>
  <c r="AD30" i="21"/>
  <c r="AE30" i="21"/>
  <c r="K30" i="21"/>
  <c r="N30" i="21"/>
  <c r="H30" i="21"/>
  <c r="U30" i="21"/>
  <c r="X30" i="21"/>
  <c r="Z30" i="21"/>
  <c r="AB30" i="21"/>
  <c r="P30" i="21"/>
  <c r="R30" i="21"/>
  <c r="S30" i="21"/>
  <c r="Q30" i="21"/>
  <c r="Y30" i="21"/>
  <c r="V30" i="21"/>
  <c r="L30" i="21"/>
  <c r="M30" i="21"/>
  <c r="AC30" i="21"/>
  <c r="O30" i="21"/>
  <c r="J30" i="21"/>
  <c r="J9" i="21"/>
  <c r="I9" i="21"/>
  <c r="K9" i="21"/>
  <c r="H9" i="21"/>
  <c r="AC35" i="21"/>
  <c r="J35" i="21"/>
  <c r="H35" i="21"/>
  <c r="S35" i="21"/>
  <c r="P35" i="21"/>
  <c r="AD35" i="21"/>
  <c r="N35" i="21"/>
  <c r="X35" i="21"/>
  <c r="K35" i="21"/>
  <c r="Z35" i="21"/>
  <c r="AF35" i="21"/>
  <c r="AA35" i="21"/>
  <c r="T35" i="21"/>
  <c r="L35" i="21"/>
  <c r="U35" i="21"/>
  <c r="I35" i="21"/>
  <c r="AB35" i="21"/>
  <c r="AI35" i="21"/>
  <c r="Q35" i="21"/>
  <c r="M35" i="21"/>
  <c r="AJ35" i="21"/>
  <c r="Y35" i="21"/>
  <c r="AH35" i="21"/>
  <c r="O35" i="21"/>
  <c r="AG35" i="21"/>
  <c r="V35" i="21"/>
  <c r="W35" i="21"/>
  <c r="AE35" i="21"/>
  <c r="R35" i="21"/>
  <c r="AK35" i="21"/>
  <c r="AI33" i="21"/>
  <c r="Z33" i="21"/>
  <c r="AD33" i="21"/>
  <c r="AA33" i="21"/>
  <c r="M33" i="21"/>
  <c r="Q33" i="21"/>
  <c r="Y33" i="21"/>
  <c r="N33" i="21"/>
  <c r="AG33" i="21"/>
  <c r="O33" i="21"/>
  <c r="S33" i="21"/>
  <c r="R33" i="21"/>
  <c r="W33" i="21"/>
  <c r="T33" i="21"/>
  <c r="AB33" i="21"/>
  <c r="AE33" i="21"/>
  <c r="AH33" i="21"/>
  <c r="V33" i="21"/>
  <c r="H33" i="21"/>
  <c r="J33" i="21"/>
  <c r="P33" i="21"/>
  <c r="U33" i="21"/>
  <c r="I33" i="21"/>
  <c r="X33" i="21"/>
  <c r="L33" i="21"/>
  <c r="AF33" i="21"/>
  <c r="AC33" i="21"/>
  <c r="K33" i="21"/>
  <c r="Q28" i="21"/>
  <c r="Z28" i="21"/>
  <c r="S28" i="21"/>
  <c r="O28" i="21"/>
  <c r="AD28" i="21"/>
  <c r="H28" i="21"/>
  <c r="P28" i="21"/>
  <c r="N28" i="21"/>
  <c r="U28" i="21"/>
  <c r="I28" i="21"/>
  <c r="AC28" i="21"/>
  <c r="V28" i="21"/>
  <c r="X28" i="21"/>
  <c r="L28" i="21"/>
  <c r="Y28" i="21"/>
  <c r="M28" i="21"/>
  <c r="AA28" i="21"/>
  <c r="AB28" i="21"/>
  <c r="R28" i="21"/>
  <c r="J28" i="21"/>
  <c r="W28" i="21"/>
  <c r="K28" i="21"/>
  <c r="T28" i="21"/>
  <c r="AB73" i="1"/>
  <c r="AB72" i="1"/>
  <c r="AA30" i="19" s="1"/>
  <c r="AE39" i="1" l="1"/>
  <c r="AF38" i="1"/>
  <c r="AF43" i="1" s="1"/>
  <c r="AF82" i="1" s="1"/>
  <c r="AF83" i="1" s="1"/>
  <c r="AD6" i="19"/>
  <c r="AD4" i="19" s="1"/>
  <c r="AE76" i="1"/>
  <c r="AD31" i="19" s="1"/>
  <c r="AE44" i="1"/>
  <c r="H142" i="21"/>
  <c r="H64" i="21" s="1"/>
  <c r="I142" i="21"/>
  <c r="I64" i="21" s="1"/>
  <c r="J142" i="21"/>
  <c r="J64" i="21" s="1"/>
  <c r="K142" i="21"/>
  <c r="K64" i="21" s="1"/>
  <c r="L142" i="21"/>
  <c r="L64" i="21" s="1"/>
  <c r="M142" i="21"/>
  <c r="M64" i="21" s="1"/>
  <c r="N142" i="21"/>
  <c r="N64" i="21" s="1"/>
  <c r="O142" i="21"/>
  <c r="O64" i="21" s="1"/>
  <c r="P142" i="21"/>
  <c r="P64" i="21" s="1"/>
  <c r="Q142" i="21"/>
  <c r="Q64" i="21" s="1"/>
  <c r="R142" i="21"/>
  <c r="R64" i="21" s="1"/>
  <c r="S142" i="21"/>
  <c r="S64" i="21" s="1"/>
  <c r="T142" i="21"/>
  <c r="T64" i="21" s="1"/>
  <c r="U142" i="21"/>
  <c r="U64" i="21" s="1"/>
  <c r="V142" i="21"/>
  <c r="V64" i="21" s="1"/>
  <c r="W142" i="21"/>
  <c r="W64" i="21" s="1"/>
  <c r="X142" i="21"/>
  <c r="X64" i="21" s="1"/>
  <c r="Y142" i="21"/>
  <c r="Y64" i="21" s="1"/>
  <c r="Z142" i="21"/>
  <c r="Z64" i="21" s="1"/>
  <c r="AA142" i="21"/>
  <c r="AA64" i="21" s="1"/>
  <c r="AB142" i="21"/>
  <c r="AC142" i="21" s="1"/>
  <c r="H134" i="21"/>
  <c r="H56" i="21" s="1"/>
  <c r="I134" i="21"/>
  <c r="I56" i="21" s="1"/>
  <c r="J134" i="21"/>
  <c r="J56" i="21" s="1"/>
  <c r="K134" i="21"/>
  <c r="K56" i="21" s="1"/>
  <c r="L134" i="21"/>
  <c r="L56" i="21" s="1"/>
  <c r="M134" i="21"/>
  <c r="M56" i="21" s="1"/>
  <c r="N134" i="21"/>
  <c r="N56" i="21" s="1"/>
  <c r="O134" i="21"/>
  <c r="O56" i="21" s="1"/>
  <c r="P134" i="21"/>
  <c r="P56" i="21" s="1"/>
  <c r="Q134" i="21"/>
  <c r="Q56" i="21" s="1"/>
  <c r="R134" i="21"/>
  <c r="R56" i="21" s="1"/>
  <c r="S134" i="21"/>
  <c r="S56" i="21" s="1"/>
  <c r="T134" i="21"/>
  <c r="H125" i="21"/>
  <c r="H47" i="21" s="1"/>
  <c r="I125" i="21"/>
  <c r="I47" i="21" s="1"/>
  <c r="J125" i="21"/>
  <c r="J47" i="21" s="1"/>
  <c r="K125" i="21"/>
  <c r="L125" i="21" s="1"/>
  <c r="H141" i="21"/>
  <c r="H63" i="21" s="1"/>
  <c r="I141" i="21"/>
  <c r="I63" i="21" s="1"/>
  <c r="J141" i="21"/>
  <c r="J63" i="21" s="1"/>
  <c r="K141" i="21"/>
  <c r="K63" i="21" s="1"/>
  <c r="L141" i="21"/>
  <c r="L63" i="21" s="1"/>
  <c r="M141" i="21"/>
  <c r="M63" i="21" s="1"/>
  <c r="N141" i="21"/>
  <c r="N63" i="21" s="1"/>
  <c r="O141" i="21"/>
  <c r="O63" i="21" s="1"/>
  <c r="P141" i="21"/>
  <c r="P63" i="21" s="1"/>
  <c r="Q141" i="21"/>
  <c r="Q63" i="21" s="1"/>
  <c r="R141" i="21"/>
  <c r="R63" i="21" s="1"/>
  <c r="S141" i="21"/>
  <c r="S63" i="21" s="1"/>
  <c r="T141" i="21"/>
  <c r="T63" i="21" s="1"/>
  <c r="U141" i="21"/>
  <c r="U63" i="21" s="1"/>
  <c r="V141" i="21"/>
  <c r="V63" i="21" s="1"/>
  <c r="W141" i="21"/>
  <c r="W63" i="21" s="1"/>
  <c r="X141" i="21"/>
  <c r="X63" i="21" s="1"/>
  <c r="Y141" i="21"/>
  <c r="Y63" i="21" s="1"/>
  <c r="Z141" i="21"/>
  <c r="Z63" i="21" s="1"/>
  <c r="AA141" i="21"/>
  <c r="H153" i="21"/>
  <c r="H75" i="21" s="1"/>
  <c r="I153" i="21"/>
  <c r="I75" i="21" s="1"/>
  <c r="J153" i="21"/>
  <c r="J75" i="21" s="1"/>
  <c r="K153" i="21"/>
  <c r="K75" i="21" s="1"/>
  <c r="L153" i="21"/>
  <c r="L75" i="21" s="1"/>
  <c r="M153" i="21"/>
  <c r="M75" i="21" s="1"/>
  <c r="N153" i="21"/>
  <c r="N75" i="21" s="1"/>
  <c r="O153" i="21"/>
  <c r="O75" i="21" s="1"/>
  <c r="P153" i="21"/>
  <c r="P75" i="21" s="1"/>
  <c r="Q153" i="21"/>
  <c r="Q75" i="21" s="1"/>
  <c r="R153" i="21"/>
  <c r="R75" i="21" s="1"/>
  <c r="S153" i="21"/>
  <c r="S75" i="21" s="1"/>
  <c r="T153" i="21"/>
  <c r="T75" i="21" s="1"/>
  <c r="U153" i="21"/>
  <c r="U75" i="21" s="1"/>
  <c r="V153" i="21"/>
  <c r="V75" i="21" s="1"/>
  <c r="W153" i="21"/>
  <c r="W75" i="21" s="1"/>
  <c r="X153" i="21"/>
  <c r="X75" i="21" s="1"/>
  <c r="Y153" i="21"/>
  <c r="Y75" i="21" s="1"/>
  <c r="Z153" i="21"/>
  <c r="AA153" i="21"/>
  <c r="AA75" i="21" s="1"/>
  <c r="AB153" i="21"/>
  <c r="AB75" i="21" s="1"/>
  <c r="AC153" i="21"/>
  <c r="AC75" i="21" s="1"/>
  <c r="AD153" i="21"/>
  <c r="AD75" i="21" s="1"/>
  <c r="AE153" i="21"/>
  <c r="AE75" i="21" s="1"/>
  <c r="AF153" i="21"/>
  <c r="AF75" i="21" s="1"/>
  <c r="AG153" i="21"/>
  <c r="AG75" i="21" s="1"/>
  <c r="AH153" i="21"/>
  <c r="AH75" i="21" s="1"/>
  <c r="AI153" i="21"/>
  <c r="AI75" i="21" s="1"/>
  <c r="AJ153" i="21"/>
  <c r="AJ75" i="21" s="1"/>
  <c r="AK153" i="21"/>
  <c r="AK75" i="21" s="1"/>
  <c r="AL153" i="21"/>
  <c r="AL75" i="21" s="1"/>
  <c r="AM153" i="21"/>
  <c r="AN153" i="21" s="1"/>
  <c r="AO153" i="21" s="1"/>
  <c r="H135" i="21"/>
  <c r="H57" i="21" s="1"/>
  <c r="I135" i="21"/>
  <c r="I57" i="21" s="1"/>
  <c r="J135" i="21"/>
  <c r="J57" i="21" s="1"/>
  <c r="K135" i="21"/>
  <c r="K57" i="21" s="1"/>
  <c r="L135" i="21"/>
  <c r="L57" i="21" s="1"/>
  <c r="M135" i="21"/>
  <c r="M57" i="21" s="1"/>
  <c r="N135" i="21"/>
  <c r="N57" i="21" s="1"/>
  <c r="O135" i="21"/>
  <c r="O57" i="21" s="1"/>
  <c r="P135" i="21"/>
  <c r="P57" i="21" s="1"/>
  <c r="Q135" i="21"/>
  <c r="Q57" i="21" s="1"/>
  <c r="R135" i="21"/>
  <c r="R57" i="21" s="1"/>
  <c r="S135" i="21"/>
  <c r="S57" i="21" s="1"/>
  <c r="T135" i="21"/>
  <c r="T57" i="21" s="1"/>
  <c r="U135" i="21"/>
  <c r="V135" i="21" s="1"/>
  <c r="W135" i="21" s="1"/>
  <c r="H122" i="21"/>
  <c r="I122" i="21" s="1"/>
  <c r="J122" i="21" s="1"/>
  <c r="H139" i="21"/>
  <c r="H61" i="21" s="1"/>
  <c r="I139" i="21"/>
  <c r="I61" i="21" s="1"/>
  <c r="J139" i="21"/>
  <c r="J61" i="21" s="1"/>
  <c r="K139" i="21"/>
  <c r="K61" i="21" s="1"/>
  <c r="L139" i="21"/>
  <c r="L61" i="21" s="1"/>
  <c r="M139" i="21"/>
  <c r="M61" i="21" s="1"/>
  <c r="N139" i="21"/>
  <c r="N61" i="21" s="1"/>
  <c r="O139" i="21"/>
  <c r="O61" i="21" s="1"/>
  <c r="P139" i="21"/>
  <c r="P61" i="21" s="1"/>
  <c r="Q139" i="21"/>
  <c r="Q61" i="21" s="1"/>
  <c r="R139" i="21"/>
  <c r="R61" i="21" s="1"/>
  <c r="S139" i="21"/>
  <c r="S61" i="21" s="1"/>
  <c r="T139" i="21"/>
  <c r="T61" i="21" s="1"/>
  <c r="U139" i="21"/>
  <c r="U61" i="21" s="1"/>
  <c r="V139" i="21"/>
  <c r="V61" i="21" s="1"/>
  <c r="W139" i="21"/>
  <c r="W61" i="21" s="1"/>
  <c r="X139" i="21"/>
  <c r="X61" i="21" s="1"/>
  <c r="Y139" i="21"/>
  <c r="Z139" i="21" s="1"/>
  <c r="AA139" i="21" s="1"/>
  <c r="H138" i="21"/>
  <c r="H60" i="21" s="1"/>
  <c r="I138" i="21"/>
  <c r="I60" i="21" s="1"/>
  <c r="J138" i="21"/>
  <c r="J60" i="21" s="1"/>
  <c r="K138" i="21"/>
  <c r="K60" i="21" s="1"/>
  <c r="L138" i="21"/>
  <c r="L60" i="21" s="1"/>
  <c r="M138" i="21"/>
  <c r="M60" i="21" s="1"/>
  <c r="N138" i="21"/>
  <c r="N60" i="21" s="1"/>
  <c r="O138" i="21"/>
  <c r="O60" i="21" s="1"/>
  <c r="P138" i="21"/>
  <c r="P60" i="21" s="1"/>
  <c r="Q138" i="21"/>
  <c r="Q60" i="21" s="1"/>
  <c r="R138" i="21"/>
  <c r="R60" i="21" s="1"/>
  <c r="S138" i="21"/>
  <c r="S60" i="21" s="1"/>
  <c r="T138" i="21"/>
  <c r="T60" i="21" s="1"/>
  <c r="U138" i="21"/>
  <c r="U60" i="21" s="1"/>
  <c r="V138" i="21"/>
  <c r="V60" i="21" s="1"/>
  <c r="W138" i="21"/>
  <c r="W60" i="21" s="1"/>
  <c r="X138" i="21"/>
  <c r="Y138" i="21" s="1"/>
  <c r="Z138" i="21" s="1"/>
  <c r="H155" i="21"/>
  <c r="H77" i="21" s="1"/>
  <c r="I155" i="21"/>
  <c r="I77" i="21" s="1"/>
  <c r="J155" i="21"/>
  <c r="J77" i="21" s="1"/>
  <c r="K155" i="21"/>
  <c r="K77" i="21" s="1"/>
  <c r="L155" i="21"/>
  <c r="L77" i="21" s="1"/>
  <c r="M155" i="21"/>
  <c r="M77" i="21" s="1"/>
  <c r="N155" i="21"/>
  <c r="N77" i="21" s="1"/>
  <c r="O155" i="21"/>
  <c r="O77" i="21" s="1"/>
  <c r="P155" i="21"/>
  <c r="P77" i="21" s="1"/>
  <c r="Q155" i="21"/>
  <c r="Q77" i="21" s="1"/>
  <c r="R155" i="21"/>
  <c r="R77" i="21" s="1"/>
  <c r="S155" i="21"/>
  <c r="S77" i="21" s="1"/>
  <c r="T155" i="21"/>
  <c r="T77" i="21" s="1"/>
  <c r="U155" i="21"/>
  <c r="U77" i="21" s="1"/>
  <c r="V155" i="21"/>
  <c r="V77" i="21" s="1"/>
  <c r="W155" i="21"/>
  <c r="W77" i="21" s="1"/>
  <c r="X155" i="21"/>
  <c r="X77" i="21" s="1"/>
  <c r="Y155" i="21"/>
  <c r="Y77" i="21" s="1"/>
  <c r="Z155" i="21"/>
  <c r="Z77" i="21" s="1"/>
  <c r="AA155" i="21"/>
  <c r="AA77" i="21" s="1"/>
  <c r="AB155" i="21"/>
  <c r="AB77" i="21" s="1"/>
  <c r="AC155" i="21"/>
  <c r="AC77" i="21" s="1"/>
  <c r="AD155" i="21"/>
  <c r="AD77" i="21" s="1"/>
  <c r="AE155" i="21"/>
  <c r="AE77" i="21" s="1"/>
  <c r="AF155" i="21"/>
  <c r="AF77" i="21" s="1"/>
  <c r="AG155" i="21"/>
  <c r="AG77" i="21" s="1"/>
  <c r="AH155" i="21"/>
  <c r="AH77" i="21" s="1"/>
  <c r="AI155" i="21"/>
  <c r="AI77" i="21" s="1"/>
  <c r="AJ155" i="21"/>
  <c r="AJ77" i="21" s="1"/>
  <c r="AK155" i="21"/>
  <c r="AK77" i="21" s="1"/>
  <c r="AL155" i="21"/>
  <c r="AL77" i="21" s="1"/>
  <c r="AM155" i="21"/>
  <c r="AM77" i="21" s="1"/>
  <c r="AN155" i="21"/>
  <c r="AN77" i="21" s="1"/>
  <c r="AO155" i="21"/>
  <c r="H129" i="21"/>
  <c r="H51" i="21" s="1"/>
  <c r="I129" i="21"/>
  <c r="I51" i="21" s="1"/>
  <c r="J129" i="21"/>
  <c r="J51" i="21" s="1"/>
  <c r="K129" i="21"/>
  <c r="K51" i="21" s="1"/>
  <c r="L129" i="21"/>
  <c r="L51" i="21" s="1"/>
  <c r="M129" i="21"/>
  <c r="M51" i="21" s="1"/>
  <c r="N129" i="21"/>
  <c r="N51" i="21" s="1"/>
  <c r="O129" i="21"/>
  <c r="H151" i="21"/>
  <c r="H73" i="21" s="1"/>
  <c r="I151" i="21"/>
  <c r="I73" i="21" s="1"/>
  <c r="J151" i="21"/>
  <c r="J73" i="21" s="1"/>
  <c r="K151" i="21"/>
  <c r="K73" i="21" s="1"/>
  <c r="L151" i="21"/>
  <c r="L73" i="21" s="1"/>
  <c r="M151" i="21"/>
  <c r="M73" i="21" s="1"/>
  <c r="N151" i="21"/>
  <c r="N73" i="21" s="1"/>
  <c r="O151" i="21"/>
  <c r="O73" i="21" s="1"/>
  <c r="P151" i="21"/>
  <c r="P73" i="21" s="1"/>
  <c r="Q151" i="21"/>
  <c r="Q73" i="21" s="1"/>
  <c r="R151" i="21"/>
  <c r="R73" i="21" s="1"/>
  <c r="S151" i="21"/>
  <c r="S73" i="21" s="1"/>
  <c r="T151" i="21"/>
  <c r="T73" i="21" s="1"/>
  <c r="U151" i="21"/>
  <c r="U73" i="21" s="1"/>
  <c r="V151" i="21"/>
  <c r="V73" i="21" s="1"/>
  <c r="W151" i="21"/>
  <c r="W73" i="21" s="1"/>
  <c r="X151" i="21"/>
  <c r="X73" i="21" s="1"/>
  <c r="Y151" i="21"/>
  <c r="Y73" i="21" s="1"/>
  <c r="Z151" i="21"/>
  <c r="Z73" i="21" s="1"/>
  <c r="AA151" i="21"/>
  <c r="AA73" i="21" s="1"/>
  <c r="AB151" i="21"/>
  <c r="AB73" i="21" s="1"/>
  <c r="AC151" i="21"/>
  <c r="AC73" i="21" s="1"/>
  <c r="AD151" i="21"/>
  <c r="AD73" i="21" s="1"/>
  <c r="AE151" i="21"/>
  <c r="AE73" i="21" s="1"/>
  <c r="AF151" i="21"/>
  <c r="AF73" i="21" s="1"/>
  <c r="AG151" i="21"/>
  <c r="AG73" i="21" s="1"/>
  <c r="AH151" i="21"/>
  <c r="AH73" i="21" s="1"/>
  <c r="AI151" i="21"/>
  <c r="AI73" i="21" s="1"/>
  <c r="AJ151" i="21"/>
  <c r="AJ73" i="21" s="1"/>
  <c r="AK151" i="21"/>
  <c r="H140" i="21"/>
  <c r="H62" i="21" s="1"/>
  <c r="I140" i="21"/>
  <c r="I62" i="21" s="1"/>
  <c r="J140" i="21"/>
  <c r="J62" i="21" s="1"/>
  <c r="K140" i="21"/>
  <c r="K62" i="21" s="1"/>
  <c r="L140" i="21"/>
  <c r="L62" i="21" s="1"/>
  <c r="M140" i="21"/>
  <c r="M62" i="21" s="1"/>
  <c r="N140" i="21"/>
  <c r="N62" i="21" s="1"/>
  <c r="O140" i="21"/>
  <c r="O62" i="21" s="1"/>
  <c r="P140" i="21"/>
  <c r="P62" i="21" s="1"/>
  <c r="Q140" i="21"/>
  <c r="Q62" i="21" s="1"/>
  <c r="R140" i="21"/>
  <c r="R62" i="21" s="1"/>
  <c r="S140" i="21"/>
  <c r="S62" i="21" s="1"/>
  <c r="T140" i="21"/>
  <c r="T62" i="21" s="1"/>
  <c r="U140" i="21"/>
  <c r="U62" i="21" s="1"/>
  <c r="V140" i="21"/>
  <c r="V62" i="21" s="1"/>
  <c r="W140" i="21"/>
  <c r="W62" i="21" s="1"/>
  <c r="X140" i="21"/>
  <c r="X62" i="21" s="1"/>
  <c r="Y140" i="21"/>
  <c r="Y62" i="21" s="1"/>
  <c r="Z140" i="21"/>
  <c r="AA140" i="21" s="1"/>
  <c r="AB140" i="21" s="1"/>
  <c r="AC140" i="21" s="1"/>
  <c r="H143" i="21"/>
  <c r="H65" i="21" s="1"/>
  <c r="I143" i="21"/>
  <c r="I65" i="21" s="1"/>
  <c r="J143" i="21"/>
  <c r="J65" i="21" s="1"/>
  <c r="K143" i="21"/>
  <c r="K65" i="21" s="1"/>
  <c r="L143" i="21"/>
  <c r="L65" i="21" s="1"/>
  <c r="M143" i="21"/>
  <c r="M65" i="21" s="1"/>
  <c r="N143" i="21"/>
  <c r="N65" i="21" s="1"/>
  <c r="O143" i="21"/>
  <c r="O65" i="21" s="1"/>
  <c r="P143" i="21"/>
  <c r="P65" i="21" s="1"/>
  <c r="Q143" i="21"/>
  <c r="Q65" i="21" s="1"/>
  <c r="R143" i="21"/>
  <c r="R65" i="21" s="1"/>
  <c r="S143" i="21"/>
  <c r="S65" i="21" s="1"/>
  <c r="T143" i="21"/>
  <c r="T65" i="21" s="1"/>
  <c r="U143" i="21"/>
  <c r="U65" i="21" s="1"/>
  <c r="V143" i="21"/>
  <c r="V65" i="21" s="1"/>
  <c r="W143" i="21"/>
  <c r="W65" i="21" s="1"/>
  <c r="X143" i="21"/>
  <c r="X65" i="21" s="1"/>
  <c r="Y143" i="21"/>
  <c r="Z143" i="21"/>
  <c r="Z65" i="21" s="1"/>
  <c r="AA143" i="21"/>
  <c r="AA65" i="21" s="1"/>
  <c r="AB143" i="21"/>
  <c r="AB65" i="21" s="1"/>
  <c r="AC143" i="21"/>
  <c r="AD143" i="21" s="1"/>
  <c r="AE143" i="21" s="1"/>
  <c r="H145" i="21"/>
  <c r="H67" i="21" s="1"/>
  <c r="I145" i="21"/>
  <c r="I67" i="21" s="1"/>
  <c r="J145" i="21"/>
  <c r="J67" i="21" s="1"/>
  <c r="K145" i="21"/>
  <c r="K67" i="21" s="1"/>
  <c r="L145" i="21"/>
  <c r="L67" i="21" s="1"/>
  <c r="M145" i="21"/>
  <c r="M67" i="21" s="1"/>
  <c r="N145" i="21"/>
  <c r="N67" i="21" s="1"/>
  <c r="O145" i="21"/>
  <c r="O67" i="21" s="1"/>
  <c r="P145" i="21"/>
  <c r="P67" i="21" s="1"/>
  <c r="Q145" i="21"/>
  <c r="Q67" i="21" s="1"/>
  <c r="R145" i="21"/>
  <c r="R67" i="21" s="1"/>
  <c r="S145" i="21"/>
  <c r="S67" i="21" s="1"/>
  <c r="T145" i="21"/>
  <c r="T67" i="21" s="1"/>
  <c r="U145" i="21"/>
  <c r="U67" i="21" s="1"/>
  <c r="V145" i="21"/>
  <c r="V67" i="21" s="1"/>
  <c r="W145" i="21"/>
  <c r="W67" i="21" s="1"/>
  <c r="X145" i="21"/>
  <c r="X67" i="21" s="1"/>
  <c r="Y145" i="21"/>
  <c r="Y67" i="21" s="1"/>
  <c r="Z145" i="21"/>
  <c r="Z67" i="21" s="1"/>
  <c r="AA145" i="21"/>
  <c r="AA67" i="21" s="1"/>
  <c r="AB145" i="21"/>
  <c r="AB67" i="21" s="1"/>
  <c r="AC145" i="21"/>
  <c r="AC67" i="21" s="1"/>
  <c r="AD145" i="21"/>
  <c r="AD67" i="21" s="1"/>
  <c r="AE145" i="21"/>
  <c r="AF145" i="21" s="1"/>
  <c r="AG145" i="21" s="1"/>
  <c r="H150" i="21"/>
  <c r="H72" i="21" s="1"/>
  <c r="I150" i="21"/>
  <c r="I72" i="21" s="1"/>
  <c r="J150" i="21"/>
  <c r="J72" i="21" s="1"/>
  <c r="K150" i="21"/>
  <c r="K72" i="21" s="1"/>
  <c r="L150" i="21"/>
  <c r="L72" i="21" s="1"/>
  <c r="M150" i="21"/>
  <c r="M72" i="21" s="1"/>
  <c r="N150" i="21"/>
  <c r="N72" i="21" s="1"/>
  <c r="O150" i="21"/>
  <c r="O72" i="21" s="1"/>
  <c r="P150" i="21"/>
  <c r="P72" i="21" s="1"/>
  <c r="Q150" i="21"/>
  <c r="Q72" i="21" s="1"/>
  <c r="R150" i="21"/>
  <c r="R72" i="21" s="1"/>
  <c r="S150" i="21"/>
  <c r="S72" i="21" s="1"/>
  <c r="T150" i="21"/>
  <c r="T72" i="21" s="1"/>
  <c r="U150" i="21"/>
  <c r="U72" i="21" s="1"/>
  <c r="V150" i="21"/>
  <c r="V72" i="21" s="1"/>
  <c r="W150" i="21"/>
  <c r="W72" i="21" s="1"/>
  <c r="X150" i="21"/>
  <c r="X72" i="21" s="1"/>
  <c r="Y150" i="21"/>
  <c r="Y72" i="21" s="1"/>
  <c r="Z150" i="21"/>
  <c r="Z72" i="21" s="1"/>
  <c r="AA150" i="21"/>
  <c r="AA72" i="21" s="1"/>
  <c r="AB150" i="21"/>
  <c r="AB72" i="21" s="1"/>
  <c r="AC150" i="21"/>
  <c r="AC72" i="21" s="1"/>
  <c r="AD150" i="21"/>
  <c r="AD72" i="21" s="1"/>
  <c r="AE150" i="21"/>
  <c r="AE72" i="21" s="1"/>
  <c r="AF150" i="21"/>
  <c r="AF72" i="21" s="1"/>
  <c r="AG150" i="21"/>
  <c r="AG72" i="21" s="1"/>
  <c r="AH150" i="21"/>
  <c r="AH72" i="21" s="1"/>
  <c r="AI150" i="21"/>
  <c r="AI72" i="21" s="1"/>
  <c r="AJ150" i="21"/>
  <c r="AK150" i="21" s="1"/>
  <c r="AL150" i="21" s="1"/>
  <c r="AM150" i="21" s="1"/>
  <c r="AN150" i="21" s="1"/>
  <c r="AO150" i="21" s="1"/>
  <c r="AP150" i="21" s="1"/>
  <c r="H152" i="21"/>
  <c r="H74" i="21" s="1"/>
  <c r="I152" i="21"/>
  <c r="I74" i="21" s="1"/>
  <c r="J152" i="21"/>
  <c r="J74" i="21" s="1"/>
  <c r="K152" i="21"/>
  <c r="K74" i="21" s="1"/>
  <c r="L152" i="21"/>
  <c r="L74" i="21" s="1"/>
  <c r="M152" i="21"/>
  <c r="M74" i="21" s="1"/>
  <c r="N152" i="21"/>
  <c r="N74" i="21" s="1"/>
  <c r="O152" i="21"/>
  <c r="O74" i="21" s="1"/>
  <c r="P152" i="21"/>
  <c r="P74" i="21" s="1"/>
  <c r="Q152" i="21"/>
  <c r="Q74" i="21" s="1"/>
  <c r="R152" i="21"/>
  <c r="R74" i="21" s="1"/>
  <c r="S152" i="21"/>
  <c r="S74" i="21" s="1"/>
  <c r="T152" i="21"/>
  <c r="T74" i="21" s="1"/>
  <c r="U152" i="21"/>
  <c r="U74" i="21" s="1"/>
  <c r="V152" i="21"/>
  <c r="V74" i="21" s="1"/>
  <c r="W152" i="21"/>
  <c r="W74" i="21" s="1"/>
  <c r="X152" i="21"/>
  <c r="X74" i="21" s="1"/>
  <c r="Y152" i="21"/>
  <c r="Y74" i="21" s="1"/>
  <c r="Z152" i="21"/>
  <c r="Z74" i="21" s="1"/>
  <c r="AA152" i="21"/>
  <c r="AA74" i="21" s="1"/>
  <c r="AB152" i="21"/>
  <c r="AB74" i="21" s="1"/>
  <c r="AC152" i="21"/>
  <c r="AC74" i="21" s="1"/>
  <c r="AD152" i="21"/>
  <c r="AD74" i="21" s="1"/>
  <c r="AE152" i="21"/>
  <c r="AE74" i="21" s="1"/>
  <c r="AF152" i="21"/>
  <c r="AF74" i="21" s="1"/>
  <c r="AG152" i="21"/>
  <c r="AG74" i="21" s="1"/>
  <c r="AH152" i="21"/>
  <c r="AH74" i="21" s="1"/>
  <c r="AI152" i="21"/>
  <c r="AI74" i="21" s="1"/>
  <c r="AJ152" i="21"/>
  <c r="AJ74" i="21" s="1"/>
  <c r="AK152" i="21"/>
  <c r="AK74" i="21" s="1"/>
  <c r="AL152" i="21"/>
  <c r="AM152" i="21" s="1"/>
  <c r="H126" i="21"/>
  <c r="H48" i="21" s="1"/>
  <c r="I126" i="21"/>
  <c r="I48" i="21" s="1"/>
  <c r="J126" i="21"/>
  <c r="J48" i="21" s="1"/>
  <c r="K126" i="21"/>
  <c r="K48" i="21" s="1"/>
  <c r="L126" i="21"/>
  <c r="H147" i="21"/>
  <c r="H69" i="21" s="1"/>
  <c r="I147" i="21"/>
  <c r="I69" i="21" s="1"/>
  <c r="J147" i="21"/>
  <c r="J69" i="21" s="1"/>
  <c r="K147" i="21"/>
  <c r="K69" i="21" s="1"/>
  <c r="L147" i="21"/>
  <c r="L69" i="21" s="1"/>
  <c r="M147" i="21"/>
  <c r="M69" i="21" s="1"/>
  <c r="N147" i="21"/>
  <c r="N69" i="21" s="1"/>
  <c r="O147" i="21"/>
  <c r="O69" i="21" s="1"/>
  <c r="P147" i="21"/>
  <c r="P69" i="21" s="1"/>
  <c r="Q147" i="21"/>
  <c r="Q69" i="21" s="1"/>
  <c r="R147" i="21"/>
  <c r="R69" i="21" s="1"/>
  <c r="S147" i="21"/>
  <c r="S69" i="21" s="1"/>
  <c r="T147" i="21"/>
  <c r="T69" i="21" s="1"/>
  <c r="U147" i="21"/>
  <c r="U69" i="21" s="1"/>
  <c r="V147" i="21"/>
  <c r="V69" i="21" s="1"/>
  <c r="W147" i="21"/>
  <c r="W69" i="21" s="1"/>
  <c r="X147" i="21"/>
  <c r="X69" i="21" s="1"/>
  <c r="Y147" i="21"/>
  <c r="Y69" i="21" s="1"/>
  <c r="Z147" i="21"/>
  <c r="Z69" i="21" s="1"/>
  <c r="AA147" i="21"/>
  <c r="AA69" i="21" s="1"/>
  <c r="AB147" i="21"/>
  <c r="AB69" i="21" s="1"/>
  <c r="AC147" i="21"/>
  <c r="AC69" i="21" s="1"/>
  <c r="AD147" i="21"/>
  <c r="AD69" i="21" s="1"/>
  <c r="AE147" i="21"/>
  <c r="AE69" i="21" s="1"/>
  <c r="AF147" i="21"/>
  <c r="AF69" i="21" s="1"/>
  <c r="AG147" i="21"/>
  <c r="AH147" i="21" s="1"/>
  <c r="H123" i="21"/>
  <c r="H45" i="21" s="1"/>
  <c r="I123" i="21"/>
  <c r="J123" i="21" s="1"/>
  <c r="H128" i="21"/>
  <c r="H50" i="21" s="1"/>
  <c r="I128" i="21"/>
  <c r="I50" i="21" s="1"/>
  <c r="J128" i="21"/>
  <c r="J50" i="21" s="1"/>
  <c r="K128" i="21"/>
  <c r="K50" i="21" s="1"/>
  <c r="L128" i="21"/>
  <c r="L50" i="21" s="1"/>
  <c r="M128" i="21"/>
  <c r="M50" i="21" s="1"/>
  <c r="N128" i="21"/>
  <c r="O128" i="21" s="1"/>
  <c r="H132" i="21"/>
  <c r="H54" i="21" s="1"/>
  <c r="I132" i="21"/>
  <c r="I54" i="21" s="1"/>
  <c r="J132" i="21"/>
  <c r="J54" i="21" s="1"/>
  <c r="K132" i="21"/>
  <c r="K54" i="21" s="1"/>
  <c r="L132" i="21"/>
  <c r="L54" i="21" s="1"/>
  <c r="M132" i="21"/>
  <c r="M54" i="21" s="1"/>
  <c r="N132" i="21"/>
  <c r="N54" i="21" s="1"/>
  <c r="O132" i="21"/>
  <c r="O54" i="21" s="1"/>
  <c r="P132" i="21"/>
  <c r="P54" i="21" s="1"/>
  <c r="Q132" i="21"/>
  <c r="Q54" i="21" s="1"/>
  <c r="R132" i="21"/>
  <c r="H144" i="21"/>
  <c r="H66" i="21" s="1"/>
  <c r="I144" i="21"/>
  <c r="I66" i="21" s="1"/>
  <c r="J144" i="21"/>
  <c r="J66" i="21" s="1"/>
  <c r="K144" i="21"/>
  <c r="K66" i="21" s="1"/>
  <c r="L144" i="21"/>
  <c r="L66" i="21" s="1"/>
  <c r="M144" i="21"/>
  <c r="M66" i="21" s="1"/>
  <c r="N144" i="21"/>
  <c r="N66" i="21" s="1"/>
  <c r="O144" i="21"/>
  <c r="O66" i="21" s="1"/>
  <c r="P144" i="21"/>
  <c r="P66" i="21" s="1"/>
  <c r="Q144" i="21"/>
  <c r="Q66" i="21" s="1"/>
  <c r="R144" i="21"/>
  <c r="R66" i="21" s="1"/>
  <c r="S144" i="21"/>
  <c r="S66" i="21" s="1"/>
  <c r="T144" i="21"/>
  <c r="T66" i="21" s="1"/>
  <c r="U144" i="21"/>
  <c r="U66" i="21" s="1"/>
  <c r="V144" i="21"/>
  <c r="V66" i="21" s="1"/>
  <c r="W144" i="21"/>
  <c r="W66" i="21" s="1"/>
  <c r="X144" i="21"/>
  <c r="X66" i="21" s="1"/>
  <c r="Y144" i="21"/>
  <c r="Y66" i="21" s="1"/>
  <c r="Z144" i="21"/>
  <c r="Z66" i="21" s="1"/>
  <c r="AA144" i="21"/>
  <c r="AA66" i="21" s="1"/>
  <c r="AB144" i="21"/>
  <c r="AB66" i="21" s="1"/>
  <c r="AC144" i="21"/>
  <c r="AC66" i="21" s="1"/>
  <c r="AD144" i="21"/>
  <c r="H148" i="21"/>
  <c r="H70" i="21" s="1"/>
  <c r="I148" i="21"/>
  <c r="I70" i="21" s="1"/>
  <c r="J148" i="21"/>
  <c r="J70" i="21" s="1"/>
  <c r="K148" i="21"/>
  <c r="K70" i="21" s="1"/>
  <c r="L148" i="21"/>
  <c r="L70" i="21" s="1"/>
  <c r="M148" i="21"/>
  <c r="M70" i="21" s="1"/>
  <c r="N148" i="21"/>
  <c r="N70" i="21" s="1"/>
  <c r="O148" i="21"/>
  <c r="O70" i="21" s="1"/>
  <c r="P148" i="21"/>
  <c r="P70" i="21" s="1"/>
  <c r="Q148" i="21"/>
  <c r="Q70" i="21" s="1"/>
  <c r="R148" i="21"/>
  <c r="R70" i="21" s="1"/>
  <c r="S148" i="21"/>
  <c r="S70" i="21" s="1"/>
  <c r="T148" i="21"/>
  <c r="T70" i="21" s="1"/>
  <c r="U148" i="21"/>
  <c r="U70" i="21" s="1"/>
  <c r="V148" i="21"/>
  <c r="V70" i="21" s="1"/>
  <c r="W148" i="21"/>
  <c r="W70" i="21" s="1"/>
  <c r="X148" i="21"/>
  <c r="X70" i="21" s="1"/>
  <c r="Y148" i="21"/>
  <c r="Y70" i="21" s="1"/>
  <c r="Z148" i="21"/>
  <c r="Z70" i="21" s="1"/>
  <c r="AA148" i="21"/>
  <c r="AA70" i="21" s="1"/>
  <c r="AB148" i="21"/>
  <c r="AB70" i="21" s="1"/>
  <c r="AC148" i="21"/>
  <c r="AC70" i="21" s="1"/>
  <c r="AD148" i="21"/>
  <c r="AD70" i="21" s="1"/>
  <c r="AE148" i="21"/>
  <c r="AE70" i="21" s="1"/>
  <c r="AF148" i="21"/>
  <c r="AF70" i="21" s="1"/>
  <c r="AG148" i="21"/>
  <c r="AG70" i="21" s="1"/>
  <c r="AH148" i="21"/>
  <c r="AI148" i="21" s="1"/>
  <c r="AJ148" i="21" s="1"/>
  <c r="H146" i="21"/>
  <c r="H68" i="21" s="1"/>
  <c r="I146" i="21"/>
  <c r="I68" i="21" s="1"/>
  <c r="J146" i="21"/>
  <c r="J68" i="21" s="1"/>
  <c r="K146" i="21"/>
  <c r="K68" i="21" s="1"/>
  <c r="L146" i="21"/>
  <c r="L68" i="21" s="1"/>
  <c r="M146" i="21"/>
  <c r="M68" i="21" s="1"/>
  <c r="N146" i="21"/>
  <c r="N68" i="21" s="1"/>
  <c r="O146" i="21"/>
  <c r="O68" i="21" s="1"/>
  <c r="P146" i="21"/>
  <c r="P68" i="21" s="1"/>
  <c r="Q146" i="21"/>
  <c r="Q68" i="21" s="1"/>
  <c r="R146" i="21"/>
  <c r="R68" i="21" s="1"/>
  <c r="S146" i="21"/>
  <c r="S68" i="21" s="1"/>
  <c r="T146" i="21"/>
  <c r="T68" i="21" s="1"/>
  <c r="U146" i="21"/>
  <c r="U68" i="21" s="1"/>
  <c r="V146" i="21"/>
  <c r="V68" i="21" s="1"/>
  <c r="W146" i="21"/>
  <c r="W68" i="21" s="1"/>
  <c r="X146" i="21"/>
  <c r="X68" i="21" s="1"/>
  <c r="Y146" i="21"/>
  <c r="Y68" i="21" s="1"/>
  <c r="Z146" i="21"/>
  <c r="Z68" i="21" s="1"/>
  <c r="AA146" i="21"/>
  <c r="AA68" i="21" s="1"/>
  <c r="AB146" i="21"/>
  <c r="AB68" i="21" s="1"/>
  <c r="AC146" i="21"/>
  <c r="AC68" i="21" s="1"/>
  <c r="AD146" i="21"/>
  <c r="AD68" i="21" s="1"/>
  <c r="AE146" i="21"/>
  <c r="AE68" i="21" s="1"/>
  <c r="AF146" i="21"/>
  <c r="H156" i="21"/>
  <c r="H78" i="21" s="1"/>
  <c r="I156" i="21"/>
  <c r="I78" i="21" s="1"/>
  <c r="J156" i="21"/>
  <c r="J78" i="21" s="1"/>
  <c r="K156" i="21"/>
  <c r="K78" i="21" s="1"/>
  <c r="L156" i="21"/>
  <c r="L78" i="21" s="1"/>
  <c r="M156" i="21"/>
  <c r="M78" i="21" s="1"/>
  <c r="N156" i="21"/>
  <c r="N78" i="21" s="1"/>
  <c r="O156" i="21"/>
  <c r="O78" i="21" s="1"/>
  <c r="P156" i="21"/>
  <c r="P78" i="21" s="1"/>
  <c r="Q156" i="21"/>
  <c r="Q78" i="21" s="1"/>
  <c r="R156" i="21"/>
  <c r="R78" i="21" s="1"/>
  <c r="S156" i="21"/>
  <c r="S78" i="21" s="1"/>
  <c r="T156" i="21"/>
  <c r="T78" i="21" s="1"/>
  <c r="U156" i="21"/>
  <c r="U78" i="21" s="1"/>
  <c r="V156" i="21"/>
  <c r="V78" i="21" s="1"/>
  <c r="W156" i="21"/>
  <c r="W78" i="21" s="1"/>
  <c r="X156" i="21"/>
  <c r="X78" i="21" s="1"/>
  <c r="Y156" i="21"/>
  <c r="Y78" i="21" s="1"/>
  <c r="Z156" i="21"/>
  <c r="Z78" i="21" s="1"/>
  <c r="AA156" i="21"/>
  <c r="AA78" i="21" s="1"/>
  <c r="AB156" i="21"/>
  <c r="AB78" i="21" s="1"/>
  <c r="AC156" i="21"/>
  <c r="AC78" i="21" s="1"/>
  <c r="AD156" i="21"/>
  <c r="AD78" i="21" s="1"/>
  <c r="AE156" i="21"/>
  <c r="AE78" i="21" s="1"/>
  <c r="AF156" i="21"/>
  <c r="AF78" i="21" s="1"/>
  <c r="AG156" i="21"/>
  <c r="AG78" i="21" s="1"/>
  <c r="AH156" i="21"/>
  <c r="AH78" i="21" s="1"/>
  <c r="AI156" i="21"/>
  <c r="AI78" i="21" s="1"/>
  <c r="AJ156" i="21"/>
  <c r="AJ78" i="21" s="1"/>
  <c r="AK156" i="21"/>
  <c r="AK78" i="21" s="1"/>
  <c r="AL156" i="21"/>
  <c r="AL78" i="21" s="1"/>
  <c r="AM156" i="21"/>
  <c r="AM78" i="21" s="1"/>
  <c r="AN156" i="21"/>
  <c r="AN78" i="21" s="1"/>
  <c r="AO156" i="21"/>
  <c r="AO78" i="21" s="1"/>
  <c r="AP156" i="21"/>
  <c r="Y65" i="21"/>
  <c r="H136" i="21"/>
  <c r="H58" i="21" s="1"/>
  <c r="I136" i="21"/>
  <c r="I58" i="21" s="1"/>
  <c r="J136" i="21"/>
  <c r="J58" i="21" s="1"/>
  <c r="K136" i="21"/>
  <c r="K58" i="21" s="1"/>
  <c r="L136" i="21"/>
  <c r="L58" i="21" s="1"/>
  <c r="M136" i="21"/>
  <c r="M58" i="21" s="1"/>
  <c r="N136" i="21"/>
  <c r="N58" i="21" s="1"/>
  <c r="O136" i="21"/>
  <c r="O58" i="21" s="1"/>
  <c r="P136" i="21"/>
  <c r="P58" i="21" s="1"/>
  <c r="Q136" i="21"/>
  <c r="Q58" i="21" s="1"/>
  <c r="R136" i="21"/>
  <c r="R58" i="21" s="1"/>
  <c r="S136" i="21"/>
  <c r="S58" i="21" s="1"/>
  <c r="T136" i="21"/>
  <c r="T58" i="21" s="1"/>
  <c r="U136" i="21"/>
  <c r="U58" i="21" s="1"/>
  <c r="V136" i="21"/>
  <c r="W136" i="21" s="1"/>
  <c r="H149" i="21"/>
  <c r="H71" i="21" s="1"/>
  <c r="I149" i="21"/>
  <c r="I71" i="21" s="1"/>
  <c r="J149" i="21"/>
  <c r="J71" i="21" s="1"/>
  <c r="K149" i="21"/>
  <c r="K71" i="21" s="1"/>
  <c r="L149" i="21"/>
  <c r="L71" i="21" s="1"/>
  <c r="M149" i="21"/>
  <c r="M71" i="21" s="1"/>
  <c r="N149" i="21"/>
  <c r="N71" i="21" s="1"/>
  <c r="O149" i="21"/>
  <c r="O71" i="21" s="1"/>
  <c r="P149" i="21"/>
  <c r="P71" i="21" s="1"/>
  <c r="Q149" i="21"/>
  <c r="Q71" i="21" s="1"/>
  <c r="R149" i="21"/>
  <c r="R71" i="21" s="1"/>
  <c r="S149" i="21"/>
  <c r="S71" i="21" s="1"/>
  <c r="T149" i="21"/>
  <c r="T71" i="21" s="1"/>
  <c r="U149" i="21"/>
  <c r="U71" i="21" s="1"/>
  <c r="V149" i="21"/>
  <c r="V71" i="21" s="1"/>
  <c r="W149" i="21"/>
  <c r="W71" i="21" s="1"/>
  <c r="X149" i="21"/>
  <c r="X71" i="21" s="1"/>
  <c r="Y149" i="21"/>
  <c r="Y71" i="21" s="1"/>
  <c r="Z149" i="21"/>
  <c r="Z71" i="21" s="1"/>
  <c r="AA149" i="21"/>
  <c r="AA71" i="21" s="1"/>
  <c r="AB149" i="21"/>
  <c r="AB71" i="21" s="1"/>
  <c r="AC149" i="21"/>
  <c r="AC71" i="21" s="1"/>
  <c r="AD149" i="21"/>
  <c r="AD71" i="21" s="1"/>
  <c r="AE149" i="21"/>
  <c r="AE71" i="21" s="1"/>
  <c r="AF149" i="21"/>
  <c r="AF71" i="21" s="1"/>
  <c r="AG149" i="21"/>
  <c r="AG71" i="21" s="1"/>
  <c r="AH149" i="21"/>
  <c r="AH71" i="21" s="1"/>
  <c r="AI149" i="21"/>
  <c r="H133" i="21"/>
  <c r="H55" i="21" s="1"/>
  <c r="I133" i="21"/>
  <c r="I55" i="21" s="1"/>
  <c r="J133" i="21"/>
  <c r="J55" i="21" s="1"/>
  <c r="K133" i="21"/>
  <c r="K55" i="21" s="1"/>
  <c r="L133" i="21"/>
  <c r="L55" i="21" s="1"/>
  <c r="M133" i="21"/>
  <c r="M55" i="21" s="1"/>
  <c r="N133" i="21"/>
  <c r="N55" i="21" s="1"/>
  <c r="O133" i="21"/>
  <c r="O55" i="21" s="1"/>
  <c r="P133" i="21"/>
  <c r="P55" i="21" s="1"/>
  <c r="Q133" i="21"/>
  <c r="Q55" i="21" s="1"/>
  <c r="R133" i="21"/>
  <c r="R55" i="21" s="1"/>
  <c r="S133" i="21"/>
  <c r="H124" i="21"/>
  <c r="H46" i="21" s="1"/>
  <c r="I124" i="21"/>
  <c r="I46" i="21" s="1"/>
  <c r="J124" i="21"/>
  <c r="Z75" i="21"/>
  <c r="H130" i="21"/>
  <c r="H52" i="21" s="1"/>
  <c r="I130" i="21"/>
  <c r="I52" i="21" s="1"/>
  <c r="J130" i="21"/>
  <c r="J52" i="21" s="1"/>
  <c r="K130" i="21"/>
  <c r="K52" i="21" s="1"/>
  <c r="L130" i="21"/>
  <c r="L52" i="21" s="1"/>
  <c r="M130" i="21"/>
  <c r="M52" i="21" s="1"/>
  <c r="N130" i="21"/>
  <c r="N52" i="21" s="1"/>
  <c r="O130" i="21"/>
  <c r="O52" i="21" s="1"/>
  <c r="P130" i="21"/>
  <c r="H137" i="21"/>
  <c r="H59" i="21" s="1"/>
  <c r="I137" i="21"/>
  <c r="I59" i="21" s="1"/>
  <c r="J137" i="21"/>
  <c r="J59" i="21" s="1"/>
  <c r="K137" i="21"/>
  <c r="K59" i="21" s="1"/>
  <c r="L137" i="21"/>
  <c r="L59" i="21" s="1"/>
  <c r="M137" i="21"/>
  <c r="M59" i="21" s="1"/>
  <c r="N137" i="21"/>
  <c r="N59" i="21" s="1"/>
  <c r="O137" i="21"/>
  <c r="O59" i="21" s="1"/>
  <c r="P137" i="21"/>
  <c r="P59" i="21" s="1"/>
  <c r="Q137" i="21"/>
  <c r="Q59" i="21" s="1"/>
  <c r="R137" i="21"/>
  <c r="R59" i="21" s="1"/>
  <c r="S137" i="21"/>
  <c r="S59" i="21" s="1"/>
  <c r="T137" i="21"/>
  <c r="T59" i="21" s="1"/>
  <c r="U137" i="21"/>
  <c r="U59" i="21" s="1"/>
  <c r="V137" i="21"/>
  <c r="V59" i="21" s="1"/>
  <c r="W137" i="21"/>
  <c r="X137" i="21" s="1"/>
  <c r="H127" i="21"/>
  <c r="H49" i="21" s="1"/>
  <c r="I127" i="21"/>
  <c r="I49" i="21" s="1"/>
  <c r="J127" i="21"/>
  <c r="J49" i="21" s="1"/>
  <c r="K127" i="21"/>
  <c r="K49" i="21" s="1"/>
  <c r="L127" i="21"/>
  <c r="L49" i="21" s="1"/>
  <c r="M127" i="21"/>
  <c r="H154" i="21"/>
  <c r="H76" i="21" s="1"/>
  <c r="I154" i="21"/>
  <c r="I76" i="21" s="1"/>
  <c r="J154" i="21"/>
  <c r="J76" i="21" s="1"/>
  <c r="K154" i="21"/>
  <c r="K76" i="21" s="1"/>
  <c r="L154" i="21"/>
  <c r="L76" i="21" s="1"/>
  <c r="M154" i="21"/>
  <c r="M76" i="21" s="1"/>
  <c r="N154" i="21"/>
  <c r="N76" i="21" s="1"/>
  <c r="O154" i="21"/>
  <c r="O76" i="21" s="1"/>
  <c r="P154" i="21"/>
  <c r="P76" i="21" s="1"/>
  <c r="Q154" i="21"/>
  <c r="Q76" i="21" s="1"/>
  <c r="R154" i="21"/>
  <c r="R76" i="21" s="1"/>
  <c r="S154" i="21"/>
  <c r="S76" i="21" s="1"/>
  <c r="T154" i="21"/>
  <c r="T76" i="21" s="1"/>
  <c r="U154" i="21"/>
  <c r="U76" i="21" s="1"/>
  <c r="V154" i="21"/>
  <c r="V76" i="21" s="1"/>
  <c r="W154" i="21"/>
  <c r="W76" i="21" s="1"/>
  <c r="X154" i="21"/>
  <c r="X76" i="21" s="1"/>
  <c r="Y154" i="21"/>
  <c r="Y76" i="21" s="1"/>
  <c r="Z154" i="21"/>
  <c r="Z76" i="21" s="1"/>
  <c r="AA154" i="21"/>
  <c r="AA76" i="21" s="1"/>
  <c r="AB154" i="21"/>
  <c r="AB76" i="21" s="1"/>
  <c r="AC154" i="21"/>
  <c r="AC76" i="21" s="1"/>
  <c r="AD154" i="21"/>
  <c r="AD76" i="21" s="1"/>
  <c r="AE154" i="21"/>
  <c r="AE76" i="21" s="1"/>
  <c r="AF154" i="21"/>
  <c r="AF76" i="21" s="1"/>
  <c r="AG154" i="21"/>
  <c r="AG76" i="21" s="1"/>
  <c r="AH154" i="21"/>
  <c r="AH76" i="21" s="1"/>
  <c r="AI154" i="21"/>
  <c r="AI76" i="21" s="1"/>
  <c r="AJ154" i="21"/>
  <c r="AJ76" i="21" s="1"/>
  <c r="AK154" i="21"/>
  <c r="AK76" i="21" s="1"/>
  <c r="AL154" i="21"/>
  <c r="AL76" i="21" s="1"/>
  <c r="AM154" i="21"/>
  <c r="AM76" i="21" s="1"/>
  <c r="AN154" i="21"/>
  <c r="H131" i="21"/>
  <c r="H53" i="21" s="1"/>
  <c r="I131" i="21"/>
  <c r="I53" i="21" s="1"/>
  <c r="J131" i="21"/>
  <c r="J53" i="21" s="1"/>
  <c r="K131" i="21"/>
  <c r="K53" i="21" s="1"/>
  <c r="L131" i="21"/>
  <c r="L53" i="21" s="1"/>
  <c r="M131" i="21"/>
  <c r="M53" i="21" s="1"/>
  <c r="N131" i="21"/>
  <c r="N53" i="21" s="1"/>
  <c r="O131" i="21"/>
  <c r="O53" i="21" s="1"/>
  <c r="P131" i="21"/>
  <c r="P53" i="21" s="1"/>
  <c r="Q131" i="21"/>
  <c r="AC73" i="1"/>
  <c r="AC72" i="1"/>
  <c r="AB30" i="19" s="1"/>
  <c r="AF39" i="1" l="1"/>
  <c r="AG38" i="1"/>
  <c r="AG43" i="1" s="1"/>
  <c r="AG82" i="1" s="1"/>
  <c r="AG83" i="1" s="1"/>
  <c r="AE6" i="19"/>
  <c r="AE4" i="19" s="1"/>
  <c r="AF76" i="1"/>
  <c r="AE31" i="19" s="1"/>
  <c r="AF44" i="1"/>
  <c r="AI147" i="21"/>
  <c r="AF143" i="21"/>
  <c r="AH145" i="21"/>
  <c r="X136" i="21"/>
  <c r="P128" i="21"/>
  <c r="Q128" i="21" s="1"/>
  <c r="AJ149" i="21"/>
  <c r="U134" i="21"/>
  <c r="AB139" i="21"/>
  <c r="K123" i="21"/>
  <c r="K122" i="21"/>
  <c r="AG146" i="21"/>
  <c r="M126" i="21"/>
  <c r="S132" i="21"/>
  <c r="AP155" i="21"/>
  <c r="AA138" i="21"/>
  <c r="AP153" i="21"/>
  <c r="M125" i="21"/>
  <c r="Y137" i="21"/>
  <c r="Q130" i="21"/>
  <c r="AO154" i="21"/>
  <c r="AN152" i="21"/>
  <c r="AD142" i="21"/>
  <c r="R131" i="21"/>
  <c r="N127" i="21"/>
  <c r="T133" i="21"/>
  <c r="AD140" i="21"/>
  <c r="AL151" i="21"/>
  <c r="AE144" i="21"/>
  <c r="X135" i="21"/>
  <c r="AB141" i="21"/>
  <c r="P129" i="21"/>
  <c r="K124" i="21"/>
  <c r="AK148" i="21"/>
  <c r="AD73" i="1"/>
  <c r="AD72" i="1"/>
  <c r="AC30" i="19" s="1"/>
  <c r="AG39" i="1" l="1"/>
  <c r="AH38" i="1"/>
  <c r="AH43" i="1" s="1"/>
  <c r="AH82" i="1" s="1"/>
  <c r="AH83" i="1" s="1"/>
  <c r="AF6" i="19"/>
  <c r="AF4" i="19" s="1"/>
  <c r="AG76" i="1"/>
  <c r="AF31" i="19" s="1"/>
  <c r="AG44" i="1"/>
  <c r="AJ147" i="21"/>
  <c r="AK147" i="21" s="1"/>
  <c r="AL147" i="21" s="1"/>
  <c r="AI145" i="21"/>
  <c r="AG143" i="21"/>
  <c r="AH143" i="21" s="1"/>
  <c r="R128" i="21"/>
  <c r="V134" i="21"/>
  <c r="AK149" i="21"/>
  <c r="Y136" i="21"/>
  <c r="T132" i="21"/>
  <c r="N126" i="21"/>
  <c r="AH146" i="21"/>
  <c r="L122" i="21"/>
  <c r="L123" i="21"/>
  <c r="AC139" i="21"/>
  <c r="S131" i="21"/>
  <c r="Y135" i="21"/>
  <c r="AE142" i="21"/>
  <c r="AB138" i="21"/>
  <c r="AO152" i="21"/>
  <c r="R130" i="21"/>
  <c r="AC141" i="21"/>
  <c r="Z137" i="21"/>
  <c r="AF144" i="21"/>
  <c r="AL148" i="21"/>
  <c r="AE140" i="21"/>
  <c r="L124" i="21"/>
  <c r="AM151" i="21"/>
  <c r="N125" i="21"/>
  <c r="U133" i="21"/>
  <c r="Q129" i="21"/>
  <c r="O127" i="21"/>
  <c r="AP154" i="21"/>
  <c r="AE73" i="1"/>
  <c r="AE72" i="1"/>
  <c r="AD30" i="19" s="1"/>
  <c r="AH39" i="1" l="1"/>
  <c r="AI38" i="1"/>
  <c r="AG6" i="19"/>
  <c r="AG4" i="19" s="1"/>
  <c r="AH44" i="1"/>
  <c r="AH76" i="1"/>
  <c r="AG31" i="19" s="1"/>
  <c r="AJ145" i="21"/>
  <c r="S128" i="21"/>
  <c r="Z136" i="21"/>
  <c r="AL149" i="21"/>
  <c r="W134" i="21"/>
  <c r="M122" i="21"/>
  <c r="AI146" i="21"/>
  <c r="O126" i="21"/>
  <c r="AD139" i="21"/>
  <c r="M123" i="21"/>
  <c r="U132" i="21"/>
  <c r="P127" i="21"/>
  <c r="AF140" i="21"/>
  <c r="S130" i="21"/>
  <c r="AM147" i="21"/>
  <c r="R129" i="21"/>
  <c r="AM148" i="21"/>
  <c r="AP152" i="21"/>
  <c r="AI143" i="21"/>
  <c r="O125" i="21"/>
  <c r="AG144" i="21"/>
  <c r="AC138" i="21"/>
  <c r="AA137" i="21"/>
  <c r="Z135" i="21"/>
  <c r="AN151" i="21"/>
  <c r="M124" i="21"/>
  <c r="AD141" i="21"/>
  <c r="AF142" i="21"/>
  <c r="T131" i="21"/>
  <c r="V133" i="21"/>
  <c r="AF73" i="1"/>
  <c r="AF72" i="1"/>
  <c r="AE30" i="19" s="1"/>
  <c r="AJ38" i="1" l="1"/>
  <c r="AI39" i="1"/>
  <c r="AH6" i="19"/>
  <c r="AH4" i="19" s="1"/>
  <c r="AI43" i="1"/>
  <c r="AK145" i="21"/>
  <c r="AL145" i="21" s="1"/>
  <c r="T128" i="21"/>
  <c r="X134" i="21"/>
  <c r="AM149" i="21"/>
  <c r="AA136" i="21"/>
  <c r="AE139" i="21"/>
  <c r="P126" i="21"/>
  <c r="AJ146" i="21"/>
  <c r="V132" i="21"/>
  <c r="N123" i="21"/>
  <c r="N122" i="21"/>
  <c r="N124" i="21"/>
  <c r="AB137" i="21"/>
  <c r="P125" i="21"/>
  <c r="W133" i="21"/>
  <c r="T130" i="21"/>
  <c r="AJ143" i="21"/>
  <c r="AN147" i="21"/>
  <c r="AO151" i="21"/>
  <c r="S129" i="21"/>
  <c r="AG140" i="21"/>
  <c r="U131" i="21"/>
  <c r="AD138" i="21"/>
  <c r="Q127" i="21"/>
  <c r="AN148" i="21"/>
  <c r="AA135" i="21"/>
  <c r="AG142" i="21"/>
  <c r="AE141" i="21"/>
  <c r="AH144" i="21"/>
  <c r="AG73" i="1"/>
  <c r="AG72" i="1"/>
  <c r="AF30" i="19" s="1"/>
  <c r="AI76" i="1" l="1"/>
  <c r="AH31" i="19" s="1"/>
  <c r="AI44" i="1"/>
  <c r="AI82" i="1"/>
  <c r="AI83" i="1" s="1"/>
  <c r="AJ39" i="1"/>
  <c r="AK38" i="1"/>
  <c r="AI6" i="19"/>
  <c r="AI4" i="19" s="1"/>
  <c r="AJ43" i="1"/>
  <c r="U128" i="21"/>
  <c r="V128" i="21" s="1"/>
  <c r="AB136" i="21"/>
  <c r="AN149" i="21"/>
  <c r="Y134" i="21"/>
  <c r="W132" i="21"/>
  <c r="AK146" i="21"/>
  <c r="Q126" i="21"/>
  <c r="O122" i="21"/>
  <c r="O123" i="21"/>
  <c r="AF139" i="21"/>
  <c r="AB135" i="21"/>
  <c r="AE138" i="21"/>
  <c r="AP151" i="21"/>
  <c r="Q125" i="21"/>
  <c r="AO148" i="21"/>
  <c r="AH140" i="21"/>
  <c r="T129" i="21"/>
  <c r="AO147" i="21"/>
  <c r="AI144" i="21"/>
  <c r="AK143" i="21"/>
  <c r="X133" i="21"/>
  <c r="AM145" i="21"/>
  <c r="U130" i="21"/>
  <c r="AC137" i="21"/>
  <c r="V131" i="21"/>
  <c r="AF141" i="21"/>
  <c r="O124" i="21"/>
  <c r="AH142" i="21"/>
  <c r="R127" i="21"/>
  <c r="AH73" i="1"/>
  <c r="AH72" i="1"/>
  <c r="AG30" i="19" s="1"/>
  <c r="AL38" i="1" l="1"/>
  <c r="AK39" i="1"/>
  <c r="AK43" i="1"/>
  <c r="AJ6" i="19"/>
  <c r="AJ4" i="19" s="1"/>
  <c r="AG197" i="1"/>
  <c r="AJ76" i="1"/>
  <c r="AJ82" i="1"/>
  <c r="AJ83" i="1" s="1"/>
  <c r="AJ44" i="1"/>
  <c r="Z134" i="21"/>
  <c r="AO149" i="21"/>
  <c r="AC136" i="21"/>
  <c r="P123" i="21"/>
  <c r="P122" i="21"/>
  <c r="R126" i="21"/>
  <c r="AG139" i="21"/>
  <c r="AL146" i="21"/>
  <c r="W128" i="21"/>
  <c r="X132" i="21"/>
  <c r="AP147" i="21"/>
  <c r="P124" i="21"/>
  <c r="AN145" i="21"/>
  <c r="U129" i="21"/>
  <c r="S127" i="21"/>
  <c r="AI140" i="21"/>
  <c r="AG141" i="21"/>
  <c r="W131" i="21"/>
  <c r="Y133" i="21"/>
  <c r="AI142" i="21"/>
  <c r="AP148" i="21"/>
  <c r="AF138" i="21"/>
  <c r="AD137" i="21"/>
  <c r="R125" i="21"/>
  <c r="AL143" i="21"/>
  <c r="AC135" i="21"/>
  <c r="V130" i="21"/>
  <c r="AJ144" i="21"/>
  <c r="AI73" i="1"/>
  <c r="AI72" i="1"/>
  <c r="AK82" i="1" l="1"/>
  <c r="AK83" i="1" s="1"/>
  <c r="AK76" i="1"/>
  <c r="AH197" i="1"/>
  <c r="AK44" i="1"/>
  <c r="AG216" i="1"/>
  <c r="AI31" i="19"/>
  <c r="AM38" i="1"/>
  <c r="AL39" i="1"/>
  <c r="AK6" i="19"/>
  <c r="AK4" i="19" s="1"/>
  <c r="AL43" i="1"/>
  <c r="AO73" i="1"/>
  <c r="AO72" i="1"/>
  <c r="AH30" i="19"/>
  <c r="AD136" i="21"/>
  <c r="AP149" i="21"/>
  <c r="AA134" i="21"/>
  <c r="AM146" i="21"/>
  <c r="AH139" i="21"/>
  <c r="S126" i="21"/>
  <c r="Q122" i="21"/>
  <c r="Y132" i="21"/>
  <c r="X128" i="21"/>
  <c r="Q123" i="21"/>
  <c r="AJ140" i="21"/>
  <c r="AD135" i="21"/>
  <c r="T127" i="21"/>
  <c r="Z133" i="21"/>
  <c r="AG138" i="21"/>
  <c r="AJ142" i="21"/>
  <c r="X131" i="21"/>
  <c r="AK144" i="21"/>
  <c r="S125" i="21"/>
  <c r="V129" i="21"/>
  <c r="AE137" i="21"/>
  <c r="AO145" i="21"/>
  <c r="Q124" i="21"/>
  <c r="W130" i="21"/>
  <c r="AM143" i="21"/>
  <c r="AH141" i="21"/>
  <c r="AL44" i="1" l="1"/>
  <c r="AL82" i="1"/>
  <c r="AL83" i="1" s="1"/>
  <c r="AI197" i="1"/>
  <c r="AL76" i="1"/>
  <c r="AM39" i="1"/>
  <c r="AN38" i="1"/>
  <c r="AO38" i="1" s="1"/>
  <c r="AM43" i="1"/>
  <c r="AL6" i="19"/>
  <c r="AL4" i="19" s="1"/>
  <c r="AJ31" i="19"/>
  <c r="AH216" i="1"/>
  <c r="AN30" i="19"/>
  <c r="AB134" i="21"/>
  <c r="AE136" i="21"/>
  <c r="Y128" i="21"/>
  <c r="Z132" i="21"/>
  <c r="R122" i="21"/>
  <c r="T126" i="21"/>
  <c r="AI139" i="21"/>
  <c r="AN146" i="21"/>
  <c r="R123" i="21"/>
  <c r="AN143" i="21"/>
  <c r="Y131" i="21"/>
  <c r="AF137" i="21"/>
  <c r="U127" i="21"/>
  <c r="AK142" i="21"/>
  <c r="X130" i="21"/>
  <c r="W129" i="21"/>
  <c r="AI141" i="21"/>
  <c r="R124" i="21"/>
  <c r="T125" i="21"/>
  <c r="AH138" i="21"/>
  <c r="AE135" i="21"/>
  <c r="AL144" i="21"/>
  <c r="AK140" i="21"/>
  <c r="AP145" i="21"/>
  <c r="AA133" i="21"/>
  <c r="AJ197" i="1" l="1"/>
  <c r="AM82" i="1"/>
  <c r="AM83" i="1" s="1"/>
  <c r="AM44" i="1"/>
  <c r="AM76" i="1"/>
  <c r="AK31" i="19"/>
  <c r="AI216" i="1"/>
  <c r="AN39" i="1"/>
  <c r="AO39" i="1" s="1"/>
  <c r="AN43" i="1"/>
  <c r="AM6" i="19"/>
  <c r="AM4" i="19" s="1"/>
  <c r="AN4" i="19" s="1"/>
  <c r="AF136" i="21"/>
  <c r="AC134" i="21"/>
  <c r="AO146" i="21"/>
  <c r="AJ139" i="21"/>
  <c r="U126" i="21"/>
  <c r="S122" i="21"/>
  <c r="AA132" i="21"/>
  <c r="S123" i="21"/>
  <c r="Z128" i="21"/>
  <c r="AL140" i="21"/>
  <c r="AJ141" i="21"/>
  <c r="AM144" i="21"/>
  <c r="X129" i="21"/>
  <c r="AF135" i="21"/>
  <c r="Y130" i="21"/>
  <c r="AG137" i="21"/>
  <c r="V127" i="21"/>
  <c r="AI138" i="21"/>
  <c r="U125" i="21"/>
  <c r="Z131" i="21"/>
  <c r="AB133" i="21"/>
  <c r="S124" i="21"/>
  <c r="AL142" i="21"/>
  <c r="AO143" i="21"/>
  <c r="AN6" i="19" l="1"/>
  <c r="AK197" i="1"/>
  <c r="AN82" i="1"/>
  <c r="AN76" i="1"/>
  <c r="AO43" i="1"/>
  <c r="D11" i="1" s="1"/>
  <c r="AN44" i="1"/>
  <c r="AO44" i="1" s="1"/>
  <c r="AL31" i="19"/>
  <c r="AJ216" i="1"/>
  <c r="AD134" i="21"/>
  <c r="AG136" i="21"/>
  <c r="AB132" i="21"/>
  <c r="T122" i="21"/>
  <c r="V126" i="21"/>
  <c r="AK139" i="21"/>
  <c r="AA128" i="21"/>
  <c r="AP146" i="21"/>
  <c r="T123" i="21"/>
  <c r="Y129" i="21"/>
  <c r="V125" i="21"/>
  <c r="AH137" i="21"/>
  <c r="T124" i="21"/>
  <c r="AM142" i="21"/>
  <c r="AN144" i="21"/>
  <c r="AP143" i="21"/>
  <c r="AJ138" i="21"/>
  <c r="Z130" i="21"/>
  <c r="AK141" i="21"/>
  <c r="W127" i="21"/>
  <c r="AC133" i="21"/>
  <c r="AA131" i="21"/>
  <c r="AG135" i="21"/>
  <c r="AM140" i="21"/>
  <c r="AM31" i="19" l="1"/>
  <c r="AN31" i="19" s="1"/>
  <c r="AK216" i="1"/>
  <c r="AO76" i="1"/>
  <c r="AN83" i="1"/>
  <c r="AO83" i="1" s="1"/>
  <c r="AO82" i="1"/>
  <c r="AH136" i="21"/>
  <c r="AE134" i="21"/>
  <c r="AB128" i="21"/>
  <c r="AL139" i="21"/>
  <c r="W126" i="21"/>
  <c r="U122" i="21"/>
  <c r="U123" i="21"/>
  <c r="AC132" i="21"/>
  <c r="AH135" i="21"/>
  <c r="AL141" i="21"/>
  <c r="AO144" i="21"/>
  <c r="U124" i="21"/>
  <c r="AB131" i="21"/>
  <c r="AA130" i="21"/>
  <c r="AK138" i="21"/>
  <c r="AN142" i="21"/>
  <c r="AI137" i="21"/>
  <c r="AN140" i="21"/>
  <c r="W125" i="21"/>
  <c r="AD133" i="21"/>
  <c r="X127" i="21"/>
  <c r="Z129" i="21"/>
  <c r="AF134" i="21" l="1"/>
  <c r="AI136" i="21"/>
  <c r="AD132" i="21"/>
  <c r="V123" i="21"/>
  <c r="V122" i="21"/>
  <c r="X126" i="21"/>
  <c r="AM139" i="21"/>
  <c r="AC128" i="21"/>
  <c r="Y127" i="21"/>
  <c r="V124" i="21"/>
  <c r="AO140" i="21"/>
  <c r="AL138" i="21"/>
  <c r="AJ137" i="21"/>
  <c r="AP144" i="21"/>
  <c r="AM141" i="21"/>
  <c r="X125" i="21"/>
  <c r="AO142" i="21"/>
  <c r="AB130" i="21"/>
  <c r="AI135" i="21"/>
  <c r="AE133" i="21"/>
  <c r="AA129" i="21"/>
  <c r="AC131" i="21"/>
  <c r="AJ136" i="21" l="1"/>
  <c r="AG134" i="21"/>
  <c r="AD128" i="21"/>
  <c r="AN139" i="21"/>
  <c r="Y126" i="21"/>
  <c r="W122" i="21"/>
  <c r="W123" i="21"/>
  <c r="AE132" i="21"/>
  <c r="AM138" i="21"/>
  <c r="AF133" i="21"/>
  <c r="Y125" i="21"/>
  <c r="AP140" i="21"/>
  <c r="AK137" i="21"/>
  <c r="AD131" i="21"/>
  <c r="AN141" i="21"/>
  <c r="W124" i="21"/>
  <c r="AP142" i="21"/>
  <c r="Z127" i="21"/>
  <c r="AJ135" i="21"/>
  <c r="AC130" i="21"/>
  <c r="AB129" i="21"/>
  <c r="AH134" i="21" l="1"/>
  <c r="AK136" i="21"/>
  <c r="AF132" i="21"/>
  <c r="X123" i="21"/>
  <c r="X122" i="21"/>
  <c r="Z126" i="21"/>
  <c r="AO139" i="21"/>
  <c r="AE128" i="21"/>
  <c r="AL137" i="21"/>
  <c r="X124" i="21"/>
  <c r="AO141" i="21"/>
  <c r="Z125" i="21"/>
  <c r="AK135" i="21"/>
  <c r="AA127" i="21"/>
  <c r="AG133" i="21"/>
  <c r="AC129" i="21"/>
  <c r="AE131" i="21"/>
  <c r="AD130" i="21"/>
  <c r="AN138" i="21"/>
  <c r="AL136" i="21" l="1"/>
  <c r="AI134" i="21"/>
  <c r="AF128" i="21"/>
  <c r="AP139" i="21"/>
  <c r="AA126" i="21"/>
  <c r="Y122" i="21"/>
  <c r="Y123" i="21"/>
  <c r="AG132" i="21"/>
  <c r="AL135" i="21"/>
  <c r="AE130" i="21"/>
  <c r="AA125" i="21"/>
  <c r="AP141" i="21"/>
  <c r="AH133" i="21"/>
  <c r="AF131" i="21"/>
  <c r="AD129" i="21"/>
  <c r="AB127" i="21"/>
  <c r="Y124" i="21"/>
  <c r="AM137" i="21"/>
  <c r="AO138" i="21"/>
  <c r="AJ134" i="21" l="1"/>
  <c r="AM136" i="21"/>
  <c r="AH132" i="21"/>
  <c r="Z123" i="21"/>
  <c r="Z122" i="21"/>
  <c r="AB126" i="21"/>
  <c r="AG128" i="21"/>
  <c r="AB125" i="21"/>
  <c r="AN137" i="21"/>
  <c r="AC127" i="21"/>
  <c r="AE129" i="21"/>
  <c r="AG131" i="21"/>
  <c r="AF130" i="21"/>
  <c r="Z124" i="21"/>
  <c r="AP138" i="21"/>
  <c r="AI133" i="21"/>
  <c r="AM135" i="21"/>
  <c r="AN136" i="21" l="1"/>
  <c r="AK134" i="21"/>
  <c r="AH128" i="21"/>
  <c r="AC126" i="21"/>
  <c r="AA122" i="21"/>
  <c r="AA123" i="21"/>
  <c r="AI132" i="21"/>
  <c r="AA124" i="21"/>
  <c r="AG130" i="21"/>
  <c r="AJ133" i="21"/>
  <c r="AF129" i="21"/>
  <c r="AD127" i="21"/>
  <c r="AO137" i="21"/>
  <c r="AC125" i="21"/>
  <c r="AH131" i="21"/>
  <c r="AN135" i="21"/>
  <c r="AL134" i="21" l="1"/>
  <c r="AO136" i="21"/>
  <c r="AJ132" i="21"/>
  <c r="AB123" i="21"/>
  <c r="AB122" i="21"/>
  <c r="AD126" i="21"/>
  <c r="AI128" i="21"/>
  <c r="AO135" i="21"/>
  <c r="AG129" i="21"/>
  <c r="AK133" i="21"/>
  <c r="AP137" i="21"/>
  <c r="AH130" i="21"/>
  <c r="AE127" i="21"/>
  <c r="AD125" i="21"/>
  <c r="AB124" i="21"/>
  <c r="AI131" i="21"/>
  <c r="AP136" i="21" l="1"/>
  <c r="AM134" i="21"/>
  <c r="AJ128" i="21"/>
  <c r="AE126" i="21"/>
  <c r="AC122" i="21"/>
  <c r="AC123" i="21"/>
  <c r="AK132" i="21"/>
  <c r="AF127" i="21"/>
  <c r="AL133" i="21"/>
  <c r="AH129" i="21"/>
  <c r="AJ131" i="21"/>
  <c r="AP135" i="21"/>
  <c r="AC124" i="21"/>
  <c r="AI130" i="21"/>
  <c r="AE125" i="21"/>
  <c r="AN134" i="21" l="1"/>
  <c r="AL132" i="21"/>
  <c r="AD123" i="21"/>
  <c r="AD122" i="21"/>
  <c r="AF126" i="21"/>
  <c r="AK128" i="21"/>
  <c r="AJ130" i="21"/>
  <c r="AI129" i="21"/>
  <c r="AD124" i="21"/>
  <c r="AK131" i="21"/>
  <c r="AF125" i="21"/>
  <c r="AM133" i="21"/>
  <c r="AG127" i="21"/>
  <c r="AO134" i="21" l="1"/>
  <c r="AL128" i="21"/>
  <c r="AG126" i="21"/>
  <c r="AE122" i="21"/>
  <c r="AE123" i="21"/>
  <c r="AM132" i="21"/>
  <c r="AE124" i="21"/>
  <c r="AH127" i="21"/>
  <c r="AL131" i="21"/>
  <c r="AJ129" i="21"/>
  <c r="AK130" i="21"/>
  <c r="AN133" i="21"/>
  <c r="AG125" i="21"/>
  <c r="AP134" i="21" l="1"/>
  <c r="AN132" i="21"/>
  <c r="AF123" i="21"/>
  <c r="AF122" i="21"/>
  <c r="AH126" i="21"/>
  <c r="AM128" i="21"/>
  <c r="AK129" i="21"/>
  <c r="AH125" i="21"/>
  <c r="AM131" i="21"/>
  <c r="AI127" i="21"/>
  <c r="AO133" i="21"/>
  <c r="AL130" i="21"/>
  <c r="AF124" i="21"/>
  <c r="AN128" i="21" l="1"/>
  <c r="AI126" i="21"/>
  <c r="AG122" i="21"/>
  <c r="AG123" i="21"/>
  <c r="AO132" i="21"/>
  <c r="AP133" i="21"/>
  <c r="AJ127" i="21"/>
  <c r="AN131" i="21"/>
  <c r="AG124" i="21"/>
  <c r="AM130" i="21"/>
  <c r="AI125" i="21"/>
  <c r="AL129" i="21"/>
  <c r="AP132" i="21" l="1"/>
  <c r="AH123" i="21"/>
  <c r="AH122" i="21"/>
  <c r="AJ126" i="21"/>
  <c r="AO128" i="21"/>
  <c r="AN130" i="21"/>
  <c r="AH124" i="21"/>
  <c r="AO131" i="21"/>
  <c r="AJ125" i="21"/>
  <c r="AK127" i="21"/>
  <c r="AM129" i="21"/>
  <c r="AP128" i="21" l="1"/>
  <c r="AK126" i="21"/>
  <c r="AI122" i="21"/>
  <c r="AI123" i="21"/>
  <c r="AN129" i="21"/>
  <c r="AP131" i="21"/>
  <c r="AI124" i="21"/>
  <c r="AO130" i="21"/>
  <c r="AL127" i="21"/>
  <c r="AK125" i="21"/>
  <c r="AJ123" i="21" l="1"/>
  <c r="AJ122" i="21"/>
  <c r="AL126" i="21"/>
  <c r="AJ124" i="21"/>
  <c r="AL125" i="21"/>
  <c r="AO129" i="21"/>
  <c r="AM127" i="21"/>
  <c r="AP130" i="21"/>
  <c r="AM126" i="21" l="1"/>
  <c r="AK122" i="21"/>
  <c r="AK123" i="21"/>
  <c r="AP129" i="21"/>
  <c r="AM125" i="21"/>
  <c r="AK124" i="21"/>
  <c r="AN127" i="21"/>
  <c r="AL123" i="21" l="1"/>
  <c r="AL122" i="21"/>
  <c r="AN126" i="21"/>
  <c r="AN125" i="21"/>
  <c r="AL124" i="21"/>
  <c r="AO127" i="21"/>
  <c r="AO126" i="21" l="1"/>
  <c r="AM122" i="21"/>
  <c r="AM123" i="21"/>
  <c r="AP127" i="21"/>
  <c r="AM124" i="21"/>
  <c r="AO125" i="21"/>
  <c r="AN122" i="21" l="1"/>
  <c r="AN123" i="21"/>
  <c r="AP126" i="21"/>
  <c r="AP125" i="21"/>
  <c r="AN124" i="21"/>
  <c r="AO123" i="21" l="1"/>
  <c r="AO122" i="21"/>
  <c r="AO124" i="21"/>
  <c r="AP122" i="21" l="1"/>
  <c r="AP123" i="21"/>
  <c r="AP124" i="21"/>
  <c r="AN40" i="19" l="1"/>
  <c r="R26" i="6" l="1"/>
  <c r="Z26" i="6"/>
  <c r="AD26" i="6" l="1"/>
  <c r="AE26" i="6"/>
  <c r="AA26" i="6"/>
  <c r="J26" i="6"/>
  <c r="U26" i="6"/>
  <c r="O26" i="6"/>
  <c r="I26" i="6"/>
  <c r="Y26" i="6"/>
  <c r="AH26" i="6"/>
  <c r="AG26" i="6"/>
  <c r="AC26" i="6"/>
  <c r="AI26" i="6"/>
  <c r="M26" i="6"/>
  <c r="AB26" i="6"/>
  <c r="W26" i="6"/>
  <c r="H26" i="6"/>
  <c r="V26" i="6"/>
  <c r="S26" i="6"/>
  <c r="L26" i="6"/>
  <c r="P26" i="6"/>
  <c r="X26" i="6"/>
  <c r="Q26" i="6"/>
  <c r="N26" i="6"/>
  <c r="AF26" i="6"/>
  <c r="T26" i="6"/>
  <c r="K26" i="6" l="1"/>
  <c r="G26" i="6" l="1"/>
  <c r="F26" i="6" l="1"/>
  <c r="AO26" i="6" s="1"/>
  <c r="D10" i="6" s="1"/>
  <c r="E10" i="6" l="1"/>
  <c r="C26" i="6"/>
  <c r="AH27" i="14" l="1"/>
  <c r="AG27" i="14"/>
  <c r="AD27" i="14"/>
  <c r="AC27" i="14"/>
  <c r="AB27" i="14"/>
  <c r="AA27" i="14"/>
  <c r="Z27" i="14"/>
  <c r="L27" i="14"/>
  <c r="N27" i="14"/>
  <c r="K27" i="14"/>
  <c r="G27" i="14"/>
  <c r="Q27" i="14"/>
  <c r="R27" i="14"/>
  <c r="S27" i="14"/>
  <c r="X27" i="14"/>
  <c r="W27" i="14"/>
  <c r="I27" i="14"/>
  <c r="U27" i="14"/>
  <c r="F27" i="14"/>
  <c r="V27" i="14"/>
  <c r="AJ27" i="14"/>
  <c r="AI27" i="14"/>
  <c r="AL27" i="14"/>
  <c r="AK27" i="14"/>
  <c r="AM27" i="14"/>
  <c r="AF27" i="14"/>
  <c r="Y27" i="14"/>
  <c r="P27" i="14"/>
  <c r="T27" i="14"/>
  <c r="M27" i="14"/>
  <c r="J27" i="14"/>
  <c r="O27" i="14"/>
  <c r="H27" i="14"/>
  <c r="AE27" i="14"/>
  <c r="E27" i="14"/>
  <c r="R62" i="1" l="1"/>
  <c r="W62" i="1"/>
  <c r="AK62" i="1"/>
  <c r="K62" i="1"/>
  <c r="AL62" i="1"/>
  <c r="AC62" i="1"/>
  <c r="AJ62" i="1"/>
  <c r="M62" i="1"/>
  <c r="AF62" i="1"/>
  <c r="V62" i="1"/>
  <c r="AD62" i="1"/>
  <c r="L62" i="1"/>
  <c r="P62" i="1"/>
  <c r="AA62" i="1"/>
  <c r="AB62" i="1"/>
  <c r="X62" i="1"/>
  <c r="AE62" i="1"/>
  <c r="AM62" i="1"/>
  <c r="G62" i="1"/>
  <c r="U62" i="1"/>
  <c r="I62" i="1"/>
  <c r="Q62" i="1"/>
  <c r="Z62" i="1"/>
  <c r="AG62" i="1"/>
  <c r="T62" i="1"/>
  <c r="AH62" i="1"/>
  <c r="H62" i="1"/>
  <c r="O62" i="1"/>
  <c r="N62" i="1"/>
  <c r="J62" i="1"/>
  <c r="Y62" i="1"/>
  <c r="AN62" i="1"/>
  <c r="S62" i="1"/>
  <c r="AI62" i="1"/>
  <c r="F62" i="1"/>
  <c r="I23" i="19" l="1"/>
  <c r="AL23" i="19"/>
  <c r="AJ209" i="1"/>
  <c r="AK23" i="19"/>
  <c r="AI209" i="1"/>
  <c r="Y23" i="19"/>
  <c r="J23" i="19"/>
  <c r="AB23" i="19"/>
  <c r="W23" i="19"/>
  <c r="K23" i="19"/>
  <c r="AD23" i="19"/>
  <c r="N23" i="19"/>
  <c r="U23" i="19"/>
  <c r="AJ23" i="19"/>
  <c r="AH209" i="1"/>
  <c r="M23" i="19"/>
  <c r="P23" i="19"/>
  <c r="R23" i="19"/>
  <c r="G23" i="19"/>
  <c r="AE23" i="19"/>
  <c r="AC23" i="19"/>
  <c r="H23" i="19"/>
  <c r="V23" i="19"/>
  <c r="Z23" i="19"/>
  <c r="AF23" i="19"/>
  <c r="AH23" i="19"/>
  <c r="AA23" i="19"/>
  <c r="AM23" i="19"/>
  <c r="AK209" i="1"/>
  <c r="AG23" i="19"/>
  <c r="T23" i="19"/>
  <c r="L23" i="19"/>
  <c r="X23" i="19"/>
  <c r="S23" i="19"/>
  <c r="F23" i="19"/>
  <c r="O23" i="19"/>
  <c r="AI23" i="19"/>
  <c r="AG209" i="1"/>
  <c r="Q23" i="19"/>
  <c r="E23" i="19"/>
  <c r="AO62" i="1"/>
  <c r="AN23" i="19" l="1"/>
  <c r="AJ213" i="1" l="1"/>
  <c r="Y27" i="19"/>
  <c r="Z27" i="19"/>
  <c r="AA27" i="19"/>
  <c r="AG27" i="19"/>
  <c r="AC27" i="19"/>
  <c r="AG213" i="1"/>
  <c r="W27" i="19"/>
  <c r="U27" i="19"/>
  <c r="I27" i="19"/>
  <c r="O27" i="19"/>
  <c r="M27" i="19"/>
  <c r="K27" i="19"/>
  <c r="S27" i="19"/>
  <c r="AB27" i="19"/>
  <c r="P27" i="19"/>
  <c r="AL27" i="19"/>
  <c r="N27" i="19"/>
  <c r="AJ27" i="19"/>
  <c r="L27" i="19"/>
  <c r="AH27" i="19"/>
  <c r="V27" i="19"/>
  <c r="AF27" i="19"/>
  <c r="H27" i="19"/>
  <c r="AD27" i="19"/>
  <c r="R27" i="19"/>
  <c r="F27" i="19"/>
  <c r="G27" i="19" l="1"/>
  <c r="AO66" i="1"/>
  <c r="AK213" i="1"/>
  <c r="AM27" i="19"/>
  <c r="T27" i="19"/>
  <c r="AI27" i="19"/>
  <c r="X27" i="19"/>
  <c r="AE27" i="19"/>
  <c r="Q27" i="19"/>
  <c r="AH213" i="1"/>
  <c r="J27" i="19"/>
  <c r="AK27" i="19"/>
  <c r="AI213" i="1"/>
  <c r="AN27" i="19" l="1"/>
  <c r="G62" i="25" l="1"/>
  <c r="G61" i="25" s="1"/>
  <c r="G59" i="25" s="1"/>
  <c r="G57" i="25" s="1"/>
  <c r="F5" i="25" s="1"/>
  <c r="G312" i="25" l="1"/>
  <c r="G310" i="25" s="1"/>
  <c r="G308" i="25" s="1"/>
  <c r="G55" i="25" l="1"/>
  <c r="F11" i="25"/>
  <c r="D11" i="25" s="1"/>
  <c r="D5" i="25"/>
  <c r="F24" i="25"/>
  <c r="D24" i="25" l="1"/>
  <c r="Y5" i="11"/>
  <c r="AC5" i="11"/>
  <c r="AK5" i="11"/>
  <c r="Z5" i="11"/>
  <c r="X5" i="11"/>
  <c r="L5" i="11"/>
  <c r="AH5" i="11"/>
  <c r="AD5" i="11"/>
  <c r="AJ5" i="11"/>
  <c r="D5" i="11"/>
  <c r="AB5" i="11"/>
  <c r="AA5" i="11"/>
  <c r="D12" i="25"/>
  <c r="I5" i="11"/>
  <c r="U5" i="11"/>
  <c r="E5" i="11"/>
  <c r="H5" i="11"/>
  <c r="AG5" i="11"/>
  <c r="S5" i="11"/>
  <c r="T5" i="11"/>
  <c r="N5" i="11"/>
  <c r="C5" i="11"/>
  <c r="W5" i="11"/>
  <c r="AI5" i="11"/>
  <c r="V5" i="11"/>
  <c r="P5" i="11"/>
  <c r="M5" i="11"/>
  <c r="O5" i="11"/>
  <c r="K5" i="11"/>
  <c r="F5" i="11"/>
  <c r="AF5" i="11"/>
  <c r="AE5" i="11"/>
  <c r="G5" i="11"/>
  <c r="Q5" i="11"/>
  <c r="R5" i="11"/>
  <c r="J5" i="11"/>
  <c r="AE11" i="11"/>
  <c r="T11" i="11"/>
  <c r="D11" i="11"/>
  <c r="AG11" i="11"/>
  <c r="G11" i="11"/>
  <c r="AH11" i="11"/>
  <c r="AA11" i="11"/>
  <c r="AF11" i="11"/>
  <c r="N11" i="11"/>
  <c r="M11" i="11"/>
  <c r="R11" i="11"/>
  <c r="U11" i="11"/>
  <c r="J11" i="11"/>
  <c r="AC11" i="11"/>
  <c r="AI11" i="11"/>
  <c r="S11" i="11"/>
  <c r="F11" i="11"/>
  <c r="P11" i="11"/>
  <c r="AK11" i="11"/>
  <c r="E11" i="11"/>
  <c r="W11" i="11"/>
  <c r="I11" i="11"/>
  <c r="Y11" i="11"/>
  <c r="L11" i="11"/>
  <c r="AJ11" i="11"/>
  <c r="AD11" i="11"/>
  <c r="H11" i="11"/>
  <c r="C11" i="11"/>
  <c r="X11" i="11"/>
  <c r="K11" i="11"/>
  <c r="V11" i="11"/>
  <c r="AB11" i="11"/>
  <c r="O11" i="11"/>
  <c r="Q11" i="11"/>
  <c r="Z11" i="11"/>
  <c r="F30" i="25"/>
  <c r="D30" i="25" s="1"/>
  <c r="F12" i="25"/>
  <c r="T12" i="11" l="1"/>
  <c r="T20" i="11" s="1"/>
  <c r="U3" i="7" s="1"/>
  <c r="AL5" i="11"/>
  <c r="L64" i="11" s="1"/>
  <c r="AL11" i="11"/>
  <c r="L70" i="11" s="1"/>
  <c r="AJ12" i="11"/>
  <c r="AJ20" i="11" s="1"/>
  <c r="AK3" i="7" s="1"/>
  <c r="D12" i="11"/>
  <c r="D20" i="11" s="1"/>
  <c r="E3" i="7" s="1"/>
  <c r="AD12" i="11"/>
  <c r="AD20" i="11" s="1"/>
  <c r="AE3" i="7" s="1"/>
  <c r="U12" i="11"/>
  <c r="U20" i="11" s="1"/>
  <c r="V3" i="7" s="1"/>
  <c r="F12" i="11"/>
  <c r="F20" i="11" s="1"/>
  <c r="G3" i="7" s="1"/>
  <c r="Z12" i="11"/>
  <c r="Z20" i="11" s="1"/>
  <c r="AA3" i="7" s="1"/>
  <c r="H70" i="11"/>
  <c r="G70" i="11"/>
  <c r="Q12" i="11"/>
  <c r="C12" i="11"/>
  <c r="C64" i="11"/>
  <c r="I70" i="11"/>
  <c r="G64" i="11"/>
  <c r="S12" i="11"/>
  <c r="AH12" i="11"/>
  <c r="AE12" i="11"/>
  <c r="J64" i="11"/>
  <c r="AF12" i="11"/>
  <c r="AG12" i="11"/>
  <c r="L12" i="11"/>
  <c r="E70" i="11"/>
  <c r="D70" i="11"/>
  <c r="E64" i="11"/>
  <c r="K12" i="11"/>
  <c r="H12" i="11"/>
  <c r="X12" i="11"/>
  <c r="F70" i="11"/>
  <c r="E12" i="11"/>
  <c r="AK12" i="11"/>
  <c r="M12" i="11"/>
  <c r="P12" i="11"/>
  <c r="I12" i="11"/>
  <c r="AC12" i="11"/>
  <c r="G12" i="11"/>
  <c r="D64" i="11"/>
  <c r="K70" i="11"/>
  <c r="V12" i="11"/>
  <c r="D20" i="25"/>
  <c r="D44" i="25" s="1"/>
  <c r="D42" i="25"/>
  <c r="Y12" i="11"/>
  <c r="C70" i="11"/>
  <c r="AA30" i="11"/>
  <c r="K30" i="11"/>
  <c r="I30" i="11"/>
  <c r="X30" i="11"/>
  <c r="E30" i="11"/>
  <c r="AG30" i="11"/>
  <c r="C30" i="11"/>
  <c r="O30" i="11"/>
  <c r="AK30" i="11"/>
  <c r="AH30" i="11"/>
  <c r="Y30" i="11"/>
  <c r="W30" i="11"/>
  <c r="U30" i="11"/>
  <c r="T30" i="11"/>
  <c r="M30" i="11"/>
  <c r="AE30" i="11"/>
  <c r="P30" i="11"/>
  <c r="AF30" i="11"/>
  <c r="L30" i="11"/>
  <c r="N30" i="11"/>
  <c r="V30" i="11"/>
  <c r="D30" i="11"/>
  <c r="AJ30" i="11"/>
  <c r="AD30" i="11"/>
  <c r="G30" i="11"/>
  <c r="S30" i="11"/>
  <c r="J30" i="11"/>
  <c r="R30" i="11"/>
  <c r="F30" i="11"/>
  <c r="Q30" i="11"/>
  <c r="H30" i="11"/>
  <c r="AB30" i="11"/>
  <c r="Z30" i="11"/>
  <c r="AI30" i="11"/>
  <c r="AC30" i="11"/>
  <c r="J12" i="11"/>
  <c r="K64" i="11"/>
  <c r="AI12" i="11"/>
  <c r="AA12" i="11"/>
  <c r="I64" i="11"/>
  <c r="O24" i="11"/>
  <c r="U24" i="11"/>
  <c r="C24" i="11"/>
  <c r="AI24" i="11"/>
  <c r="D24" i="11"/>
  <c r="AC24" i="11"/>
  <c r="J24" i="11"/>
  <c r="Y24" i="11"/>
  <c r="AJ24" i="11"/>
  <c r="F24" i="11"/>
  <c r="R24" i="11"/>
  <c r="AE24" i="11"/>
  <c r="N24" i="11"/>
  <c r="S24" i="11"/>
  <c r="D31" i="25"/>
  <c r="W24" i="11"/>
  <c r="V24" i="11"/>
  <c r="P24" i="11"/>
  <c r="Z24" i="11"/>
  <c r="AD24" i="11"/>
  <c r="M24" i="11"/>
  <c r="K24" i="11"/>
  <c r="AB24" i="11"/>
  <c r="H24" i="11"/>
  <c r="T24" i="11"/>
  <c r="AH24" i="11"/>
  <c r="X24" i="11"/>
  <c r="E24" i="11"/>
  <c r="AF24" i="11"/>
  <c r="AG24" i="11"/>
  <c r="I24" i="11"/>
  <c r="Q24" i="11"/>
  <c r="L24" i="11"/>
  <c r="AA24" i="11"/>
  <c r="AK24" i="11"/>
  <c r="G24" i="11"/>
  <c r="N12" i="11"/>
  <c r="O12" i="11"/>
  <c r="F64" i="11"/>
  <c r="F42" i="25"/>
  <c r="F20" i="25"/>
  <c r="J70" i="11"/>
  <c r="R12" i="11"/>
  <c r="W12" i="11"/>
  <c r="H64" i="11"/>
  <c r="AB12" i="11"/>
  <c r="F31" i="25"/>
  <c r="AG31" i="11" l="1"/>
  <c r="AG39" i="11" s="1"/>
  <c r="AH4" i="7" s="1"/>
  <c r="P31" i="11"/>
  <c r="P39" i="11" s="1"/>
  <c r="Q4" i="7" s="1"/>
  <c r="E31" i="11"/>
  <c r="E39" i="11" s="1"/>
  <c r="F4" i="7" s="1"/>
  <c r="AF31" i="11"/>
  <c r="AF39" i="11" s="1"/>
  <c r="AG4" i="7" s="1"/>
  <c r="I31" i="11"/>
  <c r="I39" i="11" s="1"/>
  <c r="J4" i="7" s="1"/>
  <c r="J31" i="11"/>
  <c r="J39" i="11" s="1"/>
  <c r="K4" i="7" s="1"/>
  <c r="X31" i="11"/>
  <c r="X39" i="11" s="1"/>
  <c r="Y4" i="7" s="1"/>
  <c r="M31" i="11"/>
  <c r="M39" i="11" s="1"/>
  <c r="N4" i="7" s="1"/>
  <c r="F89" i="11"/>
  <c r="AD31" i="11"/>
  <c r="AD39" i="11" s="1"/>
  <c r="AE4" i="7" s="1"/>
  <c r="Z31" i="11"/>
  <c r="Z39" i="11" s="1"/>
  <c r="AA4" i="7" s="1"/>
  <c r="V31" i="11"/>
  <c r="V39" i="11" s="1"/>
  <c r="W4" i="7" s="1"/>
  <c r="T31" i="11"/>
  <c r="K89" i="11"/>
  <c r="AC31" i="11"/>
  <c r="AC39" i="11" s="1"/>
  <c r="AD4" i="7" s="1"/>
  <c r="U31" i="11"/>
  <c r="AK20" i="11"/>
  <c r="AL3" i="7" s="1"/>
  <c r="L20" i="11"/>
  <c r="M3" i="7" s="1"/>
  <c r="R20" i="11"/>
  <c r="S3" i="7" s="1"/>
  <c r="D31" i="11"/>
  <c r="D46" i="25"/>
  <c r="D39" i="25"/>
  <c r="D48" i="25" s="1"/>
  <c r="AL30" i="11"/>
  <c r="L89" i="11" s="1"/>
  <c r="C89" i="11"/>
  <c r="V20" i="11"/>
  <c r="W3" i="7" s="1"/>
  <c r="AG20" i="11"/>
  <c r="AH3" i="7" s="1"/>
  <c r="Y20" i="11"/>
  <c r="Z3" i="7" s="1"/>
  <c r="AI31" i="11"/>
  <c r="AI44" i="11" s="1"/>
  <c r="K83" i="11"/>
  <c r="F44" i="25"/>
  <c r="AF20" i="11"/>
  <c r="AG3" i="7" s="1"/>
  <c r="H83" i="11"/>
  <c r="W31" i="11"/>
  <c r="W44" i="11" s="1"/>
  <c r="N31" i="11"/>
  <c r="N39" i="11" s="1"/>
  <c r="O4" i="7" s="1"/>
  <c r="D83" i="11"/>
  <c r="G31" i="11"/>
  <c r="G44" i="11" s="1"/>
  <c r="J89" i="11"/>
  <c r="G20" i="11"/>
  <c r="D71" i="11"/>
  <c r="E20" i="11"/>
  <c r="F3" i="7" s="1"/>
  <c r="AK31" i="11"/>
  <c r="AK39" i="11" s="1"/>
  <c r="AL4" i="7" s="1"/>
  <c r="AB31" i="11"/>
  <c r="AB39" i="11" s="1"/>
  <c r="AC4" i="7" s="1"/>
  <c r="R31" i="11"/>
  <c r="R39" i="11" s="1"/>
  <c r="S4" i="7" s="1"/>
  <c r="AA20" i="11"/>
  <c r="I71" i="11"/>
  <c r="AC20" i="11"/>
  <c r="AD3" i="7" s="1"/>
  <c r="C31" i="11"/>
  <c r="C83" i="11"/>
  <c r="AL24" i="11"/>
  <c r="L83" i="11" s="1"/>
  <c r="F71" i="11"/>
  <c r="O20" i="11"/>
  <c r="G83" i="11"/>
  <c r="S31" i="11"/>
  <c r="F39" i="25"/>
  <c r="F46" i="25"/>
  <c r="AB20" i="11"/>
  <c r="AC3" i="7" s="1"/>
  <c r="I83" i="11"/>
  <c r="AA31" i="11"/>
  <c r="K31" i="11"/>
  <c r="K44" i="11" s="1"/>
  <c r="E83" i="11"/>
  <c r="F31" i="11"/>
  <c r="AI20" i="11"/>
  <c r="K71" i="11"/>
  <c r="G89" i="11"/>
  <c r="E89" i="11"/>
  <c r="I20" i="11"/>
  <c r="J3" i="7" s="1"/>
  <c r="X20" i="11"/>
  <c r="Y3" i="7" s="1"/>
  <c r="J71" i="11"/>
  <c r="AE20" i="11"/>
  <c r="AH31" i="11"/>
  <c r="AH39" i="11" s="1"/>
  <c r="AI4" i="7" s="1"/>
  <c r="N20" i="11"/>
  <c r="O3" i="7" s="1"/>
  <c r="O31" i="11"/>
  <c r="O44" i="11" s="1"/>
  <c r="F83" i="11"/>
  <c r="H31" i="11"/>
  <c r="H39" i="11" s="1"/>
  <c r="I4" i="7" s="1"/>
  <c r="L31" i="11"/>
  <c r="L39" i="11" s="1"/>
  <c r="M4" i="7" s="1"/>
  <c r="AJ31" i="11"/>
  <c r="D89" i="11"/>
  <c r="I89" i="11"/>
  <c r="P20" i="11"/>
  <c r="Q3" i="7" s="1"/>
  <c r="H20" i="11"/>
  <c r="I3" i="7" s="1"/>
  <c r="AH20" i="11"/>
  <c r="AI3" i="7" s="1"/>
  <c r="C20" i="11"/>
  <c r="C71" i="11"/>
  <c r="AL12" i="11"/>
  <c r="G42" i="25" s="1"/>
  <c r="H42" i="25" s="1"/>
  <c r="J83" i="11"/>
  <c r="AE31" i="11"/>
  <c r="AE44" i="11" s="1"/>
  <c r="W20" i="11"/>
  <c r="H71" i="11"/>
  <c r="Q31" i="11"/>
  <c r="Q39" i="11" s="1"/>
  <c r="R4" i="7" s="1"/>
  <c r="Y31" i="11"/>
  <c r="Y39" i="11" s="1"/>
  <c r="Z4" i="7" s="1"/>
  <c r="J44" i="11"/>
  <c r="J20" i="11"/>
  <c r="K3" i="7" s="1"/>
  <c r="H89" i="11"/>
  <c r="M20" i="11"/>
  <c r="N3" i="7" s="1"/>
  <c r="E71" i="11"/>
  <c r="K20" i="11"/>
  <c r="S20" i="11"/>
  <c r="G71" i="11"/>
  <c r="Q20" i="11"/>
  <c r="R3" i="7" s="1"/>
  <c r="I44" i="11" l="1"/>
  <c r="I46" i="11" s="1"/>
  <c r="F48" i="25"/>
  <c r="L71" i="11"/>
  <c r="G12" i="25"/>
  <c r="H12" i="25" s="1"/>
  <c r="AG44" i="11"/>
  <c r="AG46" i="11" s="1"/>
  <c r="X44" i="11"/>
  <c r="AA50" i="1" s="1"/>
  <c r="AA48" i="1" s="1"/>
  <c r="P44" i="11"/>
  <c r="S50" i="1" s="1"/>
  <c r="S48" i="1" s="1"/>
  <c r="E44" i="11"/>
  <c r="H50" i="1" s="1"/>
  <c r="H48" i="1" s="1"/>
  <c r="AL20" i="11"/>
  <c r="AF44" i="11"/>
  <c r="AI50" i="1" s="1"/>
  <c r="AI48" i="1" s="1"/>
  <c r="M44" i="11"/>
  <c r="M46" i="11" s="1"/>
  <c r="Z44" i="11"/>
  <c r="AC50" i="1" s="1"/>
  <c r="AC48" i="1" s="1"/>
  <c r="AD44" i="11"/>
  <c r="AD46" i="11" s="1"/>
  <c r="AC44" i="11"/>
  <c r="AC46" i="11" s="1"/>
  <c r="V44" i="11"/>
  <c r="V46" i="11" s="1"/>
  <c r="N44" i="11"/>
  <c r="Q50" i="1" s="1"/>
  <c r="Q48" i="1" s="1"/>
  <c r="AH44" i="11"/>
  <c r="Q44" i="11"/>
  <c r="Q46" i="11" s="1"/>
  <c r="T39" i="11"/>
  <c r="U4" i="7" s="1"/>
  <c r="T44" i="11"/>
  <c r="AB44" i="11"/>
  <c r="AB46" i="11" s="1"/>
  <c r="R44" i="11"/>
  <c r="R46" i="11" s="1"/>
  <c r="F51" i="25"/>
  <c r="F53" i="25" s="1"/>
  <c r="U39" i="11"/>
  <c r="V4" i="7" s="1"/>
  <c r="U44" i="11"/>
  <c r="H44" i="11"/>
  <c r="AH50" i="1"/>
  <c r="AH48" i="1" s="1"/>
  <c r="AE46" i="11"/>
  <c r="J79" i="11"/>
  <c r="AF3" i="7"/>
  <c r="F39" i="11"/>
  <c r="G4" i="7" s="1"/>
  <c r="F44" i="11"/>
  <c r="P3" i="7"/>
  <c r="F79" i="11"/>
  <c r="AI39" i="11"/>
  <c r="K90" i="11"/>
  <c r="F90" i="11"/>
  <c r="O39" i="11"/>
  <c r="AJ3" i="7"/>
  <c r="K79" i="11"/>
  <c r="L3" i="7"/>
  <c r="E79" i="11"/>
  <c r="K46" i="11"/>
  <c r="N50" i="1"/>
  <c r="N48" i="1" s="1"/>
  <c r="G79" i="11"/>
  <c r="T3" i="7"/>
  <c r="X3" i="7"/>
  <c r="H79" i="11"/>
  <c r="D39" i="11"/>
  <c r="E4" i="7" s="1"/>
  <c r="D44" i="11"/>
  <c r="C39" i="11"/>
  <c r="C90" i="11"/>
  <c r="AL31" i="11"/>
  <c r="J50" i="1"/>
  <c r="J48" i="1" s="1"/>
  <c r="G46" i="11"/>
  <c r="H3" i="7"/>
  <c r="D79" i="11"/>
  <c r="C79" i="11"/>
  <c r="D3" i="7"/>
  <c r="L50" i="1"/>
  <c r="L48" i="1" s="1"/>
  <c r="L44" i="11"/>
  <c r="W46" i="11"/>
  <c r="Z50" i="1"/>
  <c r="Z48" i="1" s="1"/>
  <c r="Y44" i="11"/>
  <c r="AE39" i="11"/>
  <c r="J90" i="11"/>
  <c r="E90" i="11"/>
  <c r="K39" i="11"/>
  <c r="I90" i="11"/>
  <c r="AA39" i="11"/>
  <c r="AJ39" i="11"/>
  <c r="AK4" i="7" s="1"/>
  <c r="AJ44" i="11"/>
  <c r="C44" i="11"/>
  <c r="D90" i="11"/>
  <c r="G39" i="11"/>
  <c r="AA44" i="11"/>
  <c r="AK44" i="11"/>
  <c r="M50" i="1"/>
  <c r="M48" i="1" s="1"/>
  <c r="J46" i="11"/>
  <c r="AL50" i="1"/>
  <c r="AI46" i="11"/>
  <c r="S39" i="11"/>
  <c r="G90" i="11"/>
  <c r="AB3" i="7"/>
  <c r="I79" i="11"/>
  <c r="S44" i="11"/>
  <c r="H90" i="11"/>
  <c r="W39" i="11"/>
  <c r="R50" i="1"/>
  <c r="R48" i="1" s="1"/>
  <c r="O46" i="11"/>
  <c r="AJ50" i="1" l="1"/>
  <c r="D50" i="11"/>
  <c r="P46" i="11"/>
  <c r="C52" i="11" s="1"/>
  <c r="G31" i="25"/>
  <c r="H31" i="25" s="1"/>
  <c r="G46" i="25"/>
  <c r="H46" i="25" s="1"/>
  <c r="L79" i="11"/>
  <c r="G44" i="25"/>
  <c r="H44" i="25" s="1"/>
  <c r="X46" i="11"/>
  <c r="E46" i="11"/>
  <c r="P50" i="1"/>
  <c r="P48" i="1" s="1"/>
  <c r="P87" i="1" s="1"/>
  <c r="AF46" i="11"/>
  <c r="D56" i="11"/>
  <c r="Y50" i="1"/>
  <c r="Y48" i="1" s="1"/>
  <c r="Y71" i="1" s="1"/>
  <c r="Z46" i="11"/>
  <c r="D54" i="11"/>
  <c r="N46" i="11"/>
  <c r="AF50" i="1"/>
  <c r="AF48" i="1" s="1"/>
  <c r="AF71" i="1" s="1"/>
  <c r="AK50" i="1"/>
  <c r="AH199" i="1" s="1"/>
  <c r="AG50" i="1"/>
  <c r="AG48" i="1" s="1"/>
  <c r="AG71" i="1" s="1"/>
  <c r="D51" i="11"/>
  <c r="T50" i="1"/>
  <c r="T48" i="1" s="1"/>
  <c r="T71" i="1" s="1"/>
  <c r="D52" i="11"/>
  <c r="AH46" i="11"/>
  <c r="U50" i="1"/>
  <c r="U48" i="1" s="1"/>
  <c r="U71" i="1" s="1"/>
  <c r="AE50" i="1"/>
  <c r="AE48" i="1" s="1"/>
  <c r="AE71" i="1" s="1"/>
  <c r="D1" i="23"/>
  <c r="D16" i="23" s="1"/>
  <c r="D57" i="11"/>
  <c r="K50" i="1"/>
  <c r="K48" i="1" s="1"/>
  <c r="K87" i="1" s="1"/>
  <c r="T46" i="11"/>
  <c r="W50" i="1"/>
  <c r="W48" i="1" s="1"/>
  <c r="H46" i="11"/>
  <c r="C50" i="11" s="1"/>
  <c r="U46" i="11"/>
  <c r="X50" i="1"/>
  <c r="X48" i="1" s="1"/>
  <c r="H4" i="7"/>
  <c r="D98" i="11"/>
  <c r="H98" i="11"/>
  <c r="X4" i="7"/>
  <c r="AA46" i="11"/>
  <c r="C55" i="11" s="1"/>
  <c r="AD50" i="1"/>
  <c r="AD48" i="1" s="1"/>
  <c r="D55" i="11"/>
  <c r="AA71" i="1"/>
  <c r="AA87" i="1"/>
  <c r="AL39" i="11"/>
  <c r="L90" i="11"/>
  <c r="R71" i="1"/>
  <c r="R87" i="1"/>
  <c r="D4" i="7"/>
  <c r="G5" i="7" s="1"/>
  <c r="G9" i="7" s="1"/>
  <c r="C98" i="11"/>
  <c r="F98" i="11"/>
  <c r="P4" i="7"/>
  <c r="T4" i="7"/>
  <c r="G98" i="11"/>
  <c r="L4" i="7"/>
  <c r="E98" i="11"/>
  <c r="C46" i="11"/>
  <c r="AL44" i="11"/>
  <c r="D59" i="11" s="1"/>
  <c r="F50" i="1"/>
  <c r="D49" i="11"/>
  <c r="AJ4" i="7"/>
  <c r="K98" i="11"/>
  <c r="AC71" i="1"/>
  <c r="AC87" i="1"/>
  <c r="AL48" i="1"/>
  <c r="AI199" i="1"/>
  <c r="AF4" i="7"/>
  <c r="J98" i="11"/>
  <c r="L71" i="1"/>
  <c r="L87" i="1"/>
  <c r="D46" i="11"/>
  <c r="G50" i="1"/>
  <c r="G48" i="1" s="1"/>
  <c r="I50" i="1"/>
  <c r="I48" i="1" s="1"/>
  <c r="F46" i="11"/>
  <c r="AM50" i="1"/>
  <c r="AJ46" i="11"/>
  <c r="Y46" i="11"/>
  <c r="AB50" i="1"/>
  <c r="AB48" i="1" s="1"/>
  <c r="S71" i="1"/>
  <c r="S87" i="1"/>
  <c r="H71" i="1"/>
  <c r="H87" i="1"/>
  <c r="Q71" i="1"/>
  <c r="Q87" i="1"/>
  <c r="Z71" i="1"/>
  <c r="Z87" i="1"/>
  <c r="N71" i="1"/>
  <c r="N87" i="1"/>
  <c r="AM3" i="7"/>
  <c r="AI71" i="1"/>
  <c r="AI87" i="1"/>
  <c r="AJ48" i="1"/>
  <c r="AG199" i="1"/>
  <c r="M71" i="1"/>
  <c r="M87" i="1"/>
  <c r="V50" i="1"/>
  <c r="V48" i="1" s="1"/>
  <c r="D53" i="11"/>
  <c r="S46" i="11"/>
  <c r="AB4" i="7"/>
  <c r="I98" i="11"/>
  <c r="AN50" i="1"/>
  <c r="AK46" i="11"/>
  <c r="O50" i="1"/>
  <c r="O48" i="1" s="1"/>
  <c r="L46" i="11"/>
  <c r="J71" i="1"/>
  <c r="J87" i="1"/>
  <c r="AH71" i="1"/>
  <c r="AH87" i="1"/>
  <c r="P71" i="1" l="1"/>
  <c r="C56" i="11"/>
  <c r="L98" i="11"/>
  <c r="G48" i="25"/>
  <c r="H48" i="25" s="1"/>
  <c r="C51" i="11"/>
  <c r="C54" i="11"/>
  <c r="AF87" i="1"/>
  <c r="Y87" i="1"/>
  <c r="AK48" i="1"/>
  <c r="AH198" i="1" s="1"/>
  <c r="T87" i="1"/>
  <c r="AE87" i="1"/>
  <c r="AG87" i="1"/>
  <c r="U87" i="1"/>
  <c r="AK16" i="23"/>
  <c r="O12" i="23"/>
  <c r="O26" i="23" s="1"/>
  <c r="M13" i="23"/>
  <c r="S13" i="23"/>
  <c r="AA16" i="23"/>
  <c r="V15" i="23"/>
  <c r="E12" i="23"/>
  <c r="E28" i="23" s="1"/>
  <c r="W14" i="23"/>
  <c r="T13" i="23"/>
  <c r="N13" i="23"/>
  <c r="G16" i="23"/>
  <c r="AC13" i="23"/>
  <c r="AA15" i="23"/>
  <c r="AF13" i="23"/>
  <c r="AJ12" i="23"/>
  <c r="AJ30" i="23" s="1"/>
  <c r="AL15" i="23"/>
  <c r="E13" i="23"/>
  <c r="W12" i="23"/>
  <c r="W28" i="23" s="1"/>
  <c r="I12" i="23"/>
  <c r="I26" i="23" s="1"/>
  <c r="AI16" i="23"/>
  <c r="AB15" i="23"/>
  <c r="F12" i="23"/>
  <c r="F30" i="23" s="1"/>
  <c r="M15" i="23"/>
  <c r="Y15" i="23"/>
  <c r="I16" i="23"/>
  <c r="F16" i="23"/>
  <c r="K12" i="23"/>
  <c r="K28" i="23" s="1"/>
  <c r="F15" i="23"/>
  <c r="AB12" i="23"/>
  <c r="AB26" i="23" s="1"/>
  <c r="AG13" i="23"/>
  <c r="AF15" i="23"/>
  <c r="AH15" i="23"/>
  <c r="P16" i="23"/>
  <c r="N14" i="23"/>
  <c r="Z15" i="23"/>
  <c r="U12" i="23"/>
  <c r="U28" i="23" s="1"/>
  <c r="G15" i="23"/>
  <c r="R12" i="23"/>
  <c r="R30" i="23" s="1"/>
  <c r="AA13" i="23"/>
  <c r="E15" i="23"/>
  <c r="AJ14" i="23"/>
  <c r="AF16" i="23"/>
  <c r="Q15" i="23"/>
  <c r="Q16" i="23"/>
  <c r="R15" i="23"/>
  <c r="AD15" i="23"/>
  <c r="M14" i="23"/>
  <c r="G14" i="23"/>
  <c r="AH16" i="23"/>
  <c r="H12" i="23"/>
  <c r="H30" i="23" s="1"/>
  <c r="D14" i="23"/>
  <c r="P14" i="23"/>
  <c r="AD16" i="23"/>
  <c r="AH13" i="23"/>
  <c r="AG16" i="23"/>
  <c r="U14" i="23"/>
  <c r="X12" i="23"/>
  <c r="X26" i="23" s="1"/>
  <c r="D12" i="23"/>
  <c r="D30" i="23" s="1"/>
  <c r="AH12" i="23"/>
  <c r="AH30" i="23" s="1"/>
  <c r="AH31" i="23" s="1"/>
  <c r="E5" i="7"/>
  <c r="E9" i="7" s="1"/>
  <c r="D5" i="7"/>
  <c r="D9" i="7" s="1"/>
  <c r="AI13" i="23"/>
  <c r="AG15" i="23"/>
  <c r="M12" i="23"/>
  <c r="M30" i="23" s="1"/>
  <c r="M16" i="23"/>
  <c r="H16" i="23"/>
  <c r="AI14" i="23"/>
  <c r="AE14" i="23"/>
  <c r="F14" i="23"/>
  <c r="Z14" i="23"/>
  <c r="AE16" i="23"/>
  <c r="I14" i="23"/>
  <c r="Z12" i="23"/>
  <c r="Z26" i="23" s="1"/>
  <c r="V13" i="23"/>
  <c r="P13" i="23"/>
  <c r="AD13" i="23"/>
  <c r="AA14" i="23"/>
  <c r="AC16" i="23"/>
  <c r="AD14" i="23"/>
  <c r="O16" i="23"/>
  <c r="Z13" i="23"/>
  <c r="K15" i="23"/>
  <c r="H13" i="23"/>
  <c r="N15" i="23"/>
  <c r="Z16" i="23"/>
  <c r="AE13" i="23"/>
  <c r="T16" i="23"/>
  <c r="AL12" i="23"/>
  <c r="AL26" i="23" s="1"/>
  <c r="W13" i="23"/>
  <c r="K14" i="23"/>
  <c r="L15" i="23"/>
  <c r="J16" i="23"/>
  <c r="S14" i="23"/>
  <c r="N16" i="23"/>
  <c r="S16" i="23"/>
  <c r="AJ15" i="23"/>
  <c r="O13" i="23"/>
  <c r="X15" i="23"/>
  <c r="K16" i="23"/>
  <c r="R14" i="23"/>
  <c r="AB16" i="23"/>
  <c r="P12" i="23"/>
  <c r="P26" i="23" s="1"/>
  <c r="G13" i="23"/>
  <c r="AF12" i="23"/>
  <c r="AF30" i="23" s="1"/>
  <c r="Q14" i="23"/>
  <c r="AB14" i="23"/>
  <c r="R16" i="23"/>
  <c r="L16" i="23"/>
  <c r="S15" i="23"/>
  <c r="S12" i="23"/>
  <c r="S30" i="23" s="1"/>
  <c r="S31" i="23" s="1"/>
  <c r="AH14" i="23"/>
  <c r="J14" i="23"/>
  <c r="J13" i="23"/>
  <c r="AC14" i="23"/>
  <c r="O15" i="23"/>
  <c r="Y14" i="23"/>
  <c r="T12" i="23"/>
  <c r="T30" i="23" s="1"/>
  <c r="J15" i="23"/>
  <c r="P15" i="23"/>
  <c r="AK15" i="23"/>
  <c r="AC15" i="23"/>
  <c r="X16" i="23"/>
  <c r="L14" i="23"/>
  <c r="H14" i="23"/>
  <c r="AJ16" i="23"/>
  <c r="AK12" i="23"/>
  <c r="AK26" i="23" s="1"/>
  <c r="W16" i="23"/>
  <c r="V12" i="23"/>
  <c r="V28" i="23" s="1"/>
  <c r="AG14" i="23"/>
  <c r="V14" i="23"/>
  <c r="AC12" i="23"/>
  <c r="AC26" i="23" s="1"/>
  <c r="Q13" i="23"/>
  <c r="I13" i="23"/>
  <c r="K13" i="23"/>
  <c r="T15" i="23"/>
  <c r="D15" i="23"/>
  <c r="U13" i="23"/>
  <c r="L13" i="23"/>
  <c r="W15" i="23"/>
  <c r="J12" i="23"/>
  <c r="J28" i="23" s="1"/>
  <c r="AA12" i="23"/>
  <c r="AA26" i="23" s="1"/>
  <c r="AG12" i="23"/>
  <c r="Y13" i="23"/>
  <c r="Q12" i="23"/>
  <c r="AB13" i="23"/>
  <c r="G12" i="23"/>
  <c r="G26" i="23" s="1"/>
  <c r="L12" i="23"/>
  <c r="L28" i="23" s="1"/>
  <c r="U15" i="23"/>
  <c r="AL16" i="23"/>
  <c r="Y12" i="23"/>
  <c r="Y26" i="23" s="1"/>
  <c r="AK14" i="23"/>
  <c r="AL13" i="23"/>
  <c r="F13" i="23"/>
  <c r="D13" i="23"/>
  <c r="V16" i="23"/>
  <c r="AI15" i="23"/>
  <c r="AL14" i="23"/>
  <c r="X13" i="23"/>
  <c r="N12" i="23"/>
  <c r="N28" i="23" s="1"/>
  <c r="N29" i="23" s="1"/>
  <c r="AK13" i="23"/>
  <c r="I15" i="23"/>
  <c r="AE12" i="23"/>
  <c r="AE26" i="23" s="1"/>
  <c r="AJ13" i="23"/>
  <c r="U16" i="23"/>
  <c r="AD12" i="23"/>
  <c r="AD30" i="23" s="1"/>
  <c r="E14" i="23"/>
  <c r="X14" i="23"/>
  <c r="T14" i="23"/>
  <c r="AF14" i="23"/>
  <c r="AE15" i="23"/>
  <c r="E16" i="23"/>
  <c r="H15" i="23"/>
  <c r="R13" i="23"/>
  <c r="AI12" i="23"/>
  <c r="AI28" i="23" s="1"/>
  <c r="Y16" i="23"/>
  <c r="O14" i="23"/>
  <c r="K71" i="1"/>
  <c r="AK5" i="7"/>
  <c r="AK9" i="7" s="1"/>
  <c r="C53" i="11"/>
  <c r="AE5" i="7"/>
  <c r="AE9" i="7" s="1"/>
  <c r="V5" i="7"/>
  <c r="V9" i="7" s="1"/>
  <c r="AB5" i="7"/>
  <c r="AB9" i="7" s="1"/>
  <c r="I5" i="7"/>
  <c r="I9" i="7" s="1"/>
  <c r="AG5" i="7"/>
  <c r="AG9" i="7" s="1"/>
  <c r="L5" i="7"/>
  <c r="L9" i="7" s="1"/>
  <c r="AH5" i="7"/>
  <c r="AH9" i="7" s="1"/>
  <c r="H5" i="7"/>
  <c r="H9" i="7" s="1"/>
  <c r="N5" i="7"/>
  <c r="N9" i="7" s="1"/>
  <c r="K5" i="7"/>
  <c r="K9" i="7" s="1"/>
  <c r="Z5" i="7"/>
  <c r="Z9" i="7" s="1"/>
  <c r="AA5" i="7"/>
  <c r="AA9" i="7" s="1"/>
  <c r="M5" i="7"/>
  <c r="M9" i="7" s="1"/>
  <c r="O5" i="7"/>
  <c r="O9" i="7" s="1"/>
  <c r="AJ5" i="7"/>
  <c r="AJ9" i="7" s="1"/>
  <c r="W71" i="1"/>
  <c r="W87" i="1"/>
  <c r="J5" i="7"/>
  <c r="J9" i="7" s="1"/>
  <c r="D58" i="11"/>
  <c r="C57" i="11"/>
  <c r="X71" i="1"/>
  <c r="X87" i="1"/>
  <c r="Y5" i="7"/>
  <c r="Y9" i="7" s="1"/>
  <c r="AC5" i="7"/>
  <c r="AC9" i="7" s="1"/>
  <c r="U5" i="7"/>
  <c r="U9" i="7" s="1"/>
  <c r="AM48" i="1"/>
  <c r="AJ199" i="1"/>
  <c r="AO50" i="1"/>
  <c r="F48" i="1"/>
  <c r="AD71" i="1"/>
  <c r="AD87" i="1"/>
  <c r="S5" i="7"/>
  <c r="S9" i="7" s="1"/>
  <c r="I71" i="1"/>
  <c r="I87" i="1"/>
  <c r="C49" i="11"/>
  <c r="AL46" i="11"/>
  <c r="R5" i="7"/>
  <c r="R9" i="7" s="1"/>
  <c r="E57" i="11"/>
  <c r="E58" i="11" s="1"/>
  <c r="AM4" i="7"/>
  <c r="AM14" i="7" s="1"/>
  <c r="W5" i="7"/>
  <c r="W9" i="7" s="1"/>
  <c r="AD5" i="7"/>
  <c r="AD9" i="7" s="1"/>
  <c r="X5" i="7"/>
  <c r="X9" i="7" s="1"/>
  <c r="AL5" i="7"/>
  <c r="AL9" i="7" s="1"/>
  <c r="AJ71" i="1"/>
  <c r="AG198" i="1"/>
  <c r="AJ87" i="1"/>
  <c r="O71" i="1"/>
  <c r="O87" i="1"/>
  <c r="Q5" i="7"/>
  <c r="Q9" i="7" s="1"/>
  <c r="V71" i="1"/>
  <c r="V87" i="1"/>
  <c r="T5" i="7"/>
  <c r="T9" i="7" s="1"/>
  <c r="AF5" i="7"/>
  <c r="AF9" i="7" s="1"/>
  <c r="G71" i="1"/>
  <c r="G87" i="1"/>
  <c r="P5" i="7"/>
  <c r="P9" i="7" s="1"/>
  <c r="AI5" i="7"/>
  <c r="AI9" i="7" s="1"/>
  <c r="AK199" i="1"/>
  <c r="AN48" i="1"/>
  <c r="AB71" i="1"/>
  <c r="AB87" i="1"/>
  <c r="AL71" i="1"/>
  <c r="AI198" i="1"/>
  <c r="AL87" i="1"/>
  <c r="F5" i="7"/>
  <c r="F9" i="7" s="1"/>
  <c r="AK87" i="1" l="1"/>
  <c r="AK71" i="1"/>
  <c r="O30" i="23"/>
  <c r="O28" i="23"/>
  <c r="O29" i="23" s="1"/>
  <c r="W30" i="23"/>
  <c r="W26" i="23"/>
  <c r="M28" i="23"/>
  <c r="AA30" i="23"/>
  <c r="X30" i="23"/>
  <c r="X31" i="23" s="1"/>
  <c r="AD26" i="23"/>
  <c r="X28" i="23"/>
  <c r="X29" i="23" s="1"/>
  <c r="T26" i="23"/>
  <c r="AD28" i="23"/>
  <c r="T28" i="23"/>
  <c r="AA28" i="23"/>
  <c r="K30" i="23"/>
  <c r="K26" i="23"/>
  <c r="L30" i="23"/>
  <c r="C59" i="11"/>
  <c r="G53" i="25"/>
  <c r="H53" i="25" s="1"/>
  <c r="AJ26" i="23"/>
  <c r="I28" i="23"/>
  <c r="I29" i="23" s="1"/>
  <c r="J29" i="23" s="1"/>
  <c r="K29" i="23" s="1"/>
  <c r="L29" i="23" s="1"/>
  <c r="I30" i="23"/>
  <c r="I31" i="23" s="1"/>
  <c r="E30" i="23"/>
  <c r="E26" i="23"/>
  <c r="F28" i="23"/>
  <c r="Y28" i="23"/>
  <c r="AL28" i="23"/>
  <c r="U26" i="23"/>
  <c r="U30" i="23"/>
  <c r="Z30" i="23"/>
  <c r="R28" i="23"/>
  <c r="R26" i="23"/>
  <c r="H28" i="23"/>
  <c r="AJ28" i="23"/>
  <c r="L26" i="23"/>
  <c r="N26" i="23"/>
  <c r="N27" i="23" s="1"/>
  <c r="O27" i="23" s="1"/>
  <c r="P27" i="23" s="1"/>
  <c r="F26" i="23"/>
  <c r="G30" i="23"/>
  <c r="G28" i="23"/>
  <c r="H26" i="23"/>
  <c r="S26" i="23"/>
  <c r="S28" i="23"/>
  <c r="S29" i="23" s="1"/>
  <c r="AA17" i="23"/>
  <c r="AC59" i="1" s="1"/>
  <c r="AB20" i="19" s="1"/>
  <c r="F17" i="23"/>
  <c r="H59" i="1" s="1"/>
  <c r="G20" i="19" s="1"/>
  <c r="M17" i="23"/>
  <c r="O59" i="1" s="1"/>
  <c r="N20" i="19" s="1"/>
  <c r="M26" i="23"/>
  <c r="AL30" i="23"/>
  <c r="D14" i="7"/>
  <c r="F24" i="7" s="1"/>
  <c r="F35" i="7" s="1"/>
  <c r="F96" i="7" s="1"/>
  <c r="H34" i="6" s="1"/>
  <c r="AB28" i="23"/>
  <c r="AB30" i="23"/>
  <c r="W17" i="23"/>
  <c r="Y59" i="1" s="1"/>
  <c r="X20" i="19" s="1"/>
  <c r="AF17" i="23"/>
  <c r="AH59" i="1" s="1"/>
  <c r="AG20" i="19" s="1"/>
  <c r="D28" i="23"/>
  <c r="D29" i="23" s="1"/>
  <c r="E29" i="23" s="1"/>
  <c r="D26" i="23"/>
  <c r="D27" i="23" s="1"/>
  <c r="Z17" i="23"/>
  <c r="AB59" i="1" s="1"/>
  <c r="AA20" i="19" s="1"/>
  <c r="Z28" i="23"/>
  <c r="X17" i="23"/>
  <c r="Z59" i="1" s="1"/>
  <c r="Y20" i="19" s="1"/>
  <c r="S17" i="23"/>
  <c r="U59" i="1" s="1"/>
  <c r="T20" i="19" s="1"/>
  <c r="AL17" i="23"/>
  <c r="AN59" i="1" s="1"/>
  <c r="AM20" i="19" s="1"/>
  <c r="G17" i="23"/>
  <c r="I59" i="1" s="1"/>
  <c r="H20" i="19" s="1"/>
  <c r="AC17" i="23"/>
  <c r="AE59" i="1" s="1"/>
  <c r="AD20" i="19" s="1"/>
  <c r="J17" i="23"/>
  <c r="L59" i="1" s="1"/>
  <c r="K20" i="19" s="1"/>
  <c r="AH17" i="23"/>
  <c r="AJ59" i="1" s="1"/>
  <c r="AG206" i="1" s="1"/>
  <c r="AH26" i="23"/>
  <c r="AH27" i="23" s="1"/>
  <c r="AH28" i="23"/>
  <c r="AH29" i="23" s="1"/>
  <c r="AI29" i="23" s="1"/>
  <c r="AD17" i="23"/>
  <c r="AF59" i="1" s="1"/>
  <c r="AE20" i="19" s="1"/>
  <c r="H17" i="23"/>
  <c r="J59" i="1" s="1"/>
  <c r="I20" i="19" s="1"/>
  <c r="U17" i="23"/>
  <c r="W59" i="1" s="1"/>
  <c r="V20" i="19" s="1"/>
  <c r="T17" i="23"/>
  <c r="V59" i="1" s="1"/>
  <c r="U20" i="19" s="1"/>
  <c r="Y30" i="23"/>
  <c r="J26" i="23"/>
  <c r="AF26" i="23"/>
  <c r="J30" i="23"/>
  <c r="P28" i="23"/>
  <c r="V26" i="23"/>
  <c r="V30" i="23"/>
  <c r="AI30" i="23"/>
  <c r="AI31" i="23" s="1"/>
  <c r="AJ31" i="23" s="1"/>
  <c r="AE17" i="23"/>
  <c r="AG59" i="1" s="1"/>
  <c r="AF20" i="19" s="1"/>
  <c r="P30" i="23"/>
  <c r="AK28" i="23"/>
  <c r="AI26" i="23"/>
  <c r="AE30" i="23"/>
  <c r="AK30" i="23"/>
  <c r="AE28" i="23"/>
  <c r="AI17" i="23"/>
  <c r="AK59" i="1" s="1"/>
  <c r="AH206" i="1" s="1"/>
  <c r="L17" i="23"/>
  <c r="N59" i="1" s="1"/>
  <c r="M20" i="19" s="1"/>
  <c r="AF28" i="23"/>
  <c r="R17" i="23"/>
  <c r="T59" i="1" s="1"/>
  <c r="S20" i="19" s="1"/>
  <c r="E17" i="23"/>
  <c r="G59" i="1" s="1"/>
  <c r="F20" i="19" s="1"/>
  <c r="D17" i="23"/>
  <c r="F59" i="1" s="1"/>
  <c r="AG17" i="23"/>
  <c r="AI59" i="1" s="1"/>
  <c r="AH20" i="19" s="1"/>
  <c r="V17" i="23"/>
  <c r="X59" i="1" s="1"/>
  <c r="W20" i="19" s="1"/>
  <c r="AB17" i="23"/>
  <c r="AD59" i="1" s="1"/>
  <c r="AC20" i="19" s="1"/>
  <c r="K17" i="23"/>
  <c r="M59" i="1" s="1"/>
  <c r="L20" i="19" s="1"/>
  <c r="AG28" i="23"/>
  <c r="AG30" i="23"/>
  <c r="AG26" i="23"/>
  <c r="AM12" i="23"/>
  <c r="N17" i="23"/>
  <c r="P59" i="1" s="1"/>
  <c r="O20" i="19" s="1"/>
  <c r="AC28" i="23"/>
  <c r="AC29" i="23" s="1"/>
  <c r="AC30" i="23"/>
  <c r="AC31" i="23" s="1"/>
  <c r="AD31" i="23" s="1"/>
  <c r="Q30" i="23"/>
  <c r="Q28" i="23"/>
  <c r="AM14" i="23"/>
  <c r="Y17" i="23"/>
  <c r="AA59" i="1" s="1"/>
  <c r="Z20" i="19" s="1"/>
  <c r="AJ17" i="23"/>
  <c r="AL59" i="1" s="1"/>
  <c r="AI206" i="1" s="1"/>
  <c r="AK17" i="23"/>
  <c r="AM59" i="1" s="1"/>
  <c r="AL20" i="19" s="1"/>
  <c r="O17" i="23"/>
  <c r="Q59" i="1" s="1"/>
  <c r="P20" i="19" s="1"/>
  <c r="AM13" i="23"/>
  <c r="AM16" i="23"/>
  <c r="P17" i="23"/>
  <c r="R59" i="1" s="1"/>
  <c r="Q20" i="19" s="1"/>
  <c r="AJ14" i="7"/>
  <c r="AJ16" i="7" s="1"/>
  <c r="AJ17" i="7" s="1"/>
  <c r="Q26" i="23"/>
  <c r="I17" i="23"/>
  <c r="K59" i="1" s="1"/>
  <c r="J20" i="19" s="1"/>
  <c r="AM15" i="23"/>
  <c r="N30" i="23"/>
  <c r="N31" i="23" s="1"/>
  <c r="Q17" i="23"/>
  <c r="S59" i="1" s="1"/>
  <c r="R20" i="19" s="1"/>
  <c r="C58" i="11"/>
  <c r="H14" i="7"/>
  <c r="J24" i="7" s="1"/>
  <c r="J43" i="7" s="1"/>
  <c r="J96" i="7" s="1"/>
  <c r="L34" i="6" s="1"/>
  <c r="X14" i="7"/>
  <c r="Z76" i="7" s="1"/>
  <c r="Z97" i="7" s="1"/>
  <c r="L14" i="7"/>
  <c r="L24" i="7" s="1"/>
  <c r="AB14" i="7"/>
  <c r="AE83" i="7" s="1"/>
  <c r="AE96" i="7" s="1"/>
  <c r="AG34" i="6" s="1"/>
  <c r="T14" i="7"/>
  <c r="I27" i="23"/>
  <c r="C9" i="7"/>
  <c r="G5" i="21" a="1"/>
  <c r="F87" i="1"/>
  <c r="AO48" i="1"/>
  <c r="F71" i="1"/>
  <c r="P14" i="7"/>
  <c r="AC27" i="23"/>
  <c r="T31" i="23"/>
  <c r="AN87" i="1"/>
  <c r="AK198" i="1"/>
  <c r="AN71" i="1"/>
  <c r="X27" i="23"/>
  <c r="Y27" i="23" s="1"/>
  <c r="Z27" i="23" s="1"/>
  <c r="AA27" i="23" s="1"/>
  <c r="AB27" i="23" s="1"/>
  <c r="D31" i="23"/>
  <c r="AF14" i="7"/>
  <c r="AJ198" i="1"/>
  <c r="AM87" i="1"/>
  <c r="AM71" i="1"/>
  <c r="O31" i="23" l="1"/>
  <c r="O32" i="23"/>
  <c r="O21" i="23" s="1"/>
  <c r="W32" i="23"/>
  <c r="W21" i="23" s="1"/>
  <c r="F32" i="23"/>
  <c r="F21" i="23" s="1"/>
  <c r="T32" i="23"/>
  <c r="T21" i="23" s="1"/>
  <c r="AD29" i="23"/>
  <c r="AE29" i="23" s="1"/>
  <c r="AF29" i="23" s="1"/>
  <c r="AG29" i="23" s="1"/>
  <c r="M32" i="23"/>
  <c r="M21" i="23" s="1"/>
  <c r="M29" i="23"/>
  <c r="AA32" i="23"/>
  <c r="AA21" i="23" s="1"/>
  <c r="T29" i="23"/>
  <c r="U29" i="23" s="1"/>
  <c r="V29" i="23" s="1"/>
  <c r="W29" i="23" s="1"/>
  <c r="AD27" i="23"/>
  <c r="AE27" i="23" s="1"/>
  <c r="AF27" i="23" s="1"/>
  <c r="AG27" i="23" s="1"/>
  <c r="Y29" i="23"/>
  <c r="Z29" i="23" s="1"/>
  <c r="AA29" i="23" s="1"/>
  <c r="AB29" i="23" s="1"/>
  <c r="X32" i="23"/>
  <c r="X33" i="23" s="1"/>
  <c r="J31" i="23"/>
  <c r="K31" i="23" s="1"/>
  <c r="L31" i="23" s="1"/>
  <c r="M31" i="23" s="1"/>
  <c r="AJ32" i="23"/>
  <c r="AJ21" i="23" s="1"/>
  <c r="AD32" i="23"/>
  <c r="AD21" i="23" s="1"/>
  <c r="I32" i="23"/>
  <c r="I33" i="23" s="1"/>
  <c r="K32" i="23"/>
  <c r="K21" i="23" s="1"/>
  <c r="U32" i="23"/>
  <c r="U21" i="23" s="1"/>
  <c r="L32" i="23"/>
  <c r="L21" i="23" s="1"/>
  <c r="E32" i="23"/>
  <c r="E21" i="23" s="1"/>
  <c r="E31" i="23"/>
  <c r="F31" i="23" s="1"/>
  <c r="G31" i="23" s="1"/>
  <c r="H31" i="23" s="1"/>
  <c r="Y32" i="23"/>
  <c r="Y21" i="23" s="1"/>
  <c r="E27" i="23"/>
  <c r="F27" i="23" s="1"/>
  <c r="G27" i="23" s="1"/>
  <c r="H27" i="23" s="1"/>
  <c r="U31" i="23"/>
  <c r="V31" i="23" s="1"/>
  <c r="W31" i="23" s="1"/>
  <c r="Z32" i="23"/>
  <c r="Z21" i="23" s="1"/>
  <c r="F29" i="23"/>
  <c r="G29" i="23" s="1"/>
  <c r="H29" i="23" s="1"/>
  <c r="AL32" i="23"/>
  <c r="AL21" i="23" s="1"/>
  <c r="AJ29" i="23"/>
  <c r="AK29" i="23" s="1"/>
  <c r="AL29" i="23" s="1"/>
  <c r="U67" i="7"/>
  <c r="U96" i="7" s="1"/>
  <c r="W34" i="6" s="1"/>
  <c r="T24" i="7"/>
  <c r="H33" i="30"/>
  <c r="H9" i="30"/>
  <c r="H10" i="30" s="1"/>
  <c r="H35" i="30"/>
  <c r="H34" i="30"/>
  <c r="R32" i="23"/>
  <c r="R21" i="23" s="1"/>
  <c r="H32" i="23"/>
  <c r="H21" i="23" s="1"/>
  <c r="AB32" i="23"/>
  <c r="AB21" i="23" s="1"/>
  <c r="AK206" i="1"/>
  <c r="S32" i="23"/>
  <c r="S33" i="23" s="1"/>
  <c r="D32" i="23"/>
  <c r="D33" i="23" s="1"/>
  <c r="G32" i="23"/>
  <c r="G21" i="23" s="1"/>
  <c r="S27" i="23"/>
  <c r="T27" i="23" s="1"/>
  <c r="U27" i="23" s="1"/>
  <c r="V27" i="23" s="1"/>
  <c r="W27" i="23" s="1"/>
  <c r="AH32" i="23"/>
  <c r="AH33" i="23" s="1"/>
  <c r="AI32" i="23"/>
  <c r="AI21" i="23" s="1"/>
  <c r="AJ20" i="19"/>
  <c r="P29" i="23"/>
  <c r="Q29" i="23" s="1"/>
  <c r="R29" i="23" s="1"/>
  <c r="D16" i="7"/>
  <c r="D17" i="7" s="1"/>
  <c r="D24" i="7"/>
  <c r="D36" i="7" s="1"/>
  <c r="D97" i="7" s="1"/>
  <c r="E24" i="7"/>
  <c r="E35" i="7" s="1"/>
  <c r="E96" i="7" s="1"/>
  <c r="G34" i="6" s="1"/>
  <c r="G24" i="7"/>
  <c r="G35" i="7" s="1"/>
  <c r="G96" i="7" s="1"/>
  <c r="I34" i="6" s="1"/>
  <c r="AF32" i="23"/>
  <c r="AF21" i="23" s="1"/>
  <c r="P32" i="23"/>
  <c r="P21" i="23" s="1"/>
  <c r="Y31" i="23"/>
  <c r="Z31" i="23" s="1"/>
  <c r="AA31" i="23" s="1"/>
  <c r="AB31" i="23" s="1"/>
  <c r="AI27" i="23"/>
  <c r="AJ27" i="23" s="1"/>
  <c r="AK27" i="23" s="1"/>
  <c r="AL27" i="23" s="1"/>
  <c r="AI20" i="19"/>
  <c r="AE32" i="23"/>
  <c r="AE21" i="23" s="1"/>
  <c r="AE31" i="23"/>
  <c r="AF31" i="23" s="1"/>
  <c r="AG31" i="23" s="1"/>
  <c r="P31" i="23"/>
  <c r="Q31" i="23" s="1"/>
  <c r="R31" i="23" s="1"/>
  <c r="AC32" i="23"/>
  <c r="AC33" i="23" s="1"/>
  <c r="AG32" i="23"/>
  <c r="AG21" i="23" s="1"/>
  <c r="J32" i="23"/>
  <c r="J21" i="23" s="1"/>
  <c r="H24" i="7"/>
  <c r="H44" i="7" s="1"/>
  <c r="H97" i="7" s="1"/>
  <c r="J27" i="23"/>
  <c r="K27" i="23" s="1"/>
  <c r="L27" i="23" s="1"/>
  <c r="M27" i="23" s="1"/>
  <c r="AJ206" i="1"/>
  <c r="AM26" i="23"/>
  <c r="V32" i="23"/>
  <c r="V21" i="23" s="1"/>
  <c r="AM30" i="23"/>
  <c r="AK31" i="23"/>
  <c r="AL31" i="23" s="1"/>
  <c r="AK20" i="19"/>
  <c r="AK32" i="23"/>
  <c r="AK21" i="23" s="1"/>
  <c r="AM28" i="23"/>
  <c r="N32" i="23"/>
  <c r="N33" i="23" s="1"/>
  <c r="AM17" i="23"/>
  <c r="Q32" i="23"/>
  <c r="Q21" i="23" s="1"/>
  <c r="Q27" i="23"/>
  <c r="R27" i="23" s="1"/>
  <c r="K24" i="7"/>
  <c r="K43" i="7" s="1"/>
  <c r="K96" i="7" s="1"/>
  <c r="M34" i="6" s="1"/>
  <c r="H16" i="7"/>
  <c r="H17" i="7" s="1"/>
  <c r="I24" i="7"/>
  <c r="I43" i="7" s="1"/>
  <c r="I96" i="7" s="1"/>
  <c r="K34" i="6" s="1"/>
  <c r="AA76" i="7"/>
  <c r="AA97" i="7" s="1"/>
  <c r="X75" i="7"/>
  <c r="X77" i="7" s="1"/>
  <c r="X76" i="7"/>
  <c r="X97" i="7" s="1"/>
  <c r="Y75" i="7"/>
  <c r="Y96" i="7" s="1"/>
  <c r="AA34" i="6" s="1"/>
  <c r="AA75" i="7"/>
  <c r="AA96" i="7" s="1"/>
  <c r="AC34" i="6" s="1"/>
  <c r="Z75" i="7"/>
  <c r="Z96" i="7" s="1"/>
  <c r="AB34" i="6" s="1"/>
  <c r="O24" i="7"/>
  <c r="O52" i="7" s="1"/>
  <c r="O97" i="7" s="1"/>
  <c r="M24" i="7"/>
  <c r="M52" i="7" s="1"/>
  <c r="M97" i="7" s="1"/>
  <c r="L51" i="7"/>
  <c r="L96" i="7" s="1"/>
  <c r="N34" i="6" s="1"/>
  <c r="L52" i="7"/>
  <c r="L97" i="7" s="1"/>
  <c r="N24" i="7"/>
  <c r="N51" i="7" s="1"/>
  <c r="N96" i="7" s="1"/>
  <c r="P34" i="6" s="1"/>
  <c r="L16" i="7"/>
  <c r="L17" i="7" s="1"/>
  <c r="Y76" i="7"/>
  <c r="Y97" i="7" s="1"/>
  <c r="X16" i="7"/>
  <c r="X17" i="7" s="1"/>
  <c r="AC84" i="7"/>
  <c r="AC97" i="7" s="1"/>
  <c r="T67" i="7"/>
  <c r="T69" i="7" s="1"/>
  <c r="U68" i="7"/>
  <c r="U97" i="7" s="1"/>
  <c r="W68" i="7"/>
  <c r="W97" i="7" s="1"/>
  <c r="T68" i="7"/>
  <c r="T97" i="7" s="1"/>
  <c r="V67" i="7"/>
  <c r="V96" i="7" s="1"/>
  <c r="X34" i="6" s="1"/>
  <c r="F36" i="7"/>
  <c r="F97" i="7" s="1"/>
  <c r="V68" i="7"/>
  <c r="V97" i="7" s="1"/>
  <c r="T16" i="7"/>
  <c r="T17" i="7" s="1"/>
  <c r="W67" i="7"/>
  <c r="W96" i="7" s="1"/>
  <c r="Y34" i="6" s="1"/>
  <c r="AC83" i="7"/>
  <c r="AC96" i="7" s="1"/>
  <c r="AE34" i="6" s="1"/>
  <c r="AB16" i="7"/>
  <c r="AB17" i="7" s="1"/>
  <c r="AE84" i="7"/>
  <c r="AE97" i="7" s="1"/>
  <c r="AD84" i="7"/>
  <c r="AD97" i="7" s="1"/>
  <c r="AB83" i="7"/>
  <c r="AB96" i="7" s="1"/>
  <c r="AD34" i="6" s="1"/>
  <c r="AB84" i="7"/>
  <c r="AB97" i="7" s="1"/>
  <c r="AD83" i="7"/>
  <c r="AD96" i="7" s="1"/>
  <c r="AF34" i="6" s="1"/>
  <c r="J44" i="7"/>
  <c r="J97" i="7" s="1"/>
  <c r="D10" i="7"/>
  <c r="AI10" i="7"/>
  <c r="Z10" i="7"/>
  <c r="AE10" i="7"/>
  <c r="J10" i="7"/>
  <c r="X10" i="7"/>
  <c r="T10" i="7"/>
  <c r="G10" i="7"/>
  <c r="W10" i="7"/>
  <c r="O10" i="7"/>
  <c r="AF10" i="7"/>
  <c r="M10" i="7"/>
  <c r="N10" i="7"/>
  <c r="AB10" i="7"/>
  <c r="AA10" i="7"/>
  <c r="K10" i="7"/>
  <c r="S10" i="7"/>
  <c r="H10" i="7"/>
  <c r="E10" i="7"/>
  <c r="AJ10" i="7"/>
  <c r="Q10" i="7"/>
  <c r="Y10" i="7"/>
  <c r="I10" i="7"/>
  <c r="F10" i="7"/>
  <c r="AH10" i="7"/>
  <c r="R10" i="7"/>
  <c r="L10" i="7"/>
  <c r="AD10" i="7"/>
  <c r="AK10" i="7"/>
  <c r="AG10" i="7"/>
  <c r="V10" i="7"/>
  <c r="AL10" i="7"/>
  <c r="AC10" i="7"/>
  <c r="P10" i="7"/>
  <c r="U10" i="7"/>
  <c r="AO71" i="1"/>
  <c r="P16" i="7"/>
  <c r="P17" i="7" s="1"/>
  <c r="Q24" i="7"/>
  <c r="Q59" i="7" s="1"/>
  <c r="Q96" i="7" s="1"/>
  <c r="S34" i="6" s="1"/>
  <c r="R24" i="7"/>
  <c r="R59" i="7" s="1"/>
  <c r="R96" i="7" s="1"/>
  <c r="T34" i="6" s="1"/>
  <c r="P24" i="7"/>
  <c r="P60" i="7" s="1"/>
  <c r="S24" i="7"/>
  <c r="S60" i="7" s="1"/>
  <c r="S97" i="7" s="1"/>
  <c r="D12" i="8"/>
  <c r="D12" i="1"/>
  <c r="H16" i="8"/>
  <c r="AO87" i="1"/>
  <c r="E20" i="19"/>
  <c r="AO59" i="1"/>
  <c r="AF16" i="7"/>
  <c r="AF17" i="7" s="1"/>
  <c r="G10" i="21"/>
  <c r="G38" i="21"/>
  <c r="G33" i="21"/>
  <c r="G32" i="21"/>
  <c r="G21" i="21"/>
  <c r="G24" i="21"/>
  <c r="G7" i="21"/>
  <c r="G31" i="21"/>
  <c r="G8" i="21"/>
  <c r="G37" i="21"/>
  <c r="G36" i="21"/>
  <c r="G22" i="21"/>
  <c r="G20" i="21"/>
  <c r="G17" i="21"/>
  <c r="G13" i="21"/>
  <c r="G18" i="21"/>
  <c r="G19" i="21"/>
  <c r="G9" i="21"/>
  <c r="G23" i="21"/>
  <c r="G16" i="21"/>
  <c r="G30" i="21"/>
  <c r="G28" i="21"/>
  <c r="G6" i="21"/>
  <c r="G34" i="21"/>
  <c r="G5" i="21"/>
  <c r="G25" i="21"/>
  <c r="G27" i="21"/>
  <c r="G14" i="21"/>
  <c r="G11" i="21"/>
  <c r="G29" i="21"/>
  <c r="G26" i="21"/>
  <c r="G39" i="21"/>
  <c r="G15" i="21"/>
  <c r="G12" i="21"/>
  <c r="G35" i="21"/>
  <c r="O33" i="23" l="1"/>
  <c r="T33" i="23"/>
  <c r="U33" i="23" s="1"/>
  <c r="V33" i="23" s="1"/>
  <c r="W33" i="23" s="1"/>
  <c r="I21" i="23"/>
  <c r="X21" i="23"/>
  <c r="AD33" i="23"/>
  <c r="AE33" i="23" s="1"/>
  <c r="AF33" i="23" s="1"/>
  <c r="AG33" i="23" s="1"/>
  <c r="Y33" i="23"/>
  <c r="Z33" i="23" s="1"/>
  <c r="AA33" i="23" s="1"/>
  <c r="AB33" i="23" s="1"/>
  <c r="E33" i="23"/>
  <c r="F33" i="23" s="1"/>
  <c r="G33" i="23" s="1"/>
  <c r="H33" i="23" s="1"/>
  <c r="S21" i="23"/>
  <c r="H20" i="30"/>
  <c r="H21" i="30" s="1"/>
  <c r="H22" i="30" s="1"/>
  <c r="H23" i="30" s="1"/>
  <c r="H24" i="30" s="1"/>
  <c r="H25" i="30" s="1"/>
  <c r="H26" i="30" s="1"/>
  <c r="H27" i="30" s="1"/>
  <c r="H28" i="30" s="1"/>
  <c r="H29" i="30" s="1"/>
  <c r="H14" i="30"/>
  <c r="J33" i="23"/>
  <c r="K33" i="23" s="1"/>
  <c r="L33" i="23" s="1"/>
  <c r="M33" i="23" s="1"/>
  <c r="AH21" i="23"/>
  <c r="P33" i="23"/>
  <c r="Q33" i="23" s="1"/>
  <c r="R33" i="23" s="1"/>
  <c r="D35" i="7"/>
  <c r="AM35" i="7" s="1"/>
  <c r="D21" i="23"/>
  <c r="AI33" i="23"/>
  <c r="AJ33" i="23" s="1"/>
  <c r="AK33" i="23" s="1"/>
  <c r="AL33" i="23" s="1"/>
  <c r="E36" i="7"/>
  <c r="E97" i="7" s="1"/>
  <c r="G36" i="7"/>
  <c r="G97" i="7" s="1"/>
  <c r="H43" i="7"/>
  <c r="H96" i="7" s="1"/>
  <c r="J34" i="6" s="1"/>
  <c r="AM27" i="23"/>
  <c r="AM29" i="23"/>
  <c r="K44" i="7"/>
  <c r="K97" i="7" s="1"/>
  <c r="AM31" i="23"/>
  <c r="AM32" i="23"/>
  <c r="AC21" i="23"/>
  <c r="X96" i="7"/>
  <c r="Z34" i="6" s="1"/>
  <c r="I44" i="7"/>
  <c r="I97" i="7" s="1"/>
  <c r="N21" i="23"/>
  <c r="O51" i="7"/>
  <c r="O96" i="7" s="1"/>
  <c r="Q34" i="6" s="1"/>
  <c r="AM75" i="7"/>
  <c r="AM76" i="7"/>
  <c r="M51" i="7"/>
  <c r="M96" i="7" s="1"/>
  <c r="O34" i="6" s="1"/>
  <c r="L53" i="7"/>
  <c r="L54" i="7" s="1"/>
  <c r="N52" i="7"/>
  <c r="N97" i="7" s="1"/>
  <c r="AM68" i="7"/>
  <c r="T96" i="7"/>
  <c r="V34" i="6" s="1"/>
  <c r="AM83" i="7"/>
  <c r="AB85" i="7"/>
  <c r="AB86" i="7" s="1"/>
  <c r="AM84" i="7"/>
  <c r="AM67" i="7"/>
  <c r="R60" i="7"/>
  <c r="R97" i="7" s="1"/>
  <c r="P97" i="7"/>
  <c r="N9" i="21"/>
  <c r="N48" i="21" s="1"/>
  <c r="AP9" i="21"/>
  <c r="AP48" i="21" s="1"/>
  <c r="AJ9" i="21"/>
  <c r="AJ48" i="21" s="1"/>
  <c r="W9" i="21"/>
  <c r="W48" i="21" s="1"/>
  <c r="R9" i="21"/>
  <c r="R48" i="21" s="1"/>
  <c r="AB9" i="21"/>
  <c r="AB48" i="21" s="1"/>
  <c r="Q9" i="21"/>
  <c r="Q48" i="21" s="1"/>
  <c r="AC9" i="21"/>
  <c r="AC48" i="21" s="1"/>
  <c r="AH9" i="21"/>
  <c r="AH48" i="21" s="1"/>
  <c r="AA9" i="21"/>
  <c r="AA48" i="21" s="1"/>
  <c r="G48" i="21"/>
  <c r="T9" i="21"/>
  <c r="T48" i="21" s="1"/>
  <c r="X9" i="21"/>
  <c r="X48" i="21" s="1"/>
  <c r="P9" i="21"/>
  <c r="P48" i="21" s="1"/>
  <c r="S9" i="21"/>
  <c r="S48" i="21" s="1"/>
  <c r="O9" i="21"/>
  <c r="O48" i="21" s="1"/>
  <c r="V9" i="21"/>
  <c r="V48" i="21" s="1"/>
  <c r="AM9" i="21"/>
  <c r="AM48" i="21" s="1"/>
  <c r="AL9" i="21"/>
  <c r="AL48" i="21" s="1"/>
  <c r="M9" i="21"/>
  <c r="M48" i="21" s="1"/>
  <c r="AF9" i="21"/>
  <c r="AF48" i="21" s="1"/>
  <c r="Y9" i="21"/>
  <c r="Y48" i="21" s="1"/>
  <c r="AO9" i="21"/>
  <c r="AO48" i="21" s="1"/>
  <c r="AG9" i="21"/>
  <c r="AG48" i="21" s="1"/>
  <c r="U9" i="21"/>
  <c r="U48" i="21" s="1"/>
  <c r="AN9" i="21"/>
  <c r="AN48" i="21" s="1"/>
  <c r="AK9" i="21"/>
  <c r="AK48" i="21" s="1"/>
  <c r="Z9" i="21"/>
  <c r="Z48" i="21" s="1"/>
  <c r="AD9" i="21"/>
  <c r="AD48" i="21" s="1"/>
  <c r="AE9" i="21"/>
  <c r="AE48" i="21" s="1"/>
  <c r="L9" i="21"/>
  <c r="L48" i="21" s="1"/>
  <c r="AI9" i="21"/>
  <c r="AI48" i="21" s="1"/>
  <c r="G63" i="21"/>
  <c r="AH24" i="21"/>
  <c r="AH63" i="21" s="1"/>
  <c r="AO24" i="21"/>
  <c r="AO63" i="21" s="1"/>
  <c r="AL24" i="21"/>
  <c r="AL63" i="21" s="1"/>
  <c r="AN24" i="21"/>
  <c r="AN63" i="21" s="1"/>
  <c r="AD24" i="21"/>
  <c r="AD63" i="21" s="1"/>
  <c r="AJ24" i="21"/>
  <c r="AJ63" i="21" s="1"/>
  <c r="AM24" i="21"/>
  <c r="AM63" i="21" s="1"/>
  <c r="AE24" i="21"/>
  <c r="AE63" i="21" s="1"/>
  <c r="AF24" i="21"/>
  <c r="AF63" i="21" s="1"/>
  <c r="AB24" i="21"/>
  <c r="AB63" i="21" s="1"/>
  <c r="AA24" i="21"/>
  <c r="AA63" i="21" s="1"/>
  <c r="AC24" i="21"/>
  <c r="AC63" i="21" s="1"/>
  <c r="AG24" i="21"/>
  <c r="AG63" i="21" s="1"/>
  <c r="AK24" i="21"/>
  <c r="AK63" i="21" s="1"/>
  <c r="AI24" i="21"/>
  <c r="AI63" i="21" s="1"/>
  <c r="AP24" i="21"/>
  <c r="AP63" i="21" s="1"/>
  <c r="P59" i="7"/>
  <c r="G64" i="21"/>
  <c r="AP25" i="21"/>
  <c r="AP64" i="21" s="1"/>
  <c r="AF25" i="21"/>
  <c r="AF64" i="21" s="1"/>
  <c r="AE25" i="21"/>
  <c r="AE64" i="21" s="1"/>
  <c r="AM25" i="21"/>
  <c r="AM64" i="21" s="1"/>
  <c r="AG25" i="21"/>
  <c r="AG64" i="21" s="1"/>
  <c r="AO25" i="21"/>
  <c r="AO64" i="21" s="1"/>
  <c r="AI25" i="21"/>
  <c r="AI64" i="21" s="1"/>
  <c r="AL25" i="21"/>
  <c r="AL64" i="21" s="1"/>
  <c r="AC25" i="21"/>
  <c r="AC64" i="21" s="1"/>
  <c r="AK25" i="21"/>
  <c r="AK64" i="21" s="1"/>
  <c r="AH25" i="21"/>
  <c r="AH64" i="21" s="1"/>
  <c r="AD25" i="21"/>
  <c r="AD64" i="21" s="1"/>
  <c r="AJ25" i="21"/>
  <c r="AJ64" i="21" s="1"/>
  <c r="AB25" i="21"/>
  <c r="AB64" i="21" s="1"/>
  <c r="AN25" i="21"/>
  <c r="AN64" i="21" s="1"/>
  <c r="G56" i="21"/>
  <c r="AD17" i="21"/>
  <c r="AD56" i="21" s="1"/>
  <c r="AJ17" i="21"/>
  <c r="AJ56" i="21" s="1"/>
  <c r="X17" i="21"/>
  <c r="X56" i="21" s="1"/>
  <c r="AE17" i="21"/>
  <c r="AE56" i="21" s="1"/>
  <c r="AL17" i="21"/>
  <c r="AL56" i="21" s="1"/>
  <c r="T17" i="21"/>
  <c r="T56" i="21" s="1"/>
  <c r="AF17" i="21"/>
  <c r="AF56" i="21" s="1"/>
  <c r="AA17" i="21"/>
  <c r="AA56" i="21" s="1"/>
  <c r="V17" i="21"/>
  <c r="V56" i="21" s="1"/>
  <c r="Z17" i="21"/>
  <c r="Z56" i="21" s="1"/>
  <c r="AB17" i="21"/>
  <c r="AB56" i="21" s="1"/>
  <c r="AP17" i="21"/>
  <c r="AP56" i="21" s="1"/>
  <c r="AO17" i="21"/>
  <c r="AO56" i="21" s="1"/>
  <c r="AN17" i="21"/>
  <c r="AN56" i="21" s="1"/>
  <c r="AG17" i="21"/>
  <c r="AG56" i="21" s="1"/>
  <c r="AK17" i="21"/>
  <c r="AK56" i="21" s="1"/>
  <c r="AH17" i="21"/>
  <c r="AH56" i="21" s="1"/>
  <c r="AM17" i="21"/>
  <c r="AM56" i="21" s="1"/>
  <c r="AI17" i="21"/>
  <c r="AI56" i="21" s="1"/>
  <c r="Y17" i="21"/>
  <c r="Y56" i="21" s="1"/>
  <c r="AC17" i="21"/>
  <c r="AC56" i="21" s="1"/>
  <c r="W17" i="21"/>
  <c r="W56" i="21" s="1"/>
  <c r="U17" i="21"/>
  <c r="U56" i="21" s="1"/>
  <c r="G77" i="21"/>
  <c r="AP38" i="21"/>
  <c r="AP77" i="21" s="1"/>
  <c r="AO38" i="21"/>
  <c r="AO77" i="21" s="1"/>
  <c r="S59" i="7"/>
  <c r="S96" i="7" s="1"/>
  <c r="U34" i="6" s="1"/>
  <c r="AP39" i="21"/>
  <c r="AP78" i="21" s="1"/>
  <c r="G78" i="21"/>
  <c r="Y5" i="21"/>
  <c r="AJ5" i="21"/>
  <c r="G40" i="21"/>
  <c r="AL5" i="21"/>
  <c r="Q5" i="21"/>
  <c r="P5" i="21"/>
  <c r="AG5" i="21"/>
  <c r="AA5" i="21"/>
  <c r="AP5" i="21"/>
  <c r="AN5" i="21"/>
  <c r="I5" i="21"/>
  <c r="AE5" i="21"/>
  <c r="AF5" i="21"/>
  <c r="AI5" i="21"/>
  <c r="AB5" i="21"/>
  <c r="K5" i="21"/>
  <c r="AO5" i="21"/>
  <c r="AC5" i="21"/>
  <c r="G44" i="21"/>
  <c r="J5" i="21"/>
  <c r="W5" i="21"/>
  <c r="H5" i="21"/>
  <c r="V5" i="21"/>
  <c r="AM5" i="21"/>
  <c r="T5" i="21"/>
  <c r="M5" i="21"/>
  <c r="AD5" i="21"/>
  <c r="X5" i="21"/>
  <c r="AH5" i="21"/>
  <c r="R5" i="21"/>
  <c r="S5" i="21"/>
  <c r="AK5" i="21"/>
  <c r="O5" i="21"/>
  <c r="U5" i="21"/>
  <c r="Z5" i="21"/>
  <c r="N5" i="21"/>
  <c r="L5" i="21"/>
  <c r="G59" i="21"/>
  <c r="AJ20" i="21"/>
  <c r="AJ59" i="21" s="1"/>
  <c r="AM20" i="21"/>
  <c r="AM59" i="21" s="1"/>
  <c r="AA20" i="21"/>
  <c r="AA59" i="21" s="1"/>
  <c r="AO20" i="21"/>
  <c r="AO59" i="21" s="1"/>
  <c r="AH20" i="21"/>
  <c r="AH59" i="21" s="1"/>
  <c r="Z20" i="21"/>
  <c r="Z59" i="21" s="1"/>
  <c r="AN20" i="21"/>
  <c r="AN59" i="21" s="1"/>
  <c r="AC20" i="21"/>
  <c r="AC59" i="21" s="1"/>
  <c r="AK20" i="21"/>
  <c r="AK59" i="21" s="1"/>
  <c r="AE20" i="21"/>
  <c r="AE59" i="21" s="1"/>
  <c r="AB20" i="21"/>
  <c r="AB59" i="21" s="1"/>
  <c r="AI20" i="21"/>
  <c r="AI59" i="21" s="1"/>
  <c r="X20" i="21"/>
  <c r="X59" i="21" s="1"/>
  <c r="AG20" i="21"/>
  <c r="AG59" i="21" s="1"/>
  <c r="W20" i="21"/>
  <c r="W59" i="21" s="1"/>
  <c r="Y20" i="21"/>
  <c r="Y59" i="21" s="1"/>
  <c r="AP20" i="21"/>
  <c r="AP59" i="21" s="1"/>
  <c r="AL20" i="21"/>
  <c r="AL59" i="21" s="1"/>
  <c r="AD20" i="21"/>
  <c r="AD59" i="21" s="1"/>
  <c r="AF20" i="21"/>
  <c r="AF59" i="21" s="1"/>
  <c r="G49" i="21"/>
  <c r="AP10" i="21"/>
  <c r="AP49" i="21" s="1"/>
  <c r="AN10" i="21"/>
  <c r="AN49" i="21" s="1"/>
  <c r="W10" i="21"/>
  <c r="W49" i="21" s="1"/>
  <c r="AM10" i="21"/>
  <c r="AM49" i="21" s="1"/>
  <c r="AF10" i="21"/>
  <c r="AF49" i="21" s="1"/>
  <c r="AJ10" i="21"/>
  <c r="AJ49" i="21" s="1"/>
  <c r="AK10" i="21"/>
  <c r="AK49" i="21" s="1"/>
  <c r="P10" i="21"/>
  <c r="P49" i="21" s="1"/>
  <c r="Q10" i="21"/>
  <c r="Q49" i="21" s="1"/>
  <c r="M10" i="21"/>
  <c r="M49" i="21" s="1"/>
  <c r="N10" i="21"/>
  <c r="N49" i="21" s="1"/>
  <c r="AE10" i="21"/>
  <c r="AE49" i="21" s="1"/>
  <c r="R10" i="21"/>
  <c r="R49" i="21" s="1"/>
  <c r="Z10" i="21"/>
  <c r="Z49" i="21" s="1"/>
  <c r="S10" i="21"/>
  <c r="S49" i="21" s="1"/>
  <c r="AB10" i="21"/>
  <c r="AB49" i="21" s="1"/>
  <c r="AI10" i="21"/>
  <c r="AI49" i="21" s="1"/>
  <c r="AO10" i="21"/>
  <c r="AO49" i="21" s="1"/>
  <c r="AC10" i="21"/>
  <c r="AC49" i="21" s="1"/>
  <c r="AL10" i="21"/>
  <c r="AL49" i="21" s="1"/>
  <c r="O10" i="21"/>
  <c r="O49" i="21" s="1"/>
  <c r="AA10" i="21"/>
  <c r="AA49" i="21" s="1"/>
  <c r="Y10" i="21"/>
  <c r="Y49" i="21" s="1"/>
  <c r="AG10" i="21"/>
  <c r="AG49" i="21" s="1"/>
  <c r="AH10" i="21"/>
  <c r="AH49" i="21" s="1"/>
  <c r="AD10" i="21"/>
  <c r="AD49" i="21" s="1"/>
  <c r="U10" i="21"/>
  <c r="U49" i="21" s="1"/>
  <c r="X10" i="21"/>
  <c r="X49" i="21" s="1"/>
  <c r="V10" i="21"/>
  <c r="V49" i="21" s="1"/>
  <c r="T10" i="21"/>
  <c r="T49" i="21" s="1"/>
  <c r="G73" i="21"/>
  <c r="AK34" i="21"/>
  <c r="AK73" i="21" s="1"/>
  <c r="AM34" i="21"/>
  <c r="AM73" i="21" s="1"/>
  <c r="AN34" i="21"/>
  <c r="AN73" i="21" s="1"/>
  <c r="AP34" i="21"/>
  <c r="AP73" i="21" s="1"/>
  <c r="AL34" i="21"/>
  <c r="AL73" i="21" s="1"/>
  <c r="AO34" i="21"/>
  <c r="AO73" i="21" s="1"/>
  <c r="G61" i="21"/>
  <c r="AE22" i="21"/>
  <c r="AE61" i="21" s="1"/>
  <c r="AB22" i="21"/>
  <c r="AB61" i="21" s="1"/>
  <c r="AJ22" i="21"/>
  <c r="AJ61" i="21" s="1"/>
  <c r="AK22" i="21"/>
  <c r="AK61" i="21" s="1"/>
  <c r="AC22" i="21"/>
  <c r="AC61" i="21" s="1"/>
  <c r="AL22" i="21"/>
  <c r="AL61" i="21" s="1"/>
  <c r="AM22" i="21"/>
  <c r="AM61" i="21" s="1"/>
  <c r="AI22" i="21"/>
  <c r="AI61" i="21" s="1"/>
  <c r="AF22" i="21"/>
  <c r="AF61" i="21" s="1"/>
  <c r="AA22" i="21"/>
  <c r="AA61" i="21" s="1"/>
  <c r="AH22" i="21"/>
  <c r="AH61" i="21" s="1"/>
  <c r="Z22" i="21"/>
  <c r="Z61" i="21" s="1"/>
  <c r="AN22" i="21"/>
  <c r="AN61" i="21" s="1"/>
  <c r="Y22" i="21"/>
  <c r="Y61" i="21" s="1"/>
  <c r="AD22" i="21"/>
  <c r="AD61" i="21" s="1"/>
  <c r="AP22" i="21"/>
  <c r="AP61" i="21" s="1"/>
  <c r="AG22" i="21"/>
  <c r="AG61" i="21" s="1"/>
  <c r="AO22" i="21"/>
  <c r="AO61" i="21" s="1"/>
  <c r="AN20" i="19"/>
  <c r="Q60" i="7"/>
  <c r="Q97" i="7" s="1"/>
  <c r="G74" i="21"/>
  <c r="AP35" i="21"/>
  <c r="AP74" i="21" s="1"/>
  <c r="AM35" i="21"/>
  <c r="AM74" i="21" s="1"/>
  <c r="AN35" i="21"/>
  <c r="AN74" i="21" s="1"/>
  <c r="AL35" i="21"/>
  <c r="AL74" i="21" s="1"/>
  <c r="AO35" i="21"/>
  <c r="AO74" i="21" s="1"/>
  <c r="G45" i="21"/>
  <c r="Y6" i="21"/>
  <c r="Y45" i="21" s="1"/>
  <c r="AF6" i="21"/>
  <c r="AF45" i="21" s="1"/>
  <c r="T6" i="21"/>
  <c r="T45" i="21" s="1"/>
  <c r="AH6" i="21"/>
  <c r="AH45" i="21" s="1"/>
  <c r="O6" i="21"/>
  <c r="O45" i="21" s="1"/>
  <c r="AO6" i="21"/>
  <c r="AO45" i="21" s="1"/>
  <c r="AN6" i="21"/>
  <c r="AN45" i="21" s="1"/>
  <c r="AM6" i="21"/>
  <c r="AM45" i="21" s="1"/>
  <c r="W6" i="21"/>
  <c r="W45" i="21" s="1"/>
  <c r="S6" i="21"/>
  <c r="S45" i="21" s="1"/>
  <c r="N6" i="21"/>
  <c r="N45" i="21" s="1"/>
  <c r="AL6" i="21"/>
  <c r="AL45" i="21" s="1"/>
  <c r="I6" i="21"/>
  <c r="I45" i="21" s="1"/>
  <c r="Q6" i="21"/>
  <c r="Q45" i="21" s="1"/>
  <c r="AC6" i="21"/>
  <c r="AC45" i="21" s="1"/>
  <c r="AD6" i="21"/>
  <c r="AD45" i="21" s="1"/>
  <c r="L6" i="21"/>
  <c r="L45" i="21" s="1"/>
  <c r="AB6" i="21"/>
  <c r="AB45" i="21" s="1"/>
  <c r="J6" i="21"/>
  <c r="J45" i="21" s="1"/>
  <c r="AK6" i="21"/>
  <c r="AK45" i="21" s="1"/>
  <c r="K6" i="21"/>
  <c r="K45" i="21" s="1"/>
  <c r="AJ6" i="21"/>
  <c r="AJ45" i="21" s="1"/>
  <c r="P6" i="21"/>
  <c r="P45" i="21" s="1"/>
  <c r="M6" i="21"/>
  <c r="M45" i="21" s="1"/>
  <c r="R6" i="21"/>
  <c r="R45" i="21" s="1"/>
  <c r="AA6" i="21"/>
  <c r="AA45" i="21" s="1"/>
  <c r="Z6" i="21"/>
  <c r="Z45" i="21" s="1"/>
  <c r="AI6" i="21"/>
  <c r="AI45" i="21" s="1"/>
  <c r="AG6" i="21"/>
  <c r="AG45" i="21" s="1"/>
  <c r="U6" i="21"/>
  <c r="U45" i="21" s="1"/>
  <c r="AE6" i="21"/>
  <c r="AE45" i="21" s="1"/>
  <c r="V6" i="21"/>
  <c r="V45" i="21" s="1"/>
  <c r="AP6" i="21"/>
  <c r="AP45" i="21" s="1"/>
  <c r="X6" i="21"/>
  <c r="X45" i="21" s="1"/>
  <c r="G75" i="21"/>
  <c r="AN36" i="21"/>
  <c r="AN75" i="21" s="1"/>
  <c r="AO36" i="21"/>
  <c r="AO75" i="21" s="1"/>
  <c r="AM36" i="21"/>
  <c r="AM75" i="21" s="1"/>
  <c r="AP36" i="21"/>
  <c r="AP75" i="21" s="1"/>
  <c r="X80" i="7"/>
  <c r="X78" i="7"/>
  <c r="X79" i="7"/>
  <c r="Y77" i="7"/>
  <c r="G51" i="21"/>
  <c r="AO12" i="21"/>
  <c r="AO51" i="21" s="1"/>
  <c r="AC12" i="21"/>
  <c r="AC51" i="21" s="1"/>
  <c r="AF12" i="21"/>
  <c r="AF51" i="21" s="1"/>
  <c r="AG12" i="21"/>
  <c r="AG51" i="21" s="1"/>
  <c r="O12" i="21"/>
  <c r="O51" i="21" s="1"/>
  <c r="R12" i="21"/>
  <c r="R51" i="21" s="1"/>
  <c r="Y12" i="21"/>
  <c r="Y51" i="21" s="1"/>
  <c r="AI12" i="21"/>
  <c r="AI51" i="21" s="1"/>
  <c r="X12" i="21"/>
  <c r="X51" i="21" s="1"/>
  <c r="AK12" i="21"/>
  <c r="AK51" i="21" s="1"/>
  <c r="P12" i="21"/>
  <c r="P51" i="21" s="1"/>
  <c r="AH12" i="21"/>
  <c r="AH51" i="21" s="1"/>
  <c r="AE12" i="21"/>
  <c r="AE51" i="21" s="1"/>
  <c r="AJ12" i="21"/>
  <c r="AJ51" i="21" s="1"/>
  <c r="Z12" i="21"/>
  <c r="Z51" i="21" s="1"/>
  <c r="T12" i="21"/>
  <c r="T51" i="21" s="1"/>
  <c r="W12" i="21"/>
  <c r="W51" i="21" s="1"/>
  <c r="AB12" i="21"/>
  <c r="AB51" i="21" s="1"/>
  <c r="AA12" i="21"/>
  <c r="AA51" i="21" s="1"/>
  <c r="AM12" i="21"/>
  <c r="AM51" i="21" s="1"/>
  <c r="S12" i="21"/>
  <c r="S51" i="21" s="1"/>
  <c r="AL12" i="21"/>
  <c r="AL51" i="21" s="1"/>
  <c r="AD12" i="21"/>
  <c r="AD51" i="21" s="1"/>
  <c r="V12" i="21"/>
  <c r="V51" i="21" s="1"/>
  <c r="AP12" i="21"/>
  <c r="AP51" i="21" s="1"/>
  <c r="AN12" i="21"/>
  <c r="AN51" i="21" s="1"/>
  <c r="Q12" i="21"/>
  <c r="Q51" i="21" s="1"/>
  <c r="U12" i="21"/>
  <c r="U51" i="21" s="1"/>
  <c r="AJ28" i="21"/>
  <c r="AJ67" i="21" s="1"/>
  <c r="AF28" i="21"/>
  <c r="AF67" i="21" s="1"/>
  <c r="G67" i="21"/>
  <c r="AN28" i="21"/>
  <c r="AN67" i="21" s="1"/>
  <c r="AE28" i="21"/>
  <c r="AE67" i="21" s="1"/>
  <c r="AG28" i="21"/>
  <c r="AG67" i="21" s="1"/>
  <c r="AH28" i="21"/>
  <c r="AH67" i="21" s="1"/>
  <c r="AL28" i="21"/>
  <c r="AL67" i="21" s="1"/>
  <c r="AK28" i="21"/>
  <c r="AK67" i="21" s="1"/>
  <c r="AP28" i="21"/>
  <c r="AP67" i="21" s="1"/>
  <c r="AM28" i="21"/>
  <c r="AM67" i="21" s="1"/>
  <c r="AI28" i="21"/>
  <c r="AI67" i="21" s="1"/>
  <c r="AO28" i="21"/>
  <c r="AO67" i="21" s="1"/>
  <c r="G76" i="21"/>
  <c r="AN37" i="21"/>
  <c r="AN76" i="21" s="1"/>
  <c r="AP37" i="21"/>
  <c r="AP76" i="21" s="1"/>
  <c r="AO37" i="21"/>
  <c r="AO76" i="21" s="1"/>
  <c r="AO15" i="21"/>
  <c r="AO54" i="21" s="1"/>
  <c r="AJ15" i="21"/>
  <c r="AJ54" i="21" s="1"/>
  <c r="AL15" i="21"/>
  <c r="AL54" i="21" s="1"/>
  <c r="AI15" i="21"/>
  <c r="AI54" i="21" s="1"/>
  <c r="AM15" i="21"/>
  <c r="AM54" i="21" s="1"/>
  <c r="G54" i="21"/>
  <c r="R15" i="21"/>
  <c r="R54" i="21" s="1"/>
  <c r="V15" i="21"/>
  <c r="V54" i="21" s="1"/>
  <c r="AD15" i="21"/>
  <c r="AD54" i="21" s="1"/>
  <c r="AC15" i="21"/>
  <c r="AC54" i="21" s="1"/>
  <c r="AF15" i="21"/>
  <c r="AF54" i="21" s="1"/>
  <c r="AA15" i="21"/>
  <c r="AA54" i="21" s="1"/>
  <c r="Z15" i="21"/>
  <c r="Z54" i="21" s="1"/>
  <c r="Y15" i="21"/>
  <c r="Y54" i="21" s="1"/>
  <c r="AB15" i="21"/>
  <c r="AB54" i="21" s="1"/>
  <c r="AP15" i="21"/>
  <c r="AP54" i="21" s="1"/>
  <c r="S15" i="21"/>
  <c r="S54" i="21" s="1"/>
  <c r="AH15" i="21"/>
  <c r="AH54" i="21" s="1"/>
  <c r="AN15" i="21"/>
  <c r="AN54" i="21" s="1"/>
  <c r="AK15" i="21"/>
  <c r="AK54" i="21" s="1"/>
  <c r="U15" i="21"/>
  <c r="U54" i="21" s="1"/>
  <c r="AG15" i="21"/>
  <c r="AG54" i="21" s="1"/>
  <c r="T15" i="21"/>
  <c r="T54" i="21" s="1"/>
  <c r="X15" i="21"/>
  <c r="X54" i="21" s="1"/>
  <c r="AE15" i="21"/>
  <c r="AE54" i="21" s="1"/>
  <c r="W15" i="21"/>
  <c r="W54" i="21" s="1"/>
  <c r="AJ30" i="21"/>
  <c r="AJ69" i="21" s="1"/>
  <c r="AL30" i="21"/>
  <c r="AL69" i="21" s="1"/>
  <c r="AH30" i="21"/>
  <c r="AH69" i="21" s="1"/>
  <c r="G69" i="21"/>
  <c r="AN30" i="21"/>
  <c r="AN69" i="21" s="1"/>
  <c r="AM30" i="21"/>
  <c r="AM69" i="21" s="1"/>
  <c r="AP30" i="21"/>
  <c r="AP69" i="21" s="1"/>
  <c r="AI30" i="21"/>
  <c r="AI69" i="21" s="1"/>
  <c r="AG30" i="21"/>
  <c r="AG69" i="21" s="1"/>
  <c r="AO30" i="21"/>
  <c r="AO69" i="21" s="1"/>
  <c r="AK30" i="21"/>
  <c r="AK69" i="21" s="1"/>
  <c r="G47" i="21"/>
  <c r="AF8" i="21"/>
  <c r="AF47" i="21" s="1"/>
  <c r="AL8" i="21"/>
  <c r="AL47" i="21" s="1"/>
  <c r="P8" i="21"/>
  <c r="P47" i="21" s="1"/>
  <c r="L8" i="21"/>
  <c r="L47" i="21" s="1"/>
  <c r="AO8" i="21"/>
  <c r="AO47" i="21" s="1"/>
  <c r="Y8" i="21"/>
  <c r="Y47" i="21" s="1"/>
  <c r="M8" i="21"/>
  <c r="M47" i="21" s="1"/>
  <c r="AM8" i="21"/>
  <c r="AM47" i="21" s="1"/>
  <c r="AA8" i="21"/>
  <c r="AA47" i="21" s="1"/>
  <c r="Q8" i="21"/>
  <c r="Q47" i="21" s="1"/>
  <c r="U8" i="21"/>
  <c r="U47" i="21" s="1"/>
  <c r="AI8" i="21"/>
  <c r="AI47" i="21" s="1"/>
  <c r="AE8" i="21"/>
  <c r="AE47" i="21" s="1"/>
  <c r="N8" i="21"/>
  <c r="N47" i="21" s="1"/>
  <c r="R8" i="21"/>
  <c r="R47" i="21" s="1"/>
  <c r="AK8" i="21"/>
  <c r="AK47" i="21" s="1"/>
  <c r="AH8" i="21"/>
  <c r="AH47" i="21" s="1"/>
  <c r="AN8" i="21"/>
  <c r="AN47" i="21" s="1"/>
  <c r="W8" i="21"/>
  <c r="W47" i="21" s="1"/>
  <c r="AG8" i="21"/>
  <c r="AG47" i="21" s="1"/>
  <c r="AC8" i="21"/>
  <c r="AC47" i="21" s="1"/>
  <c r="K8" i="21"/>
  <c r="K47" i="21" s="1"/>
  <c r="X8" i="21"/>
  <c r="X47" i="21" s="1"/>
  <c r="AD8" i="21"/>
  <c r="AD47" i="21" s="1"/>
  <c r="O8" i="21"/>
  <c r="O47" i="21" s="1"/>
  <c r="T8" i="21"/>
  <c r="T47" i="21" s="1"/>
  <c r="AP8" i="21"/>
  <c r="AP47" i="21" s="1"/>
  <c r="V8" i="21"/>
  <c r="V47" i="21" s="1"/>
  <c r="AB8" i="21"/>
  <c r="AB47" i="21" s="1"/>
  <c r="S8" i="21"/>
  <c r="S47" i="21" s="1"/>
  <c r="AJ8" i="21"/>
  <c r="AJ47" i="21" s="1"/>
  <c r="Z8" i="21"/>
  <c r="Z47" i="21" s="1"/>
  <c r="C10" i="7"/>
  <c r="T70" i="7"/>
  <c r="T72" i="7"/>
  <c r="T71" i="7"/>
  <c r="U69" i="7"/>
  <c r="G65" i="21"/>
  <c r="AH26" i="21"/>
  <c r="AH65" i="21" s="1"/>
  <c r="AL26" i="21"/>
  <c r="AL65" i="21" s="1"/>
  <c r="AM26" i="21"/>
  <c r="AM65" i="21" s="1"/>
  <c r="AG26" i="21"/>
  <c r="AG65" i="21" s="1"/>
  <c r="AN26" i="21"/>
  <c r="AN65" i="21" s="1"/>
  <c r="AD26" i="21"/>
  <c r="AD65" i="21" s="1"/>
  <c r="AJ26" i="21"/>
  <c r="AJ65" i="21" s="1"/>
  <c r="AE26" i="21"/>
  <c r="AE65" i="21" s="1"/>
  <c r="AI26" i="21"/>
  <c r="AI65" i="21" s="1"/>
  <c r="AF26" i="21"/>
  <c r="AF65" i="21" s="1"/>
  <c r="AO26" i="21"/>
  <c r="AO65" i="21" s="1"/>
  <c r="AC26" i="21"/>
  <c r="AC65" i="21" s="1"/>
  <c r="AK26" i="21"/>
  <c r="AK65" i="21" s="1"/>
  <c r="AP26" i="21"/>
  <c r="AP65" i="21" s="1"/>
  <c r="G62" i="21"/>
  <c r="Z23" i="21"/>
  <c r="Z62" i="21" s="1"/>
  <c r="AO23" i="21"/>
  <c r="AO62" i="21" s="1"/>
  <c r="AC23" i="21"/>
  <c r="AC62" i="21" s="1"/>
  <c r="AM23" i="21"/>
  <c r="AM62" i="21" s="1"/>
  <c r="AD23" i="21"/>
  <c r="AD62" i="21" s="1"/>
  <c r="AP23" i="21"/>
  <c r="AP62" i="21" s="1"/>
  <c r="AK23" i="21"/>
  <c r="AK62" i="21" s="1"/>
  <c r="AE23" i="21"/>
  <c r="AE62" i="21" s="1"/>
  <c r="AF23" i="21"/>
  <c r="AF62" i="21" s="1"/>
  <c r="AA23" i="21"/>
  <c r="AA62" i="21" s="1"/>
  <c r="AJ23" i="21"/>
  <c r="AJ62" i="21" s="1"/>
  <c r="AL23" i="21"/>
  <c r="AL62" i="21" s="1"/>
  <c r="AG23" i="21"/>
  <c r="AG62" i="21" s="1"/>
  <c r="AN23" i="21"/>
  <c r="AN62" i="21" s="1"/>
  <c r="AH23" i="21"/>
  <c r="AH62" i="21" s="1"/>
  <c r="AI23" i="21"/>
  <c r="AI62" i="21" s="1"/>
  <c r="AB23" i="21"/>
  <c r="AB62" i="21" s="1"/>
  <c r="O7" i="21"/>
  <c r="O46" i="21" s="1"/>
  <c r="J7" i="21"/>
  <c r="J46" i="21" s="1"/>
  <c r="L7" i="21"/>
  <c r="L46" i="21" s="1"/>
  <c r="T7" i="21"/>
  <c r="T46" i="21" s="1"/>
  <c r="AJ7" i="21"/>
  <c r="AJ46" i="21" s="1"/>
  <c r="K7" i="21"/>
  <c r="K46" i="21" s="1"/>
  <c r="Q7" i="21"/>
  <c r="Q46" i="21" s="1"/>
  <c r="AB7" i="21"/>
  <c r="AB46" i="21" s="1"/>
  <c r="W7" i="21"/>
  <c r="W46" i="21" s="1"/>
  <c r="AG7" i="21"/>
  <c r="AG46" i="21" s="1"/>
  <c r="AC7" i="21"/>
  <c r="AC46" i="21" s="1"/>
  <c r="Z7" i="21"/>
  <c r="Z46" i="21" s="1"/>
  <c r="AK7" i="21"/>
  <c r="AK46" i="21" s="1"/>
  <c r="AI7" i="21"/>
  <c r="AI46" i="21" s="1"/>
  <c r="AA7" i="21"/>
  <c r="AA46" i="21" s="1"/>
  <c r="P7" i="21"/>
  <c r="P46" i="21" s="1"/>
  <c r="U7" i="21"/>
  <c r="U46" i="21" s="1"/>
  <c r="AH7" i="21"/>
  <c r="AH46" i="21" s="1"/>
  <c r="AN7" i="21"/>
  <c r="AN46" i="21" s="1"/>
  <c r="M7" i="21"/>
  <c r="M46" i="21" s="1"/>
  <c r="R7" i="21"/>
  <c r="R46" i="21" s="1"/>
  <c r="X7" i="21"/>
  <c r="X46" i="21" s="1"/>
  <c r="AF7" i="21"/>
  <c r="AF46" i="21" s="1"/>
  <c r="AP7" i="21"/>
  <c r="AP46" i="21" s="1"/>
  <c r="AM7" i="21"/>
  <c r="AM46" i="21" s="1"/>
  <c r="AE7" i="21"/>
  <c r="AE46" i="21" s="1"/>
  <c r="N7" i="21"/>
  <c r="N46" i="21" s="1"/>
  <c r="Y7" i="21"/>
  <c r="Y46" i="21" s="1"/>
  <c r="AO7" i="21"/>
  <c r="AO46" i="21" s="1"/>
  <c r="G46" i="21"/>
  <c r="AD7" i="21"/>
  <c r="AD46" i="21" s="1"/>
  <c r="V7" i="21"/>
  <c r="V46" i="21" s="1"/>
  <c r="S7" i="21"/>
  <c r="S46" i="21" s="1"/>
  <c r="AL7" i="21"/>
  <c r="AL46" i="21" s="1"/>
  <c r="AL31" i="21"/>
  <c r="AL70" i="21" s="1"/>
  <c r="G70" i="21"/>
  <c r="AK31" i="21"/>
  <c r="AK70" i="21" s="1"/>
  <c r="AP31" i="21"/>
  <c r="AP70" i="21" s="1"/>
  <c r="AI31" i="21"/>
  <c r="AI70" i="21" s="1"/>
  <c r="AN31" i="21"/>
  <c r="AN70" i="21" s="1"/>
  <c r="AO31" i="21"/>
  <c r="AO70" i="21" s="1"/>
  <c r="AJ31" i="21"/>
  <c r="AJ70" i="21" s="1"/>
  <c r="AM31" i="21"/>
  <c r="AM70" i="21" s="1"/>
  <c r="AH31" i="21"/>
  <c r="AH70" i="21" s="1"/>
  <c r="G50" i="21"/>
  <c r="AG11" i="21"/>
  <c r="AG50" i="21" s="1"/>
  <c r="AN11" i="21"/>
  <c r="AN50" i="21" s="1"/>
  <c r="Q11" i="21"/>
  <c r="Q50" i="21" s="1"/>
  <c r="Y11" i="21"/>
  <c r="Y50" i="21" s="1"/>
  <c r="AM11" i="21"/>
  <c r="AM50" i="21" s="1"/>
  <c r="W11" i="21"/>
  <c r="W50" i="21" s="1"/>
  <c r="T11" i="21"/>
  <c r="T50" i="21" s="1"/>
  <c r="AE11" i="21"/>
  <c r="AE50" i="21" s="1"/>
  <c r="AC11" i="21"/>
  <c r="AC50" i="21" s="1"/>
  <c r="N11" i="21"/>
  <c r="N50" i="21" s="1"/>
  <c r="AD11" i="21"/>
  <c r="AD50" i="21" s="1"/>
  <c r="Z11" i="21"/>
  <c r="Z50" i="21" s="1"/>
  <c r="S11" i="21"/>
  <c r="S50" i="21" s="1"/>
  <c r="AH11" i="21"/>
  <c r="AH50" i="21" s="1"/>
  <c r="AJ11" i="21"/>
  <c r="AJ50" i="21" s="1"/>
  <c r="AP11" i="21"/>
  <c r="AP50" i="21" s="1"/>
  <c r="P11" i="21"/>
  <c r="P50" i="21" s="1"/>
  <c r="AK11" i="21"/>
  <c r="AK50" i="21" s="1"/>
  <c r="V11" i="21"/>
  <c r="V50" i="21" s="1"/>
  <c r="R11" i="21"/>
  <c r="R50" i="21" s="1"/>
  <c r="O11" i="21"/>
  <c r="O50" i="21" s="1"/>
  <c r="AA11" i="21"/>
  <c r="AA50" i="21" s="1"/>
  <c r="U11" i="21"/>
  <c r="U50" i="21" s="1"/>
  <c r="AF11" i="21"/>
  <c r="AF50" i="21" s="1"/>
  <c r="X11" i="21"/>
  <c r="X50" i="21" s="1"/>
  <c r="AI11" i="21"/>
  <c r="AI50" i="21" s="1"/>
  <c r="AO11" i="21"/>
  <c r="AO50" i="21" s="1"/>
  <c r="AB11" i="21"/>
  <c r="AB50" i="21" s="1"/>
  <c r="AL11" i="21"/>
  <c r="AL50" i="21" s="1"/>
  <c r="G58" i="21"/>
  <c r="AL19" i="21"/>
  <c r="AL58" i="21" s="1"/>
  <c r="Y19" i="21"/>
  <c r="Y58" i="21" s="1"/>
  <c r="W19" i="21"/>
  <c r="W58" i="21" s="1"/>
  <c r="Z19" i="21"/>
  <c r="Z58" i="21" s="1"/>
  <c r="V19" i="21"/>
  <c r="V58" i="21" s="1"/>
  <c r="AJ19" i="21"/>
  <c r="AJ58" i="21" s="1"/>
  <c r="AI19" i="21"/>
  <c r="AI58" i="21" s="1"/>
  <c r="X19" i="21"/>
  <c r="X58" i="21" s="1"/>
  <c r="AC19" i="21"/>
  <c r="AC58" i="21" s="1"/>
  <c r="AA19" i="21"/>
  <c r="AA58" i="21" s="1"/>
  <c r="AF19" i="21"/>
  <c r="AF58" i="21" s="1"/>
  <c r="AM19" i="21"/>
  <c r="AM58" i="21" s="1"/>
  <c r="AO19" i="21"/>
  <c r="AO58" i="21" s="1"/>
  <c r="AG19" i="21"/>
  <c r="AG58" i="21" s="1"/>
  <c r="AH19" i="21"/>
  <c r="AH58" i="21" s="1"/>
  <c r="AB19" i="21"/>
  <c r="AB58" i="21" s="1"/>
  <c r="AN19" i="21"/>
  <c r="AN58" i="21" s="1"/>
  <c r="AP19" i="21"/>
  <c r="AP58" i="21" s="1"/>
  <c r="AD19" i="21"/>
  <c r="AD58" i="21" s="1"/>
  <c r="AK19" i="21"/>
  <c r="AK58" i="21" s="1"/>
  <c r="AE19" i="21"/>
  <c r="AE58" i="21" s="1"/>
  <c r="G60" i="21"/>
  <c r="AJ21" i="21"/>
  <c r="AJ60" i="21" s="1"/>
  <c r="AD21" i="21"/>
  <c r="AD60" i="21" s="1"/>
  <c r="AM21" i="21"/>
  <c r="AM60" i="21" s="1"/>
  <c r="AN21" i="21"/>
  <c r="AN60" i="21" s="1"/>
  <c r="AF21" i="21"/>
  <c r="AF60" i="21" s="1"/>
  <c r="AP21" i="21"/>
  <c r="AP60" i="21" s="1"/>
  <c r="Y21" i="21"/>
  <c r="Y60" i="21" s="1"/>
  <c r="AI21" i="21"/>
  <c r="AI60" i="21" s="1"/>
  <c r="X21" i="21"/>
  <c r="X60" i="21" s="1"/>
  <c r="AC21" i="21"/>
  <c r="AC60" i="21" s="1"/>
  <c r="AK21" i="21"/>
  <c r="AK60" i="21" s="1"/>
  <c r="AB21" i="21"/>
  <c r="AB60" i="21" s="1"/>
  <c r="AH21" i="21"/>
  <c r="AH60" i="21" s="1"/>
  <c r="AE21" i="21"/>
  <c r="AE60" i="21" s="1"/>
  <c r="AA21" i="21"/>
  <c r="AA60" i="21" s="1"/>
  <c r="AG21" i="21"/>
  <c r="AG60" i="21" s="1"/>
  <c r="AL21" i="21"/>
  <c r="AL60" i="21" s="1"/>
  <c r="AO21" i="21"/>
  <c r="AO60" i="21" s="1"/>
  <c r="Z21" i="21"/>
  <c r="Z60" i="21" s="1"/>
  <c r="G55" i="21"/>
  <c r="AM16" i="21"/>
  <c r="AM55" i="21" s="1"/>
  <c r="AE16" i="21"/>
  <c r="AE55" i="21" s="1"/>
  <c r="T16" i="21"/>
  <c r="T55" i="21" s="1"/>
  <c r="AD16" i="21"/>
  <c r="AD55" i="21" s="1"/>
  <c r="Z16" i="21"/>
  <c r="Z55" i="21" s="1"/>
  <c r="AI16" i="21"/>
  <c r="AI55" i="21" s="1"/>
  <c r="AK16" i="21"/>
  <c r="AK55" i="21" s="1"/>
  <c r="W16" i="21"/>
  <c r="W55" i="21" s="1"/>
  <c r="AA16" i="21"/>
  <c r="AA55" i="21" s="1"/>
  <c r="AO16" i="21"/>
  <c r="AO55" i="21" s="1"/>
  <c r="AG16" i="21"/>
  <c r="AG55" i="21" s="1"/>
  <c r="S16" i="21"/>
  <c r="S55" i="21" s="1"/>
  <c r="AL16" i="21"/>
  <c r="AL55" i="21" s="1"/>
  <c r="U16" i="21"/>
  <c r="U55" i="21" s="1"/>
  <c r="X16" i="21"/>
  <c r="X55" i="21" s="1"/>
  <c r="AN16" i="21"/>
  <c r="AN55" i="21" s="1"/>
  <c r="AP16" i="21"/>
  <c r="AP55" i="21" s="1"/>
  <c r="AC16" i="21"/>
  <c r="AC55" i="21" s="1"/>
  <c r="AF16" i="21"/>
  <c r="AF55" i="21" s="1"/>
  <c r="AB16" i="21"/>
  <c r="AB55" i="21" s="1"/>
  <c r="AH16" i="21"/>
  <c r="AH55" i="21" s="1"/>
  <c r="V16" i="21"/>
  <c r="V55" i="21" s="1"/>
  <c r="AJ16" i="21"/>
  <c r="AJ55" i="21" s="1"/>
  <c r="Y16" i="21"/>
  <c r="Y55" i="21" s="1"/>
  <c r="G68" i="21"/>
  <c r="AH29" i="21"/>
  <c r="AH68" i="21" s="1"/>
  <c r="AF29" i="21"/>
  <c r="AF68" i="21" s="1"/>
  <c r="AM29" i="21"/>
  <c r="AM68" i="21" s="1"/>
  <c r="AI29" i="21"/>
  <c r="AI68" i="21" s="1"/>
  <c r="AK29" i="21"/>
  <c r="AK68" i="21" s="1"/>
  <c r="AJ29" i="21"/>
  <c r="AJ68" i="21" s="1"/>
  <c r="AN29" i="21"/>
  <c r="AN68" i="21" s="1"/>
  <c r="AL29" i="21"/>
  <c r="AL68" i="21" s="1"/>
  <c r="AO29" i="21"/>
  <c r="AO68" i="21" s="1"/>
  <c r="AG29" i="21"/>
  <c r="AG68" i="21" s="1"/>
  <c r="AP29" i="21"/>
  <c r="AP68" i="21" s="1"/>
  <c r="G53" i="21"/>
  <c r="AB14" i="21"/>
  <c r="AB53" i="21" s="1"/>
  <c r="AE14" i="21"/>
  <c r="AE53" i="21" s="1"/>
  <c r="AH14" i="21"/>
  <c r="AH53" i="21" s="1"/>
  <c r="W14" i="21"/>
  <c r="W53" i="21" s="1"/>
  <c r="Z14" i="21"/>
  <c r="Z53" i="21" s="1"/>
  <c r="AO14" i="21"/>
  <c r="AO53" i="21" s="1"/>
  <c r="AP14" i="21"/>
  <c r="AP53" i="21" s="1"/>
  <c r="AN14" i="21"/>
  <c r="AN53" i="21" s="1"/>
  <c r="AD14" i="21"/>
  <c r="AD53" i="21" s="1"/>
  <c r="X14" i="21"/>
  <c r="X53" i="21" s="1"/>
  <c r="Y14" i="21"/>
  <c r="Y53" i="21" s="1"/>
  <c r="R14" i="21"/>
  <c r="R53" i="21" s="1"/>
  <c r="T14" i="21"/>
  <c r="T53" i="21" s="1"/>
  <c r="AA14" i="21"/>
  <c r="AA53" i="21" s="1"/>
  <c r="AK14" i="21"/>
  <c r="AK53" i="21" s="1"/>
  <c r="AG14" i="21"/>
  <c r="AG53" i="21" s="1"/>
  <c r="AJ14" i="21"/>
  <c r="AJ53" i="21" s="1"/>
  <c r="AF14" i="21"/>
  <c r="AF53" i="21" s="1"/>
  <c r="AM14" i="21"/>
  <c r="AM53" i="21" s="1"/>
  <c r="AL14" i="21"/>
  <c r="AL53" i="21" s="1"/>
  <c r="U14" i="21"/>
  <c r="U53" i="21" s="1"/>
  <c r="S14" i="21"/>
  <c r="S53" i="21" s="1"/>
  <c r="V14" i="21"/>
  <c r="V53" i="21" s="1"/>
  <c r="Q14" i="21"/>
  <c r="Q53" i="21" s="1"/>
  <c r="AI14" i="21"/>
  <c r="AI53" i="21" s="1"/>
  <c r="AC14" i="21"/>
  <c r="AC53" i="21" s="1"/>
  <c r="G57" i="21"/>
  <c r="AM18" i="21"/>
  <c r="AM57" i="21" s="1"/>
  <c r="AG18" i="21"/>
  <c r="AG57" i="21" s="1"/>
  <c r="AN18" i="21"/>
  <c r="AN57" i="21" s="1"/>
  <c r="AK18" i="21"/>
  <c r="AK57" i="21" s="1"/>
  <c r="Z18" i="21"/>
  <c r="Z57" i="21" s="1"/>
  <c r="Y18" i="21"/>
  <c r="Y57" i="21" s="1"/>
  <c r="W18" i="21"/>
  <c r="W57" i="21" s="1"/>
  <c r="U18" i="21"/>
  <c r="U57" i="21" s="1"/>
  <c r="AO18" i="21"/>
  <c r="AO57" i="21" s="1"/>
  <c r="AH18" i="21"/>
  <c r="AH57" i="21" s="1"/>
  <c r="AD18" i="21"/>
  <c r="AD57" i="21" s="1"/>
  <c r="AL18" i="21"/>
  <c r="AL57" i="21" s="1"/>
  <c r="AE18" i="21"/>
  <c r="AE57" i="21" s="1"/>
  <c r="AF18" i="21"/>
  <c r="AF57" i="21" s="1"/>
  <c r="AA18" i="21"/>
  <c r="AA57" i="21" s="1"/>
  <c r="AB18" i="21"/>
  <c r="AB57" i="21" s="1"/>
  <c r="AP18" i="21"/>
  <c r="AP57" i="21" s="1"/>
  <c r="AI18" i="21"/>
  <c r="AI57" i="21" s="1"/>
  <c r="AC18" i="21"/>
  <c r="AC57" i="21" s="1"/>
  <c r="AJ18" i="21"/>
  <c r="AJ57" i="21" s="1"/>
  <c r="V18" i="21"/>
  <c r="V57" i="21" s="1"/>
  <c r="X18" i="21"/>
  <c r="X57" i="21" s="1"/>
  <c r="G71" i="21"/>
  <c r="AJ32" i="21"/>
  <c r="AJ71" i="21" s="1"/>
  <c r="AN32" i="21"/>
  <c r="AN71" i="21" s="1"/>
  <c r="AK32" i="21"/>
  <c r="AK71" i="21" s="1"/>
  <c r="AM32" i="21"/>
  <c r="AM71" i="21" s="1"/>
  <c r="AL32" i="21"/>
  <c r="AL71" i="21" s="1"/>
  <c r="AI32" i="21"/>
  <c r="AI71" i="21" s="1"/>
  <c r="AO32" i="21"/>
  <c r="AO71" i="21" s="1"/>
  <c r="AP32" i="21"/>
  <c r="AP71" i="21" s="1"/>
  <c r="G66" i="21"/>
  <c r="AF27" i="21"/>
  <c r="AF66" i="21" s="1"/>
  <c r="AO27" i="21"/>
  <c r="AO66" i="21" s="1"/>
  <c r="AH27" i="21"/>
  <c r="AH66" i="21" s="1"/>
  <c r="AM27" i="21"/>
  <c r="AM66" i="21" s="1"/>
  <c r="AP27" i="21"/>
  <c r="AP66" i="21" s="1"/>
  <c r="AL27" i="21"/>
  <c r="AL66" i="21" s="1"/>
  <c r="AK27" i="21"/>
  <c r="AK66" i="21" s="1"/>
  <c r="AG27" i="21"/>
  <c r="AG66" i="21" s="1"/>
  <c r="AI27" i="21"/>
  <c r="AI66" i="21" s="1"/>
  <c r="AD27" i="21"/>
  <c r="AD66" i="21" s="1"/>
  <c r="AN27" i="21"/>
  <c r="AN66" i="21" s="1"/>
  <c r="AJ27" i="21"/>
  <c r="AJ66" i="21" s="1"/>
  <c r="AE27" i="21"/>
  <c r="AE66" i="21" s="1"/>
  <c r="U13" i="21"/>
  <c r="U52" i="21" s="1"/>
  <c r="Z13" i="21"/>
  <c r="Z52" i="21" s="1"/>
  <c r="AM13" i="21"/>
  <c r="AM52" i="21" s="1"/>
  <c r="R13" i="21"/>
  <c r="R52" i="21" s="1"/>
  <c r="AN13" i="21"/>
  <c r="AN52" i="21" s="1"/>
  <c r="AE13" i="21"/>
  <c r="AE52" i="21" s="1"/>
  <c r="S13" i="21"/>
  <c r="S52" i="21" s="1"/>
  <c r="W13" i="21"/>
  <c r="W52" i="21" s="1"/>
  <c r="AA13" i="21"/>
  <c r="AA52" i="21" s="1"/>
  <c r="P13" i="21"/>
  <c r="P52" i="21" s="1"/>
  <c r="X13" i="21"/>
  <c r="X52" i="21" s="1"/>
  <c r="AJ13" i="21"/>
  <c r="AJ52" i="21" s="1"/>
  <c r="Q13" i="21"/>
  <c r="Q52" i="21" s="1"/>
  <c r="AF13" i="21"/>
  <c r="AF52" i="21" s="1"/>
  <c r="AL13" i="21"/>
  <c r="AL52" i="21" s="1"/>
  <c r="G52" i="21"/>
  <c r="T13" i="21"/>
  <c r="T52" i="21" s="1"/>
  <c r="AI13" i="21"/>
  <c r="AI52" i="21" s="1"/>
  <c r="AO13" i="21"/>
  <c r="AO52" i="21" s="1"/>
  <c r="AG13" i="21"/>
  <c r="AG52" i="21" s="1"/>
  <c r="Y13" i="21"/>
  <c r="Y52" i="21" s="1"/>
  <c r="V13" i="21"/>
  <c r="V52" i="21" s="1"/>
  <c r="AP13" i="21"/>
  <c r="AP52" i="21" s="1"/>
  <c r="AD13" i="21"/>
  <c r="AD52" i="21" s="1"/>
  <c r="AC13" i="21"/>
  <c r="AC52" i="21" s="1"/>
  <c r="AH13" i="21"/>
  <c r="AH52" i="21" s="1"/>
  <c r="AB13" i="21"/>
  <c r="AB52" i="21" s="1"/>
  <c r="AK13" i="21"/>
  <c r="AK52" i="21" s="1"/>
  <c r="G72" i="21"/>
  <c r="AK33" i="21"/>
  <c r="AK72" i="21" s="1"/>
  <c r="AM33" i="21"/>
  <c r="AM72" i="21" s="1"/>
  <c r="AJ33" i="21"/>
  <c r="AJ72" i="21" s="1"/>
  <c r="AO33" i="21"/>
  <c r="AO72" i="21" s="1"/>
  <c r="AN33" i="21"/>
  <c r="AN72" i="21" s="1"/>
  <c r="AP33" i="21"/>
  <c r="AP72" i="21" s="1"/>
  <c r="AL33" i="21"/>
  <c r="AL72" i="21" s="1"/>
  <c r="D37" i="7" l="1"/>
  <c r="D40" i="7" s="1"/>
  <c r="D96" i="7"/>
  <c r="F34" i="6" s="1"/>
  <c r="AM36" i="7"/>
  <c r="H45" i="7"/>
  <c r="I45" i="7" s="1"/>
  <c r="AM43" i="7"/>
  <c r="AM33" i="23"/>
  <c r="AM44" i="7"/>
  <c r="AM21" i="23"/>
  <c r="L56" i="7"/>
  <c r="AM51" i="7"/>
  <c r="L55" i="7"/>
  <c r="M53" i="7"/>
  <c r="M55" i="7" s="1"/>
  <c r="AB87" i="7"/>
  <c r="AB88" i="7"/>
  <c r="AM52" i="7"/>
  <c r="AC85" i="7"/>
  <c r="AD85" i="7" s="1"/>
  <c r="D14" i="8"/>
  <c r="AQ11" i="21"/>
  <c r="AQ39" i="21"/>
  <c r="AQ72" i="21"/>
  <c r="AQ35" i="21"/>
  <c r="AQ73" i="21"/>
  <c r="AQ13" i="21"/>
  <c r="AQ71" i="21"/>
  <c r="AQ57" i="21"/>
  <c r="AQ26" i="21"/>
  <c r="AQ65" i="21"/>
  <c r="AQ6" i="21"/>
  <c r="Z44" i="21"/>
  <c r="Z79" i="21" s="1"/>
  <c r="X88" i="1" s="1"/>
  <c r="Z40" i="21"/>
  <c r="Z2" i="21" s="1"/>
  <c r="V40" i="21"/>
  <c r="V2" i="21" s="1"/>
  <c r="V44" i="21"/>
  <c r="V79" i="21" s="1"/>
  <c r="T88" i="1" s="1"/>
  <c r="I44" i="21"/>
  <c r="I79" i="21" s="1"/>
  <c r="G88" i="1" s="1"/>
  <c r="I40" i="21"/>
  <c r="I2" i="21" s="1"/>
  <c r="AQ78" i="21"/>
  <c r="AQ64" i="21"/>
  <c r="AQ50" i="21"/>
  <c r="AQ70" i="21"/>
  <c r="AQ7" i="21"/>
  <c r="AQ75" i="21"/>
  <c r="AQ45" i="21"/>
  <c r="O44" i="21"/>
  <c r="O79" i="21" s="1"/>
  <c r="M88" i="1" s="1"/>
  <c r="O40" i="21"/>
  <c r="O2" i="21" s="1"/>
  <c r="W40" i="21"/>
  <c r="W2" i="21" s="1"/>
  <c r="W44" i="21"/>
  <c r="W79" i="21" s="1"/>
  <c r="U88" i="1" s="1"/>
  <c r="AP44" i="21"/>
  <c r="AP79" i="21" s="1"/>
  <c r="AN88" i="1" s="1"/>
  <c r="AP40" i="21"/>
  <c r="AP2" i="21" s="1"/>
  <c r="H44" i="21"/>
  <c r="H79" i="21" s="1"/>
  <c r="F88" i="1" s="1"/>
  <c r="H40" i="21"/>
  <c r="H2" i="21" s="1"/>
  <c r="AQ69" i="21"/>
  <c r="AQ12" i="21"/>
  <c r="AK44" i="21"/>
  <c r="AK79" i="21" s="1"/>
  <c r="AI88" i="1" s="1"/>
  <c r="AK40" i="21"/>
  <c r="AK2" i="21" s="1"/>
  <c r="J44" i="21"/>
  <c r="J79" i="21" s="1"/>
  <c r="H88" i="1" s="1"/>
  <c r="J40" i="21"/>
  <c r="J2" i="21" s="1"/>
  <c r="AA44" i="21"/>
  <c r="AA79" i="21" s="1"/>
  <c r="Y88" i="1" s="1"/>
  <c r="AA40" i="21"/>
  <c r="AA2" i="21" s="1"/>
  <c r="AQ38" i="21"/>
  <c r="P96" i="7"/>
  <c r="R34" i="6" s="1"/>
  <c r="AM59" i="7"/>
  <c r="P61" i="7"/>
  <c r="U40" i="21"/>
  <c r="U2" i="21" s="1"/>
  <c r="U44" i="21"/>
  <c r="U79" i="21" s="1"/>
  <c r="S88" i="1" s="1"/>
  <c r="AN44" i="21"/>
  <c r="AN79" i="21" s="1"/>
  <c r="AL88" i="1" s="1"/>
  <c r="AN40" i="21"/>
  <c r="AN2" i="21" s="1"/>
  <c r="AQ33" i="21"/>
  <c r="AQ53" i="21"/>
  <c r="AQ31" i="21"/>
  <c r="AQ28" i="21"/>
  <c r="AQ51" i="21"/>
  <c r="S44" i="21"/>
  <c r="S79" i="21" s="1"/>
  <c r="Q88" i="1" s="1"/>
  <c r="S40" i="21"/>
  <c r="S2" i="21" s="1"/>
  <c r="G79" i="21"/>
  <c r="AG44" i="21"/>
  <c r="AG79" i="21" s="1"/>
  <c r="AE88" i="1" s="1"/>
  <c r="AG40" i="21"/>
  <c r="AG2" i="21" s="1"/>
  <c r="AQ9" i="21"/>
  <c r="AQ16" i="21"/>
  <c r="AQ54" i="21"/>
  <c r="AQ61" i="21"/>
  <c r="AQ10" i="21"/>
  <c r="R44" i="21"/>
  <c r="R79" i="21" s="1"/>
  <c r="P88" i="1" s="1"/>
  <c r="R40" i="21"/>
  <c r="R2" i="21" s="1"/>
  <c r="AC40" i="21"/>
  <c r="AC2" i="21" s="1"/>
  <c r="AC44" i="21"/>
  <c r="AC79" i="21" s="1"/>
  <c r="AA88" i="1" s="1"/>
  <c r="P40" i="21"/>
  <c r="P2" i="21" s="1"/>
  <c r="P44" i="21"/>
  <c r="P79" i="21" s="1"/>
  <c r="N88" i="1" s="1"/>
  <c r="AQ14" i="21"/>
  <c r="AQ66" i="21"/>
  <c r="AQ29" i="21"/>
  <c r="AQ21" i="21"/>
  <c r="U71" i="7"/>
  <c r="U72" i="7"/>
  <c r="V69" i="7"/>
  <c r="U70" i="7"/>
  <c r="AQ8" i="21"/>
  <c r="AQ37" i="21"/>
  <c r="AH40" i="21"/>
  <c r="AH2" i="21" s="1"/>
  <c r="AH44" i="21"/>
  <c r="AH79" i="21" s="1"/>
  <c r="AF88" i="1" s="1"/>
  <c r="AO44" i="21"/>
  <c r="AO79" i="21" s="1"/>
  <c r="AM88" i="1" s="1"/>
  <c r="AO40" i="21"/>
  <c r="AO2" i="21" s="1"/>
  <c r="Q40" i="21"/>
  <c r="Q2" i="21" s="1"/>
  <c r="Q44" i="21"/>
  <c r="Q79" i="21" s="1"/>
  <c r="O88" i="1" s="1"/>
  <c r="AQ77" i="21"/>
  <c r="AQ17" i="21"/>
  <c r="AQ24" i="21"/>
  <c r="AM60" i="7"/>
  <c r="AQ32" i="21"/>
  <c r="AQ58" i="21"/>
  <c r="AQ46" i="21"/>
  <c r="AQ23" i="21"/>
  <c r="AQ47" i="21"/>
  <c r="AQ30" i="21"/>
  <c r="X40" i="21"/>
  <c r="X2" i="21" s="1"/>
  <c r="X44" i="21"/>
  <c r="X79" i="21" s="1"/>
  <c r="V88" i="1" s="1"/>
  <c r="K44" i="21"/>
  <c r="K79" i="21" s="1"/>
  <c r="I88" i="1" s="1"/>
  <c r="K40" i="21"/>
  <c r="K2" i="21" s="1"/>
  <c r="AL44" i="21"/>
  <c r="AL79" i="21" s="1"/>
  <c r="AJ88" i="1" s="1"/>
  <c r="AL40" i="21"/>
  <c r="AL2" i="21" s="1"/>
  <c r="AQ56" i="21"/>
  <c r="AQ19" i="21"/>
  <c r="AQ27" i="21"/>
  <c r="AQ68" i="21"/>
  <c r="AQ18" i="21"/>
  <c r="AQ55" i="21"/>
  <c r="AQ60" i="21"/>
  <c r="AQ62" i="21"/>
  <c r="AQ76" i="21"/>
  <c r="AQ67" i="21"/>
  <c r="Y80" i="7"/>
  <c r="Y79" i="7"/>
  <c r="Z77" i="7"/>
  <c r="Y78" i="7"/>
  <c r="AQ34" i="21"/>
  <c r="AQ20" i="21"/>
  <c r="AD40" i="21"/>
  <c r="AD2" i="21" s="1"/>
  <c r="AD44" i="21"/>
  <c r="AD79" i="21" s="1"/>
  <c r="AB88" i="1" s="1"/>
  <c r="AB44" i="21"/>
  <c r="AB79" i="21" s="1"/>
  <c r="Z88" i="1" s="1"/>
  <c r="AB40" i="21"/>
  <c r="AB2" i="21" s="1"/>
  <c r="AQ48" i="21"/>
  <c r="AQ36" i="21"/>
  <c r="AQ74" i="21"/>
  <c r="AQ22" i="21"/>
  <c r="AQ59" i="21"/>
  <c r="M44" i="21"/>
  <c r="M79" i="21" s="1"/>
  <c r="K88" i="1" s="1"/>
  <c r="M40" i="21"/>
  <c r="M2" i="21" s="1"/>
  <c r="AI44" i="21"/>
  <c r="AI79" i="21" s="1"/>
  <c r="AG88" i="1" s="1"/>
  <c r="AI40" i="21"/>
  <c r="AI2" i="21" s="1"/>
  <c r="AJ44" i="21"/>
  <c r="AJ79" i="21" s="1"/>
  <c r="AH88" i="1" s="1"/>
  <c r="AJ40" i="21"/>
  <c r="AJ2" i="21" s="1"/>
  <c r="AQ25" i="21"/>
  <c r="AQ63" i="21"/>
  <c r="L40" i="21"/>
  <c r="L2" i="21" s="1"/>
  <c r="L44" i="21"/>
  <c r="L79" i="21" s="1"/>
  <c r="J88" i="1" s="1"/>
  <c r="T44" i="21"/>
  <c r="T79" i="21" s="1"/>
  <c r="R88" i="1" s="1"/>
  <c r="T40" i="21"/>
  <c r="T2" i="21" s="1"/>
  <c r="AF40" i="21"/>
  <c r="AF2" i="21" s="1"/>
  <c r="AF44" i="21"/>
  <c r="AF79" i="21" s="1"/>
  <c r="AD88" i="1" s="1"/>
  <c r="AQ5" i="21"/>
  <c r="AQ15" i="21"/>
  <c r="AQ52" i="21"/>
  <c r="AQ49" i="21"/>
  <c r="N40" i="21"/>
  <c r="N2" i="21" s="1"/>
  <c r="N44" i="21"/>
  <c r="N79" i="21" s="1"/>
  <c r="L88" i="1" s="1"/>
  <c r="AM40" i="21"/>
  <c r="AM2" i="21" s="1"/>
  <c r="AM44" i="21"/>
  <c r="AM79" i="21" s="1"/>
  <c r="AK88" i="1" s="1"/>
  <c r="AE44" i="21"/>
  <c r="AE79" i="21" s="1"/>
  <c r="AC88" i="1" s="1"/>
  <c r="AE40" i="21"/>
  <c r="AE2" i="21" s="1"/>
  <c r="Y44" i="21"/>
  <c r="Y79" i="21" s="1"/>
  <c r="W88" i="1" s="1"/>
  <c r="Y40" i="21"/>
  <c r="Y2" i="21" s="1"/>
  <c r="D98" i="7" l="1"/>
  <c r="D39" i="7"/>
  <c r="D100" i="7" s="1"/>
  <c r="D38" i="7"/>
  <c r="D99" i="7" s="1"/>
  <c r="E37" i="7"/>
  <c r="E40" i="7" s="1"/>
  <c r="E101" i="7" s="1"/>
  <c r="H47" i="7"/>
  <c r="H46" i="7"/>
  <c r="H48" i="7"/>
  <c r="N53" i="7"/>
  <c r="M56" i="7"/>
  <c r="M54" i="7"/>
  <c r="AC87" i="7"/>
  <c r="AC86" i="7"/>
  <c r="AC88" i="7"/>
  <c r="D13" i="8"/>
  <c r="AQ40" i="21"/>
  <c r="AQ2" i="21" s="1"/>
  <c r="AK97" i="1"/>
  <c r="AJ36" i="19"/>
  <c r="AK98" i="1"/>
  <c r="AH220" i="1" s="1"/>
  <c r="N97" i="1"/>
  <c r="N98" i="1"/>
  <c r="M36" i="19"/>
  <c r="X36" i="19"/>
  <c r="Y97" i="1"/>
  <c r="Y98" i="1"/>
  <c r="AD86" i="7"/>
  <c r="AE85" i="7"/>
  <c r="AD87" i="7"/>
  <c r="AD88" i="7"/>
  <c r="K36" i="19"/>
  <c r="L97" i="1"/>
  <c r="L98" i="1"/>
  <c r="AJ97" i="1"/>
  <c r="AI36" i="19"/>
  <c r="AJ98" i="1"/>
  <c r="AG220" i="1" s="1"/>
  <c r="AM98" i="1"/>
  <c r="AJ220" i="1" s="1"/>
  <c r="AL36" i="19"/>
  <c r="AM97" i="1"/>
  <c r="AA97" i="1"/>
  <c r="AA98" i="1"/>
  <c r="Z36" i="19"/>
  <c r="S97" i="1"/>
  <c r="R36" i="19"/>
  <c r="S98" i="1"/>
  <c r="H97" i="1"/>
  <c r="G36" i="19"/>
  <c r="H98" i="1"/>
  <c r="U97" i="1"/>
  <c r="T36" i="19"/>
  <c r="U98" i="1"/>
  <c r="F36" i="19"/>
  <c r="G97" i="1"/>
  <c r="G98" i="1"/>
  <c r="AF97" i="1"/>
  <c r="AF98" i="1"/>
  <c r="AE36" i="19"/>
  <c r="T97" i="1"/>
  <c r="S36" i="19"/>
  <c r="T98" i="1"/>
  <c r="Y36" i="19"/>
  <c r="Z97" i="1"/>
  <c r="Z98" i="1"/>
  <c r="AI97" i="1"/>
  <c r="AH36" i="19"/>
  <c r="AI98" i="1"/>
  <c r="AD97" i="1"/>
  <c r="AC36" i="19"/>
  <c r="AD98" i="1"/>
  <c r="AH98" i="1"/>
  <c r="AG36" i="19"/>
  <c r="AH97" i="1"/>
  <c r="AB97" i="1"/>
  <c r="AA36" i="19"/>
  <c r="AB98" i="1"/>
  <c r="V97" i="1"/>
  <c r="V98" i="1"/>
  <c r="U36" i="19"/>
  <c r="P97" i="1"/>
  <c r="O36" i="19"/>
  <c r="P98" i="1"/>
  <c r="P64" i="7"/>
  <c r="P62" i="7"/>
  <c r="P63" i="7"/>
  <c r="Q61" i="7"/>
  <c r="E36" i="19"/>
  <c r="AO88" i="1"/>
  <c r="M97" i="1"/>
  <c r="L36" i="19"/>
  <c r="M98" i="1"/>
  <c r="AN98" i="1"/>
  <c r="AK220" i="1" s="1"/>
  <c r="AN97" i="1"/>
  <c r="AM36" i="19"/>
  <c r="I97" i="1"/>
  <c r="H36" i="19"/>
  <c r="I98" i="1"/>
  <c r="AA77" i="7"/>
  <c r="Z80" i="7"/>
  <c r="Z79" i="7"/>
  <c r="Z78" i="7"/>
  <c r="X97" i="1"/>
  <c r="X98" i="1"/>
  <c r="W36" i="19"/>
  <c r="AF36" i="19"/>
  <c r="AG98" i="1"/>
  <c r="AG97" i="1"/>
  <c r="AE97" i="1"/>
  <c r="AE98" i="1"/>
  <c r="AD36" i="19"/>
  <c r="R97" i="1"/>
  <c r="Q36" i="19"/>
  <c r="R98" i="1"/>
  <c r="AQ44" i="21"/>
  <c r="W97" i="1"/>
  <c r="V36" i="19"/>
  <c r="W98" i="1"/>
  <c r="J97" i="1"/>
  <c r="J98" i="1"/>
  <c r="I36" i="19"/>
  <c r="K97" i="1"/>
  <c r="K98" i="1"/>
  <c r="J36" i="19"/>
  <c r="AQ79" i="21"/>
  <c r="V71" i="7"/>
  <c r="V72" i="7"/>
  <c r="V70" i="7"/>
  <c r="W69" i="7"/>
  <c r="D101" i="7"/>
  <c r="AL97" i="1"/>
  <c r="AK36" i="19"/>
  <c r="AL98" i="1"/>
  <c r="AI220" i="1" s="1"/>
  <c r="AB36" i="19"/>
  <c r="AC97" i="1"/>
  <c r="AC98" i="1"/>
  <c r="I48" i="7"/>
  <c r="J45" i="7"/>
  <c r="I46" i="7"/>
  <c r="I47" i="7"/>
  <c r="C54" i="6"/>
  <c r="AO34" i="6"/>
  <c r="E11" i="6"/>
  <c r="O97" i="1"/>
  <c r="O98" i="1"/>
  <c r="N36" i="19"/>
  <c r="Q98" i="1"/>
  <c r="Q97" i="1"/>
  <c r="P36" i="19"/>
  <c r="F37" i="7" l="1"/>
  <c r="F40" i="7" s="1"/>
  <c r="E39" i="7"/>
  <c r="E100" i="7" s="1"/>
  <c r="E98" i="7"/>
  <c r="E38" i="7"/>
  <c r="E99" i="7" s="1"/>
  <c r="N56" i="7"/>
  <c r="O53" i="7"/>
  <c r="N55" i="7"/>
  <c r="N54" i="7"/>
  <c r="P10" i="19"/>
  <c r="X74" i="7"/>
  <c r="W70" i="7"/>
  <c r="X71" i="7"/>
  <c r="W72" i="7"/>
  <c r="W71" i="7"/>
  <c r="X72" i="7"/>
  <c r="X70" i="7"/>
  <c r="M10" i="19"/>
  <c r="AL10" i="19"/>
  <c r="AJ219" i="1"/>
  <c r="AH219" i="1"/>
  <c r="AJ10" i="19"/>
  <c r="N10" i="19"/>
  <c r="AA80" i="7"/>
  <c r="AA79" i="7"/>
  <c r="AB79" i="7"/>
  <c r="AB78" i="7"/>
  <c r="AB82" i="7"/>
  <c r="AB80" i="7"/>
  <c r="AA78" i="7"/>
  <c r="L10" i="19"/>
  <c r="AE10" i="19"/>
  <c r="F10" i="19"/>
  <c r="R10" i="19"/>
  <c r="AF90" i="7"/>
  <c r="AE86" i="7"/>
  <c r="AF88" i="7"/>
  <c r="AF86" i="7"/>
  <c r="AE87" i="7"/>
  <c r="AE88" i="7"/>
  <c r="AF87" i="7"/>
  <c r="K45" i="7"/>
  <c r="J47" i="7"/>
  <c r="J48" i="7"/>
  <c r="J46" i="7"/>
  <c r="J10" i="19"/>
  <c r="AG10" i="19"/>
  <c r="AC10" i="19"/>
  <c r="S10" i="19"/>
  <c r="Q10" i="19"/>
  <c r="V10" i="19"/>
  <c r="AB10" i="19"/>
  <c r="H10" i="19"/>
  <c r="O10" i="19"/>
  <c r="Z10" i="19"/>
  <c r="W10" i="19"/>
  <c r="AA10" i="19"/>
  <c r="F35" i="6"/>
  <c r="D103" i="7"/>
  <c r="AN36" i="19"/>
  <c r="AH10" i="19"/>
  <c r="AI10" i="19"/>
  <c r="AG219" i="1"/>
  <c r="X10" i="19"/>
  <c r="I10" i="19"/>
  <c r="T10" i="19"/>
  <c r="C34" i="6"/>
  <c r="D11" i="6"/>
  <c r="AD10" i="19"/>
  <c r="AM10" i="19"/>
  <c r="AK219" i="1"/>
  <c r="K10" i="19"/>
  <c r="R61" i="7"/>
  <c r="Q63" i="7"/>
  <c r="Q64" i="7"/>
  <c r="Q62" i="7"/>
  <c r="Y10" i="19"/>
  <c r="AK10" i="19"/>
  <c r="AI219" i="1"/>
  <c r="U10" i="19"/>
  <c r="AF10" i="19"/>
  <c r="G10" i="19"/>
  <c r="G35" i="6" l="1"/>
  <c r="G39" i="6" s="1"/>
  <c r="G38" i="6" s="1"/>
  <c r="F98" i="7"/>
  <c r="F39" i="7"/>
  <c r="F100" i="7" s="1"/>
  <c r="G37" i="7"/>
  <c r="G38" i="7" s="1"/>
  <c r="G99" i="7" s="1"/>
  <c r="F38" i="7"/>
  <c r="F99" i="7" s="1"/>
  <c r="E103" i="7"/>
  <c r="O56" i="7"/>
  <c r="O54" i="7"/>
  <c r="P54" i="7"/>
  <c r="P55" i="7"/>
  <c r="P58" i="7"/>
  <c r="P56" i="7"/>
  <c r="O55" i="7"/>
  <c r="X73" i="7"/>
  <c r="F101" i="7"/>
  <c r="AF89" i="7"/>
  <c r="F39" i="6"/>
  <c r="F33" i="6"/>
  <c r="AB81" i="7"/>
  <c r="S61" i="7"/>
  <c r="R62" i="7"/>
  <c r="R64" i="7"/>
  <c r="R63" i="7"/>
  <c r="L50" i="7"/>
  <c r="L47" i="7"/>
  <c r="L46" i="7"/>
  <c r="K48" i="7"/>
  <c r="K47" i="7"/>
  <c r="K46" i="7"/>
  <c r="L48" i="7"/>
  <c r="G33" i="6" l="1"/>
  <c r="H40" i="7"/>
  <c r="H101" i="7" s="1"/>
  <c r="H38" i="7"/>
  <c r="H99" i="7" s="1"/>
  <c r="H42" i="7"/>
  <c r="G40" i="7"/>
  <c r="G101" i="7" s="1"/>
  <c r="G39" i="7"/>
  <c r="G100" i="7" s="1"/>
  <c r="H39" i="7"/>
  <c r="H100" i="7" s="1"/>
  <c r="G98" i="7"/>
  <c r="P57" i="7"/>
  <c r="P53" i="7" s="1"/>
  <c r="Q58" i="7" s="1"/>
  <c r="S63" i="7"/>
  <c r="S62" i="7"/>
  <c r="T66" i="7"/>
  <c r="T62" i="7"/>
  <c r="T63" i="7"/>
  <c r="T64" i="7"/>
  <c r="S64" i="7"/>
  <c r="AB77" i="7"/>
  <c r="L49" i="7"/>
  <c r="AF85" i="7"/>
  <c r="F38" i="6"/>
  <c r="H35" i="6"/>
  <c r="F103" i="7"/>
  <c r="X69" i="7"/>
  <c r="J35" i="6" l="1"/>
  <c r="J39" i="6" s="1"/>
  <c r="J38" i="6" s="1"/>
  <c r="H41" i="7"/>
  <c r="H37" i="7" s="1"/>
  <c r="I35" i="6"/>
  <c r="I33" i="6" s="1"/>
  <c r="Q55" i="7"/>
  <c r="Q56" i="7"/>
  <c r="Q54" i="7"/>
  <c r="G103" i="7"/>
  <c r="AC79" i="7"/>
  <c r="AC78" i="7"/>
  <c r="AC80" i="7"/>
  <c r="AC82" i="7"/>
  <c r="T65" i="7"/>
  <c r="L45" i="7"/>
  <c r="Y74" i="7"/>
  <c r="Y70" i="7"/>
  <c r="Y72" i="7"/>
  <c r="Y71" i="7"/>
  <c r="H39" i="6"/>
  <c r="H33" i="6"/>
  <c r="AG90" i="7"/>
  <c r="AG87" i="7"/>
  <c r="AG88" i="7"/>
  <c r="AG86" i="7"/>
  <c r="H102" i="7" l="1"/>
  <c r="J36" i="6" s="1"/>
  <c r="I39" i="6"/>
  <c r="I38" i="6" s="1"/>
  <c r="Q57" i="7"/>
  <c r="Q53" i="7" s="1"/>
  <c r="T61" i="7"/>
  <c r="AG89" i="7"/>
  <c r="M50" i="7"/>
  <c r="M47" i="7"/>
  <c r="M48" i="7"/>
  <c r="M46" i="7"/>
  <c r="H38" i="6"/>
  <c r="AC81" i="7"/>
  <c r="Y73" i="7"/>
  <c r="I42" i="7"/>
  <c r="I40" i="7"/>
  <c r="I39" i="7"/>
  <c r="I38" i="7"/>
  <c r="H98" i="7"/>
  <c r="H103" i="7" l="1"/>
  <c r="I100" i="7"/>
  <c r="Y69" i="7"/>
  <c r="R58" i="7"/>
  <c r="R55" i="7"/>
  <c r="R56" i="7"/>
  <c r="R54" i="7"/>
  <c r="I41" i="7"/>
  <c r="U63" i="7"/>
  <c r="U66" i="7"/>
  <c r="U62" i="7"/>
  <c r="U64" i="7"/>
  <c r="AC77" i="7"/>
  <c r="AG85" i="7"/>
  <c r="I101" i="7"/>
  <c r="J33" i="6"/>
  <c r="I99" i="7"/>
  <c r="M49" i="7"/>
  <c r="Z74" i="7" l="1"/>
  <c r="Z71" i="7"/>
  <c r="Z72" i="7"/>
  <c r="Z70" i="7"/>
  <c r="U65" i="7"/>
  <c r="AH87" i="7"/>
  <c r="AH90" i="7"/>
  <c r="AH88" i="7"/>
  <c r="AH86" i="7"/>
  <c r="AD78" i="7"/>
  <c r="AD79" i="7"/>
  <c r="AD82" i="7"/>
  <c r="AD80" i="7"/>
  <c r="R57" i="7"/>
  <c r="K35" i="6"/>
  <c r="M45" i="7"/>
  <c r="I102" i="7"/>
  <c r="K36" i="6" s="1"/>
  <c r="I37" i="7"/>
  <c r="I103" i="7" l="1"/>
  <c r="J40" i="7"/>
  <c r="J39" i="7"/>
  <c r="J42" i="7"/>
  <c r="J38" i="7"/>
  <c r="I98" i="7"/>
  <c r="K39" i="6"/>
  <c r="K33" i="6"/>
  <c r="N46" i="7"/>
  <c r="N50" i="7"/>
  <c r="N48" i="7"/>
  <c r="N47" i="7"/>
  <c r="R53" i="7"/>
  <c r="AH89" i="7"/>
  <c r="U61" i="7"/>
  <c r="Z73" i="7"/>
  <c r="AD81" i="7"/>
  <c r="AD77" i="7" l="1"/>
  <c r="N49" i="7"/>
  <c r="J101" i="7"/>
  <c r="S58" i="7"/>
  <c r="S55" i="7"/>
  <c r="S56" i="7"/>
  <c r="S54" i="7"/>
  <c r="J99" i="7"/>
  <c r="AH85" i="7"/>
  <c r="Z69" i="7"/>
  <c r="J41" i="7"/>
  <c r="V66" i="7"/>
  <c r="V64" i="7"/>
  <c r="V62" i="7"/>
  <c r="V63" i="7"/>
  <c r="K38" i="6"/>
  <c r="J100" i="7"/>
  <c r="AA74" i="7" l="1"/>
  <c r="AA71" i="7"/>
  <c r="AA70" i="7"/>
  <c r="AA72" i="7"/>
  <c r="L35" i="6"/>
  <c r="V65" i="7"/>
  <c r="J102" i="7"/>
  <c r="L36" i="6" s="1"/>
  <c r="J37" i="7"/>
  <c r="N45" i="7"/>
  <c r="AE79" i="7"/>
  <c r="AE78" i="7"/>
  <c r="AE80" i="7"/>
  <c r="AE82" i="7"/>
  <c r="AI88" i="7"/>
  <c r="AI87" i="7"/>
  <c r="AI86" i="7"/>
  <c r="AI90" i="7"/>
  <c r="S57" i="7"/>
  <c r="J103" i="7" l="1"/>
  <c r="L39" i="6"/>
  <c r="L33" i="6"/>
  <c r="K42" i="7"/>
  <c r="K38" i="7"/>
  <c r="K99" i="7" s="1"/>
  <c r="K39" i="7"/>
  <c r="K100" i="7" s="1"/>
  <c r="K40" i="7"/>
  <c r="K101" i="7" s="1"/>
  <c r="J98" i="7"/>
  <c r="AE81" i="7"/>
  <c r="AA73" i="7"/>
  <c r="V61" i="7"/>
  <c r="AI89" i="7"/>
  <c r="O47" i="7"/>
  <c r="O50" i="7"/>
  <c r="O46" i="7"/>
  <c r="O48" i="7"/>
  <c r="S53" i="7"/>
  <c r="K41" i="7" l="1"/>
  <c r="AI85" i="7"/>
  <c r="M35" i="6"/>
  <c r="W64" i="7"/>
  <c r="W66" i="7"/>
  <c r="W62" i="7"/>
  <c r="W63" i="7"/>
  <c r="AA69" i="7"/>
  <c r="AE77" i="7"/>
  <c r="O49" i="7"/>
  <c r="L38" i="6"/>
  <c r="T55" i="7"/>
  <c r="T54" i="7"/>
  <c r="T56" i="7"/>
  <c r="T58" i="7"/>
  <c r="AJ90" i="7" l="1"/>
  <c r="AJ88" i="7"/>
  <c r="AJ87" i="7"/>
  <c r="AJ86" i="7"/>
  <c r="M39" i="6"/>
  <c r="T57" i="7"/>
  <c r="W65" i="7"/>
  <c r="O45" i="7"/>
  <c r="AF78" i="7"/>
  <c r="AF79" i="7"/>
  <c r="AF82" i="7"/>
  <c r="AF80" i="7"/>
  <c r="AB74" i="7"/>
  <c r="AB70" i="7"/>
  <c r="AB71" i="7"/>
  <c r="AB72" i="7"/>
  <c r="K102" i="7"/>
  <c r="K37" i="7"/>
  <c r="T53" i="7" l="1"/>
  <c r="AF81" i="7"/>
  <c r="M38" i="6"/>
  <c r="L42" i="7"/>
  <c r="L40" i="7"/>
  <c r="L101" i="7" s="1"/>
  <c r="K98" i="7"/>
  <c r="L38" i="7"/>
  <c r="L99" i="7" s="1"/>
  <c r="L39" i="7"/>
  <c r="L100" i="7" s="1"/>
  <c r="W61" i="7"/>
  <c r="P50" i="7"/>
  <c r="P46" i="7"/>
  <c r="P48" i="7"/>
  <c r="P47" i="7"/>
  <c r="M36" i="6"/>
  <c r="K103" i="7"/>
  <c r="AB73" i="7"/>
  <c r="AJ89" i="7"/>
  <c r="P49" i="7" l="1"/>
  <c r="N35" i="6"/>
  <c r="AF77" i="7"/>
  <c r="AB69" i="7"/>
  <c r="AJ85" i="7"/>
  <c r="M33" i="6"/>
  <c r="U58" i="7"/>
  <c r="U56" i="7"/>
  <c r="U54" i="7"/>
  <c r="U55" i="7"/>
  <c r="X64" i="7"/>
  <c r="X62" i="7"/>
  <c r="X63" i="7"/>
  <c r="X66" i="7"/>
  <c r="L41" i="7"/>
  <c r="AG82" i="7" l="1"/>
  <c r="AG78" i="7"/>
  <c r="AG80" i="7"/>
  <c r="AG79" i="7"/>
  <c r="L102" i="7"/>
  <c r="L37" i="7"/>
  <c r="N39" i="6"/>
  <c r="N38" i="6" s="1"/>
  <c r="X65" i="7"/>
  <c r="P45" i="7"/>
  <c r="AC70" i="7"/>
  <c r="AC72" i="7"/>
  <c r="AC74" i="7"/>
  <c r="AC71" i="7"/>
  <c r="U57" i="7"/>
  <c r="U53" i="7" s="1"/>
  <c r="AK88" i="7"/>
  <c r="AK86" i="7"/>
  <c r="AK90" i="7"/>
  <c r="AK87" i="7"/>
  <c r="AC73" i="7" l="1"/>
  <c r="AC69" i="7" s="1"/>
  <c r="AD72" i="7" s="1"/>
  <c r="Q48" i="7"/>
  <c r="Q50" i="7"/>
  <c r="Q47" i="7"/>
  <c r="Q46" i="7"/>
  <c r="M39" i="7"/>
  <c r="M100" i="7" s="1"/>
  <c r="L98" i="7"/>
  <c r="M38" i="7"/>
  <c r="M99" i="7" s="1"/>
  <c r="M42" i="7"/>
  <c r="M40" i="7"/>
  <c r="M101" i="7" s="1"/>
  <c r="AK89" i="7"/>
  <c r="AK85" i="7" s="1"/>
  <c r="N36" i="6"/>
  <c r="L103" i="7"/>
  <c r="X61" i="7"/>
  <c r="V58" i="7"/>
  <c r="V54" i="7"/>
  <c r="V55" i="7"/>
  <c r="V56" i="7"/>
  <c r="AG81" i="7"/>
  <c r="AG77" i="7" s="1"/>
  <c r="AD71" i="7" l="1"/>
  <c r="AD70" i="7"/>
  <c r="AD74" i="7"/>
  <c r="Q49" i="7"/>
  <c r="Q45" i="7" s="1"/>
  <c r="R48" i="7" s="1"/>
  <c r="Y66" i="7"/>
  <c r="Y64" i="7"/>
  <c r="Y62" i="7"/>
  <c r="Y63" i="7"/>
  <c r="M41" i="7"/>
  <c r="N33" i="6"/>
  <c r="AL86" i="7"/>
  <c r="AM86" i="7" s="1"/>
  <c r="AL90" i="7"/>
  <c r="AL88" i="7"/>
  <c r="AM88" i="7" s="1"/>
  <c r="AL87" i="7"/>
  <c r="AM87" i="7" s="1"/>
  <c r="AH80" i="7"/>
  <c r="AH82" i="7"/>
  <c r="AH78" i="7"/>
  <c r="AH79" i="7"/>
  <c r="V57" i="7"/>
  <c r="V53" i="7" s="1"/>
  <c r="O35" i="6"/>
  <c r="AD73" i="7" l="1"/>
  <c r="AD69" i="7" s="1"/>
  <c r="AE71" i="7" s="1"/>
  <c r="R47" i="7"/>
  <c r="R46" i="7"/>
  <c r="R50" i="7"/>
  <c r="Y65" i="7"/>
  <c r="Y61" i="7" s="1"/>
  <c r="Z64" i="7" s="1"/>
  <c r="M102" i="7"/>
  <c r="M37" i="7"/>
  <c r="AH81" i="7"/>
  <c r="AH77" i="7" s="1"/>
  <c r="AL89" i="7"/>
  <c r="AM90" i="7"/>
  <c r="O39" i="6"/>
  <c r="O38" i="6" s="1"/>
  <c r="W55" i="7"/>
  <c r="W54" i="7"/>
  <c r="W58" i="7"/>
  <c r="W56" i="7"/>
  <c r="AE72" i="7" l="1"/>
  <c r="AE70" i="7"/>
  <c r="AE74" i="7"/>
  <c r="R49" i="7"/>
  <c r="R45" i="7" s="1"/>
  <c r="S48" i="7" s="1"/>
  <c r="Z62" i="7"/>
  <c r="Z63" i="7"/>
  <c r="Z66" i="7"/>
  <c r="N38" i="7"/>
  <c r="N99" i="7" s="1"/>
  <c r="N40" i="7"/>
  <c r="N101" i="7" s="1"/>
  <c r="N42" i="7"/>
  <c r="N39" i="7"/>
  <c r="N100" i="7" s="1"/>
  <c r="M98" i="7"/>
  <c r="O36" i="6"/>
  <c r="O33" i="6" s="1"/>
  <c r="M103" i="7"/>
  <c r="W57" i="7"/>
  <c r="W53" i="7" s="1"/>
  <c r="AM89" i="7"/>
  <c r="AL85" i="7"/>
  <c r="AM85" i="7" s="1"/>
  <c r="AI79" i="7"/>
  <c r="AI78" i="7"/>
  <c r="AI82" i="7"/>
  <c r="AI80" i="7"/>
  <c r="S50" i="7" l="1"/>
  <c r="S47" i="7"/>
  <c r="S46" i="7"/>
  <c r="AE73" i="7"/>
  <c r="AE69" i="7" s="1"/>
  <c r="AF74" i="7" s="1"/>
  <c r="Z65" i="7"/>
  <c r="Z61" i="7" s="1"/>
  <c r="AA63" i="7" s="1"/>
  <c r="AI81" i="7"/>
  <c r="AI77" i="7" s="1"/>
  <c r="AJ80" i="7" s="1"/>
  <c r="P35" i="6"/>
  <c r="N41" i="7"/>
  <c r="X55" i="7"/>
  <c r="X56" i="7"/>
  <c r="X58" i="7"/>
  <c r="X54" i="7"/>
  <c r="AF71" i="7" l="1"/>
  <c r="S49" i="7"/>
  <c r="S45" i="7" s="1"/>
  <c r="T46" i="7" s="1"/>
  <c r="AF70" i="7"/>
  <c r="AF72" i="7"/>
  <c r="AA66" i="7"/>
  <c r="AA64" i="7"/>
  <c r="AA62" i="7"/>
  <c r="AJ82" i="7"/>
  <c r="AJ78" i="7"/>
  <c r="AJ79" i="7"/>
  <c r="N102" i="7"/>
  <c r="N37" i="7"/>
  <c r="P39" i="6"/>
  <c r="P38" i="6" s="1"/>
  <c r="X57" i="7"/>
  <c r="X53" i="7" s="1"/>
  <c r="AF73" i="7" l="1"/>
  <c r="AF69" i="7" s="1"/>
  <c r="AG74" i="7" s="1"/>
  <c r="T50" i="7"/>
  <c r="T47" i="7"/>
  <c r="T48" i="7"/>
  <c r="AA65" i="7"/>
  <c r="AA61" i="7" s="1"/>
  <c r="AB64" i="7" s="1"/>
  <c r="AJ81" i="7"/>
  <c r="AJ77" i="7" s="1"/>
  <c r="AK80" i="7" s="1"/>
  <c r="P36" i="6"/>
  <c r="P33" i="6" s="1"/>
  <c r="N103" i="7"/>
  <c r="O42" i="7"/>
  <c r="O38" i="7"/>
  <c r="O99" i="7" s="1"/>
  <c r="O40" i="7"/>
  <c r="O101" i="7" s="1"/>
  <c r="N98" i="7"/>
  <c r="O39" i="7"/>
  <c r="O100" i="7" s="1"/>
  <c r="Y55" i="7"/>
  <c r="Y56" i="7"/>
  <c r="Y54" i="7"/>
  <c r="Y58" i="7"/>
  <c r="AG72" i="7" l="1"/>
  <c r="AG70" i="7"/>
  <c r="AG71" i="7"/>
  <c r="T49" i="7"/>
  <c r="T45" i="7" s="1"/>
  <c r="U46" i="7" s="1"/>
  <c r="AB66" i="7"/>
  <c r="AB62" i="7"/>
  <c r="AB63" i="7"/>
  <c r="AK82" i="7"/>
  <c r="AK79" i="7"/>
  <c r="AK78" i="7"/>
  <c r="Y57" i="7"/>
  <c r="Y53" i="7" s="1"/>
  <c r="Z56" i="7" s="1"/>
  <c r="Q35" i="6"/>
  <c r="O41" i="7"/>
  <c r="U48" i="7" l="1"/>
  <c r="AG73" i="7"/>
  <c r="AG69" i="7" s="1"/>
  <c r="AH70" i="7" s="1"/>
  <c r="U50" i="7"/>
  <c r="U47" i="7"/>
  <c r="AB65" i="7"/>
  <c r="AB61" i="7" s="1"/>
  <c r="AK81" i="7"/>
  <c r="AK77" i="7" s="1"/>
  <c r="AL79" i="7" s="1"/>
  <c r="AM79" i="7" s="1"/>
  <c r="Z54" i="7"/>
  <c r="Z55" i="7"/>
  <c r="Z58" i="7"/>
  <c r="Q39" i="6"/>
  <c r="Q38" i="6" s="1"/>
  <c r="O102" i="7"/>
  <c r="O37" i="7"/>
  <c r="AH74" i="7" l="1"/>
  <c r="AH72" i="7"/>
  <c r="AH71" i="7"/>
  <c r="U49" i="7"/>
  <c r="U45" i="7" s="1"/>
  <c r="V48" i="7" s="1"/>
  <c r="AL78" i="7"/>
  <c r="AM78" i="7" s="1"/>
  <c r="AL80" i="7"/>
  <c r="AM80" i="7" s="1"/>
  <c r="AC63" i="7"/>
  <c r="AC64" i="7"/>
  <c r="AC62" i="7"/>
  <c r="AC66" i="7"/>
  <c r="AL82" i="7"/>
  <c r="AM82" i="7" s="1"/>
  <c r="Z57" i="7"/>
  <c r="Z53" i="7" s="1"/>
  <c r="AA54" i="7" s="1"/>
  <c r="P42" i="7"/>
  <c r="P40" i="7"/>
  <c r="P101" i="7" s="1"/>
  <c r="P38" i="7"/>
  <c r="P99" i="7" s="1"/>
  <c r="O98" i="7"/>
  <c r="P39" i="7"/>
  <c r="P100" i="7" s="1"/>
  <c r="Q36" i="6"/>
  <c r="Q33" i="6" s="1"/>
  <c r="O103" i="7"/>
  <c r="AH73" i="7" l="1"/>
  <c r="AH69" i="7" s="1"/>
  <c r="AI74" i="7" s="1"/>
  <c r="V50" i="7"/>
  <c r="V47" i="7"/>
  <c r="V46" i="7"/>
  <c r="AC65" i="7"/>
  <c r="AC61" i="7" s="1"/>
  <c r="AD66" i="7" s="1"/>
  <c r="AL81" i="7"/>
  <c r="AL77" i="7" s="1"/>
  <c r="AM77" i="7" s="1"/>
  <c r="AA58" i="7"/>
  <c r="AA55" i="7"/>
  <c r="AA56" i="7"/>
  <c r="R35" i="6"/>
  <c r="P41" i="7"/>
  <c r="AI70" i="7" l="1"/>
  <c r="AI72" i="7"/>
  <c r="AI71" i="7"/>
  <c r="AD64" i="7"/>
  <c r="AD62" i="7"/>
  <c r="AD63" i="7"/>
  <c r="V49" i="7"/>
  <c r="V45" i="7" s="1"/>
  <c r="W47" i="7" s="1"/>
  <c r="AM81" i="7"/>
  <c r="AA57" i="7"/>
  <c r="AA53" i="7" s="1"/>
  <c r="AB55" i="7" s="1"/>
  <c r="P102" i="7"/>
  <c r="P37" i="7"/>
  <c r="R39" i="6"/>
  <c r="R38" i="6" s="1"/>
  <c r="AI73" i="7" l="1"/>
  <c r="AI69" i="7" s="1"/>
  <c r="AJ74" i="7" s="1"/>
  <c r="AD65" i="7"/>
  <c r="AD61" i="7" s="1"/>
  <c r="AE66" i="7" s="1"/>
  <c r="W48" i="7"/>
  <c r="W46" i="7"/>
  <c r="W50" i="7"/>
  <c r="AB56" i="7"/>
  <c r="AB54" i="7"/>
  <c r="AB58" i="7"/>
  <c r="R36" i="6"/>
  <c r="R33" i="6" s="1"/>
  <c r="P103" i="7"/>
  <c r="Q39" i="7"/>
  <c r="Q100" i="7" s="1"/>
  <c r="Q42" i="7"/>
  <c r="Q38" i="7"/>
  <c r="Q99" i="7" s="1"/>
  <c r="Q40" i="7"/>
  <c r="Q101" i="7" s="1"/>
  <c r="P98" i="7"/>
  <c r="AJ70" i="7" l="1"/>
  <c r="AJ71" i="7"/>
  <c r="AJ72" i="7"/>
  <c r="AE63" i="7"/>
  <c r="AE62" i="7"/>
  <c r="AE64" i="7"/>
  <c r="W49" i="7"/>
  <c r="W45" i="7" s="1"/>
  <c r="X50" i="7" s="1"/>
  <c r="AB57" i="7"/>
  <c r="AB53" i="7" s="1"/>
  <c r="AC58" i="7" s="1"/>
  <c r="Q41" i="7"/>
  <c r="S35" i="6"/>
  <c r="AE65" i="7" l="1"/>
  <c r="AE61" i="7" s="1"/>
  <c r="AF63" i="7" s="1"/>
  <c r="AJ73" i="7"/>
  <c r="AJ69" i="7" s="1"/>
  <c r="AK70" i="7" s="1"/>
  <c r="X48" i="7"/>
  <c r="X47" i="7"/>
  <c r="X46" i="7"/>
  <c r="AC54" i="7"/>
  <c r="AC56" i="7"/>
  <c r="AC55" i="7"/>
  <c r="Q102" i="7"/>
  <c r="Q37" i="7"/>
  <c r="S39" i="6"/>
  <c r="S38" i="6" s="1"/>
  <c r="AF62" i="7" l="1"/>
  <c r="AF66" i="7"/>
  <c r="AF64" i="7"/>
  <c r="AK74" i="7"/>
  <c r="AK72" i="7"/>
  <c r="AK71" i="7"/>
  <c r="X49" i="7"/>
  <c r="X45" i="7" s="1"/>
  <c r="Y50" i="7" s="1"/>
  <c r="AC57" i="7"/>
  <c r="AC53" i="7" s="1"/>
  <c r="AD56" i="7" s="1"/>
  <c r="R40" i="7"/>
  <c r="R101" i="7" s="1"/>
  <c r="R42" i="7"/>
  <c r="R39" i="7"/>
  <c r="R100" i="7" s="1"/>
  <c r="R38" i="7"/>
  <c r="R99" i="7" s="1"/>
  <c r="Q98" i="7"/>
  <c r="S36" i="6"/>
  <c r="S33" i="6" s="1"/>
  <c r="Q103" i="7"/>
  <c r="AF65" i="7" l="1"/>
  <c r="AF61" i="7" s="1"/>
  <c r="AG64" i="7" s="1"/>
  <c r="AK73" i="7"/>
  <c r="AK69" i="7" s="1"/>
  <c r="AL72" i="7" s="1"/>
  <c r="AM72" i="7" s="1"/>
  <c r="AD55" i="7"/>
  <c r="AD54" i="7"/>
  <c r="AD58" i="7"/>
  <c r="Y47" i="7"/>
  <c r="Y48" i="7"/>
  <c r="Y46" i="7"/>
  <c r="R41" i="7"/>
  <c r="R102" i="7" s="1"/>
  <c r="T36" i="6" s="1"/>
  <c r="T35" i="6"/>
  <c r="AG63" i="7" l="1"/>
  <c r="AG66" i="7"/>
  <c r="AG62" i="7"/>
  <c r="AL71" i="7"/>
  <c r="AM71" i="7" s="1"/>
  <c r="AL74" i="7"/>
  <c r="AM74" i="7" s="1"/>
  <c r="AL70" i="7"/>
  <c r="AM70" i="7" s="1"/>
  <c r="AD57" i="7"/>
  <c r="AD53" i="7" s="1"/>
  <c r="AE58" i="7" s="1"/>
  <c r="Y49" i="7"/>
  <c r="Y45" i="7" s="1"/>
  <c r="Z50" i="7" s="1"/>
  <c r="R37" i="7"/>
  <c r="S39" i="7" s="1"/>
  <c r="S100" i="7" s="1"/>
  <c r="R103" i="7"/>
  <c r="T39" i="6"/>
  <c r="T38" i="6" s="1"/>
  <c r="T33" i="6"/>
  <c r="AG65" i="7" l="1"/>
  <c r="AG61" i="7" s="1"/>
  <c r="AH63" i="7" s="1"/>
  <c r="AL73" i="7"/>
  <c r="AM73" i="7" s="1"/>
  <c r="AE54" i="7"/>
  <c r="AE56" i="7"/>
  <c r="AE55" i="7"/>
  <c r="Z46" i="7"/>
  <c r="Z48" i="7"/>
  <c r="Z47" i="7"/>
  <c r="S40" i="7"/>
  <c r="S101" i="7" s="1"/>
  <c r="S42" i="7"/>
  <c r="S38" i="7"/>
  <c r="S99" i="7" s="1"/>
  <c r="R98" i="7"/>
  <c r="AH64" i="7" l="1"/>
  <c r="AH66" i="7"/>
  <c r="AH62" i="7"/>
  <c r="AL69" i="7"/>
  <c r="AM69" i="7" s="1"/>
  <c r="AE57" i="7"/>
  <c r="AE53" i="7" s="1"/>
  <c r="AF55" i="7" s="1"/>
  <c r="Z49" i="7"/>
  <c r="Z45" i="7" s="1"/>
  <c r="AA50" i="7" s="1"/>
  <c r="U35" i="6"/>
  <c r="U39" i="6" s="1"/>
  <c r="U38" i="6" s="1"/>
  <c r="S41" i="7"/>
  <c r="S102" i="7" s="1"/>
  <c r="U36" i="6" s="1"/>
  <c r="AH65" i="7" l="1"/>
  <c r="AH61" i="7" s="1"/>
  <c r="AI64" i="7" s="1"/>
  <c r="AF54" i="7"/>
  <c r="AF56" i="7"/>
  <c r="AF58" i="7"/>
  <c r="AA46" i="7"/>
  <c r="AA47" i="7"/>
  <c r="AA48" i="7"/>
  <c r="U33" i="6"/>
  <c r="S103" i="7"/>
  <c r="S37" i="7"/>
  <c r="AI63" i="7" l="1"/>
  <c r="AI62" i="7"/>
  <c r="AI66" i="7"/>
  <c r="AF57" i="7"/>
  <c r="AF53" i="7" s="1"/>
  <c r="AG55" i="7" s="1"/>
  <c r="AA49" i="7"/>
  <c r="AA45" i="7" s="1"/>
  <c r="AB50" i="7" s="1"/>
  <c r="S98" i="7"/>
  <c r="T42" i="7"/>
  <c r="T39" i="7"/>
  <c r="T100" i="7" s="1"/>
  <c r="T38" i="7"/>
  <c r="T99" i="7" s="1"/>
  <c r="T40" i="7"/>
  <c r="T101" i="7" s="1"/>
  <c r="AI65" i="7" l="1"/>
  <c r="AI61" i="7" s="1"/>
  <c r="AJ63" i="7" s="1"/>
  <c r="AG54" i="7"/>
  <c r="AG58" i="7"/>
  <c r="AG56" i="7"/>
  <c r="AB48" i="7"/>
  <c r="AB47" i="7"/>
  <c r="AB46" i="7"/>
  <c r="V35" i="6"/>
  <c r="V39" i="6" s="1"/>
  <c r="V38" i="6" s="1"/>
  <c r="T41" i="7"/>
  <c r="AJ62" i="7" l="1"/>
  <c r="AJ64" i="7"/>
  <c r="AJ66" i="7"/>
  <c r="AG57" i="7"/>
  <c r="AG53" i="7" s="1"/>
  <c r="AH56" i="7" s="1"/>
  <c r="AB49" i="7"/>
  <c r="AB45" i="7" s="1"/>
  <c r="AC48" i="7" s="1"/>
  <c r="T37" i="7"/>
  <c r="T102" i="7"/>
  <c r="AJ65" i="7" l="1"/>
  <c r="AJ61" i="7" s="1"/>
  <c r="AK64" i="7" s="1"/>
  <c r="AH55" i="7"/>
  <c r="AH58" i="7"/>
  <c r="AH54" i="7"/>
  <c r="AC50" i="7"/>
  <c r="AC46" i="7"/>
  <c r="AC47" i="7"/>
  <c r="V36" i="6"/>
  <c r="V33" i="6" s="1"/>
  <c r="T103" i="7"/>
  <c r="U38" i="7"/>
  <c r="U99" i="7" s="1"/>
  <c r="U40" i="7"/>
  <c r="U101" i="7" s="1"/>
  <c r="U42" i="7"/>
  <c r="T98" i="7"/>
  <c r="U39" i="7"/>
  <c r="U100" i="7" s="1"/>
  <c r="AK62" i="7" l="1"/>
  <c r="AK63" i="7"/>
  <c r="AK66" i="7"/>
  <c r="AH57" i="7"/>
  <c r="AH53" i="7" s="1"/>
  <c r="AI58" i="7" s="1"/>
  <c r="AC49" i="7"/>
  <c r="AC45" i="7" s="1"/>
  <c r="AD48" i="7" s="1"/>
  <c r="U41" i="7"/>
  <c r="U102" i="7" s="1"/>
  <c r="W36" i="6" s="1"/>
  <c r="W35" i="6"/>
  <c r="AK65" i="7" l="1"/>
  <c r="AK61" i="7" s="1"/>
  <c r="AL63" i="7" s="1"/>
  <c r="AM63" i="7" s="1"/>
  <c r="AI54" i="7"/>
  <c r="AI55" i="7"/>
  <c r="AI56" i="7"/>
  <c r="AD46" i="7"/>
  <c r="AD50" i="7"/>
  <c r="AD47" i="7"/>
  <c r="U37" i="7"/>
  <c r="V38" i="7" s="1"/>
  <c r="V99" i="7" s="1"/>
  <c r="U103" i="7"/>
  <c r="W33" i="6"/>
  <c r="W39" i="6"/>
  <c r="W38" i="6" s="1"/>
  <c r="AL66" i="7" l="1"/>
  <c r="AM66" i="7" s="1"/>
  <c r="AL64" i="7"/>
  <c r="AM64" i="7" s="1"/>
  <c r="AL62" i="7"/>
  <c r="AM62" i="7" s="1"/>
  <c r="AI57" i="7"/>
  <c r="AI53" i="7" s="1"/>
  <c r="AJ54" i="7" s="1"/>
  <c r="AD49" i="7"/>
  <c r="AD45" i="7" s="1"/>
  <c r="AE46" i="7" s="1"/>
  <c r="V40" i="7"/>
  <c r="V101" i="7" s="1"/>
  <c r="V42" i="7"/>
  <c r="U98" i="7"/>
  <c r="V39" i="7"/>
  <c r="V100" i="7" s="1"/>
  <c r="AL65" i="7" l="1"/>
  <c r="AL61" i="7" s="1"/>
  <c r="AM61" i="7" s="1"/>
  <c r="AJ58" i="7"/>
  <c r="AJ55" i="7"/>
  <c r="AJ56" i="7"/>
  <c r="AE50" i="7"/>
  <c r="AE48" i="7"/>
  <c r="AE47" i="7"/>
  <c r="X35" i="6"/>
  <c r="X39" i="6" s="1"/>
  <c r="X38" i="6" s="1"/>
  <c r="V41" i="7"/>
  <c r="AM65" i="7" l="1"/>
  <c r="AJ57" i="7"/>
  <c r="AJ53" i="7" s="1"/>
  <c r="AK58" i="7" s="1"/>
  <c r="AE49" i="7"/>
  <c r="AE45" i="7" s="1"/>
  <c r="AF47" i="7" s="1"/>
  <c r="V102" i="7"/>
  <c r="V37" i="7"/>
  <c r="AK56" i="7" l="1"/>
  <c r="AK55" i="7"/>
  <c r="AK54" i="7"/>
  <c r="AF50" i="7"/>
  <c r="AF46" i="7"/>
  <c r="AF48" i="7"/>
  <c r="W39" i="7"/>
  <c r="W100" i="7" s="1"/>
  <c r="W40" i="7"/>
  <c r="W101" i="7" s="1"/>
  <c r="V98" i="7"/>
  <c r="W42" i="7"/>
  <c r="W38" i="7"/>
  <c r="W99" i="7" s="1"/>
  <c r="X36" i="6"/>
  <c r="X33" i="6" s="1"/>
  <c r="V103" i="7"/>
  <c r="AK57" i="7" l="1"/>
  <c r="AK53" i="7" s="1"/>
  <c r="AL54" i="7" s="1"/>
  <c r="AM54" i="7" s="1"/>
  <c r="AF49" i="7"/>
  <c r="AF45" i="7" s="1"/>
  <c r="AG46" i="7" s="1"/>
  <c r="W41" i="7"/>
  <c r="W102" i="7" s="1"/>
  <c r="Y35" i="6"/>
  <c r="Y39" i="6" s="1"/>
  <c r="Y38" i="6" s="1"/>
  <c r="AL58" i="7" l="1"/>
  <c r="AM58" i="7" s="1"/>
  <c r="AL55" i="7"/>
  <c r="AM55" i="7" s="1"/>
  <c r="AL56" i="7"/>
  <c r="AM56" i="7" s="1"/>
  <c r="AG48" i="7"/>
  <c r="AG50" i="7"/>
  <c r="AG47" i="7"/>
  <c r="W37" i="7"/>
  <c r="X40" i="7" s="1"/>
  <c r="X101" i="7" s="1"/>
  <c r="Y36" i="6"/>
  <c r="Y33" i="6" s="1"/>
  <c r="W103" i="7"/>
  <c r="AL57" i="7" l="1"/>
  <c r="AM57" i="7" s="1"/>
  <c r="AG49" i="7"/>
  <c r="AG45" i="7" s="1"/>
  <c r="AH48" i="7" s="1"/>
  <c r="X39" i="7"/>
  <c r="X100" i="7" s="1"/>
  <c r="X42" i="7"/>
  <c r="W98" i="7"/>
  <c r="X38" i="7"/>
  <c r="X99" i="7" s="1"/>
  <c r="AL53" i="7" l="1"/>
  <c r="AM53" i="7" s="1"/>
  <c r="AH47" i="7"/>
  <c r="AH50" i="7"/>
  <c r="AH46" i="7"/>
  <c r="Z35" i="6"/>
  <c r="Z39" i="6" s="1"/>
  <c r="Z38" i="6" s="1"/>
  <c r="X41" i="7"/>
  <c r="X37" i="7" s="1"/>
  <c r="AH49" i="7" l="1"/>
  <c r="AH45" i="7" s="1"/>
  <c r="AI48" i="7" s="1"/>
  <c r="X102" i="7"/>
  <c r="X103" i="7" s="1"/>
  <c r="Y42" i="7"/>
  <c r="Y38" i="7"/>
  <c r="Y99" i="7" s="1"/>
  <c r="X98" i="7"/>
  <c r="Y40" i="7"/>
  <c r="Y101" i="7" s="1"/>
  <c r="Y39" i="7"/>
  <c r="Y100" i="7" s="1"/>
  <c r="AI50" i="7" l="1"/>
  <c r="AI47" i="7"/>
  <c r="AI46" i="7"/>
  <c r="Z36" i="6"/>
  <c r="Z33" i="6" s="1"/>
  <c r="Y41" i="7"/>
  <c r="AA35" i="6"/>
  <c r="AI49" i="7" l="1"/>
  <c r="AI45" i="7" s="1"/>
  <c r="AJ50" i="7" s="1"/>
  <c r="AA39" i="6"/>
  <c r="AA38" i="6" s="1"/>
  <c r="Y102" i="7"/>
  <c r="Y37" i="7"/>
  <c r="AJ48" i="7" l="1"/>
  <c r="AJ47" i="7"/>
  <c r="AJ46" i="7"/>
  <c r="AA36" i="6"/>
  <c r="AA33" i="6" s="1"/>
  <c r="Y103" i="7"/>
  <c r="Z42" i="7"/>
  <c r="Z40" i="7"/>
  <c r="Z101" i="7" s="1"/>
  <c r="Z39" i="7"/>
  <c r="Z100" i="7" s="1"/>
  <c r="Z38" i="7"/>
  <c r="Z99" i="7" s="1"/>
  <c r="Y98" i="7"/>
  <c r="AJ49" i="7" l="1"/>
  <c r="AJ45" i="7" s="1"/>
  <c r="AK48" i="7" s="1"/>
  <c r="AB35" i="6"/>
  <c r="Z41" i="7"/>
  <c r="AK46" i="7" l="1"/>
  <c r="AK47" i="7"/>
  <c r="AK50" i="7"/>
  <c r="Z102" i="7"/>
  <c r="Z37" i="7"/>
  <c r="AB39" i="6"/>
  <c r="AB38" i="6" s="1"/>
  <c r="AK49" i="7" l="1"/>
  <c r="AK45" i="7" s="1"/>
  <c r="AL50" i="7" s="1"/>
  <c r="AM50" i="7" s="1"/>
  <c r="AA38" i="7"/>
  <c r="AA99" i="7" s="1"/>
  <c r="Z98" i="7"/>
  <c r="AA42" i="7"/>
  <c r="AA39" i="7"/>
  <c r="AA100" i="7" s="1"/>
  <c r="AA40" i="7"/>
  <c r="AA101" i="7" s="1"/>
  <c r="AB36" i="6"/>
  <c r="AB33" i="6" s="1"/>
  <c r="Z103" i="7"/>
  <c r="AL48" i="7" l="1"/>
  <c r="AM48" i="7" s="1"/>
  <c r="AL47" i="7"/>
  <c r="AM47" i="7" s="1"/>
  <c r="AL46" i="7"/>
  <c r="AM46" i="7" s="1"/>
  <c r="AA41" i="7"/>
  <c r="AC35" i="6"/>
  <c r="AC39" i="6" s="1"/>
  <c r="AC38" i="6" s="1"/>
  <c r="AL49" i="7" l="1"/>
  <c r="AM49" i="7" s="1"/>
  <c r="AA102" i="7"/>
  <c r="AA37" i="7"/>
  <c r="AL45" i="7" l="1"/>
  <c r="AM45" i="7" s="1"/>
  <c r="AB39" i="7"/>
  <c r="AB100" i="7" s="1"/>
  <c r="AB38" i="7"/>
  <c r="AB99" i="7" s="1"/>
  <c r="AB40" i="7"/>
  <c r="AB101" i="7" s="1"/>
  <c r="AA98" i="7"/>
  <c r="AB42" i="7"/>
  <c r="AC36" i="6"/>
  <c r="AC33" i="6" s="1"/>
  <c r="AA103" i="7"/>
  <c r="AD35" i="6" l="1"/>
  <c r="AB41" i="7"/>
  <c r="AB102" i="7" l="1"/>
  <c r="AB37" i="7"/>
  <c r="AD39" i="6"/>
  <c r="AD38" i="6" s="1"/>
  <c r="AC42" i="7" l="1"/>
  <c r="AC39" i="7"/>
  <c r="AC100" i="7" s="1"/>
  <c r="AC40" i="7"/>
  <c r="AC101" i="7" s="1"/>
  <c r="AC38" i="7"/>
  <c r="AC99" i="7" s="1"/>
  <c r="AB98" i="7"/>
  <c r="AD36" i="6"/>
  <c r="AD33" i="6" s="1"/>
  <c r="AB103" i="7"/>
  <c r="AE35" i="6" l="1"/>
  <c r="AC41" i="7"/>
  <c r="AC102" i="7" l="1"/>
  <c r="AC37" i="7"/>
  <c r="AE39" i="6"/>
  <c r="AE38" i="6" s="1"/>
  <c r="AD39" i="7" l="1"/>
  <c r="AD100" i="7" s="1"/>
  <c r="AC98" i="7"/>
  <c r="AD42" i="7"/>
  <c r="AD40" i="7"/>
  <c r="AD101" i="7" s="1"/>
  <c r="AD38" i="7"/>
  <c r="AD99" i="7" s="1"/>
  <c r="AE36" i="6"/>
  <c r="AE33" i="6" s="1"/>
  <c r="AC103" i="7"/>
  <c r="AD41" i="7" l="1"/>
  <c r="AD102" i="7" s="1"/>
  <c r="AF36" i="6" s="1"/>
  <c r="AF35" i="6"/>
  <c r="AF39" i="6" s="1"/>
  <c r="AF38" i="6" s="1"/>
  <c r="AD103" i="7" l="1"/>
  <c r="AD37" i="7"/>
  <c r="AD98" i="7" s="1"/>
  <c r="AF33" i="6"/>
  <c r="AE42" i="7" l="1"/>
  <c r="AE40" i="7"/>
  <c r="AE101" i="7" s="1"/>
  <c r="AE38" i="7"/>
  <c r="AE99" i="7" s="1"/>
  <c r="AE39" i="7"/>
  <c r="AE100" i="7" s="1"/>
  <c r="AG35" i="6" l="1"/>
  <c r="AG39" i="6" s="1"/>
  <c r="AG38" i="6" s="1"/>
  <c r="AE41" i="7"/>
  <c r="AE102" i="7" l="1"/>
  <c r="AE37" i="7"/>
  <c r="AF40" i="7" l="1"/>
  <c r="AF101" i="7" s="1"/>
  <c r="AF39" i="7"/>
  <c r="AF100" i="7" s="1"/>
  <c r="AF38" i="7"/>
  <c r="AF99" i="7" s="1"/>
  <c r="AE98" i="7"/>
  <c r="AF42" i="7"/>
  <c r="AG36" i="6"/>
  <c r="AG33" i="6" s="1"/>
  <c r="AE103" i="7"/>
  <c r="AH35" i="6" l="1"/>
  <c r="AH39" i="6" s="1"/>
  <c r="AH38" i="6" s="1"/>
  <c r="AF41" i="7"/>
  <c r="AF102" i="7" l="1"/>
  <c r="AF37" i="7"/>
  <c r="AG39" i="7" l="1"/>
  <c r="AG100" i="7" s="1"/>
  <c r="AG40" i="7"/>
  <c r="AG101" i="7" s="1"/>
  <c r="AG42" i="7"/>
  <c r="AF98" i="7"/>
  <c r="AG38" i="7"/>
  <c r="AG99" i="7" s="1"/>
  <c r="AH36" i="6"/>
  <c r="AH33" i="6" s="1"/>
  <c r="AF103" i="7"/>
  <c r="AI35" i="6" l="1"/>
  <c r="AI39" i="6" s="1"/>
  <c r="AI38" i="6" s="1"/>
  <c r="AG41" i="7"/>
  <c r="AG102" i="7" l="1"/>
  <c r="AG37" i="7"/>
  <c r="AH38" i="7" l="1"/>
  <c r="AH99" i="7" s="1"/>
  <c r="AH42" i="7"/>
  <c r="AH39" i="7"/>
  <c r="AH100" i="7" s="1"/>
  <c r="AH40" i="7"/>
  <c r="AH101" i="7" s="1"/>
  <c r="AG98" i="7"/>
  <c r="AI36" i="6"/>
  <c r="AI33" i="6" s="1"/>
  <c r="C50" i="6" s="1"/>
  <c r="AG103" i="7"/>
  <c r="AH41" i="7" l="1"/>
  <c r="AJ35" i="6"/>
  <c r="AJ39" i="6" s="1"/>
  <c r="AJ38" i="6" s="1"/>
  <c r="AH102" i="7" l="1"/>
  <c r="AH37" i="7"/>
  <c r="AI38" i="7" l="1"/>
  <c r="AI99" i="7" s="1"/>
  <c r="AI42" i="7"/>
  <c r="AH98" i="7"/>
  <c r="AI39" i="7"/>
  <c r="AI100" i="7" s="1"/>
  <c r="AI40" i="7"/>
  <c r="AI101" i="7" s="1"/>
  <c r="AJ36" i="6"/>
  <c r="AJ33" i="6" s="1"/>
  <c r="AH103" i="7"/>
  <c r="AI41" i="7" l="1"/>
  <c r="AK35" i="6"/>
  <c r="AK39" i="6" s="1"/>
  <c r="AK38" i="6" s="1"/>
  <c r="AI102" i="7" l="1"/>
  <c r="AI37" i="7"/>
  <c r="AJ40" i="7" l="1"/>
  <c r="AJ101" i="7" s="1"/>
  <c r="AJ39" i="7"/>
  <c r="AJ100" i="7" s="1"/>
  <c r="AJ38" i="7"/>
  <c r="AJ99" i="7" s="1"/>
  <c r="AI98" i="7"/>
  <c r="AJ42" i="7"/>
  <c r="AK36" i="6"/>
  <c r="AK33" i="6" s="1"/>
  <c r="AI103" i="7"/>
  <c r="AJ41" i="7" l="1"/>
  <c r="AJ102" i="7" s="1"/>
  <c r="AL36" i="6" s="1"/>
  <c r="AL35" i="6"/>
  <c r="AJ103" i="7" l="1"/>
  <c r="AJ37" i="7"/>
  <c r="AK42" i="7" s="1"/>
  <c r="AL39" i="6"/>
  <c r="AL38" i="6" s="1"/>
  <c r="AL33" i="6"/>
  <c r="AK40" i="7" l="1"/>
  <c r="AK101" i="7" s="1"/>
  <c r="AJ98" i="7"/>
  <c r="AK39" i="7"/>
  <c r="AK100" i="7" s="1"/>
  <c r="AK38" i="7"/>
  <c r="AK99" i="7" s="1"/>
  <c r="E22" i="13"/>
  <c r="F61" i="1" s="1"/>
  <c r="E22" i="19" l="1"/>
  <c r="AN22" i="19" s="1"/>
  <c r="AO61" i="1"/>
  <c r="E39" i="13"/>
  <c r="E40" i="13" s="1"/>
  <c r="E42" i="13" s="1"/>
  <c r="C32" i="13" s="1"/>
  <c r="R33" i="13" s="1"/>
  <c r="AM35" i="6"/>
  <c r="AM39" i="6" s="1"/>
  <c r="AM38" i="6" s="1"/>
  <c r="AK41" i="7"/>
  <c r="AK102" i="7" s="1"/>
  <c r="F98" i="1"/>
  <c r="AO98" i="1" s="1"/>
  <c r="F97" i="1"/>
  <c r="AM34" i="13" l="1"/>
  <c r="W33" i="13"/>
  <c r="J33" i="13"/>
  <c r="AC33" i="13"/>
  <c r="E33" i="13"/>
  <c r="J34" i="13"/>
  <c r="J35" i="13" s="1"/>
  <c r="K58" i="1" s="1"/>
  <c r="AH34" i="13"/>
  <c r="O34" i="13"/>
  <c r="O35" i="13" s="1"/>
  <c r="P58" i="1" s="1"/>
  <c r="F34" i="13"/>
  <c r="F33" i="13"/>
  <c r="N34" i="13"/>
  <c r="L33" i="13"/>
  <c r="Q33" i="13"/>
  <c r="AH33" i="13"/>
  <c r="X33" i="13"/>
  <c r="AI34" i="13"/>
  <c r="M34" i="13"/>
  <c r="I34" i="13"/>
  <c r="AD33" i="13"/>
  <c r="E34" i="13"/>
  <c r="AK34" i="13"/>
  <c r="U33" i="13"/>
  <c r="AL33" i="13"/>
  <c r="H34" i="13"/>
  <c r="V34" i="13"/>
  <c r="P33" i="13"/>
  <c r="K34" i="13"/>
  <c r="Y33" i="13"/>
  <c r="T34" i="13"/>
  <c r="AA34" i="13"/>
  <c r="S33" i="13"/>
  <c r="AE34" i="13"/>
  <c r="V33" i="13"/>
  <c r="AK33" i="13"/>
  <c r="Z33" i="13"/>
  <c r="AF33" i="13"/>
  <c r="AF35" i="13" s="1"/>
  <c r="AG58" i="1" s="1"/>
  <c r="AF34" i="13"/>
  <c r="W34" i="13"/>
  <c r="AD34" i="13"/>
  <c r="AL34" i="13"/>
  <c r="O33" i="13"/>
  <c r="AA33" i="13"/>
  <c r="G34" i="13"/>
  <c r="R34" i="13"/>
  <c r="R35" i="13" s="1"/>
  <c r="S58" i="1" s="1"/>
  <c r="AJ34" i="13"/>
  <c r="X34" i="13"/>
  <c r="X35" i="13" s="1"/>
  <c r="Y58" i="1" s="1"/>
  <c r="Y34" i="13"/>
  <c r="M33" i="13"/>
  <c r="M35" i="13" s="1"/>
  <c r="N58" i="1" s="1"/>
  <c r="N96" i="1" s="1"/>
  <c r="K33" i="13"/>
  <c r="AM33" i="13"/>
  <c r="AM35" i="13" s="1"/>
  <c r="AN58" i="1" s="1"/>
  <c r="N33" i="13"/>
  <c r="P34" i="13"/>
  <c r="AG33" i="13"/>
  <c r="AG35" i="13" s="1"/>
  <c r="AH58" i="1" s="1"/>
  <c r="G33" i="13"/>
  <c r="AB34" i="13"/>
  <c r="AJ33" i="13"/>
  <c r="AB33" i="13"/>
  <c r="U34" i="13"/>
  <c r="AE33" i="13"/>
  <c r="S34" i="13"/>
  <c r="I33" i="13"/>
  <c r="L34" i="13"/>
  <c r="AG34" i="13"/>
  <c r="H33" i="13"/>
  <c r="T33" i="13"/>
  <c r="Z34" i="13"/>
  <c r="AC34" i="13"/>
  <c r="AC35" i="13" s="1"/>
  <c r="AD58" i="1" s="1"/>
  <c r="AI33" i="13"/>
  <c r="AI35" i="13" s="1"/>
  <c r="AJ58" i="1" s="1"/>
  <c r="AI19" i="19" s="1"/>
  <c r="Q34" i="13"/>
  <c r="Q35" i="13" s="1"/>
  <c r="R58" i="1" s="1"/>
  <c r="AK37" i="7"/>
  <c r="AL39" i="7" s="1"/>
  <c r="AM36" i="6"/>
  <c r="AM33" i="6" s="1"/>
  <c r="AK103" i="7"/>
  <c r="AO97" i="1"/>
  <c r="E10" i="19"/>
  <c r="E35" i="13" l="1"/>
  <c r="F58" i="1" s="1"/>
  <c r="F35" i="13"/>
  <c r="G58" i="1" s="1"/>
  <c r="U35" i="13"/>
  <c r="V58" i="1" s="1"/>
  <c r="AA35" i="13"/>
  <c r="AB58" i="1" s="1"/>
  <c r="AB65" i="1" s="1"/>
  <c r="K35" i="13"/>
  <c r="L58" i="1" s="1"/>
  <c r="L65" i="1" s="1"/>
  <c r="G35" i="13"/>
  <c r="H58" i="1" s="1"/>
  <c r="H65" i="1" s="1"/>
  <c r="N1" i="31" s="1"/>
  <c r="N2" i="31" s="1"/>
  <c r="AH35" i="13"/>
  <c r="AI58" i="1" s="1"/>
  <c r="AI65" i="1" s="1"/>
  <c r="AO1" i="31" s="1"/>
  <c r="AO2" i="31" s="1"/>
  <c r="F19" i="19"/>
  <c r="G96" i="1"/>
  <c r="G85" i="1" s="1"/>
  <c r="AB35" i="13"/>
  <c r="AC58" i="1" s="1"/>
  <c r="AC96" i="1" s="1"/>
  <c r="Z35" i="13"/>
  <c r="AA58" i="1" s="1"/>
  <c r="AA65" i="1" s="1"/>
  <c r="Z24" i="19" s="1"/>
  <c r="AK35" i="13"/>
  <c r="AL58" i="1" s="1"/>
  <c r="W35" i="13"/>
  <c r="X58" i="1" s="1"/>
  <c r="W19" i="19" s="1"/>
  <c r="H35" i="13"/>
  <c r="I58" i="1" s="1"/>
  <c r="I65" i="1" s="1"/>
  <c r="H24" i="19" s="1"/>
  <c r="L35" i="13"/>
  <c r="M58" i="1" s="1"/>
  <c r="M96" i="1" s="1"/>
  <c r="N35" i="13"/>
  <c r="O58" i="1" s="1"/>
  <c r="O96" i="1" s="1"/>
  <c r="G65" i="1"/>
  <c r="AL35" i="13"/>
  <c r="AM58" i="1" s="1"/>
  <c r="AL19" i="19" s="1"/>
  <c r="Y35" i="13"/>
  <c r="Z58" i="1" s="1"/>
  <c r="Z65" i="1" s="1"/>
  <c r="AD35" i="13"/>
  <c r="AE58" i="1" s="1"/>
  <c r="AD19" i="19" s="1"/>
  <c r="V96" i="1"/>
  <c r="V95" i="1" s="1"/>
  <c r="U19" i="19"/>
  <c r="V35" i="13"/>
  <c r="W58" i="1" s="1"/>
  <c r="W96" i="1" s="1"/>
  <c r="P35" i="13"/>
  <c r="Q58" i="1" s="1"/>
  <c r="P19" i="19" s="1"/>
  <c r="I35" i="13"/>
  <c r="J58" i="1" s="1"/>
  <c r="J96" i="1" s="1"/>
  <c r="V65" i="1"/>
  <c r="S35" i="13"/>
  <c r="T58" i="1" s="1"/>
  <c r="T96" i="1" s="1"/>
  <c r="AJ96" i="1"/>
  <c r="AJ95" i="1" s="1"/>
  <c r="R19" i="19"/>
  <c r="S65" i="1"/>
  <c r="S96" i="1"/>
  <c r="S95" i="1" s="1"/>
  <c r="AD65" i="1"/>
  <c r="AD96" i="1"/>
  <c r="AD95" i="1" s="1"/>
  <c r="AC19" i="19"/>
  <c r="AE35" i="13"/>
  <c r="AF58" i="1" s="1"/>
  <c r="AG205" i="1"/>
  <c r="N65" i="1"/>
  <c r="AJ35" i="13"/>
  <c r="AK58" i="1" s="1"/>
  <c r="AJ65" i="1"/>
  <c r="T35" i="13"/>
  <c r="U58" i="1" s="1"/>
  <c r="U96" i="1" s="1"/>
  <c r="U95" i="1" s="1"/>
  <c r="R96" i="1"/>
  <c r="R85" i="1" s="1"/>
  <c r="Q19" i="19"/>
  <c r="R65" i="1"/>
  <c r="M19" i="19"/>
  <c r="AL42" i="7"/>
  <c r="AM42" i="7" s="1"/>
  <c r="AL40" i="7"/>
  <c r="AL101" i="7" s="1"/>
  <c r="AL38" i="7"/>
  <c r="AL99" i="7" s="1"/>
  <c r="AK98" i="7"/>
  <c r="AL100" i="7"/>
  <c r="AM39" i="7"/>
  <c r="P96" i="1"/>
  <c r="O19" i="19"/>
  <c r="P65" i="1"/>
  <c r="AF19" i="19"/>
  <c r="AG65" i="1"/>
  <c r="AG96" i="1"/>
  <c r="AN10" i="19"/>
  <c r="F65" i="1"/>
  <c r="E19" i="19"/>
  <c r="F96" i="1"/>
  <c r="X19" i="19"/>
  <c r="Y96" i="1"/>
  <c r="Y65" i="1"/>
  <c r="AG218" i="1"/>
  <c r="K96" i="1"/>
  <c r="K65" i="1"/>
  <c r="Q1" i="31" s="1"/>
  <c r="J19" i="19"/>
  <c r="N95" i="1"/>
  <c r="M11" i="19"/>
  <c r="M9" i="19" s="1"/>
  <c r="M13" i="19" s="1"/>
  <c r="N85" i="1"/>
  <c r="AM19" i="19"/>
  <c r="AN65" i="1"/>
  <c r="AT1" i="31" s="1"/>
  <c r="AT2" i="31" s="1"/>
  <c r="AN96" i="1"/>
  <c r="AK205" i="1"/>
  <c r="AG19" i="19"/>
  <c r="AH96" i="1"/>
  <c r="AH65" i="1"/>
  <c r="AN1" i="31" s="1"/>
  <c r="AN2" i="31" s="1"/>
  <c r="AB96" i="1" l="1"/>
  <c r="AA19" i="19"/>
  <c r="O65" i="1"/>
  <c r="U1" i="31" s="1"/>
  <c r="U2" i="31" s="1"/>
  <c r="N19" i="19"/>
  <c r="AJ85" i="1"/>
  <c r="K19" i="19"/>
  <c r="L96" i="1"/>
  <c r="V85" i="1"/>
  <c r="U11" i="19"/>
  <c r="U9" i="19" s="1"/>
  <c r="U13" i="19" s="1"/>
  <c r="F11" i="19"/>
  <c r="F9" i="19" s="1"/>
  <c r="F13" i="19" s="1"/>
  <c r="G95" i="1"/>
  <c r="AC65" i="1"/>
  <c r="AC67" i="1" s="1" a="1"/>
  <c r="AC67" i="1" s="1"/>
  <c r="AC74" i="1" s="1"/>
  <c r="AB29" i="19" s="1"/>
  <c r="AB19" i="19"/>
  <c r="L19" i="19"/>
  <c r="M65" i="1"/>
  <c r="S1" i="31" s="1"/>
  <c r="S19" i="19"/>
  <c r="I19" i="19"/>
  <c r="T65" i="1"/>
  <c r="S24" i="19" s="1"/>
  <c r="S85" i="1"/>
  <c r="AI96" i="1"/>
  <c r="AI95" i="1" s="1"/>
  <c r="X65" i="1"/>
  <c r="X67" i="1" s="1" a="1"/>
  <c r="X67" i="1" s="1"/>
  <c r="AH24" i="19"/>
  <c r="X96" i="1"/>
  <c r="X95" i="1" s="1"/>
  <c r="AI67" i="1" a="1"/>
  <c r="AI67" i="1" s="1"/>
  <c r="AH28" i="19" s="1"/>
  <c r="AH19" i="19"/>
  <c r="Y19" i="19"/>
  <c r="AE96" i="1"/>
  <c r="AE95" i="1" s="1"/>
  <c r="G24" i="19"/>
  <c r="H96" i="1"/>
  <c r="G11" i="19" s="1"/>
  <c r="G9" i="19" s="1"/>
  <c r="G13" i="19" s="1"/>
  <c r="I96" i="1"/>
  <c r="I95" i="1" s="1"/>
  <c r="G19" i="19"/>
  <c r="V19" i="19"/>
  <c r="Z19" i="19"/>
  <c r="H67" i="1" a="1"/>
  <c r="H67" i="1" s="1"/>
  <c r="G28" i="19" s="1"/>
  <c r="W65" i="1"/>
  <c r="W67" i="1" s="1" a="1"/>
  <c r="W67" i="1" s="1"/>
  <c r="W74" i="1" s="1"/>
  <c r="V29" i="19" s="1"/>
  <c r="AA96" i="1"/>
  <c r="P67" i="1" a="1"/>
  <c r="P67" i="1" s="1"/>
  <c r="O28" i="19" s="1"/>
  <c r="V1" i="31"/>
  <c r="V2" i="31" s="1"/>
  <c r="R67" i="1" a="1"/>
  <c r="R67" i="1" s="1"/>
  <c r="R74" i="1" s="1"/>
  <c r="X1" i="31"/>
  <c r="X2" i="31" s="1"/>
  <c r="AA67" i="1" a="1"/>
  <c r="AA67" i="1" s="1"/>
  <c r="AG1" i="31"/>
  <c r="AG2" i="31" s="1"/>
  <c r="L67" i="1" a="1"/>
  <c r="L67" i="1" s="1"/>
  <c r="K28" i="19" s="1"/>
  <c r="R1" i="31"/>
  <c r="AI24" i="19"/>
  <c r="AP1" i="31"/>
  <c r="AP2" i="31" s="1"/>
  <c r="S67" i="1" a="1"/>
  <c r="S67" i="1" s="1"/>
  <c r="S74" i="1" s="1"/>
  <c r="S69" i="1" s="1"/>
  <c r="S53" i="1" s="1"/>
  <c r="P13" i="24" s="1"/>
  <c r="Y1" i="31"/>
  <c r="Y2" i="31" s="1"/>
  <c r="N67" i="1" a="1"/>
  <c r="N67" i="1" s="1"/>
  <c r="M28" i="19" s="1"/>
  <c r="T1" i="31"/>
  <c r="T2" i="31" s="1"/>
  <c r="I67" i="1" a="1"/>
  <c r="I67" i="1" s="1"/>
  <c r="I74" i="1" s="1"/>
  <c r="O1" i="31"/>
  <c r="F67" i="1" a="1"/>
  <c r="F67" i="1" s="1"/>
  <c r="F74" i="1" s="1"/>
  <c r="F69" i="1" s="1"/>
  <c r="L1" i="31"/>
  <c r="Z67" i="1" a="1"/>
  <c r="Z67" i="1" s="1"/>
  <c r="Y28" i="19" s="1"/>
  <c r="AF1" i="31"/>
  <c r="AF2" i="31" s="1"/>
  <c r="Y67" i="1" a="1"/>
  <c r="Y67" i="1" s="1"/>
  <c r="Y74" i="1" s="1"/>
  <c r="X29" i="19" s="1"/>
  <c r="AE1" i="31"/>
  <c r="AC24" i="19"/>
  <c r="AJ1" i="31"/>
  <c r="AJ2" i="31" s="1"/>
  <c r="AG67" i="1" a="1"/>
  <c r="AG67" i="1" s="1"/>
  <c r="AG74" i="1" s="1"/>
  <c r="AF29" i="19" s="1"/>
  <c r="AM1" i="31"/>
  <c r="G67" i="1" a="1"/>
  <c r="G67" i="1" s="1"/>
  <c r="F28" i="19" s="1"/>
  <c r="M1" i="31"/>
  <c r="M2" i="31" s="1"/>
  <c r="AB67" i="1" a="1"/>
  <c r="AB67" i="1" s="1"/>
  <c r="AB74" i="1" s="1"/>
  <c r="AA29" i="19" s="1"/>
  <c r="AH1" i="31"/>
  <c r="AH2" i="31" s="1"/>
  <c r="V67" i="1" a="1"/>
  <c r="V67" i="1" s="1"/>
  <c r="V74" i="1" s="1"/>
  <c r="V69" i="1" s="1"/>
  <c r="AB1" i="31"/>
  <c r="AB2" i="31" s="1"/>
  <c r="Y24" i="19"/>
  <c r="F24" i="19"/>
  <c r="AO35" i="13"/>
  <c r="J65" i="1"/>
  <c r="AJ205" i="1"/>
  <c r="Z96" i="1"/>
  <c r="AK19" i="19"/>
  <c r="AI205" i="1"/>
  <c r="AL65" i="1"/>
  <c r="AR1" i="31" s="1"/>
  <c r="AR2" i="31" s="1"/>
  <c r="AL96" i="1"/>
  <c r="AD85" i="1"/>
  <c r="AM96" i="1"/>
  <c r="AM85" i="1" s="1"/>
  <c r="AM65" i="1"/>
  <c r="AM67" i="1" s="1" a="1"/>
  <c r="AM67" i="1" s="1"/>
  <c r="AM74" i="1" s="1"/>
  <c r="AC11" i="19"/>
  <c r="AC9" i="19" s="1"/>
  <c r="AC13" i="19" s="1"/>
  <c r="H19" i="19"/>
  <c r="R11" i="19"/>
  <c r="R9" i="19" s="1"/>
  <c r="R13" i="19" s="1"/>
  <c r="T11" i="19"/>
  <c r="T9" i="19" s="1"/>
  <c r="T13" i="19" s="1"/>
  <c r="AG212" i="1"/>
  <c r="AJ67" i="1" a="1"/>
  <c r="AJ67" i="1" s="1"/>
  <c r="AJ74" i="1" s="1"/>
  <c r="AJ69" i="1" s="1"/>
  <c r="AJ53" i="1" s="1"/>
  <c r="R24" i="19"/>
  <c r="U85" i="1"/>
  <c r="AE65" i="1"/>
  <c r="AK1" i="31" s="1"/>
  <c r="AK2" i="31" s="1"/>
  <c r="Q11" i="19"/>
  <c r="Q9" i="19" s="1"/>
  <c r="Q13" i="19" s="1"/>
  <c r="Q65" i="1"/>
  <c r="Q96" i="1"/>
  <c r="Q95" i="1" s="1"/>
  <c r="M24" i="19"/>
  <c r="U24" i="19"/>
  <c r="Q24" i="19"/>
  <c r="AD67" i="1" a="1"/>
  <c r="AD67" i="1" s="1"/>
  <c r="AD74" i="1" s="1"/>
  <c r="AD69" i="1" s="1"/>
  <c r="AD53" i="1" s="1"/>
  <c r="AA15" i="24" s="1"/>
  <c r="AI11" i="19"/>
  <c r="AI9" i="19" s="1"/>
  <c r="AI13" i="19" s="1"/>
  <c r="T19" i="19"/>
  <c r="U65" i="1"/>
  <c r="AO58" i="1"/>
  <c r="R95" i="1"/>
  <c r="AK96" i="1"/>
  <c r="AK65" i="1"/>
  <c r="AQ1" i="31" s="1"/>
  <c r="AH205" i="1"/>
  <c r="AJ19" i="19"/>
  <c r="AF96" i="1"/>
  <c r="AF65" i="1"/>
  <c r="AL1" i="31" s="1"/>
  <c r="AL2" i="31" s="1"/>
  <c r="AE19" i="19"/>
  <c r="AM38" i="7"/>
  <c r="AM40" i="7"/>
  <c r="AL41" i="7"/>
  <c r="AL37" i="7" s="1"/>
  <c r="AN35" i="6"/>
  <c r="O67" i="1" a="1"/>
  <c r="O67" i="1" s="1"/>
  <c r="AM24" i="19"/>
  <c r="AK212" i="1"/>
  <c r="J24" i="19"/>
  <c r="E11" i="19"/>
  <c r="F85" i="1"/>
  <c r="F95" i="1"/>
  <c r="J85" i="1"/>
  <c r="J95" i="1"/>
  <c r="I11" i="19"/>
  <c r="I9" i="19" s="1"/>
  <c r="I13" i="19" s="1"/>
  <c r="O95" i="1"/>
  <c r="O85" i="1"/>
  <c r="N11" i="19"/>
  <c r="N9" i="19" s="1"/>
  <c r="N13" i="19" s="1"/>
  <c r="M95" i="1"/>
  <c r="L11" i="19"/>
  <c r="L9" i="19" s="1"/>
  <c r="L13" i="19" s="1"/>
  <c r="M85" i="1"/>
  <c r="AN67" i="1" a="1"/>
  <c r="AN67" i="1" s="1"/>
  <c r="AA24" i="19"/>
  <c r="J11" i="19"/>
  <c r="J9" i="19" s="1"/>
  <c r="J13" i="19" s="1"/>
  <c r="K95" i="1"/>
  <c r="K85" i="1"/>
  <c r="K24" i="19"/>
  <c r="E24" i="19"/>
  <c r="O24" i="19"/>
  <c r="AG95" i="1"/>
  <c r="AF11" i="19"/>
  <c r="AF9" i="19" s="1"/>
  <c r="AF13" i="19" s="1"/>
  <c r="AG85" i="1"/>
  <c r="P95" i="1"/>
  <c r="O11" i="19"/>
  <c r="O9" i="19" s="1"/>
  <c r="O13" i="19" s="1"/>
  <c r="P85" i="1"/>
  <c r="T95" i="1"/>
  <c r="T85" i="1"/>
  <c r="S11" i="19"/>
  <c r="S9" i="19" s="1"/>
  <c r="S13" i="19" s="1"/>
  <c r="Y95" i="1"/>
  <c r="Y85" i="1"/>
  <c r="X11" i="19"/>
  <c r="X9" i="19" s="1"/>
  <c r="X13" i="19" s="1"/>
  <c r="AG24" i="19"/>
  <c r="W95" i="1"/>
  <c r="V11" i="19"/>
  <c r="V9" i="19" s="1"/>
  <c r="V13" i="19" s="1"/>
  <c r="W85" i="1"/>
  <c r="AG11" i="19"/>
  <c r="AG9" i="19" s="1"/>
  <c r="AG13" i="19" s="1"/>
  <c r="AH95" i="1"/>
  <c r="AH85" i="1"/>
  <c r="AA11" i="19"/>
  <c r="AA9" i="19" s="1"/>
  <c r="AA13" i="19" s="1"/>
  <c r="AB85" i="1"/>
  <c r="AB95" i="1"/>
  <c r="AF24" i="19"/>
  <c r="L95" i="1"/>
  <c r="L85" i="1"/>
  <c r="K11" i="19"/>
  <c r="K9" i="19" s="1"/>
  <c r="K13" i="19" s="1"/>
  <c r="AH67" i="1" a="1"/>
  <c r="AH67" i="1" s="1"/>
  <c r="AH74" i="1" s="1"/>
  <c r="X24" i="19"/>
  <c r="N24" i="19"/>
  <c r="AC95" i="1"/>
  <c r="AB11" i="19"/>
  <c r="AB9" i="19" s="1"/>
  <c r="AB13" i="19" s="1"/>
  <c r="AC85" i="1"/>
  <c r="AM11" i="19"/>
  <c r="AM9" i="19" s="1"/>
  <c r="AM13" i="19" s="1"/>
  <c r="AN95" i="1"/>
  <c r="AN85" i="1"/>
  <c r="AK218" i="1"/>
  <c r="K67" i="1" a="1"/>
  <c r="K67" i="1" s="1"/>
  <c r="O74" i="1" l="1"/>
  <c r="N29" i="19" s="1"/>
  <c r="AE85" i="1"/>
  <c r="AB24" i="19"/>
  <c r="AI1" i="31"/>
  <c r="M67" i="1" a="1"/>
  <c r="M67" i="1" s="1"/>
  <c r="M74" i="1" s="1"/>
  <c r="L29" i="19" s="1"/>
  <c r="L24" i="19"/>
  <c r="W24" i="19"/>
  <c r="Z1" i="31"/>
  <c r="Z2" i="31" s="1"/>
  <c r="V24" i="19"/>
  <c r="T67" i="1" a="1"/>
  <c r="T67" i="1" s="1"/>
  <c r="T74" i="1" s="1"/>
  <c r="S29" i="19" s="1"/>
  <c r="AH11" i="19"/>
  <c r="AH9" i="19" s="1"/>
  <c r="AH13" i="19" s="1"/>
  <c r="AI85" i="1"/>
  <c r="W11" i="19"/>
  <c r="W9" i="19" s="1"/>
  <c r="W13" i="19" s="1"/>
  <c r="P74" i="1"/>
  <c r="O29" i="19" s="1"/>
  <c r="O15" i="19" s="1"/>
  <c r="H74" i="1"/>
  <c r="G29" i="19" s="1"/>
  <c r="G15" i="19" s="1"/>
  <c r="G34" i="19" s="1"/>
  <c r="W28" i="19"/>
  <c r="X74" i="1"/>
  <c r="X69" i="1" s="1"/>
  <c r="X53" i="1" s="1"/>
  <c r="U3" i="24" s="1"/>
  <c r="E29" i="19"/>
  <c r="X85" i="1"/>
  <c r="AD1" i="31"/>
  <c r="AD2" i="31" s="1"/>
  <c r="H85" i="1"/>
  <c r="H11" i="19"/>
  <c r="H9" i="19" s="1"/>
  <c r="H13" i="19" s="1"/>
  <c r="AD11" i="19"/>
  <c r="AD9" i="19" s="1"/>
  <c r="AD13" i="19" s="1"/>
  <c r="I85" i="1"/>
  <c r="AB28" i="19"/>
  <c r="AI74" i="1"/>
  <c r="AM95" i="1"/>
  <c r="Q28" i="19"/>
  <c r="H95" i="1"/>
  <c r="AC1" i="31"/>
  <c r="AC2" i="31" s="1"/>
  <c r="AJ218" i="1"/>
  <c r="AL11" i="19"/>
  <c r="AL9" i="19" s="1"/>
  <c r="AL13" i="19" s="1"/>
  <c r="AA85" i="1"/>
  <c r="AA95" i="1"/>
  <c r="Z11" i="19"/>
  <c r="Z9" i="19" s="1"/>
  <c r="Z13" i="19" s="1"/>
  <c r="P12" i="24"/>
  <c r="P14" i="24"/>
  <c r="S86" i="1"/>
  <c r="S90" i="1" s="1"/>
  <c r="S91" i="1" s="1"/>
  <c r="P5" i="24"/>
  <c r="P7" i="24"/>
  <c r="P6" i="24"/>
  <c r="S77" i="1"/>
  <c r="S101" i="1"/>
  <c r="S102" i="1" s="1"/>
  <c r="P3" i="24"/>
  <c r="P8" i="24"/>
  <c r="P4" i="24"/>
  <c r="P9" i="24"/>
  <c r="P16" i="24"/>
  <c r="P10" i="24"/>
  <c r="P17" i="24"/>
  <c r="Z74" i="1"/>
  <c r="Y29" i="19" s="1"/>
  <c r="Y15" i="19" s="1"/>
  <c r="V28" i="19"/>
  <c r="E28" i="19"/>
  <c r="AA28" i="19"/>
  <c r="AA15" i="19" s="1"/>
  <c r="V53" i="1"/>
  <c r="S9" i="24" s="1"/>
  <c r="P11" i="24"/>
  <c r="AF28" i="19"/>
  <c r="AF15" i="19" s="1"/>
  <c r="AF34" i="19" s="1"/>
  <c r="AF35" i="19" s="1"/>
  <c r="AC69" i="1"/>
  <c r="AC53" i="1" s="1"/>
  <c r="W69" i="1"/>
  <c r="W53" i="1" s="1"/>
  <c r="T16" i="24" s="1"/>
  <c r="U29" i="19"/>
  <c r="AG69" i="1"/>
  <c r="AG53" i="1" s="1"/>
  <c r="AD16" i="24" s="1"/>
  <c r="R29" i="19"/>
  <c r="L74" i="1"/>
  <c r="K29" i="19" s="1"/>
  <c r="K15" i="19" s="1"/>
  <c r="X28" i="19"/>
  <c r="X15" i="19" s="1"/>
  <c r="X34" i="19" s="1"/>
  <c r="AL24" i="19"/>
  <c r="P15" i="24"/>
  <c r="N74" i="1"/>
  <c r="N69" i="1" s="1"/>
  <c r="N53" i="1" s="1"/>
  <c r="R28" i="19"/>
  <c r="U28" i="19"/>
  <c r="Q67" i="1" a="1"/>
  <c r="Q67" i="1" s="1"/>
  <c r="P28" i="19" s="1"/>
  <c r="W1" i="31"/>
  <c r="I24" i="19"/>
  <c r="P1" i="31"/>
  <c r="P2" i="31" s="1"/>
  <c r="Z28" i="19"/>
  <c r="AA74" i="1"/>
  <c r="H29" i="19"/>
  <c r="I69" i="1"/>
  <c r="H28" i="19"/>
  <c r="AJ212" i="1"/>
  <c r="AS1" i="31"/>
  <c r="AS2" i="31" s="1"/>
  <c r="G74" i="1"/>
  <c r="U67" i="1" a="1"/>
  <c r="U67" i="1" s="1"/>
  <c r="T28" i="19" s="1"/>
  <c r="AA1" i="31"/>
  <c r="L2" i="31"/>
  <c r="J67" i="1" a="1"/>
  <c r="J67" i="1" s="1"/>
  <c r="J74" i="1" s="1"/>
  <c r="I29" i="19" s="1"/>
  <c r="AI29" i="19"/>
  <c r="AG214" i="1"/>
  <c r="AI28" i="19"/>
  <c r="AL85" i="1"/>
  <c r="AL95" i="1"/>
  <c r="AK11" i="19"/>
  <c r="AK9" i="19" s="1"/>
  <c r="AK13" i="19" s="1"/>
  <c r="AI218" i="1"/>
  <c r="AL67" i="1" a="1"/>
  <c r="AL67" i="1" s="1"/>
  <c r="AL74" i="1" s="1"/>
  <c r="AI212" i="1"/>
  <c r="AK24" i="19"/>
  <c r="Z95" i="1"/>
  <c r="Z85" i="1"/>
  <c r="Y11" i="19"/>
  <c r="Y9" i="19" s="1"/>
  <c r="Y13" i="19" s="1"/>
  <c r="P11" i="19"/>
  <c r="P9" i="19" s="1"/>
  <c r="P13" i="19" s="1"/>
  <c r="Q85" i="1"/>
  <c r="P24" i="19"/>
  <c r="AO96" i="1"/>
  <c r="AE67" i="1" a="1"/>
  <c r="AE67" i="1" s="1"/>
  <c r="AD28" i="19" s="1"/>
  <c r="AD24" i="19"/>
  <c r="AN19" i="19"/>
  <c r="AC29" i="19"/>
  <c r="AC28" i="19"/>
  <c r="T24" i="19"/>
  <c r="AO65" i="1"/>
  <c r="K1" i="31" s="1"/>
  <c r="Y69" i="1"/>
  <c r="Y53" i="1" s="1"/>
  <c r="V16" i="24" s="1"/>
  <c r="AF67" i="1" a="1"/>
  <c r="AF67" i="1" s="1"/>
  <c r="AE28" i="19" s="1"/>
  <c r="AE24" i="19"/>
  <c r="AF95" i="1"/>
  <c r="AF85" i="1"/>
  <c r="AE11" i="19"/>
  <c r="AE9" i="19" s="1"/>
  <c r="AE13" i="19" s="1"/>
  <c r="AK67" i="1" a="1"/>
  <c r="AK67" i="1" s="1"/>
  <c r="AK74" i="1" s="1"/>
  <c r="AJ24" i="19"/>
  <c r="AH212" i="1"/>
  <c r="AJ11" i="19"/>
  <c r="AJ9" i="19" s="1"/>
  <c r="AJ13" i="19" s="1"/>
  <c r="AK95" i="1"/>
  <c r="AH218" i="1"/>
  <c r="AK85" i="1"/>
  <c r="AL102" i="7"/>
  <c r="AN36" i="6" s="1"/>
  <c r="AO36" i="6" s="1"/>
  <c r="AM41" i="7"/>
  <c r="AB69" i="1"/>
  <c r="AB53" i="1" s="1"/>
  <c r="Y13" i="24" s="1"/>
  <c r="AM37" i="7"/>
  <c r="AL98" i="7"/>
  <c r="AO35" i="6"/>
  <c r="AN39" i="6"/>
  <c r="E12" i="6"/>
  <c r="N28" i="19"/>
  <c r="AM69" i="1"/>
  <c r="AM53" i="1" s="1"/>
  <c r="AJ15" i="24" s="1"/>
  <c r="AL29" i="19"/>
  <c r="O69" i="1"/>
  <c r="O53" i="1" s="1"/>
  <c r="L16" i="24" s="1"/>
  <c r="AL28" i="19"/>
  <c r="AJ214" i="1"/>
  <c r="AH69" i="1"/>
  <c r="AG29" i="19"/>
  <c r="AA16" i="24"/>
  <c r="AG28" i="19"/>
  <c r="F53" i="1"/>
  <c r="AJ101" i="1"/>
  <c r="AG201" i="1"/>
  <c r="AG3" i="24"/>
  <c r="AG11" i="24"/>
  <c r="AG17" i="24"/>
  <c r="AG12" i="24"/>
  <c r="AJ86" i="1"/>
  <c r="AJ90" i="1" s="1"/>
  <c r="AJ91" i="1" s="1"/>
  <c r="AG7" i="24"/>
  <c r="AG4" i="24"/>
  <c r="AG8" i="24"/>
  <c r="AG5" i="24"/>
  <c r="AJ77" i="1"/>
  <c r="AG10" i="24"/>
  <c r="AG14" i="24"/>
  <c r="AG9" i="24"/>
  <c r="AG6" i="24"/>
  <c r="AG13" i="24"/>
  <c r="R69" i="1"/>
  <c r="Q29" i="19"/>
  <c r="AG15" i="24"/>
  <c r="AK214" i="1"/>
  <c r="AM28" i="19"/>
  <c r="AN74" i="1"/>
  <c r="J28" i="19"/>
  <c r="K74" i="1"/>
  <c r="E9" i="19"/>
  <c r="AA3" i="24"/>
  <c r="AD101" i="1"/>
  <c r="AD77" i="1"/>
  <c r="AA5" i="24"/>
  <c r="AA14" i="24"/>
  <c r="AA12" i="24"/>
  <c r="AD86" i="1"/>
  <c r="AD90" i="1" s="1"/>
  <c r="AD91" i="1" s="1"/>
  <c r="AA17" i="24"/>
  <c r="AA7" i="24"/>
  <c r="AA10" i="24"/>
  <c r="AA8" i="24"/>
  <c r="AA4" i="24"/>
  <c r="AA9" i="24"/>
  <c r="AA11" i="24"/>
  <c r="AA6" i="24"/>
  <c r="AA13" i="24"/>
  <c r="AG16" i="24"/>
  <c r="AG215" i="1"/>
  <c r="AB15" i="19" l="1"/>
  <c r="AB34" i="19" s="1"/>
  <c r="AB35" i="19" s="1"/>
  <c r="L28" i="19"/>
  <c r="L15" i="19" s="1"/>
  <c r="L34" i="19" s="1"/>
  <c r="S6" i="24"/>
  <c r="M69" i="1"/>
  <c r="M53" i="1" s="1"/>
  <c r="S8" i="24"/>
  <c r="V77" i="1"/>
  <c r="S15" i="24"/>
  <c r="V15" i="19"/>
  <c r="V34" i="19" s="1"/>
  <c r="V35" i="19" s="1"/>
  <c r="S17" i="24"/>
  <c r="S16" i="24"/>
  <c r="S3" i="24"/>
  <c r="P69" i="1"/>
  <c r="P53" i="1" s="1"/>
  <c r="O33" i="19" s="1"/>
  <c r="S11" i="24"/>
  <c r="S103" i="1"/>
  <c r="S100" i="1" s="1"/>
  <c r="S93" i="1" s="1"/>
  <c r="S107" i="1" s="1"/>
  <c r="S10" i="24"/>
  <c r="S14" i="24"/>
  <c r="U16" i="24"/>
  <c r="U14" i="24"/>
  <c r="E15" i="19"/>
  <c r="E33" i="19" s="1"/>
  <c r="X86" i="1"/>
  <c r="X90" i="1" s="1"/>
  <c r="X91" i="1" s="1"/>
  <c r="U8" i="24"/>
  <c r="X101" i="1"/>
  <c r="X103" i="1" s="1"/>
  <c r="U7" i="24"/>
  <c r="T69" i="1"/>
  <c r="T53" i="1" s="1"/>
  <c r="Q9" i="24" s="1"/>
  <c r="U13" i="24"/>
  <c r="U6" i="24"/>
  <c r="U4" i="24"/>
  <c r="S28" i="19"/>
  <c r="S15" i="19" s="1"/>
  <c r="U11" i="24"/>
  <c r="W29" i="19"/>
  <c r="W15" i="19" s="1"/>
  <c r="W34" i="19" s="1"/>
  <c r="W35" i="19" s="1"/>
  <c r="X77" i="1"/>
  <c r="U9" i="24"/>
  <c r="Q15" i="19"/>
  <c r="Q34" i="19" s="1"/>
  <c r="U10" i="24"/>
  <c r="U12" i="24"/>
  <c r="U17" i="24"/>
  <c r="U5" i="24"/>
  <c r="U15" i="24"/>
  <c r="H69" i="1"/>
  <c r="H53" i="1" s="1"/>
  <c r="G33" i="19" s="1"/>
  <c r="AH29" i="19"/>
  <c r="AH15" i="19" s="1"/>
  <c r="AH34" i="19" s="1"/>
  <c r="AH35" i="19" s="1"/>
  <c r="AI69" i="1"/>
  <c r="AI53" i="1" s="1"/>
  <c r="AF16" i="24" s="1"/>
  <c r="Z69" i="1"/>
  <c r="Z53" i="1" s="1"/>
  <c r="W16" i="24" s="1"/>
  <c r="S13" i="24"/>
  <c r="S5" i="24"/>
  <c r="V101" i="1"/>
  <c r="V102" i="1" s="1"/>
  <c r="S4" i="24"/>
  <c r="V86" i="1"/>
  <c r="V90" i="1" s="1"/>
  <c r="V91" i="1" s="1"/>
  <c r="S12" i="24"/>
  <c r="S7" i="24"/>
  <c r="U15" i="19"/>
  <c r="U34" i="19" s="1"/>
  <c r="U35" i="19" s="1"/>
  <c r="L69" i="1"/>
  <c r="L53" i="1" s="1"/>
  <c r="I16" i="24" s="1"/>
  <c r="P18" i="24"/>
  <c r="R15" i="19"/>
  <c r="R33" i="19" s="1"/>
  <c r="M29" i="19"/>
  <c r="M15" i="19" s="1"/>
  <c r="M34" i="19" s="1"/>
  <c r="M35" i="19" s="1"/>
  <c r="AI15" i="19"/>
  <c r="AI34" i="19" s="1"/>
  <c r="AI38" i="19" s="1"/>
  <c r="J69" i="1"/>
  <c r="J53" i="1" s="1"/>
  <c r="J101" i="1" s="1"/>
  <c r="J102" i="1" s="1"/>
  <c r="U74" i="1"/>
  <c r="T29" i="19" s="1"/>
  <c r="T15" i="19" s="1"/>
  <c r="T34" i="19" s="1"/>
  <c r="T38" i="19" s="1"/>
  <c r="T42" i="19" s="1"/>
  <c r="Q74" i="1"/>
  <c r="P29" i="19" s="1"/>
  <c r="P15" i="19" s="1"/>
  <c r="P34" i="19" s="1"/>
  <c r="H15" i="19"/>
  <c r="H34" i="19" s="1"/>
  <c r="H38" i="19" s="1"/>
  <c r="H42" i="19" s="1"/>
  <c r="I53" i="1"/>
  <c r="F16" i="24" s="1"/>
  <c r="I28" i="19"/>
  <c r="I15" i="19" s="1"/>
  <c r="AA69" i="1"/>
  <c r="AA53" i="1" s="1"/>
  <c r="AA77" i="1" s="1"/>
  <c r="Z29" i="19"/>
  <c r="Z15" i="19" s="1"/>
  <c r="Z34" i="19" s="1"/>
  <c r="Z38" i="19" s="1"/>
  <c r="AU1" i="31"/>
  <c r="F29" i="19"/>
  <c r="F15" i="19" s="1"/>
  <c r="F34" i="19" s="1"/>
  <c r="G69" i="1"/>
  <c r="G53" i="1" s="1"/>
  <c r="D17" i="24" s="1"/>
  <c r="AL69" i="1"/>
  <c r="AK29" i="19"/>
  <c r="AI214" i="1"/>
  <c r="AK28" i="19"/>
  <c r="AN11" i="19"/>
  <c r="AE74" i="1"/>
  <c r="AE69" i="1" s="1"/>
  <c r="AC15" i="19"/>
  <c r="AC33" i="19" s="1"/>
  <c r="AN24" i="19"/>
  <c r="AO85" i="1"/>
  <c r="AO95" i="1"/>
  <c r="E13" i="6"/>
  <c r="AO67" i="1"/>
  <c r="AL103" i="7"/>
  <c r="AJ29" i="19"/>
  <c r="AK69" i="1"/>
  <c r="AH214" i="1"/>
  <c r="AJ28" i="19"/>
  <c r="AN33" i="6"/>
  <c r="AO33" i="6" s="1"/>
  <c r="C33" i="6" s="1"/>
  <c r="AF74" i="1"/>
  <c r="Y12" i="24"/>
  <c r="AB77" i="1"/>
  <c r="Y16" i="24"/>
  <c r="Y8" i="24"/>
  <c r="Y9" i="24"/>
  <c r="Y14" i="24"/>
  <c r="Y4" i="24"/>
  <c r="Y7" i="24"/>
  <c r="Y5" i="24"/>
  <c r="Y15" i="24"/>
  <c r="Y10" i="24"/>
  <c r="Y17" i="24"/>
  <c r="AB86" i="1"/>
  <c r="AB90" i="1" s="1"/>
  <c r="AB91" i="1" s="1"/>
  <c r="AB101" i="1"/>
  <c r="AB102" i="1" s="1"/>
  <c r="Y6" i="24"/>
  <c r="Y3" i="24"/>
  <c r="Y11" i="24"/>
  <c r="AA33" i="19"/>
  <c r="AJ4" i="24"/>
  <c r="AJ3" i="24"/>
  <c r="AJ12" i="24"/>
  <c r="AJ14" i="24"/>
  <c r="AM77" i="1"/>
  <c r="AM101" i="1"/>
  <c r="AM102" i="1" s="1"/>
  <c r="AJ201" i="1"/>
  <c r="N15" i="19"/>
  <c r="N34" i="19" s="1"/>
  <c r="N35" i="19" s="1"/>
  <c r="AA34" i="19"/>
  <c r="AA38" i="19" s="1"/>
  <c r="AJ6" i="24"/>
  <c r="AJ10" i="24"/>
  <c r="AJ17" i="24"/>
  <c r="AM86" i="1"/>
  <c r="AM90" i="1" s="1"/>
  <c r="AM91" i="1" s="1"/>
  <c r="AJ9" i="24"/>
  <c r="AJ215" i="1"/>
  <c r="AJ5" i="24"/>
  <c r="AJ11" i="24"/>
  <c r="AJ8" i="24"/>
  <c r="AJ7" i="24"/>
  <c r="AJ16" i="24"/>
  <c r="AF38" i="19"/>
  <c r="AF42" i="19" s="1"/>
  <c r="AJ13" i="24"/>
  <c r="AF33" i="19"/>
  <c r="AN38" i="6"/>
  <c r="AO39" i="6"/>
  <c r="C39" i="6" s="1"/>
  <c r="D12" i="6"/>
  <c r="C35" i="6"/>
  <c r="C36" i="6"/>
  <c r="D13" i="6"/>
  <c r="AG15" i="19"/>
  <c r="AG34" i="19" s="1"/>
  <c r="AL15" i="19"/>
  <c r="Y34" i="19"/>
  <c r="O34" i="19"/>
  <c r="AJ102" i="1"/>
  <c r="AJ103" i="1"/>
  <c r="AG222" i="1" s="1"/>
  <c r="G38" i="19"/>
  <c r="G35" i="19"/>
  <c r="R53" i="1"/>
  <c r="O16" i="24" s="1"/>
  <c r="AG86" i="1"/>
  <c r="AG90" i="1" s="1"/>
  <c r="AG91" i="1" s="1"/>
  <c r="AG101" i="1"/>
  <c r="AG77" i="1"/>
  <c r="AD12" i="24"/>
  <c r="AD3" i="24"/>
  <c r="AD9" i="24"/>
  <c r="AD11" i="24"/>
  <c r="AD8" i="24"/>
  <c r="AD14" i="24"/>
  <c r="AD5" i="24"/>
  <c r="AD17" i="24"/>
  <c r="AD4" i="24"/>
  <c r="AD10" i="24"/>
  <c r="AD7" i="24"/>
  <c r="AD6" i="24"/>
  <c r="AD15" i="24"/>
  <c r="AD13" i="24"/>
  <c r="N101" i="1"/>
  <c r="K3" i="24"/>
  <c r="K10" i="24"/>
  <c r="K9" i="24"/>
  <c r="N77" i="1"/>
  <c r="K8" i="24"/>
  <c r="N86" i="1"/>
  <c r="N90" i="1" s="1"/>
  <c r="N91" i="1" s="1"/>
  <c r="K7" i="24"/>
  <c r="K12" i="24"/>
  <c r="K11" i="24"/>
  <c r="K14" i="24"/>
  <c r="K5" i="24"/>
  <c r="K17" i="24"/>
  <c r="K4" i="24"/>
  <c r="K6" i="24"/>
  <c r="K15" i="24"/>
  <c r="K13" i="24"/>
  <c r="AA18" i="24"/>
  <c r="AB38" i="19"/>
  <c r="K16" i="24"/>
  <c r="X33" i="19"/>
  <c r="AM29" i="19"/>
  <c r="AM15" i="19" s="1"/>
  <c r="AN69" i="1"/>
  <c r="AC101" i="1"/>
  <c r="AC86" i="1"/>
  <c r="AC90" i="1" s="1"/>
  <c r="AC91" i="1" s="1"/>
  <c r="Z10" i="24"/>
  <c r="Z3" i="24"/>
  <c r="Z12" i="24"/>
  <c r="Z17" i="24"/>
  <c r="Z8" i="24"/>
  <c r="Z9" i="24"/>
  <c r="Z7" i="24"/>
  <c r="Z14" i="24"/>
  <c r="Z5" i="24"/>
  <c r="Z11" i="24"/>
  <c r="Z4" i="24"/>
  <c r="AC77" i="1"/>
  <c r="Z6" i="24"/>
  <c r="Z15" i="24"/>
  <c r="Z13" i="24"/>
  <c r="X35" i="19"/>
  <c r="X38" i="19"/>
  <c r="Z16" i="24"/>
  <c r="C17" i="24"/>
  <c r="C7" i="24"/>
  <c r="C10" i="24"/>
  <c r="C3" i="24"/>
  <c r="C11" i="24"/>
  <c r="C8" i="24"/>
  <c r="F86" i="1"/>
  <c r="C5" i="24"/>
  <c r="F101" i="1"/>
  <c r="C14" i="24"/>
  <c r="C12" i="24"/>
  <c r="C4" i="24"/>
  <c r="F77" i="1"/>
  <c r="C9" i="24"/>
  <c r="C6" i="24"/>
  <c r="C15" i="24"/>
  <c r="C13" i="24"/>
  <c r="AD102" i="1"/>
  <c r="AD103" i="1"/>
  <c r="Y86" i="1"/>
  <c r="Y90" i="1" s="1"/>
  <c r="Y91" i="1" s="1"/>
  <c r="Y101" i="1"/>
  <c r="V17" i="24"/>
  <c r="V8" i="24"/>
  <c r="V7" i="24"/>
  <c r="V9" i="24"/>
  <c r="V5" i="24"/>
  <c r="V3" i="24"/>
  <c r="V10" i="24"/>
  <c r="V12" i="24"/>
  <c r="V14" i="24"/>
  <c r="Y77" i="1"/>
  <c r="V11" i="24"/>
  <c r="V4" i="24"/>
  <c r="V6" i="24"/>
  <c r="V13" i="24"/>
  <c r="V15" i="24"/>
  <c r="L3" i="24"/>
  <c r="O101" i="1"/>
  <c r="O86" i="1"/>
  <c r="O90" i="1" s="1"/>
  <c r="O91" i="1" s="1"/>
  <c r="O77" i="1"/>
  <c r="L8" i="24"/>
  <c r="L9" i="24"/>
  <c r="L10" i="24"/>
  <c r="L11" i="24"/>
  <c r="L7" i="24"/>
  <c r="L12" i="24"/>
  <c r="L14" i="24"/>
  <c r="L5" i="24"/>
  <c r="L4" i="24"/>
  <c r="L17" i="24"/>
  <c r="L6" i="24"/>
  <c r="L15" i="24"/>
  <c r="L13" i="24"/>
  <c r="W101" i="1"/>
  <c r="W86" i="1"/>
  <c r="W90" i="1" s="1"/>
  <c r="W91" i="1" s="1"/>
  <c r="T5" i="24"/>
  <c r="T12" i="24"/>
  <c r="T8" i="24"/>
  <c r="T9" i="24"/>
  <c r="T14" i="24"/>
  <c r="T17" i="24"/>
  <c r="T10" i="24"/>
  <c r="T4" i="24"/>
  <c r="T7" i="24"/>
  <c r="T3" i="24"/>
  <c r="W77" i="1"/>
  <c r="T11" i="24"/>
  <c r="T6" i="24"/>
  <c r="T13" i="24"/>
  <c r="T15" i="24"/>
  <c r="E13" i="19"/>
  <c r="AN9" i="19"/>
  <c r="C16" i="24"/>
  <c r="K69" i="1"/>
  <c r="J29" i="19"/>
  <c r="AG18" i="24"/>
  <c r="AH53" i="1"/>
  <c r="AB33" i="19"/>
  <c r="K34" i="19"/>
  <c r="V38" i="19" l="1"/>
  <c r="V42" i="19" s="1"/>
  <c r="V33" i="19"/>
  <c r="AI101" i="1"/>
  <c r="AI86" i="1"/>
  <c r="AI90" i="1" s="1"/>
  <c r="AI91" i="1" s="1"/>
  <c r="AF11" i="24"/>
  <c r="AF13" i="24"/>
  <c r="AF15" i="24"/>
  <c r="AF10" i="24"/>
  <c r="AF9" i="24"/>
  <c r="AF7" i="24"/>
  <c r="AI77" i="1"/>
  <c r="AF12" i="24"/>
  <c r="AF14" i="24"/>
  <c r="AF3" i="24"/>
  <c r="AF4" i="24"/>
  <c r="AF6" i="24"/>
  <c r="AF8" i="24"/>
  <c r="AF17" i="24"/>
  <c r="AF5" i="24"/>
  <c r="X102" i="1"/>
  <c r="X100" i="1" s="1"/>
  <c r="X93" i="1" s="1"/>
  <c r="X107" i="1" s="1"/>
  <c r="X22" i="6" s="1"/>
  <c r="V103" i="1"/>
  <c r="V100" i="1" s="1"/>
  <c r="V93" i="1" s="1"/>
  <c r="V107" i="1" s="1"/>
  <c r="V105" i="1" s="1"/>
  <c r="AH33" i="19"/>
  <c r="Q6" i="24"/>
  <c r="E11" i="24"/>
  <c r="E9" i="24"/>
  <c r="H101" i="1"/>
  <c r="H102" i="1" s="1"/>
  <c r="Q8" i="24"/>
  <c r="Q10" i="24"/>
  <c r="Q7" i="24"/>
  <c r="E17" i="24"/>
  <c r="AI35" i="19"/>
  <c r="E6" i="24"/>
  <c r="Q3" i="24"/>
  <c r="Q4" i="24"/>
  <c r="Q5" i="24"/>
  <c r="E15" i="24"/>
  <c r="E5" i="24"/>
  <c r="E4" i="24"/>
  <c r="E12" i="24"/>
  <c r="S33" i="19"/>
  <c r="S34" i="19"/>
  <c r="S35" i="19" s="1"/>
  <c r="W38" i="19"/>
  <c r="W39" i="19" s="1"/>
  <c r="E8" i="24"/>
  <c r="AH38" i="19"/>
  <c r="AH39" i="19" s="1"/>
  <c r="E14" i="24"/>
  <c r="U18" i="24"/>
  <c r="W33" i="19"/>
  <c r="E16" i="24"/>
  <c r="H77" i="1"/>
  <c r="Q16" i="24"/>
  <c r="Q15" i="24"/>
  <c r="Q17" i="24"/>
  <c r="Q14" i="24"/>
  <c r="Q13" i="24"/>
  <c r="Q12" i="24"/>
  <c r="T101" i="1"/>
  <c r="T77" i="1"/>
  <c r="E7" i="24"/>
  <c r="Q11" i="24"/>
  <c r="E10" i="24"/>
  <c r="E3" i="24"/>
  <c r="E13" i="24"/>
  <c r="H86" i="1"/>
  <c r="H90" i="1" s="1"/>
  <c r="H91" i="1" s="1"/>
  <c r="T86" i="1"/>
  <c r="T90" i="1" s="1"/>
  <c r="T91" i="1" s="1"/>
  <c r="S18" i="24"/>
  <c r="G101" i="1"/>
  <c r="G102" i="1" s="1"/>
  <c r="U33" i="19"/>
  <c r="U38" i="19"/>
  <c r="U39" i="19" s="1"/>
  <c r="M33" i="19"/>
  <c r="G7" i="24"/>
  <c r="G4" i="24"/>
  <c r="G12" i="24"/>
  <c r="G16" i="24"/>
  <c r="J103" i="1"/>
  <c r="J100" i="1" s="1"/>
  <c r="J93" i="1" s="1"/>
  <c r="J107" i="1" s="1"/>
  <c r="J105" i="1" s="1"/>
  <c r="G5" i="24"/>
  <c r="G8" i="24"/>
  <c r="G10" i="24"/>
  <c r="G11" i="24"/>
  <c r="G9" i="24"/>
  <c r="G6" i="24"/>
  <c r="G17" i="24"/>
  <c r="J77" i="1"/>
  <c r="J86" i="1"/>
  <c r="J90" i="1" s="1"/>
  <c r="J91" i="1" s="1"/>
  <c r="D15" i="24"/>
  <c r="D9" i="24"/>
  <c r="D7" i="24"/>
  <c r="G86" i="1"/>
  <c r="G90" i="1" s="1"/>
  <c r="G91" i="1" s="1"/>
  <c r="D10" i="24"/>
  <c r="D12" i="24"/>
  <c r="D14" i="24"/>
  <c r="D11" i="24"/>
  <c r="D4" i="24"/>
  <c r="D16" i="24"/>
  <c r="D3" i="24"/>
  <c r="G77" i="1"/>
  <c r="D8" i="24"/>
  <c r="D5" i="24"/>
  <c r="D6" i="24"/>
  <c r="D13" i="24"/>
  <c r="I33" i="19"/>
  <c r="G15" i="24"/>
  <c r="G13" i="24"/>
  <c r="AI33" i="19"/>
  <c r="R34" i="19"/>
  <c r="R38" i="19" s="1"/>
  <c r="R42" i="19" s="1"/>
  <c r="R43" i="19" s="1"/>
  <c r="R45" i="19" s="1"/>
  <c r="R46" i="19" s="1"/>
  <c r="H39" i="19"/>
  <c r="G3" i="24"/>
  <c r="G14" i="24"/>
  <c r="X4" i="24"/>
  <c r="AA101" i="1"/>
  <c r="AA102" i="1" s="1"/>
  <c r="X5" i="24"/>
  <c r="H35" i="19"/>
  <c r="U69" i="1"/>
  <c r="U53" i="1" s="1"/>
  <c r="R16" i="24" s="1"/>
  <c r="X3" i="24"/>
  <c r="X17" i="24"/>
  <c r="X9" i="24"/>
  <c r="X11" i="24"/>
  <c r="X7" i="24"/>
  <c r="X15" i="24"/>
  <c r="X10" i="24"/>
  <c r="X13" i="24"/>
  <c r="AA86" i="1"/>
  <c r="AA90" i="1" s="1"/>
  <c r="AA91" i="1" s="1"/>
  <c r="X16" i="24"/>
  <c r="X6" i="24"/>
  <c r="X8" i="24"/>
  <c r="X14" i="24"/>
  <c r="X12" i="24"/>
  <c r="M38" i="19"/>
  <c r="M42" i="19" s="1"/>
  <c r="M43" i="19" s="1"/>
  <c r="M45" i="19" s="1"/>
  <c r="M46" i="19" s="1"/>
  <c r="Z33" i="19"/>
  <c r="Z35" i="19"/>
  <c r="Q69" i="1"/>
  <c r="Q53" i="1" s="1"/>
  <c r="P33" i="19" s="1"/>
  <c r="F33" i="19"/>
  <c r="F38" i="19"/>
  <c r="F35" i="19"/>
  <c r="F11" i="24"/>
  <c r="F6" i="24"/>
  <c r="F3" i="24"/>
  <c r="I86" i="1"/>
  <c r="I90" i="1" s="1"/>
  <c r="I91" i="1" s="1"/>
  <c r="I77" i="1"/>
  <c r="F9" i="24"/>
  <c r="F7" i="24"/>
  <c r="F17" i="24"/>
  <c r="F13" i="24"/>
  <c r="F10" i="24"/>
  <c r="F5" i="24"/>
  <c r="I101" i="1"/>
  <c r="F4" i="24"/>
  <c r="F8" i="24"/>
  <c r="F12" i="24"/>
  <c r="F14" i="24"/>
  <c r="F15" i="24"/>
  <c r="H33" i="19"/>
  <c r="AN28" i="19"/>
  <c r="T39" i="19"/>
  <c r="AK15" i="19"/>
  <c r="AK34" i="19" s="1"/>
  <c r="AK35" i="19" s="1"/>
  <c r="AL53" i="1"/>
  <c r="AI215" i="1"/>
  <c r="T35" i="19"/>
  <c r="AO74" i="1"/>
  <c r="AC34" i="19"/>
  <c r="AC38" i="19" s="1"/>
  <c r="AE53" i="1"/>
  <c r="AB16" i="24" s="1"/>
  <c r="AD29" i="19"/>
  <c r="AD15" i="19" s="1"/>
  <c r="I34" i="19"/>
  <c r="I38" i="19" s="1"/>
  <c r="I39" i="19" s="1"/>
  <c r="AF69" i="1"/>
  <c r="AE29" i="19"/>
  <c r="AE15" i="19" s="1"/>
  <c r="AE34" i="19" s="1"/>
  <c r="AH215" i="1"/>
  <c r="AK53" i="1"/>
  <c r="AJ15" i="19"/>
  <c r="AJ34" i="19" s="1"/>
  <c r="Y18" i="24"/>
  <c r="N38" i="19"/>
  <c r="N42" i="19" s="1"/>
  <c r="AB103" i="1"/>
  <c r="AB100" i="1" s="1"/>
  <c r="AB93" i="1" s="1"/>
  <c r="AB107" i="1" s="1"/>
  <c r="L33" i="19"/>
  <c r="N33" i="19"/>
  <c r="AF39" i="19"/>
  <c r="AA35" i="19"/>
  <c r="AM103" i="1"/>
  <c r="AJ222" i="1" s="1"/>
  <c r="M16" i="24"/>
  <c r="AJ18" i="24"/>
  <c r="AO38" i="6"/>
  <c r="E14" i="6"/>
  <c r="AL33" i="19"/>
  <c r="AL34" i="19"/>
  <c r="J16" i="24"/>
  <c r="AH101" i="1"/>
  <c r="AH86" i="1"/>
  <c r="AH90" i="1" s="1"/>
  <c r="AH91" i="1" s="1"/>
  <c r="AE9" i="24"/>
  <c r="AE7" i="24"/>
  <c r="AE17" i="24"/>
  <c r="AE4" i="24"/>
  <c r="AE12" i="24"/>
  <c r="AE3" i="24"/>
  <c r="AE8" i="24"/>
  <c r="AE5" i="24"/>
  <c r="AE10" i="24"/>
  <c r="AH77" i="1"/>
  <c r="AE11" i="24"/>
  <c r="AE14" i="24"/>
  <c r="AE6" i="24"/>
  <c r="AE13" i="24"/>
  <c r="AE15" i="24"/>
  <c r="AN13" i="19"/>
  <c r="E34" i="19"/>
  <c r="Z42" i="19"/>
  <c r="Z39" i="19"/>
  <c r="C18" i="24"/>
  <c r="AI42" i="19"/>
  <c r="AI39" i="19"/>
  <c r="AD18" i="24"/>
  <c r="Y103" i="1"/>
  <c r="Y102" i="1"/>
  <c r="Z18" i="24"/>
  <c r="AM34" i="19"/>
  <c r="AD100" i="1"/>
  <c r="AD93" i="1" s="1"/>
  <c r="AD107" i="1" s="1"/>
  <c r="AK215" i="1"/>
  <c r="AN53" i="1"/>
  <c r="J15" i="19"/>
  <c r="AJ100" i="1"/>
  <c r="AJ93" i="1" s="1"/>
  <c r="AG221" i="1"/>
  <c r="AG102" i="1"/>
  <c r="AG103" i="1"/>
  <c r="O38" i="19"/>
  <c r="O35" i="19"/>
  <c r="O102" i="1"/>
  <c r="O103" i="1"/>
  <c r="L18" i="24"/>
  <c r="L101" i="1"/>
  <c r="I9" i="24"/>
  <c r="I11" i="24"/>
  <c r="I5" i="24"/>
  <c r="I3" i="24"/>
  <c r="I8" i="24"/>
  <c r="L77" i="1"/>
  <c r="I7" i="24"/>
  <c r="I4" i="24"/>
  <c r="I10" i="24"/>
  <c r="I17" i="24"/>
  <c r="I14" i="24"/>
  <c r="L86" i="1"/>
  <c r="L90" i="1" s="1"/>
  <c r="L91" i="1" s="1"/>
  <c r="I12" i="24"/>
  <c r="I6" i="24"/>
  <c r="I13" i="24"/>
  <c r="I15" i="24"/>
  <c r="M101" i="1"/>
  <c r="J3" i="24"/>
  <c r="M86" i="1"/>
  <c r="M90" i="1" s="1"/>
  <c r="M91" i="1" s="1"/>
  <c r="J14" i="24"/>
  <c r="J4" i="24"/>
  <c r="J11" i="24"/>
  <c r="J9" i="24"/>
  <c r="J8" i="24"/>
  <c r="M77" i="1"/>
  <c r="J5" i="24"/>
  <c r="J17" i="24"/>
  <c r="J12" i="24"/>
  <c r="J7" i="24"/>
  <c r="J10" i="24"/>
  <c r="J6" i="24"/>
  <c r="J13" i="24"/>
  <c r="J15" i="24"/>
  <c r="AI102" i="1"/>
  <c r="AI103" i="1"/>
  <c r="AC102" i="1"/>
  <c r="AC103" i="1"/>
  <c r="R86" i="1"/>
  <c r="R90" i="1" s="1"/>
  <c r="R91" i="1" s="1"/>
  <c r="R101" i="1"/>
  <c r="O3" i="24"/>
  <c r="O14" i="24"/>
  <c r="O17" i="24"/>
  <c r="O9" i="24"/>
  <c r="O10" i="24"/>
  <c r="R77" i="1"/>
  <c r="O11" i="24"/>
  <c r="O4" i="24"/>
  <c r="O12" i="24"/>
  <c r="O5" i="24"/>
  <c r="O7" i="24"/>
  <c r="O8" i="24"/>
  <c r="O6" i="24"/>
  <c r="O13" i="24"/>
  <c r="O15" i="24"/>
  <c r="AG38" i="19"/>
  <c r="AG35" i="19"/>
  <c r="V18" i="24"/>
  <c r="AE16" i="24"/>
  <c r="F103" i="1"/>
  <c r="F102" i="1"/>
  <c r="X42" i="19"/>
  <c r="X39" i="19"/>
  <c r="K18" i="24"/>
  <c r="AG33" i="19"/>
  <c r="AA39" i="19"/>
  <c r="AA42" i="19"/>
  <c r="Z86" i="1"/>
  <c r="Z90" i="1" s="1"/>
  <c r="Z91" i="1" s="1"/>
  <c r="Z101" i="1"/>
  <c r="W3" i="24"/>
  <c r="W7" i="24"/>
  <c r="W11" i="24"/>
  <c r="W14" i="24"/>
  <c r="W9" i="24"/>
  <c r="W12" i="24"/>
  <c r="W8" i="24"/>
  <c r="W10" i="24"/>
  <c r="Z77" i="1"/>
  <c r="W4" i="24"/>
  <c r="W5" i="24"/>
  <c r="W17" i="24"/>
  <c r="W6" i="24"/>
  <c r="W13" i="24"/>
  <c r="W15" i="24"/>
  <c r="T43" i="19"/>
  <c r="T45" i="19" s="1"/>
  <c r="T46" i="19" s="1"/>
  <c r="AB39" i="19"/>
  <c r="AB42" i="19"/>
  <c r="N102" i="1"/>
  <c r="N103" i="1"/>
  <c r="Q35" i="19"/>
  <c r="Q38" i="19"/>
  <c r="F90" i="1"/>
  <c r="S105" i="1"/>
  <c r="S22" i="6"/>
  <c r="M3" i="24"/>
  <c r="M4" i="24"/>
  <c r="P101" i="1"/>
  <c r="P86" i="1"/>
  <c r="P90" i="1" s="1"/>
  <c r="P91" i="1" s="1"/>
  <c r="M17" i="24"/>
  <c r="M5" i="24"/>
  <c r="M8" i="24"/>
  <c r="M12" i="24"/>
  <c r="M10" i="24"/>
  <c r="P77" i="1"/>
  <c r="M7" i="24"/>
  <c r="M14" i="24"/>
  <c r="M11" i="24"/>
  <c r="M9" i="24"/>
  <c r="M6" i="24"/>
  <c r="M13" i="24"/>
  <c r="M15" i="24"/>
  <c r="Q33" i="19"/>
  <c r="W103" i="1"/>
  <c r="W102" i="1"/>
  <c r="AJ221" i="1"/>
  <c r="AF43" i="19"/>
  <c r="AF45" i="19" s="1"/>
  <c r="AF46" i="19" s="1"/>
  <c r="G42" i="19"/>
  <c r="G39" i="19"/>
  <c r="Y38" i="19"/>
  <c r="Y35" i="19"/>
  <c r="H43" i="19"/>
  <c r="H45" i="19" s="1"/>
  <c r="H46" i="19" s="1"/>
  <c r="K38" i="19"/>
  <c r="K35" i="19"/>
  <c r="L38" i="19"/>
  <c r="L35" i="19"/>
  <c r="K53" i="1"/>
  <c r="T18" i="24"/>
  <c r="P38" i="19"/>
  <c r="P35" i="19"/>
  <c r="K33" i="19"/>
  <c r="Y33" i="19"/>
  <c r="V39" i="19" l="1"/>
  <c r="W42" i="19"/>
  <c r="W43" i="19" s="1"/>
  <c r="W45" i="19" s="1"/>
  <c r="W46" i="19" s="1"/>
  <c r="AF18" i="24"/>
  <c r="H103" i="1"/>
  <c r="H100" i="1" s="1"/>
  <c r="H93" i="1" s="1"/>
  <c r="H107" i="1" s="1"/>
  <c r="S38" i="19"/>
  <c r="S39" i="19" s="1"/>
  <c r="AH42" i="19"/>
  <c r="AH43" i="19" s="1"/>
  <c r="AH45" i="19" s="1"/>
  <c r="AH46" i="19" s="1"/>
  <c r="U42" i="19"/>
  <c r="U43" i="19" s="1"/>
  <c r="U45" i="19" s="1"/>
  <c r="U46" i="19" s="1"/>
  <c r="E18" i="24"/>
  <c r="Q18" i="24"/>
  <c r="T102" i="1"/>
  <c r="T103" i="1"/>
  <c r="G103" i="1"/>
  <c r="G100" i="1" s="1"/>
  <c r="G93" i="1" s="1"/>
  <c r="G107" i="1" s="1"/>
  <c r="AA103" i="1"/>
  <c r="AA100" i="1" s="1"/>
  <c r="AA93" i="1" s="1"/>
  <c r="AA107" i="1" s="1"/>
  <c r="R35" i="19"/>
  <c r="D18" i="24"/>
  <c r="R39" i="19"/>
  <c r="R15" i="24"/>
  <c r="G18" i="24"/>
  <c r="U86" i="1"/>
  <c r="U90" i="1" s="1"/>
  <c r="U91" i="1" s="1"/>
  <c r="R5" i="24"/>
  <c r="R4" i="24"/>
  <c r="T33" i="19"/>
  <c r="R13" i="24"/>
  <c r="R17" i="24"/>
  <c r="R11" i="24"/>
  <c r="R6" i="24"/>
  <c r="N4" i="24"/>
  <c r="U77" i="1"/>
  <c r="R3" i="24"/>
  <c r="R8" i="24"/>
  <c r="N12" i="24"/>
  <c r="R14" i="24"/>
  <c r="N14" i="24"/>
  <c r="N5" i="24"/>
  <c r="R12" i="24"/>
  <c r="N9" i="24"/>
  <c r="R10" i="24"/>
  <c r="Q86" i="1"/>
  <c r="Q90" i="1" s="1"/>
  <c r="Q91" i="1" s="1"/>
  <c r="AO69" i="1"/>
  <c r="N8" i="24"/>
  <c r="N3" i="24"/>
  <c r="N16" i="24"/>
  <c r="N10" i="24"/>
  <c r="N7" i="24"/>
  <c r="N15" i="24"/>
  <c r="Q101" i="1"/>
  <c r="Q103" i="1" s="1"/>
  <c r="R7" i="24"/>
  <c r="R9" i="24"/>
  <c r="N13" i="24"/>
  <c r="U101" i="1"/>
  <c r="U103" i="1" s="1"/>
  <c r="M39" i="19"/>
  <c r="Q77" i="1"/>
  <c r="N11" i="24"/>
  <c r="N6" i="24"/>
  <c r="N17" i="24"/>
  <c r="X18" i="24"/>
  <c r="F18" i="24"/>
  <c r="I102" i="1"/>
  <c r="I103" i="1"/>
  <c r="F39" i="19"/>
  <c r="F42" i="19"/>
  <c r="F43" i="19" s="1"/>
  <c r="F45" i="19" s="1"/>
  <c r="F46" i="19" s="1"/>
  <c r="AK38" i="19"/>
  <c r="AC35" i="19"/>
  <c r="AK33" i="19"/>
  <c r="AI11" i="24"/>
  <c r="AI16" i="24"/>
  <c r="AL101" i="1"/>
  <c r="AI8" i="24"/>
  <c r="AI4" i="24"/>
  <c r="AI10" i="24"/>
  <c r="AI201" i="1"/>
  <c r="AI17" i="24"/>
  <c r="AI5" i="24"/>
  <c r="AI7" i="24"/>
  <c r="AL86" i="1"/>
  <c r="AL90" i="1" s="1"/>
  <c r="AL91" i="1" s="1"/>
  <c r="AL77" i="1"/>
  <c r="AI6" i="24"/>
  <c r="AI14" i="24"/>
  <c r="AI3" i="24"/>
  <c r="AI15" i="24"/>
  <c r="AI12" i="24"/>
  <c r="AI13" i="24"/>
  <c r="AI9" i="24"/>
  <c r="I42" i="19"/>
  <c r="I43" i="19" s="1"/>
  <c r="I45" i="19" s="1"/>
  <c r="I46" i="19" s="1"/>
  <c r="AD34" i="19"/>
  <c r="AD33" i="19"/>
  <c r="I35" i="19"/>
  <c r="AB4" i="24"/>
  <c r="AE101" i="1"/>
  <c r="AB9" i="24"/>
  <c r="AB8" i="24"/>
  <c r="AB11" i="24"/>
  <c r="AB12" i="24"/>
  <c r="AE77" i="1"/>
  <c r="AE86" i="1"/>
  <c r="AE90" i="1" s="1"/>
  <c r="AE91" i="1" s="1"/>
  <c r="AB6" i="24"/>
  <c r="AB17" i="24"/>
  <c r="AB10" i="24"/>
  <c r="AB13" i="24"/>
  <c r="AB5" i="24"/>
  <c r="AB15" i="24"/>
  <c r="AB3" i="24"/>
  <c r="AB7" i="24"/>
  <c r="AB14" i="24"/>
  <c r="AN29" i="19"/>
  <c r="N39" i="19"/>
  <c r="AJ33" i="19"/>
  <c r="AK101" i="1"/>
  <c r="AH6" i="24"/>
  <c r="AH12" i="24"/>
  <c r="AH13" i="24"/>
  <c r="AH7" i="24"/>
  <c r="AH15" i="24"/>
  <c r="AH4" i="24"/>
  <c r="AH201" i="1"/>
  <c r="AH5" i="24"/>
  <c r="AH9" i="24"/>
  <c r="AH10" i="24"/>
  <c r="AH11" i="24"/>
  <c r="AK77" i="1"/>
  <c r="AH16" i="24"/>
  <c r="AH3" i="24"/>
  <c r="AH8" i="24"/>
  <c r="AH14" i="24"/>
  <c r="AH17" i="24"/>
  <c r="AK86" i="1"/>
  <c r="AK90" i="1" s="1"/>
  <c r="AK91" i="1" s="1"/>
  <c r="AJ38" i="19"/>
  <c r="AJ35" i="19"/>
  <c r="AE38" i="19"/>
  <c r="AE35" i="19"/>
  <c r="AF53" i="1"/>
  <c r="AC16" i="24" s="1"/>
  <c r="AM100" i="1"/>
  <c r="AM93" i="1" s="1"/>
  <c r="AJ217" i="1" s="1"/>
  <c r="V22" i="6"/>
  <c r="V23" i="6" s="1"/>
  <c r="J22" i="6"/>
  <c r="J23" i="6" s="1"/>
  <c r="N100" i="1"/>
  <c r="N93" i="1" s="1"/>
  <c r="N107" i="1" s="1"/>
  <c r="N105" i="1" s="1"/>
  <c r="X105" i="1"/>
  <c r="D14" i="6"/>
  <c r="C38" i="6"/>
  <c r="AC100" i="1"/>
  <c r="AC93" i="1" s="1"/>
  <c r="AC107" i="1" s="1"/>
  <c r="AC22" i="6" s="1"/>
  <c r="AL38" i="19"/>
  <c r="AL35" i="19"/>
  <c r="M102" i="1"/>
  <c r="M103" i="1"/>
  <c r="AB43" i="19"/>
  <c r="AB45" i="19" s="1"/>
  <c r="AB46" i="19" s="1"/>
  <c r="AN101" i="1"/>
  <c r="AN86" i="1"/>
  <c r="AN90" i="1" s="1"/>
  <c r="AN91" i="1" s="1"/>
  <c r="AK3" i="24"/>
  <c r="AK201" i="1"/>
  <c r="AK17" i="24"/>
  <c r="AK4" i="24"/>
  <c r="AK14" i="24"/>
  <c r="AK12" i="24"/>
  <c r="AK11" i="24"/>
  <c r="AK5" i="24"/>
  <c r="AK7" i="24"/>
  <c r="AK8" i="24"/>
  <c r="AK9" i="24"/>
  <c r="AK10" i="24"/>
  <c r="AN77" i="1"/>
  <c r="AK6" i="24"/>
  <c r="AK13" i="24"/>
  <c r="AK15" i="24"/>
  <c r="AA43" i="19"/>
  <c r="AA45" i="19" s="1"/>
  <c r="AA46" i="19" s="1"/>
  <c r="X23" i="6"/>
  <c r="X24" i="6"/>
  <c r="S23" i="6"/>
  <c r="S24" i="6"/>
  <c r="V43" i="19"/>
  <c r="V45" i="19" s="1"/>
  <c r="V46" i="19" s="1"/>
  <c r="AK16" i="24"/>
  <c r="AM35" i="19"/>
  <c r="AM38" i="19"/>
  <c r="Z43" i="19"/>
  <c r="Z45" i="19" s="1"/>
  <c r="Z46" i="19" s="1"/>
  <c r="Y39" i="19"/>
  <c r="Y42" i="19"/>
  <c r="AM33" i="19"/>
  <c r="E38" i="19"/>
  <c r="E35" i="19"/>
  <c r="AE18" i="24"/>
  <c r="R102" i="1"/>
  <c r="R103" i="1"/>
  <c r="W100" i="1"/>
  <c r="W93" i="1" s="1"/>
  <c r="W107" i="1" s="1"/>
  <c r="AC42" i="19"/>
  <c r="AC39" i="19"/>
  <c r="O39" i="19"/>
  <c r="O42" i="19"/>
  <c r="L103" i="1"/>
  <c r="L102" i="1"/>
  <c r="P42" i="19"/>
  <c r="P39" i="19"/>
  <c r="I18" i="24"/>
  <c r="K101" i="1"/>
  <c r="K86" i="1"/>
  <c r="H5" i="24"/>
  <c r="H9" i="24"/>
  <c r="H7" i="24"/>
  <c r="H8" i="24"/>
  <c r="H10" i="24"/>
  <c r="H12" i="24"/>
  <c r="H4" i="24"/>
  <c r="H3" i="24"/>
  <c r="K77" i="1"/>
  <c r="H11" i="24"/>
  <c r="H14" i="24"/>
  <c r="H17" i="24"/>
  <c r="H6" i="24"/>
  <c r="H13" i="24"/>
  <c r="H15" i="24"/>
  <c r="F91" i="1"/>
  <c r="AI100" i="1"/>
  <c r="AI93" i="1" s="1"/>
  <c r="AI107" i="1" s="1"/>
  <c r="AG100" i="1"/>
  <c r="AG93" i="1" s="1"/>
  <c r="AG107" i="1" s="1"/>
  <c r="AG42" i="19"/>
  <c r="AG39" i="19"/>
  <c r="M18" i="24"/>
  <c r="F100" i="1"/>
  <c r="H16" i="24"/>
  <c r="G43" i="19"/>
  <c r="G45" i="19" s="1"/>
  <c r="G46" i="19" s="1"/>
  <c r="AB105" i="1"/>
  <c r="AB22" i="6"/>
  <c r="L42" i="19"/>
  <c r="L39" i="19"/>
  <c r="Q42" i="19"/>
  <c r="Q39" i="19"/>
  <c r="W18" i="24"/>
  <c r="N43" i="19"/>
  <c r="N45" i="19" s="1"/>
  <c r="N46" i="19" s="1"/>
  <c r="K42" i="19"/>
  <c r="K39" i="19"/>
  <c r="X43" i="19"/>
  <c r="X45" i="19" s="1"/>
  <c r="X46" i="19" s="1"/>
  <c r="P102" i="1"/>
  <c r="P103" i="1"/>
  <c r="Z102" i="1"/>
  <c r="Z103" i="1"/>
  <c r="O100" i="1"/>
  <c r="O93" i="1" s="1"/>
  <c r="O107" i="1" s="1"/>
  <c r="AD105" i="1"/>
  <c r="AD22" i="6"/>
  <c r="AI43" i="19"/>
  <c r="AI45" i="19" s="1"/>
  <c r="AI46" i="19" s="1"/>
  <c r="J33" i="19"/>
  <c r="J34" i="19"/>
  <c r="AN15" i="19"/>
  <c r="O18" i="24"/>
  <c r="J18" i="24"/>
  <c r="AG217" i="1"/>
  <c r="AJ107" i="1"/>
  <c r="AH102" i="1"/>
  <c r="AH103" i="1"/>
  <c r="Y100" i="1"/>
  <c r="Y93" i="1" s="1"/>
  <c r="Y107" i="1" s="1"/>
  <c r="S42" i="19" l="1"/>
  <c r="S43" i="19" s="1"/>
  <c r="S45" i="19" s="1"/>
  <c r="S46" i="19" s="1"/>
  <c r="T100" i="1"/>
  <c r="T93" i="1" s="1"/>
  <c r="T107" i="1" s="1"/>
  <c r="Q102" i="1"/>
  <c r="Q100" i="1" s="1"/>
  <c r="Q93" i="1" s="1"/>
  <c r="Q107" i="1" s="1"/>
  <c r="R18" i="24"/>
  <c r="U102" i="1"/>
  <c r="U100" i="1" s="1"/>
  <c r="U93" i="1" s="1"/>
  <c r="U107" i="1" s="1"/>
  <c r="N18" i="24"/>
  <c r="I100" i="1"/>
  <c r="I93" i="1" s="1"/>
  <c r="I107" i="1" s="1"/>
  <c r="I22" i="6" s="1"/>
  <c r="AK42" i="19"/>
  <c r="AK43" i="19" s="1"/>
  <c r="AK45" i="19" s="1"/>
  <c r="AK46" i="19" s="1"/>
  <c r="AK39" i="19"/>
  <c r="AI18" i="24"/>
  <c r="AL103" i="1"/>
  <c r="AI222" i="1" s="1"/>
  <c r="AL102" i="1"/>
  <c r="AB18" i="24"/>
  <c r="AE102" i="1"/>
  <c r="AE103" i="1"/>
  <c r="AD38" i="19"/>
  <c r="AD35" i="19"/>
  <c r="AO53" i="1"/>
  <c r="J24" i="6"/>
  <c r="N22" i="6"/>
  <c r="N24" i="6" s="1"/>
  <c r="V24" i="6"/>
  <c r="AJ42" i="19"/>
  <c r="AJ43" i="19" s="1"/>
  <c r="AJ45" i="19" s="1"/>
  <c r="AJ46" i="19" s="1"/>
  <c r="AJ39" i="19"/>
  <c r="AE33" i="19"/>
  <c r="AF77" i="1"/>
  <c r="AO77" i="1" s="1"/>
  <c r="AF86" i="1"/>
  <c r="AF90" i="1" s="1"/>
  <c r="AF91" i="1" s="1"/>
  <c r="AC5" i="24"/>
  <c r="AL5" i="24" s="1"/>
  <c r="AC8" i="24"/>
  <c r="AL8" i="24" s="1"/>
  <c r="AC9" i="24"/>
  <c r="AL9" i="24" s="1"/>
  <c r="AC7" i="24"/>
  <c r="AL7" i="24" s="1"/>
  <c r="AC14" i="24"/>
  <c r="AL14" i="24" s="1"/>
  <c r="AF101" i="1"/>
  <c r="AO101" i="1" s="1"/>
  <c r="AC4" i="24"/>
  <c r="AL4" i="24" s="1"/>
  <c r="AC15" i="24"/>
  <c r="AL15" i="24" s="1"/>
  <c r="AC12" i="24"/>
  <c r="AL12" i="24" s="1"/>
  <c r="AC3" i="24"/>
  <c r="AL3" i="24" s="1"/>
  <c r="AC6" i="24"/>
  <c r="AL6" i="24" s="1"/>
  <c r="AC11" i="24"/>
  <c r="AL11" i="24" s="1"/>
  <c r="AC13" i="24"/>
  <c r="AL13" i="24" s="1"/>
  <c r="AC10" i="24"/>
  <c r="AL10" i="24" s="1"/>
  <c r="AC17" i="24"/>
  <c r="AL17" i="24" s="1"/>
  <c r="AH18" i="24"/>
  <c r="AM107" i="1"/>
  <c r="AJ224" i="1" s="1"/>
  <c r="AE39" i="19"/>
  <c r="AE42" i="19"/>
  <c r="AE43" i="19" s="1"/>
  <c r="AE45" i="19" s="1"/>
  <c r="AE46" i="19" s="1"/>
  <c r="AK103" i="1"/>
  <c r="AH222" i="1" s="1"/>
  <c r="AK102" i="1"/>
  <c r="AC105" i="1"/>
  <c r="AL16" i="24"/>
  <c r="Z100" i="1"/>
  <c r="Z93" i="1" s="1"/>
  <c r="Z107" i="1" s="1"/>
  <c r="Z105" i="1" s="1"/>
  <c r="P100" i="1"/>
  <c r="P93" i="1" s="1"/>
  <c r="P107" i="1" s="1"/>
  <c r="P22" i="6" s="1"/>
  <c r="AH100" i="1"/>
  <c r="AH93" i="1" s="1"/>
  <c r="AH107" i="1" s="1"/>
  <c r="AH105" i="1" s="1"/>
  <c r="AL42" i="19"/>
  <c r="AL39" i="19"/>
  <c r="J30" i="6"/>
  <c r="J42" i="6"/>
  <c r="J45" i="6" s="1"/>
  <c r="I48" i="19" s="1"/>
  <c r="J38" i="19"/>
  <c r="J35" i="19"/>
  <c r="Q43" i="19"/>
  <c r="Q45" i="19" s="1"/>
  <c r="Q46" i="19" s="1"/>
  <c r="AC24" i="6"/>
  <c r="AC23" i="6"/>
  <c r="K103" i="1"/>
  <c r="K102" i="1"/>
  <c r="O43" i="19"/>
  <c r="O45" i="19" s="1"/>
  <c r="O46" i="19" s="1"/>
  <c r="AJ105" i="1"/>
  <c r="AG223" i="1" s="1"/>
  <c r="AG224" i="1"/>
  <c r="AJ22" i="6"/>
  <c r="AI22" i="6"/>
  <c r="AI105" i="1"/>
  <c r="E39" i="19"/>
  <c r="E42" i="19"/>
  <c r="H18" i="24"/>
  <c r="G22" i="6"/>
  <c r="G105" i="1"/>
  <c r="P43" i="19"/>
  <c r="P45" i="19" s="1"/>
  <c r="P46" i="19" s="1"/>
  <c r="Y43" i="19"/>
  <c r="Y45" i="19" s="1"/>
  <c r="Y46" i="19" s="1"/>
  <c r="H22" i="6"/>
  <c r="H105" i="1"/>
  <c r="AC43" i="19"/>
  <c r="AC45" i="19" s="1"/>
  <c r="AC46" i="19" s="1"/>
  <c r="AK18" i="24"/>
  <c r="AG43" i="19"/>
  <c r="AG45" i="19" s="1"/>
  <c r="AG46" i="19" s="1"/>
  <c r="W22" i="6"/>
  <c r="W105" i="1"/>
  <c r="S30" i="6"/>
  <c r="S42" i="6"/>
  <c r="S45" i="6" s="1"/>
  <c r="R48" i="19" s="1"/>
  <c r="AN102" i="1"/>
  <c r="AN103" i="1"/>
  <c r="AK222" i="1" s="1"/>
  <c r="L43" i="19"/>
  <c r="L45" i="19" s="1"/>
  <c r="L46" i="19" s="1"/>
  <c r="AB23" i="6"/>
  <c r="AB24" i="6"/>
  <c r="AA22" i="6"/>
  <c r="AA105" i="1"/>
  <c r="AD23" i="6"/>
  <c r="AD24" i="6"/>
  <c r="V42" i="6"/>
  <c r="V45" i="6" s="1"/>
  <c r="U48" i="19" s="1"/>
  <c r="V30" i="6"/>
  <c r="X42" i="6"/>
  <c r="X45" i="6" s="1"/>
  <c r="W48" i="19" s="1"/>
  <c r="X30" i="6"/>
  <c r="AG22" i="6"/>
  <c r="AG105" i="1"/>
  <c r="L100" i="1"/>
  <c r="L93" i="1" s="1"/>
  <c r="L107" i="1" s="1"/>
  <c r="R100" i="1"/>
  <c r="R93" i="1" s="1"/>
  <c r="R107" i="1" s="1"/>
  <c r="AM42" i="19"/>
  <c r="AM39" i="19"/>
  <c r="F93" i="1"/>
  <c r="K43" i="19"/>
  <c r="K45" i="19" s="1"/>
  <c r="K46" i="19" s="1"/>
  <c r="Y22" i="6"/>
  <c r="Y105" i="1"/>
  <c r="O22" i="6"/>
  <c r="O105" i="1"/>
  <c r="K90" i="1"/>
  <c r="AN34" i="19"/>
  <c r="AN35" i="19" s="1"/>
  <c r="M100" i="1"/>
  <c r="M93" i="1" s="1"/>
  <c r="M107" i="1" s="1"/>
  <c r="V47" i="6" l="1"/>
  <c r="J47" i="6"/>
  <c r="X47" i="6"/>
  <c r="S47" i="6"/>
  <c r="T22" i="6"/>
  <c r="T105" i="1"/>
  <c r="I105" i="1"/>
  <c r="I23" i="6"/>
  <c r="I24" i="6"/>
  <c r="AL100" i="1"/>
  <c r="AL93" i="1" s="1"/>
  <c r="AI221" i="1"/>
  <c r="AN38" i="19"/>
  <c r="AN39" i="19" s="1"/>
  <c r="AE100" i="1"/>
  <c r="AE93" i="1" s="1"/>
  <c r="AE107" i="1" s="1"/>
  <c r="N23" i="6"/>
  <c r="N30" i="6" s="1"/>
  <c r="AD42" i="19"/>
  <c r="AD43" i="19" s="1"/>
  <c r="AD45" i="19" s="1"/>
  <c r="AD46" i="19" s="1"/>
  <c r="AD39" i="19"/>
  <c r="D13" i="1"/>
  <c r="D16" i="1" s="1"/>
  <c r="AO86" i="1"/>
  <c r="AM22" i="6"/>
  <c r="AM24" i="6" s="1"/>
  <c r="AM105" i="1"/>
  <c r="AJ223" i="1" s="1"/>
  <c r="AF103" i="1"/>
  <c r="AO103" i="1" s="1"/>
  <c r="AF102" i="1"/>
  <c r="AO102" i="1" s="1"/>
  <c r="U22" i="6"/>
  <c r="U105" i="1"/>
  <c r="AC18" i="24"/>
  <c r="AH221" i="1"/>
  <c r="AK100" i="1"/>
  <c r="AK93" i="1" s="1"/>
  <c r="P105" i="1"/>
  <c r="Z22" i="6"/>
  <c r="Z23" i="6" s="1"/>
  <c r="AH22" i="6"/>
  <c r="AH24" i="6" s="1"/>
  <c r="AL43" i="19"/>
  <c r="AL45" i="19" s="1"/>
  <c r="AL46" i="19" s="1"/>
  <c r="AD30" i="6"/>
  <c r="AD42" i="6"/>
  <c r="AD45" i="6" s="1"/>
  <c r="AC48" i="19" s="1"/>
  <c r="R22" i="6"/>
  <c r="R105" i="1"/>
  <c r="W23" i="6"/>
  <c r="W24" i="6"/>
  <c r="H24" i="6"/>
  <c r="H23" i="6"/>
  <c r="AC42" i="6"/>
  <c r="AC45" i="6" s="1"/>
  <c r="AB48" i="19" s="1"/>
  <c r="AC30" i="6"/>
  <c r="AG23" i="6"/>
  <c r="AG24" i="6"/>
  <c r="AA23" i="6"/>
  <c r="AA24" i="6"/>
  <c r="AI24" i="6"/>
  <c r="AI23" i="6"/>
  <c r="Q105" i="1"/>
  <c r="Q22" i="6"/>
  <c r="J39" i="19"/>
  <c r="J42" i="19"/>
  <c r="K91" i="1"/>
  <c r="AO91" i="1" s="1"/>
  <c r="AO90" i="1"/>
  <c r="G24" i="6"/>
  <c r="G23" i="6"/>
  <c r="Y23" i="6"/>
  <c r="Y24" i="6"/>
  <c r="L22" i="6"/>
  <c r="L105" i="1"/>
  <c r="AK221" i="1"/>
  <c r="AN100" i="1"/>
  <c r="AN93" i="1" s="1"/>
  <c r="AJ24" i="6"/>
  <c r="AJ23" i="6"/>
  <c r="M22" i="6"/>
  <c r="M105" i="1"/>
  <c r="F107" i="1"/>
  <c r="O24" i="6"/>
  <c r="O23" i="6"/>
  <c r="K100" i="1"/>
  <c r="P23" i="6"/>
  <c r="P24" i="6"/>
  <c r="AB30" i="6"/>
  <c r="AB42" i="6"/>
  <c r="AB45" i="6" s="1"/>
  <c r="AA48" i="19" s="1"/>
  <c r="AL18" i="24"/>
  <c r="AM43" i="19"/>
  <c r="AM45" i="19" s="1"/>
  <c r="AM46" i="19" s="1"/>
  <c r="E43" i="19"/>
  <c r="E45" i="19" s="1"/>
  <c r="AC47" i="6" l="1"/>
  <c r="AB47" i="6"/>
  <c r="AD47" i="6"/>
  <c r="T23" i="6"/>
  <c r="T24" i="6"/>
  <c r="I42" i="6"/>
  <c r="I45" i="6" s="1"/>
  <c r="H48" i="19" s="1"/>
  <c r="I30" i="6"/>
  <c r="N42" i="6"/>
  <c r="N45" i="6" s="1"/>
  <c r="M48" i="19" s="1"/>
  <c r="AI217" i="1"/>
  <c r="AL107" i="1"/>
  <c r="AN42" i="19"/>
  <c r="AE22" i="6"/>
  <c r="AE105" i="1"/>
  <c r="AM23" i="6"/>
  <c r="AM42" i="6" s="1"/>
  <c r="AM45" i="6" s="1"/>
  <c r="AL48" i="19" s="1"/>
  <c r="D18" i="1"/>
  <c r="D19" i="1" s="1"/>
  <c r="D17" i="1"/>
  <c r="AF100" i="1"/>
  <c r="AF93" i="1" s="1"/>
  <c r="AF107" i="1" s="1"/>
  <c r="AF105" i="1" s="1"/>
  <c r="AH23" i="6"/>
  <c r="AH30" i="6" s="1"/>
  <c r="AH217" i="1"/>
  <c r="AK107" i="1"/>
  <c r="U24" i="6"/>
  <c r="U23" i="6"/>
  <c r="Z24" i="6"/>
  <c r="E46" i="19"/>
  <c r="P42" i="6"/>
  <c r="P45" i="6" s="1"/>
  <c r="O48" i="19" s="1"/>
  <c r="P30" i="6"/>
  <c r="L24" i="6"/>
  <c r="L23" i="6"/>
  <c r="Z30" i="6"/>
  <c r="Z42" i="6"/>
  <c r="Z45" i="6" s="1"/>
  <c r="Y48" i="19" s="1"/>
  <c r="AA42" i="6"/>
  <c r="AA45" i="6" s="1"/>
  <c r="Z48" i="19" s="1"/>
  <c r="AA30" i="6"/>
  <c r="J43" i="19"/>
  <c r="J45" i="19" s="1"/>
  <c r="Y30" i="6"/>
  <c r="Y42" i="6"/>
  <c r="Y45" i="6" s="1"/>
  <c r="X48" i="19" s="1"/>
  <c r="K93" i="1"/>
  <c r="M24" i="6"/>
  <c r="M23" i="6"/>
  <c r="W42" i="6"/>
  <c r="W45" i="6" s="1"/>
  <c r="V48" i="19" s="1"/>
  <c r="W30" i="6"/>
  <c r="H30" i="6"/>
  <c r="H42" i="6"/>
  <c r="H45" i="6" s="1"/>
  <c r="G48" i="19" s="1"/>
  <c r="AJ30" i="6"/>
  <c r="AJ42" i="6"/>
  <c r="AJ45" i="6" s="1"/>
  <c r="AI48" i="19" s="1"/>
  <c r="AG42" i="6"/>
  <c r="AG45" i="6" s="1"/>
  <c r="AF48" i="19" s="1"/>
  <c r="AG30" i="6"/>
  <c r="G30" i="6"/>
  <c r="G42" i="6"/>
  <c r="G45" i="6" s="1"/>
  <c r="F48" i="19" s="1"/>
  <c r="Q23" i="6"/>
  <c r="Q24" i="6"/>
  <c r="AK217" i="1"/>
  <c r="AN107" i="1"/>
  <c r="R24" i="6"/>
  <c r="R23" i="6"/>
  <c r="F105" i="1"/>
  <c r="F108" i="1"/>
  <c r="G108" i="1" s="1"/>
  <c r="H108" i="1" s="1"/>
  <c r="I108" i="1" s="1"/>
  <c r="J108" i="1" s="1"/>
  <c r="F22" i="6"/>
  <c r="O30" i="6"/>
  <c r="O42" i="6"/>
  <c r="O45" i="6" s="1"/>
  <c r="N48" i="19" s="1"/>
  <c r="AI30" i="6"/>
  <c r="AI42" i="6"/>
  <c r="AI45" i="6" s="1"/>
  <c r="AH48" i="19" s="1"/>
  <c r="AJ47" i="6" l="1"/>
  <c r="H47" i="6"/>
  <c r="N47" i="6"/>
  <c r="Z47" i="6"/>
  <c r="I47" i="6"/>
  <c r="AM47" i="6"/>
  <c r="P47" i="6"/>
  <c r="G47" i="6"/>
  <c r="AG47" i="6"/>
  <c r="AA47" i="6"/>
  <c r="AI47" i="6"/>
  <c r="O47" i="6"/>
  <c r="Y47" i="6"/>
  <c r="T30" i="6"/>
  <c r="T42" i="6"/>
  <c r="T45" i="6" s="1"/>
  <c r="S48" i="19" s="1"/>
  <c r="AM30" i="6"/>
  <c r="AI224" i="1"/>
  <c r="AL105" i="1"/>
  <c r="AI223" i="1" s="1"/>
  <c r="AL22" i="6"/>
  <c r="AH42" i="6"/>
  <c r="AH45" i="6" s="1"/>
  <c r="AG48" i="19" s="1"/>
  <c r="AE24" i="6"/>
  <c r="AE23" i="6"/>
  <c r="AO100" i="1"/>
  <c r="AF22" i="6"/>
  <c r="AF23" i="6" s="1"/>
  <c r="U42" i="6"/>
  <c r="U45" i="6" s="1"/>
  <c r="T48" i="19" s="1"/>
  <c r="U30" i="6"/>
  <c r="AK105" i="1"/>
  <c r="AH223" i="1" s="1"/>
  <c r="AK22" i="6"/>
  <c r="AH224" i="1"/>
  <c r="AN43" i="19"/>
  <c r="J46" i="19"/>
  <c r="AN45" i="19"/>
  <c r="AN46" i="19" s="1"/>
  <c r="Q42" i="6"/>
  <c r="Q45" i="6" s="1"/>
  <c r="P48" i="19" s="1"/>
  <c r="Q30" i="6"/>
  <c r="L30" i="6"/>
  <c r="L42" i="6"/>
  <c r="L45" i="6" s="1"/>
  <c r="K48" i="19" s="1"/>
  <c r="F23" i="6"/>
  <c r="F24" i="6"/>
  <c r="W47" i="6"/>
  <c r="R30" i="6"/>
  <c r="R42" i="6"/>
  <c r="R45" i="6" s="1"/>
  <c r="Q48" i="19" s="1"/>
  <c r="K107" i="1"/>
  <c r="AO93" i="1"/>
  <c r="D14" i="1" s="1"/>
  <c r="AK224" i="1"/>
  <c r="AN22" i="6"/>
  <c r="AN105" i="1"/>
  <c r="AK223" i="1" s="1"/>
  <c r="M42" i="6"/>
  <c r="M45" i="6" s="1"/>
  <c r="L48" i="19" s="1"/>
  <c r="M30" i="6"/>
  <c r="M47" i="6" l="1"/>
  <c r="Q47" i="6"/>
  <c r="R47" i="6"/>
  <c r="AH47" i="6"/>
  <c r="T47" i="6"/>
  <c r="U47" i="6"/>
  <c r="L47" i="6"/>
  <c r="AL24" i="6"/>
  <c r="AL23" i="6"/>
  <c r="AE42" i="6"/>
  <c r="AE45" i="6" s="1"/>
  <c r="AD48" i="19" s="1"/>
  <c r="AE30" i="6"/>
  <c r="AF24" i="6"/>
  <c r="AK23" i="6"/>
  <c r="AK24" i="6"/>
  <c r="AF42" i="6"/>
  <c r="AF45" i="6" s="1"/>
  <c r="AE48" i="19" s="1"/>
  <c r="AF30" i="6"/>
  <c r="F42" i="6"/>
  <c r="F30" i="6"/>
  <c r="AN24" i="6"/>
  <c r="AN23" i="6"/>
  <c r="K22" i="6"/>
  <c r="K105" i="1"/>
  <c r="AO105" i="1" s="1"/>
  <c r="D107" i="1"/>
  <c r="AO107" i="1"/>
  <c r="D5" i="1"/>
  <c r="H12" i="8"/>
  <c r="K108" i="1"/>
  <c r="L108" i="1" s="1"/>
  <c r="M108" i="1" s="1"/>
  <c r="N108" i="1" s="1"/>
  <c r="O108" i="1" s="1"/>
  <c r="P108" i="1" s="1"/>
  <c r="Q108" i="1" s="1"/>
  <c r="R108" i="1" s="1"/>
  <c r="S108" i="1" s="1"/>
  <c r="T108" i="1" s="1"/>
  <c r="U108" i="1" s="1"/>
  <c r="V108" i="1" s="1"/>
  <c r="W108" i="1" s="1"/>
  <c r="AE47" i="6" l="1"/>
  <c r="AL42" i="6"/>
  <c r="AL45" i="6" s="1"/>
  <c r="AK48" i="19" s="1"/>
  <c r="AL30" i="6"/>
  <c r="AF47" i="6"/>
  <c r="AK42" i="6"/>
  <c r="AK45" i="6" s="1"/>
  <c r="AJ48" i="19" s="1"/>
  <c r="AK30" i="6"/>
  <c r="K23" i="6"/>
  <c r="K24" i="6"/>
  <c r="AO22" i="6"/>
  <c r="C22" i="6" s="1"/>
  <c r="F31" i="6"/>
  <c r="G31" i="6" s="1"/>
  <c r="H31" i="6" s="1"/>
  <c r="I31" i="6" s="1"/>
  <c r="J31" i="6" s="1"/>
  <c r="X108" i="1"/>
  <c r="Y108" i="1" s="1"/>
  <c r="Z108" i="1" s="1"/>
  <c r="AA108" i="1" s="1"/>
  <c r="AB108" i="1" s="1"/>
  <c r="AC108" i="1" s="1"/>
  <c r="AD108" i="1" s="1"/>
  <c r="AE108" i="1" s="1"/>
  <c r="AF108" i="1" s="1"/>
  <c r="AG108" i="1" s="1"/>
  <c r="AH108" i="1" s="1"/>
  <c r="AI108" i="1" s="1"/>
  <c r="AJ108" i="1" s="1"/>
  <c r="AK108" i="1" s="1"/>
  <c r="AL108" i="1" s="1"/>
  <c r="AM108" i="1" s="1"/>
  <c r="AN108" i="1" s="1"/>
  <c r="D15" i="1"/>
  <c r="D15" i="8"/>
  <c r="AN30" i="6"/>
  <c r="AN42" i="6"/>
  <c r="AN45" i="6" s="1"/>
  <c r="AM48" i="19" s="1"/>
  <c r="D7" i="8"/>
  <c r="C52" i="6" a="1"/>
  <c r="C52" i="6" s="1"/>
  <c r="F45" i="6"/>
  <c r="E48" i="19" s="1"/>
  <c r="AK47" i="6" l="1"/>
  <c r="AL47" i="6"/>
  <c r="AN47" i="6"/>
  <c r="D108" i="1"/>
  <c r="D7" i="1"/>
  <c r="D10" i="8" s="1"/>
  <c r="F47" i="6"/>
  <c r="F46" i="6"/>
  <c r="G46" i="6" s="1"/>
  <c r="H46" i="6" s="1"/>
  <c r="I46" i="6" s="1"/>
  <c r="J46" i="6" s="1"/>
  <c r="E9" i="6"/>
  <c r="AO24" i="6"/>
  <c r="C53" i="6"/>
  <c r="K42" i="6"/>
  <c r="K30" i="6"/>
  <c r="AO30" i="6" s="1"/>
  <c r="C30" i="6" s="1"/>
  <c r="AO23" i="6"/>
  <c r="E8" i="6"/>
  <c r="E15" i="6" l="1"/>
  <c r="E16" i="6" s="1"/>
  <c r="E17" i="6" s="1"/>
  <c r="K45" i="6"/>
  <c r="AO42" i="6"/>
  <c r="C57" i="6"/>
  <c r="D54" i="6"/>
  <c r="D53" i="6" s="1"/>
  <c r="J10" i="1"/>
  <c r="C24" i="6"/>
  <c r="D9" i="6"/>
  <c r="F48" i="6"/>
  <c r="G48" i="6" s="1"/>
  <c r="H48" i="6" s="1"/>
  <c r="I48" i="6" s="1"/>
  <c r="J48" i="6" s="1"/>
  <c r="C23" i="6"/>
  <c r="D8" i="6"/>
  <c r="K31" i="6"/>
  <c r="L31" i="6" s="1"/>
  <c r="M31" i="6" s="1"/>
  <c r="N31" i="6" s="1"/>
  <c r="O31" i="6" s="1"/>
  <c r="P31" i="6" s="1"/>
  <c r="Q31" i="6" s="1"/>
  <c r="R31" i="6" s="1"/>
  <c r="S31" i="6" s="1"/>
  <c r="T31" i="6" s="1"/>
  <c r="U31" i="6" s="1"/>
  <c r="V31" i="6" s="1"/>
  <c r="W31" i="6" s="1"/>
  <c r="X31" i="6" s="1"/>
  <c r="Y31" i="6" s="1"/>
  <c r="Z31" i="6" s="1"/>
  <c r="AA31" i="6" s="1"/>
  <c r="AB31" i="6" s="1"/>
  <c r="AC31" i="6" s="1"/>
  <c r="AD31" i="6" s="1"/>
  <c r="AE31" i="6" s="1"/>
  <c r="AF31" i="6" s="1"/>
  <c r="AG31" i="6" s="1"/>
  <c r="AH31" i="6" s="1"/>
  <c r="AI31" i="6" s="1"/>
  <c r="AJ31" i="6" s="1"/>
  <c r="AK31" i="6" s="1"/>
  <c r="AL31" i="6" s="1"/>
  <c r="AM31" i="6" s="1"/>
  <c r="AN31" i="6" s="1"/>
  <c r="J48" i="19" l="1"/>
  <c r="D45" i="6"/>
  <c r="K46" i="6"/>
  <c r="L46" i="6" s="1"/>
  <c r="M46" i="6" s="1"/>
  <c r="N46" i="6" s="1"/>
  <c r="O46" i="6" s="1"/>
  <c r="P46" i="6" s="1"/>
  <c r="Q46" i="6" s="1"/>
  <c r="R46" i="6" s="1"/>
  <c r="S46" i="6" s="1"/>
  <c r="T46" i="6" s="1"/>
  <c r="U46" i="6" s="1"/>
  <c r="V46" i="6" s="1"/>
  <c r="W46" i="6" s="1"/>
  <c r="X46" i="6" s="1"/>
  <c r="Y46" i="6" s="1"/>
  <c r="Z46" i="6" s="1"/>
  <c r="AA46" i="6" s="1"/>
  <c r="AB46" i="6" s="1"/>
  <c r="AC46" i="6" s="1"/>
  <c r="AD46" i="6" s="1"/>
  <c r="AE46" i="6" s="1"/>
  <c r="AF46" i="6" s="1"/>
  <c r="AG46" i="6" s="1"/>
  <c r="AH46" i="6" s="1"/>
  <c r="AI46" i="6" s="1"/>
  <c r="AJ46" i="6" s="1"/>
  <c r="AK46" i="6" s="1"/>
  <c r="AL46" i="6" s="1"/>
  <c r="AM46" i="6" s="1"/>
  <c r="AN46" i="6" s="1"/>
  <c r="J8" i="6"/>
  <c r="D8" i="8"/>
  <c r="H6" i="1"/>
  <c r="D15" i="6"/>
  <c r="D16" i="6" s="1"/>
  <c r="D17" i="6" s="1"/>
  <c r="C42" i="6"/>
  <c r="K47" i="6"/>
  <c r="AO45" i="6"/>
  <c r="D4" i="6"/>
  <c r="C51" i="6"/>
  <c r="D3" i="6"/>
  <c r="H7" i="8" s="1"/>
  <c r="AO47" i="6" l="1"/>
  <c r="D47" i="6"/>
  <c r="D5" i="6"/>
  <c r="H10" i="8" s="1"/>
  <c r="D46" i="6"/>
  <c r="AP45" i="6"/>
  <c r="H4" i="6"/>
  <c r="D4" i="1"/>
  <c r="H9" i="8"/>
  <c r="J20" i="1"/>
  <c r="K48" i="6"/>
  <c r="L48" i="6" s="1"/>
  <c r="M48" i="6" s="1"/>
  <c r="N48" i="6" s="1"/>
  <c r="O48" i="6" s="1"/>
  <c r="P48" i="6" s="1"/>
  <c r="Q48" i="6" s="1"/>
  <c r="R48" i="6" s="1"/>
  <c r="S48" i="6" s="1"/>
  <c r="T48" i="6" s="1"/>
  <c r="U48" i="6" s="1"/>
  <c r="V48" i="6" s="1"/>
  <c r="W48" i="6" s="1"/>
  <c r="X48" i="6" l="1"/>
  <c r="Y48" i="6" s="1"/>
  <c r="Z48" i="6" s="1"/>
  <c r="AA48" i="6" s="1"/>
  <c r="AB48" i="6" s="1"/>
  <c r="AC48" i="6" s="1"/>
  <c r="AD48" i="6" s="1"/>
  <c r="AE48" i="6" s="1"/>
  <c r="AF48" i="6" s="1"/>
  <c r="AG48" i="6" s="1"/>
  <c r="AH48" i="6" s="1"/>
  <c r="AI48" i="6" s="1"/>
  <c r="AJ48" i="6" s="1"/>
  <c r="AK48" i="6" s="1"/>
  <c r="AL48" i="6" s="1"/>
  <c r="AM48" i="6" s="1"/>
  <c r="AN48" i="6" s="1"/>
  <c r="D6" i="1"/>
  <c r="E10" i="1"/>
  <c r="E14" i="1"/>
  <c r="E15" i="1"/>
  <c r="E11" i="1"/>
  <c r="E12" i="1"/>
  <c r="E13" i="1"/>
  <c r="I109" i="1"/>
  <c r="U109" i="1"/>
  <c r="V109" i="1"/>
  <c r="T109" i="1"/>
  <c r="S109" i="1"/>
  <c r="X109" i="1"/>
  <c r="J109" i="1"/>
  <c r="AD109" i="1"/>
  <c r="N109" i="1"/>
  <c r="AB109" i="1"/>
  <c r="AC109" i="1"/>
  <c r="Z109" i="1"/>
  <c r="H109" i="1"/>
  <c r="AH109" i="1"/>
  <c r="AM109" i="1"/>
  <c r="AA109" i="1"/>
  <c r="AJ109" i="1"/>
  <c r="G109" i="1"/>
  <c r="P109" i="1"/>
  <c r="O109" i="1"/>
  <c r="AI109" i="1"/>
  <c r="AE109" i="1"/>
  <c r="AG109" i="1"/>
  <c r="Y109" i="1"/>
  <c r="W109" i="1"/>
  <c r="AF109" i="1"/>
  <c r="Q109" i="1"/>
  <c r="AK109" i="1"/>
  <c r="AL109" i="1"/>
  <c r="R109" i="1"/>
  <c r="M109" i="1"/>
  <c r="L109" i="1"/>
  <c r="F109" i="1"/>
  <c r="AN109" i="1"/>
  <c r="K109" i="1"/>
  <c r="D48" i="6" l="1"/>
  <c r="D6" i="6"/>
  <c r="H11" i="8" s="1"/>
  <c r="AN50" i="6"/>
  <c r="E16" i="1"/>
  <c r="D9" i="8"/>
  <c r="H20" i="1"/>
  <c r="D109" i="1"/>
  <c r="AO109" i="1"/>
  <c r="F110" i="1"/>
  <c r="G110" i="1" s="1"/>
  <c r="H110" i="1" s="1"/>
  <c r="I110" i="1" s="1"/>
  <c r="J110" i="1" s="1"/>
  <c r="K110" i="1" s="1"/>
  <c r="L110" i="1" s="1"/>
  <c r="M110" i="1" s="1"/>
  <c r="N110" i="1" s="1"/>
  <c r="O110" i="1" s="1"/>
  <c r="P110" i="1" s="1"/>
  <c r="Q110" i="1" s="1"/>
  <c r="R110" i="1" s="1"/>
  <c r="S110" i="1" s="1"/>
  <c r="T110" i="1" s="1"/>
  <c r="U110" i="1" s="1"/>
  <c r="V110" i="1" s="1"/>
  <c r="W110" i="1" s="1"/>
  <c r="X110" i="1" l="1"/>
  <c r="Y110" i="1" s="1"/>
  <c r="Z110" i="1" s="1"/>
  <c r="AA110" i="1" s="1"/>
  <c r="AB110" i="1" s="1"/>
  <c r="AC110" i="1" s="1"/>
  <c r="AD110" i="1" s="1"/>
  <c r="AE110" i="1" s="1"/>
  <c r="AF110" i="1" s="1"/>
  <c r="AG110" i="1" s="1"/>
  <c r="AH110" i="1" s="1"/>
  <c r="AI110" i="1" s="1"/>
  <c r="AJ110" i="1" s="1"/>
  <c r="AK110" i="1" s="1"/>
  <c r="AL110" i="1" s="1"/>
  <c r="AM110" i="1" s="1"/>
  <c r="AN110" i="1" s="1"/>
  <c r="E18" i="1"/>
  <c r="E19" i="1" s="1"/>
  <c r="E17" i="1"/>
  <c r="D8" i="1" l="1"/>
  <c r="D11" i="8" s="1"/>
  <c r="AU35" i="31" l="1"/>
  <c r="K35" i="31" s="1"/>
  <c r="Q30" i="31"/>
  <c r="AU30" i="31" s="1"/>
  <c r="K30" i="31" s="1"/>
  <c r="AU36" i="31"/>
  <c r="K36" i="31" s="1"/>
  <c r="R21" i="31"/>
  <c r="R6" i="31" s="1"/>
  <c r="R2" i="31" s="1"/>
  <c r="AU28" i="31"/>
  <c r="K28" i="31" s="1"/>
  <c r="AU27" i="31"/>
  <c r="K27" i="31" s="1"/>
  <c r="Q21" i="31"/>
  <c r="Q6" i="31" l="1"/>
  <c r="Q2" i="31" s="1"/>
  <c r="AU21" i="31"/>
  <c r="K21" i="31" s="1"/>
  <c r="K45" i="31"/>
  <c r="O38" i="31"/>
  <c r="O6" i="31" s="1"/>
  <c r="O2" i="31" s="1"/>
  <c r="AM38" i="31"/>
  <c r="AM6" i="31" s="1"/>
  <c r="AM2" i="31" s="1"/>
  <c r="AE38" i="31"/>
  <c r="AE6" i="31" s="1"/>
  <c r="AE2" i="31" s="1"/>
  <c r="AU44" i="31"/>
  <c r="K44" i="31" s="1"/>
  <c r="W38" i="31"/>
  <c r="W6" i="31" s="1"/>
  <c r="W2" i="31" s="1"/>
  <c r="S38" i="31"/>
  <c r="AQ38" i="31"/>
  <c r="AQ6" i="31" s="1"/>
  <c r="AQ2" i="31" s="1"/>
  <c r="AA38" i="31"/>
  <c r="AA6" i="31" s="1"/>
  <c r="AA2" i="31" s="1"/>
  <c r="AU46" i="31"/>
  <c r="K46" i="31" s="1"/>
  <c r="AI38" i="31"/>
  <c r="AI6" i="31" s="1"/>
  <c r="AI2" i="31" s="1"/>
  <c r="AU38" i="31" l="1"/>
  <c r="K38" i="31" s="1"/>
  <c r="S6" i="31"/>
  <c r="S2" i="31" l="1"/>
  <c r="AU6" i="31"/>
  <c r="AU2" i="31" l="1"/>
  <c r="AV6" i="31"/>
  <c r="K6" i="31"/>
  <c r="K2"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<sst xmlns="http://schemas.openxmlformats.org/spreadsheetml/2006/main" count="3706" uniqueCount="1392">
  <si>
    <t>Esgoto - Coleta e afastamento</t>
  </si>
  <si>
    <t>Esgoto – Tratamento e disposição final</t>
  </si>
  <si>
    <t>1. INVESTIMENTO NECESSÁRIO PARA IMPLANTAÇÂO DOS SERVIÇOS DE ÁGUA E ESGOTO</t>
  </si>
  <si>
    <t>Água</t>
  </si>
  <si>
    <t>Esgoto</t>
  </si>
  <si>
    <t>Total</t>
  </si>
  <si>
    <t>CAPEX (itens 1+2)</t>
  </si>
  <si>
    <t>Equity</t>
  </si>
  <si>
    <t>População Urbana Permanente</t>
  </si>
  <si>
    <t>Atendimento Água</t>
  </si>
  <si>
    <t>Atendimento Esgoto</t>
  </si>
  <si>
    <t>População</t>
  </si>
  <si>
    <t>Índice de atendimento</t>
  </si>
  <si>
    <t>População  Atendida</t>
  </si>
  <si>
    <t>hab.</t>
  </si>
  <si>
    <t>%</t>
  </si>
  <si>
    <t xml:space="preserve">Base </t>
  </si>
  <si>
    <t>ANO</t>
  </si>
  <si>
    <t>Unidade</t>
  </si>
  <si>
    <t>TMA</t>
  </si>
  <si>
    <t>R$/hab.</t>
  </si>
  <si>
    <t>Esgoto – Tratam. e disposição final</t>
  </si>
  <si>
    <t>VPL</t>
  </si>
  <si>
    <t>ACUMULADO</t>
  </si>
  <si>
    <t>Saldo de CX</t>
  </si>
  <si>
    <t>Saldo de CX Acumulado</t>
  </si>
  <si>
    <t>Matriz Tarifária Proposta</t>
  </si>
  <si>
    <t>Histograma de Consumo</t>
  </si>
  <si>
    <t>Categoria</t>
  </si>
  <si>
    <t xml:space="preserve">Faixa de consumo </t>
  </si>
  <si>
    <t xml:space="preserve">Tarifa Água </t>
  </si>
  <si>
    <t>Tarifa Esgoto</t>
  </si>
  <si>
    <t>Faixa de consumo</t>
  </si>
  <si>
    <t>Vol faturado</t>
  </si>
  <si>
    <t>Distribuição Água</t>
  </si>
  <si>
    <t>Distribuição Esgoto</t>
  </si>
  <si>
    <t>Fat Água</t>
  </si>
  <si>
    <t>Fat Esgoto</t>
  </si>
  <si>
    <t>% FAT</t>
  </si>
  <si>
    <t>% FAT CAT</t>
  </si>
  <si>
    <t>Inferior</t>
  </si>
  <si>
    <t>Superior</t>
  </si>
  <si>
    <t>(R$/m³)</t>
  </si>
  <si>
    <t xml:space="preserve"> (R$/m³)</t>
  </si>
  <si>
    <t>Economias</t>
  </si>
  <si>
    <t>Ligações</t>
  </si>
  <si>
    <t>Vol Fat</t>
  </si>
  <si>
    <t>&gt; 100</t>
  </si>
  <si>
    <t>Totais</t>
  </si>
  <si>
    <t>Faturamento mensal bruto</t>
  </si>
  <si>
    <t>Faturamento anual</t>
  </si>
  <si>
    <t>Economias Ativas de Agua</t>
  </si>
  <si>
    <t>Relação entre a Tarifa E/A</t>
  </si>
  <si>
    <t xml:space="preserve">1 - RECEITAS </t>
  </si>
  <si>
    <t>1.1 - Água</t>
  </si>
  <si>
    <t>1.1.1  - Receita faturada Água</t>
  </si>
  <si>
    <t>1.2 - Esgoto</t>
  </si>
  <si>
    <t>1.2.1 - Receita faturada Esgoto</t>
  </si>
  <si>
    <t>2 - DESPESAS</t>
  </si>
  <si>
    <t>2.1.2 - Água</t>
  </si>
  <si>
    <t>2.1.2 - Esgoto</t>
  </si>
  <si>
    <t>Despesas Totais (ToTEX)</t>
  </si>
  <si>
    <t>3 - RESUMO</t>
  </si>
  <si>
    <t>Ano</t>
  </si>
  <si>
    <t>Volume Faturado por faixa de consumo</t>
  </si>
  <si>
    <t>Água - Distribuição</t>
  </si>
  <si>
    <t>Água - Reservação</t>
  </si>
  <si>
    <t>Água - Projeto</t>
  </si>
  <si>
    <t>Água  - Gerenciamento de obra</t>
  </si>
  <si>
    <t>Água - Consultoria e licenciamento ambiental</t>
  </si>
  <si>
    <t>Água - Captação e tratamento</t>
  </si>
  <si>
    <t>Esgoto - Projeto</t>
  </si>
  <si>
    <t>Esgoto - Consultoria e licenciamento ambiental</t>
  </si>
  <si>
    <t>Esgoto  - Gerenciamento de obra</t>
  </si>
  <si>
    <t>2.1 -Despesas de Capital (CAPEX)</t>
  </si>
  <si>
    <t>2.2 - Despesas operacionais (OPEX)</t>
  </si>
  <si>
    <t>Inflação  Ano Base</t>
  </si>
  <si>
    <t>PAYBACK Simples</t>
  </si>
  <si>
    <t>2.2.3   - Custeio de serviços e materiais p/ manut. de veículos</t>
  </si>
  <si>
    <t>2.2.2   - Custeio de serviços e materiais p/ manut. de redes</t>
  </si>
  <si>
    <t>1.1.3 - Receita recebida Água</t>
  </si>
  <si>
    <t>1.2.3 - Receita recebida</t>
  </si>
  <si>
    <t>1.2.4 - Recuperação de receita de esgoto</t>
  </si>
  <si>
    <t>2. CUSTO ANUAL  DOS INVESTIMENTOS EM FUNÇÃO DO CRESCIMENTO VEGETATIVO EM ÁREAS JÁ URBANIZADAS</t>
  </si>
  <si>
    <t>Rf</t>
  </si>
  <si>
    <t>Beta</t>
  </si>
  <si>
    <t>Rm</t>
  </si>
  <si>
    <t>Rc</t>
  </si>
  <si>
    <t>2.2.1  - Custeio de mão de obra e encargos sociais</t>
  </si>
  <si>
    <t>Item</t>
  </si>
  <si>
    <t>Total Água + Esgoto</t>
  </si>
  <si>
    <t>Total Esgoto</t>
  </si>
  <si>
    <t>Total Água</t>
  </si>
  <si>
    <t>Impostos</t>
  </si>
  <si>
    <t>1.1.2 - Receitas faturada com serviços acessórios de Água</t>
  </si>
  <si>
    <t>1.2.2 - Receitas faturada com serviços acessórios de Esgoto</t>
  </si>
  <si>
    <t>Valor Nominal</t>
  </si>
  <si>
    <t xml:space="preserve">Taxa de desconto </t>
  </si>
  <si>
    <t>Faturamento</t>
  </si>
  <si>
    <t>1.5 - Perda de Receita</t>
  </si>
  <si>
    <t>Arrecadação</t>
  </si>
  <si>
    <t>Amortizações</t>
  </si>
  <si>
    <t>Taxa de desconto</t>
  </si>
  <si>
    <t>FLUXO DE CAIXA DO PROJETO</t>
  </si>
  <si>
    <t>Taxa Juros Básica</t>
  </si>
  <si>
    <t>Cálculo das Taxas de Juros</t>
  </si>
  <si>
    <t>Financiamentos</t>
  </si>
  <si>
    <t>Despesas de Capital (CAPEX)</t>
  </si>
  <si>
    <t>Despesas operacionais (OPEX)</t>
  </si>
  <si>
    <t>Faturamento por faixa de Consumo</t>
  </si>
  <si>
    <t>Economias Ativas</t>
  </si>
  <si>
    <t>Saldo de CX Descontado</t>
  </si>
  <si>
    <t>Saldo de CX Descontado Acumulado</t>
  </si>
  <si>
    <t>TC = CSLL+IRPJ</t>
  </si>
  <si>
    <t>EBITDA</t>
  </si>
  <si>
    <t>Econ.</t>
  </si>
  <si>
    <t>Ligações Ativas</t>
  </si>
  <si>
    <t>Lig.</t>
  </si>
  <si>
    <t>Densidade de Econ por Lig. Agua</t>
  </si>
  <si>
    <t>Economias Ativas de Esgoto</t>
  </si>
  <si>
    <t>Perdas Aparentes</t>
  </si>
  <si>
    <t>Crescimento vegetativo da População</t>
  </si>
  <si>
    <t>Recuperação da Demanda Reprimida</t>
  </si>
  <si>
    <t>Perda Total</t>
  </si>
  <si>
    <t>Extensão da rede de água</t>
  </si>
  <si>
    <t>Extensão da rede de esgoto</t>
  </si>
  <si>
    <t>m</t>
  </si>
  <si>
    <t>Volume produzido</t>
  </si>
  <si>
    <t>Volume distribuido</t>
  </si>
  <si>
    <t>Volume consumido</t>
  </si>
  <si>
    <t>Volume medido</t>
  </si>
  <si>
    <t>Volume faturado</t>
  </si>
  <si>
    <t>Volume gerado</t>
  </si>
  <si>
    <t>Volume de Infiltração</t>
  </si>
  <si>
    <t>Volume tratado</t>
  </si>
  <si>
    <t xml:space="preserve"> m³/ano</t>
  </si>
  <si>
    <t>1.1.4 - Recuperação de receita de Água no ano</t>
  </si>
  <si>
    <t>1.1.5 - Perda de arrecadação efetiva</t>
  </si>
  <si>
    <t>1.2.5 -  Perda de arrecadação efetiva</t>
  </si>
  <si>
    <t>1.3 - Faturamento Bruto anual</t>
  </si>
  <si>
    <t>1.4 - Arrecadação Bruta anual</t>
  </si>
  <si>
    <t>3.1 - Faturamento Bruto</t>
  </si>
  <si>
    <t>3.2 - Arrecadação Bruta</t>
  </si>
  <si>
    <t>3.3 - Perda  de Arrecadação</t>
  </si>
  <si>
    <t>TIR Calculada do projeto</t>
  </si>
  <si>
    <t>VPL Calculado do projeto</t>
  </si>
  <si>
    <t>Tarifa média calculada</t>
  </si>
  <si>
    <t>Relação Tarifa de Esgoto / Tarifa de Água</t>
  </si>
  <si>
    <t>Tarifa média de Água calculada</t>
  </si>
  <si>
    <t>Tarifa média de Esgoto calculada</t>
  </si>
  <si>
    <t>% do CAPEX Financiado por terceiros</t>
  </si>
  <si>
    <t xml:space="preserve">   Perda de  Fisica</t>
  </si>
  <si>
    <t xml:space="preserve">   Perda Aparente</t>
  </si>
  <si>
    <t>Proporção Tarifária</t>
  </si>
  <si>
    <t>SELIC no Ano Base</t>
  </si>
  <si>
    <t xml:space="preserve"> ke</t>
  </si>
  <si>
    <t xml:space="preserve"> kd</t>
  </si>
  <si>
    <t>Incremento anual rede de água</t>
  </si>
  <si>
    <t>Incremento anual rede de esgoto</t>
  </si>
  <si>
    <t>Perda Produção</t>
  </si>
  <si>
    <t>Volume Faturado sobre Medido</t>
  </si>
  <si>
    <t>Água  - Ligaçãos Predial</t>
  </si>
  <si>
    <t>Esgoto  - Ligaçãos Predial</t>
  </si>
  <si>
    <t>FLUXO DE CAIXA DO ACIONISTA</t>
  </si>
  <si>
    <t>Saldo de Caixa Acumulado</t>
  </si>
  <si>
    <t>Saldo de caixa (1+2)</t>
  </si>
  <si>
    <t xml:space="preserve">  1.1 - Dividendos Anuais</t>
  </si>
  <si>
    <t>2 - Despesas operacionais</t>
  </si>
  <si>
    <t>TIR Calculada do Acionista</t>
  </si>
  <si>
    <t>Dividendos</t>
  </si>
  <si>
    <t>3 - Financiamento</t>
  </si>
  <si>
    <t xml:space="preserve">  3.2 - Amortizações</t>
  </si>
  <si>
    <t>Prestação Anual</t>
  </si>
  <si>
    <t>Principal Anual (R$)</t>
  </si>
  <si>
    <t>Juros Anual (R$)</t>
  </si>
  <si>
    <t>Administração Anual (R$)</t>
  </si>
  <si>
    <t>Risco de Crédito Anual (R$)</t>
  </si>
  <si>
    <t>Saldo Devedor Acumulado (R$)</t>
  </si>
  <si>
    <t>Contrapartida Anual (R$)</t>
  </si>
  <si>
    <t>Empréstimo Anual (R$)</t>
  </si>
  <si>
    <t>TOTAL - Financiamento Saneamento</t>
  </si>
  <si>
    <t>Principal Anual</t>
  </si>
  <si>
    <t>Juros Anual</t>
  </si>
  <si>
    <t>Administração Anual</t>
  </si>
  <si>
    <t>Risco de Crédito Anual</t>
  </si>
  <si>
    <t>Saldo Devedor Acumulado</t>
  </si>
  <si>
    <t>Contrapartida Anual</t>
  </si>
  <si>
    <t>Empréstimo Anual</t>
  </si>
  <si>
    <t>não</t>
  </si>
  <si>
    <t>ok</t>
  </si>
  <si>
    <t>4º Ano</t>
  </si>
  <si>
    <t>3º Ano</t>
  </si>
  <si>
    <t>2º Ano</t>
  </si>
  <si>
    <t>1º Ano</t>
  </si>
  <si>
    <t>Ditribuição Obra - Financiamento 8</t>
  </si>
  <si>
    <t>Ditribuição Obra - Financiamento 7</t>
  </si>
  <si>
    <t>Ditribuição Obra - Financiamento 6</t>
  </si>
  <si>
    <t>Ditribuição Obra - Financiamento 5</t>
  </si>
  <si>
    <t>Ditribuição Obra - Financiamento 4</t>
  </si>
  <si>
    <t>Ditribuição Obra - Financiamento 3</t>
  </si>
  <si>
    <t>Ditribuição Obra - Financiamento 2</t>
  </si>
  <si>
    <t>Ditribuição Obra - Financiamento 1</t>
  </si>
  <si>
    <t>Número de Prestações Mensais</t>
  </si>
  <si>
    <t>Valor do Empréstimo</t>
  </si>
  <si>
    <t>Valor da Contrapartida</t>
  </si>
  <si>
    <t>Contrapartida</t>
  </si>
  <si>
    <t>Valor Total</t>
  </si>
  <si>
    <t>Financiamento Saneamento</t>
  </si>
  <si>
    <t>Distribuição Anual</t>
  </si>
  <si>
    <t>Valor Total do Investimento Financiável</t>
  </si>
  <si>
    <t>Financiável?</t>
  </si>
  <si>
    <t>SIM</t>
  </si>
  <si>
    <t>3.4 - Receita Líquida</t>
  </si>
  <si>
    <t>Juros sobre o financiamento</t>
  </si>
  <si>
    <t>Resultados projetados</t>
  </si>
  <si>
    <t>PRINCIPAIS RESULTADOS DO PROJETO</t>
  </si>
  <si>
    <t>Unid.</t>
  </si>
  <si>
    <t>Valor</t>
  </si>
  <si>
    <t>TIR do Projeto</t>
  </si>
  <si>
    <t>% a.a</t>
  </si>
  <si>
    <t>VPL (taxa de desconto real = WACC)</t>
  </si>
  <si>
    <t>Investimentos (CAPEX)</t>
  </si>
  <si>
    <t>R$</t>
  </si>
  <si>
    <t>PRINCIPAIS RESULTADOS PARA ACIONISTA</t>
  </si>
  <si>
    <t>TIR do Acionista</t>
  </si>
  <si>
    <t>VPL (taxa de desconto real = Ke)</t>
  </si>
  <si>
    <t>Exposição Máxima</t>
  </si>
  <si>
    <t>Despesas de Licitação</t>
  </si>
  <si>
    <t>Necessidade de Capital (Equity)</t>
  </si>
  <si>
    <t>R$/m³</t>
  </si>
  <si>
    <t>Tarifa média de água calculada</t>
  </si>
  <si>
    <t>Tarifa média de esgoto calculada</t>
  </si>
  <si>
    <t>anos</t>
  </si>
  <si>
    <t>VPL Calculado do Acionista</t>
  </si>
  <si>
    <t>PAYBACK Descontado</t>
  </si>
  <si>
    <t>Administração Central (% da Arrecadação do Projeto)</t>
  </si>
  <si>
    <t>Tipo</t>
  </si>
  <si>
    <t>Prêmio</t>
  </si>
  <si>
    <t>Cobertura</t>
  </si>
  <si>
    <t>Base de Cálculo</t>
  </si>
  <si>
    <t>Período</t>
  </si>
  <si>
    <t xml:space="preserve">Equivalente </t>
  </si>
  <si>
    <t>Seguros</t>
  </si>
  <si>
    <t>Risco de Engenharia</t>
  </si>
  <si>
    <t>Durante Investimento</t>
  </si>
  <si>
    <t>Responsabilidade Civil - Obras</t>
  </si>
  <si>
    <t>Responsabilidade Civil - Operação</t>
  </si>
  <si>
    <t>Riscos Gerais - "All Risks"</t>
  </si>
  <si>
    <t>Durante Contrato</t>
  </si>
  <si>
    <t>Garantias</t>
  </si>
  <si>
    <t xml:space="preserve">Execução do Contato </t>
  </si>
  <si>
    <t>Até 10° ano</t>
  </si>
  <si>
    <t>% Garantia - Execução do Contrato</t>
  </si>
  <si>
    <t>Garantia - Execução do Contrato</t>
  </si>
  <si>
    <t>% do Valor do Contrato</t>
  </si>
  <si>
    <t>11° ao 25° ano</t>
  </si>
  <si>
    <t>Valor Residual do Contrato</t>
  </si>
  <si>
    <t>Fluxo de Caixa do Acionista</t>
  </si>
  <si>
    <t>TIR Acionista</t>
  </si>
  <si>
    <t>Capital Próprio</t>
  </si>
  <si>
    <t>Capital de Terceiros</t>
  </si>
  <si>
    <t>Ke</t>
  </si>
  <si>
    <t>Kd</t>
  </si>
  <si>
    <t>WACC</t>
  </si>
  <si>
    <t>Valor do Contrato</t>
  </si>
  <si>
    <t>Opex</t>
  </si>
  <si>
    <t>Capex</t>
  </si>
  <si>
    <t xml:space="preserve">4 - Benefício Fiscal </t>
  </si>
  <si>
    <t>Fluxo de Caixa do Acionista Acumulado</t>
  </si>
  <si>
    <t>Fluxo de Caixa do Acionista Descontado</t>
  </si>
  <si>
    <t>Fluxo de Caixa do Acionista Descontado Acumulado</t>
  </si>
  <si>
    <t>5 - Reserva Legal</t>
  </si>
  <si>
    <t xml:space="preserve">  1.2 - Equity</t>
  </si>
  <si>
    <t>Taxa de Regulação</t>
  </si>
  <si>
    <t>3.5 - Custeio</t>
  </si>
  <si>
    <t>3.6 - Investimento</t>
  </si>
  <si>
    <t>3.7 - Depreciação</t>
  </si>
  <si>
    <t>3.8 - Saldo  Operacional antes dos impostos sobre faturamento</t>
  </si>
  <si>
    <t>3.9 - Saldo  Operacional depois dos impostos sobre faturamento</t>
  </si>
  <si>
    <t xml:space="preserve">3.10 - Impostos </t>
  </si>
  <si>
    <t>3.10.1 - Impostos sobre o faturamento</t>
  </si>
  <si>
    <t xml:space="preserve">    3.10.1.1 - ISS</t>
  </si>
  <si>
    <t xml:space="preserve">    3.10.1.2 - PIS</t>
  </si>
  <si>
    <t xml:space="preserve">    3.10.1.3 - COFINS</t>
  </si>
  <si>
    <t>3.10.2 - Impostos sobre a renda</t>
  </si>
  <si>
    <t xml:space="preserve">    3.10.2.1 - Base de cálculo CSLL e IRPJ</t>
  </si>
  <si>
    <t xml:space="preserve">    3.10.2.2 - CSLL</t>
  </si>
  <si>
    <t xml:space="preserve">    3.10.2.3 - IRPJ</t>
  </si>
  <si>
    <t>3.11- Equity</t>
  </si>
  <si>
    <t>Reserva Legal</t>
  </si>
  <si>
    <t>Capital social a ser integralizado no contrato inicial</t>
  </si>
  <si>
    <t>CAPEX</t>
  </si>
  <si>
    <t>Inadimplência</t>
  </si>
  <si>
    <t>unid.</t>
  </si>
  <si>
    <t>Nº de Func. da Manutenção A+E</t>
  </si>
  <si>
    <t>Nº de Func. da Operação A+E</t>
  </si>
  <si>
    <t>Nº de Func. do Planejamento</t>
  </si>
  <si>
    <t>Nº de Func. do Comercial</t>
  </si>
  <si>
    <t>Nº de Func. da Administração</t>
  </si>
  <si>
    <t>Nº de Func Cargos Tático</t>
  </si>
  <si>
    <t>Nº de Func Cargos Executivo</t>
  </si>
  <si>
    <t>Nº Total de Funcionários</t>
  </si>
  <si>
    <t>Nº Ligações A+E por funcionário</t>
  </si>
  <si>
    <t>Lig/func</t>
  </si>
  <si>
    <t>Folha de pagamento sem encargos anual</t>
  </si>
  <si>
    <t>Encargos sobre a folha de pagamento anual</t>
  </si>
  <si>
    <t>Custo anual de mão de obra e encargos sociais</t>
  </si>
  <si>
    <t>m³/ano</t>
  </si>
  <si>
    <t>kWh/ano</t>
  </si>
  <si>
    <t>kWh/m³</t>
  </si>
  <si>
    <t>Grupo A4</t>
  </si>
  <si>
    <t>Custo anual</t>
  </si>
  <si>
    <t>Ponta</t>
  </si>
  <si>
    <t xml:space="preserve">Intermediária </t>
  </si>
  <si>
    <t>Fora de Ponta</t>
  </si>
  <si>
    <t>Média</t>
  </si>
  <si>
    <t>Grupo B3</t>
  </si>
  <si>
    <t>Total EE</t>
  </si>
  <si>
    <t>Tarifa média Grupo A4 (média tensão 13,8 kV)</t>
  </si>
  <si>
    <t>Tarifa média Grupo B3 (baixa tensão 220, 380 ou 440 V)</t>
  </si>
  <si>
    <t>Produto químico</t>
  </si>
  <si>
    <t>mg/L</t>
  </si>
  <si>
    <t>Cloro</t>
  </si>
  <si>
    <t>Hidroxido de Cálcio</t>
  </si>
  <si>
    <t>ETA</t>
  </si>
  <si>
    <t>Polimero para desidratação de lodo</t>
  </si>
  <si>
    <t>Concentração</t>
  </si>
  <si>
    <t>t/ano</t>
  </si>
  <si>
    <t>Volume Tratado</t>
  </si>
  <si>
    <t>Ácido fluorsilícico 20%</t>
  </si>
  <si>
    <t>Policloreto de Alumínio (PAC)</t>
  </si>
  <si>
    <t>Ortopolifostato de Sódio</t>
  </si>
  <si>
    <t>Volume Produzido</t>
  </si>
  <si>
    <t>Consumo EE</t>
  </si>
  <si>
    <t>Coeficiente Energético</t>
  </si>
  <si>
    <t>Coeficiente Energético médio</t>
  </si>
  <si>
    <t>Custo Total de Energia Elétrica</t>
  </si>
  <si>
    <t>Custo de Captação</t>
  </si>
  <si>
    <t>Lançamento de Efluente Tratado</t>
  </si>
  <si>
    <t>Despesas</t>
  </si>
  <si>
    <t>2.2.5   - Reposição de ativos e equipamentos.</t>
  </si>
  <si>
    <t>2.2.6   - Custeio de combustíveis e lubrificantes</t>
  </si>
  <si>
    <t>2.2.7   - Custeio de energia elétrica</t>
  </si>
  <si>
    <t>2.2.8   - Custeio de produto químico</t>
  </si>
  <si>
    <t>2.2.9   - Custeio administrativo e comercial</t>
  </si>
  <si>
    <t>2.2.10   - Custeio legal e regulação</t>
  </si>
  <si>
    <t>2.2.11 - Despesas diversas</t>
  </si>
  <si>
    <t>2.2.12 - Pagamento pelo uso de recursos hídricos</t>
  </si>
  <si>
    <t>2.2.13 - Reserva técnica de contingência e emergências</t>
  </si>
  <si>
    <t>2.2.14 - Seguros e Garantias</t>
  </si>
  <si>
    <t>EBIT</t>
  </si>
  <si>
    <t>1 - Fluxo de Caixa do Projeto</t>
  </si>
  <si>
    <t>Margem Líquida</t>
  </si>
  <si>
    <t>Margem EBITDA</t>
  </si>
  <si>
    <t>Margem EBIT</t>
  </si>
  <si>
    <t>Premissas Macroeconômicas</t>
  </si>
  <si>
    <t>TLP (anual)</t>
  </si>
  <si>
    <t>Spread sobre TLP (anual)</t>
  </si>
  <si>
    <t>Spread Financ. BNDES (anual)</t>
  </si>
  <si>
    <t>IPCA (anual)</t>
  </si>
  <si>
    <t>IPCA (acum)</t>
  </si>
  <si>
    <t>SELIC (anual)</t>
  </si>
  <si>
    <t>SELIC (sem IPCA)</t>
  </si>
  <si>
    <t>PIB - Brasil</t>
  </si>
  <si>
    <t>Projeção Inflação - EUA (anual)</t>
  </si>
  <si>
    <t>Tx Retorno Livre Risco - EUA (anual)</t>
  </si>
  <si>
    <t>Equity Risk Premium - Merc Acionário-EUA (anual)</t>
  </si>
  <si>
    <t>Risco País - Brasil (anual)</t>
  </si>
  <si>
    <t>TARIFAS</t>
  </si>
  <si>
    <t>CUSTOS</t>
  </si>
  <si>
    <t>Custeio Legal (% da Arrecadação)</t>
  </si>
  <si>
    <t>Taxa de Regulação (% da Arrecadação)</t>
  </si>
  <si>
    <t>Verificador Independente (% do total do Faturamento o)</t>
  </si>
  <si>
    <t>Coeficiente Energético A+E</t>
  </si>
  <si>
    <t>Lucro Líquido</t>
  </si>
  <si>
    <t>Receitas acessórias</t>
  </si>
  <si>
    <t>PIS/COFINS</t>
  </si>
  <si>
    <t>ISS</t>
  </si>
  <si>
    <t>Despesas Financeiras</t>
  </si>
  <si>
    <t xml:space="preserve">Água </t>
  </si>
  <si>
    <t>Tempo Restante</t>
  </si>
  <si>
    <t>Inflação</t>
  </si>
  <si>
    <t>Inflação Acumulada</t>
  </si>
  <si>
    <t>Depreciação - no Ano de Investimento</t>
  </si>
  <si>
    <t>Próprio Ano - Total</t>
  </si>
  <si>
    <r>
      <t xml:space="preserve">Abastecimento e Esgotamento </t>
    </r>
    <r>
      <rPr>
        <b/>
        <i/>
        <u/>
        <sz val="20"/>
        <rFont val="Calibri"/>
        <family val="2"/>
        <scheme val="minor"/>
      </rPr>
      <t>REAL</t>
    </r>
  </si>
  <si>
    <t>% OPEX</t>
  </si>
  <si>
    <t>RESULTADO DO FLUXO DE CAIXA ACIONISTA - FCA</t>
  </si>
  <si>
    <t>Manutenção de redes</t>
  </si>
  <si>
    <t>Extenção de rede de água</t>
  </si>
  <si>
    <t>Nº de ligações ativas de água</t>
  </si>
  <si>
    <t>Extenção de rede de esfoto</t>
  </si>
  <si>
    <t>Nº de ligações ativas de esgoto</t>
  </si>
  <si>
    <t>Nº de reparos rede de água</t>
  </si>
  <si>
    <t>Troca de ramal de água</t>
  </si>
  <si>
    <t>Troca de Cavalete de água</t>
  </si>
  <si>
    <t>Repavimentação</t>
  </si>
  <si>
    <t>m²</t>
  </si>
  <si>
    <t>Troca de ramal de esgoto</t>
  </si>
  <si>
    <t>Nº de reparos rede de esgoto</t>
  </si>
  <si>
    <t>Reparos em PV</t>
  </si>
  <si>
    <t>Reparos rede de água</t>
  </si>
  <si>
    <t>Reparos rede de esgoto</t>
  </si>
  <si>
    <t>Total de serviços de terceiros e materiais</t>
  </si>
  <si>
    <t>Troca de rede de água</t>
  </si>
  <si>
    <t>Troca de rede de esgoto</t>
  </si>
  <si>
    <t>mês</t>
  </si>
  <si>
    <t xml:space="preserve">Total OS mês </t>
  </si>
  <si>
    <t>Total de OS dia</t>
  </si>
  <si>
    <t>Repavimentação esgoto</t>
  </si>
  <si>
    <t>Repavimentação agua</t>
  </si>
  <si>
    <t>Contrapartida dos empréstimos do CAPEX</t>
  </si>
  <si>
    <t>Ativos com depreciação de 5 Anos</t>
  </si>
  <si>
    <t>Ativos com depreciação de 10 Anos</t>
  </si>
  <si>
    <t>Ativos com depreciação de 15 Anos</t>
  </si>
  <si>
    <t>Ativos com depreciação de 25 Anos</t>
  </si>
  <si>
    <t>Ativos com depreciação de 30 Anos</t>
  </si>
  <si>
    <t>Custo Médio por ligação</t>
  </si>
  <si>
    <t>Fator de distribuição anual</t>
  </si>
  <si>
    <t>Reposição de Ativoso de Ativos</t>
  </si>
  <si>
    <t>Troca de hidrometro</t>
  </si>
  <si>
    <t>un/ano</t>
  </si>
  <si>
    <t>Acum.</t>
  </si>
  <si>
    <t>Equipamentos de Laboratório</t>
  </si>
  <si>
    <t>Software e licencas</t>
  </si>
  <si>
    <t>Equipamentos de macromedição e controle</t>
  </si>
  <si>
    <t>Equipamentos de escritório</t>
  </si>
  <si>
    <t>Acumulado</t>
  </si>
  <si>
    <t>DISTR.</t>
  </si>
  <si>
    <t>Unid</t>
  </si>
  <si>
    <t>Total de OS Ano</t>
  </si>
  <si>
    <t>Equipe reparo de rede -  Água</t>
  </si>
  <si>
    <t>Equipe reparo de rede -  Esgoto</t>
  </si>
  <si>
    <t>Equipe de reaterro de vala</t>
  </si>
  <si>
    <t>Equipe de repavimentação</t>
  </si>
  <si>
    <t>Total de equipes de manutenção de redes e repavimentação</t>
  </si>
  <si>
    <t>Veículo Passeio pequeno</t>
  </si>
  <si>
    <t>Retro escavadeira 75Hp</t>
  </si>
  <si>
    <t>Caminhão basculante 12T</t>
  </si>
  <si>
    <t>Caminhão Toco carroceria 6T</t>
  </si>
  <si>
    <t>Caminhão 4T</t>
  </si>
  <si>
    <t>Pickup 1/2 T</t>
  </si>
  <si>
    <t>Receita Operacional Bruta</t>
  </si>
  <si>
    <t>Impostos Indiretos</t>
  </si>
  <si>
    <t>Receita Operacional Líquida</t>
  </si>
  <si>
    <t>Custos e Despesas</t>
  </si>
  <si>
    <t>LAJIDA</t>
  </si>
  <si>
    <t>Amortização (deflacionada)</t>
  </si>
  <si>
    <t>LAJIR</t>
  </si>
  <si>
    <t>LAIR</t>
  </si>
  <si>
    <t>Impostos Diretos</t>
  </si>
  <si>
    <t>DRE - Demonstração de Resultado do Exercício (R$)</t>
  </si>
  <si>
    <t>Serviços e materiais p/ manut. de redes</t>
  </si>
  <si>
    <t>Serviços e materiais p/ manut. de veículos</t>
  </si>
  <si>
    <t>Serviços e manut. de equip eletromecânicos</t>
  </si>
  <si>
    <t>Reposição de ativos e equipamentos.</t>
  </si>
  <si>
    <t>Combustíveis e lubrificantes</t>
  </si>
  <si>
    <t>Energia elétrica</t>
  </si>
  <si>
    <t>Produtos Químicos</t>
  </si>
  <si>
    <t>Despesas diversas</t>
  </si>
  <si>
    <t>Custeio administrativo e comercial</t>
  </si>
  <si>
    <t>Custeio legal e regulação</t>
  </si>
  <si>
    <t>Pagamento pelo uso de recursos hídricos</t>
  </si>
  <si>
    <t>Reserva técnica de contingência e emergências</t>
  </si>
  <si>
    <t>Pessoal e encargos sociais</t>
  </si>
  <si>
    <t>Margem Líquida % (Lucro Líquido/Receita Líquida)</t>
  </si>
  <si>
    <t>Adm. Central</t>
  </si>
  <si>
    <t>Margem %</t>
  </si>
  <si>
    <t>Consumo dia</t>
  </si>
  <si>
    <t>Pot usada CV</t>
  </si>
  <si>
    <t>Pot instal CV</t>
  </si>
  <si>
    <t xml:space="preserve">Benefício Fiscal </t>
  </si>
  <si>
    <t>Reserva legal</t>
  </si>
  <si>
    <t>Ke (Custo de Capital Próprio = TIR))</t>
  </si>
  <si>
    <t>2.2.4   - Custeio de serviços e manut. de equipos eletromecânicos</t>
  </si>
  <si>
    <t>2.2.14.1 - Seguros sobre investimentos</t>
  </si>
  <si>
    <t>2.2.14.2 - Garantias de Execução Contrato</t>
  </si>
  <si>
    <t xml:space="preserve">2.2.14.3 - Seguro sobre Riscos Gerais </t>
  </si>
  <si>
    <t>2.2.14.4 - Seguro sobre Operação</t>
  </si>
  <si>
    <t>2.2.15 - Taxa de Administração Central</t>
  </si>
  <si>
    <t>RESULTADO DO FLUXO DE CAIXA PROJETO- FCDP</t>
  </si>
  <si>
    <t xml:space="preserve">  3.1 - Empréstimos</t>
  </si>
  <si>
    <t xml:space="preserve">  3.2 - Juros sobre os financiamentos</t>
  </si>
  <si>
    <t xml:space="preserve">  4.1 - Benefício Fiscal Financiamentos</t>
  </si>
  <si>
    <t>PIS</t>
  </si>
  <si>
    <t>COFINS</t>
  </si>
  <si>
    <t>Ditribuição Obra - Financiamento 9</t>
  </si>
  <si>
    <t>TBO</t>
  </si>
  <si>
    <t>Ressarcimento da Modelagem</t>
  </si>
  <si>
    <t>ICMS</t>
  </si>
  <si>
    <t>R$/kWh</t>
  </si>
  <si>
    <t>Convencional</t>
  </si>
  <si>
    <t>R$/ton</t>
  </si>
  <si>
    <t>Comercial</t>
  </si>
  <si>
    <t>Especial</t>
  </si>
  <si>
    <r>
      <t>Residencial Padrão A - Área constr. 0 a 50 m</t>
    </r>
    <r>
      <rPr>
        <b/>
        <vertAlign val="superscript"/>
        <sz val="12"/>
        <color rgb="FF000000"/>
        <rFont val="Calibri"/>
        <family val="2"/>
      </rPr>
      <t>²</t>
    </r>
  </si>
  <si>
    <r>
      <t>Residencial Padrão B - Área constr  50,01 a 100 m</t>
    </r>
    <r>
      <rPr>
        <b/>
        <vertAlign val="superscript"/>
        <sz val="12"/>
        <color rgb="FF000000"/>
        <rFont val="Calibri"/>
        <family val="2"/>
      </rPr>
      <t>²</t>
    </r>
  </si>
  <si>
    <r>
      <t>Residencial Padrão D - Área constr  150,01 a 200 m</t>
    </r>
    <r>
      <rPr>
        <b/>
        <vertAlign val="superscript"/>
        <sz val="12"/>
        <color rgb="FF000000"/>
        <rFont val="Calibri"/>
        <family val="2"/>
      </rPr>
      <t>²</t>
    </r>
  </si>
  <si>
    <r>
      <t>Residencial Padrão E - Área constr. acima de 200,01 m</t>
    </r>
    <r>
      <rPr>
        <b/>
        <vertAlign val="superscript"/>
        <sz val="12"/>
        <color rgb="FF000000"/>
        <rFont val="Calibri"/>
        <family val="2"/>
      </rPr>
      <t>²</t>
    </r>
  </si>
  <si>
    <t xml:space="preserve"> Industrial</t>
  </si>
  <si>
    <t xml:space="preserve"> Pública</t>
  </si>
  <si>
    <t xml:space="preserve"> Residencial Padrão </t>
  </si>
  <si>
    <t>Total de Investimento 35 anos de Depreciação</t>
  </si>
  <si>
    <t>Pagamento de Outorga Mínima</t>
  </si>
  <si>
    <t>Financiamento 1º Tranche</t>
  </si>
  <si>
    <t>Financiamento 2º Tranche</t>
  </si>
  <si>
    <t>Financiamento 3º Tranche</t>
  </si>
  <si>
    <t>Financiamento 4º Tranche</t>
  </si>
  <si>
    <t>Financiamento 5º Tranche</t>
  </si>
  <si>
    <t>Financiamento 6º Tranche</t>
  </si>
  <si>
    <t>Financiamento 7º Tranche</t>
  </si>
  <si>
    <t>Financiamento 8º Tranche</t>
  </si>
  <si>
    <t>Financiamento 9º Tranche</t>
  </si>
  <si>
    <t>Custo Total de manut. Eletromecanica</t>
  </si>
  <si>
    <t>Desc. Mercado Livre</t>
  </si>
  <si>
    <t>Densidade de Econ por Lig Esgoto</t>
  </si>
  <si>
    <t>Tarifa</t>
  </si>
  <si>
    <t>Média A+E</t>
  </si>
  <si>
    <t>Despesas Operacionais</t>
  </si>
  <si>
    <t>Água Sbterrânea</t>
  </si>
  <si>
    <t>Preenchimento</t>
  </si>
  <si>
    <t>Fórmulas</t>
  </si>
  <si>
    <t>NÂO ALTERAR</t>
  </si>
  <si>
    <t xml:space="preserve">Taxa de Risco de Crédito </t>
  </si>
  <si>
    <t>Taxa de Administração</t>
  </si>
  <si>
    <t xml:space="preserve">Taxa de Juros </t>
  </si>
  <si>
    <t xml:space="preserve">Fórmulas </t>
  </si>
  <si>
    <t>Custo médio mensal por funcionário</t>
  </si>
  <si>
    <t>26° ao 35° ano</t>
  </si>
  <si>
    <t>TIR Projeto</t>
  </si>
  <si>
    <t>TIR Financiamento</t>
  </si>
  <si>
    <t>WACC calculado</t>
  </si>
  <si>
    <t>Custo</t>
  </si>
  <si>
    <t>2. INVESTIMENTOS EM FUNÇÃO DO CRESCIMENTO VEGETATIVO</t>
  </si>
  <si>
    <t>Hab.</t>
  </si>
  <si>
    <t>Manutenção de veículos</t>
  </si>
  <si>
    <t>Veículo Passeio pequeno - Planejamento</t>
  </si>
  <si>
    <t>Veículo Passeio pequeno - Diretoria</t>
  </si>
  <si>
    <t>Veículo Passeio pequeno -Operação</t>
  </si>
  <si>
    <t>Veículo Passeio pequeno - Comercial</t>
  </si>
  <si>
    <t>Óleo Diesel</t>
  </si>
  <si>
    <t>Lubrificante</t>
  </si>
  <si>
    <t>Graxa</t>
  </si>
  <si>
    <t>Filtro</t>
  </si>
  <si>
    <t>Alcool</t>
  </si>
  <si>
    <t>L</t>
  </si>
  <si>
    <t>kg</t>
  </si>
  <si>
    <t>jg</t>
  </si>
  <si>
    <t>Pneus</t>
  </si>
  <si>
    <t>consumo</t>
  </si>
  <si>
    <t>valor unit</t>
  </si>
  <si>
    <t>valor horário</t>
  </si>
  <si>
    <t>Valor mensal</t>
  </si>
  <si>
    <t>Horas mês</t>
  </si>
  <si>
    <t>gb</t>
  </si>
  <si>
    <t>Motocicleta 125 CC</t>
  </si>
  <si>
    <t>Manutenção</t>
  </si>
  <si>
    <t>Combustiveis</t>
  </si>
  <si>
    <t>Motocicletta 125 CC</t>
  </si>
  <si>
    <t>Total de serviços de manutenção mecânica</t>
  </si>
  <si>
    <t>Total  de combustiveis e lubrificantes</t>
  </si>
  <si>
    <t>Fator utilização</t>
  </si>
  <si>
    <t>Dias totais do mês</t>
  </si>
  <si>
    <t>Dias trabalho mês</t>
  </si>
  <si>
    <t>Horas trabalhadas</t>
  </si>
  <si>
    <t>Gasolina</t>
  </si>
  <si>
    <t>Distribuição</t>
  </si>
  <si>
    <t>unidade:</t>
  </si>
  <si>
    <t>un</t>
  </si>
  <si>
    <t>Mão de Obra</t>
  </si>
  <si>
    <t>Coef.</t>
  </si>
  <si>
    <t>Custo Unit.(R$)</t>
  </si>
  <si>
    <t>Total (R$)</t>
  </si>
  <si>
    <t>m2</t>
  </si>
  <si>
    <t>Base de solo - brita - cimento e=15cm (consumo mínimo cimento = 5% em peso)</t>
  </si>
  <si>
    <t>Reaterro compactado com G.C. ≥ 95% do P.I.</t>
  </si>
  <si>
    <t>m3</t>
  </si>
  <si>
    <t>BDI</t>
  </si>
  <si>
    <t>Total de Mão de Obra</t>
  </si>
  <si>
    <t>Equipamentos, Empreiteiros e Serviços</t>
  </si>
  <si>
    <t>Bomba de drenagem submersa - Diesel, 5 HP, capacidade 16,6 l/s</t>
  </si>
  <si>
    <t>h prod</t>
  </si>
  <si>
    <t>Caminhão pipa - Diesel,  160 HP, capacidade 6.000 l</t>
  </si>
  <si>
    <t xml:space="preserve">Corte do pavimento com serra clipper  </t>
  </si>
  <si>
    <t>Total de Equipamentos, Empreiteiros e Serviços</t>
  </si>
  <si>
    <t>Materiais</t>
  </si>
  <si>
    <t>Luva de correr PVC-PBA DN 50/DE 60mm</t>
  </si>
  <si>
    <t>Luva de correr PVC-PBA DN 75/DE 85mm</t>
  </si>
  <si>
    <t>Tubo PVC-PBA 15 JE - DN 50/DE 60 mm</t>
  </si>
  <si>
    <t>Tubo PVC-PBA 15 JE - DN 75/DE 85 mm</t>
  </si>
  <si>
    <t>Total de Materiais</t>
  </si>
  <si>
    <t>Leis Sociais Horista - Jornada Extra</t>
  </si>
  <si>
    <t>Reparo em rede de água</t>
  </si>
  <si>
    <t>Adaptador PP preto para PEAD - DN 20mm x 3/4" rosca macho - NTS 179</t>
  </si>
  <si>
    <t>Cotovelo 90º de ferro galvanizado - D = 3/4"</t>
  </si>
  <si>
    <t>Niple duplo de ferro galvanizado - D = 3/4"</t>
  </si>
  <si>
    <t>Registro ferrule em liga de cobre para ramal predial de água - D = 3/4"</t>
  </si>
  <si>
    <t>Troca de ramal predial água</t>
  </si>
  <si>
    <t xml:space="preserve">Tê de serviço integrado articulado para PVC-PEAD - DN 100 x 20mm </t>
  </si>
  <si>
    <t>Tê de serviço integrado articulado para PVC-PEAD - DN 75 x 20mm</t>
  </si>
  <si>
    <t>Tê de serviço integrado articulado para PVC-PEAD - DN 50 x 20mm</t>
  </si>
  <si>
    <t xml:space="preserve">Colar de tomada FoFo com parafusos, porcas e arruelas inox - DN 150mm x 20mm </t>
  </si>
  <si>
    <t>Colar de tomada FoFo com parafusos, porcas e arruelas inox - DN 100mm x 20mm</t>
  </si>
  <si>
    <t>Colar de tomada FoFo com parafusos, porcas e arruelas inox - DN 50mm x 20mm</t>
  </si>
  <si>
    <t>Bota-fora de entulhos e outros materiais inservíveis com DTM = 24 Km</t>
  </si>
  <si>
    <t>Fornecimento de solo de 1a. Qualidade - DTM = 24 Km</t>
  </si>
  <si>
    <t>Tubo PEAD, PN-10, DN = 20 mm x 2,3 mm de parede para ligação predial de água</t>
  </si>
  <si>
    <t>h</t>
  </si>
  <si>
    <t>Reposição do passeio em concreto desempenado e=5cm, Fck = 15 MPa, incluindo preparo de caixa</t>
  </si>
  <si>
    <t>Fornecimento de solo de 1a. Qualidade - DTM = 48 Km</t>
  </si>
  <si>
    <t>Dispositivo anti-arame em polipropileno ou poliacetal para hidrômetros Ø 3/4"</t>
  </si>
  <si>
    <t>Junta de vedação em PVC flexível atóxico - DN 20mm</t>
  </si>
  <si>
    <t>Lacre anti-fraude para hidrômetro - Polipropileno azul</t>
  </si>
  <si>
    <t>Registro pressão bruto latão - D = 3/4" - Referência 1400</t>
  </si>
  <si>
    <t>Tubete curto em latão (liga de cobre) para hidrômetro - DN 20mm - NBR 8194</t>
  </si>
  <si>
    <t>Tubo aço galvanizado - NBR 5580 - Classe média DN 3/4" - E = 2,65mm - 1,58kg/m</t>
  </si>
  <si>
    <t>Troca de cavalete FoGo Ø 3/4", com reposição do piso</t>
  </si>
  <si>
    <t>Reposição do pavimento de rua com massa asfáltica usinada a quente (CBUQ)</t>
  </si>
  <si>
    <t>Reposição do pavimento da rua massa asfáltica(CBUQ)</t>
  </si>
  <si>
    <t>Luva de correr PVC-PBA DN 100/DE 110mm</t>
  </si>
  <si>
    <t>Tubo PVC-PBA 15 JE - DN 100/DE 110 mm</t>
  </si>
  <si>
    <t>Dias folga do mês</t>
  </si>
  <si>
    <t>Tubo PVC ocre para esgoto com junta elástica - DN 100mm - NBR 7362</t>
  </si>
  <si>
    <t>Bota-fora de entulhos e outros materiais inservíveis com DTM = 24Km</t>
  </si>
  <si>
    <t>Luva de correr PVC ocre para esgoto com junta elástica - DN 150mm</t>
  </si>
  <si>
    <t>Tubo PVC ocre para esgoto com junta elástica - DN 150mm - NBR 7362</t>
  </si>
  <si>
    <t>Recuperação de poço de visita de esgoto, sem reposição do pavimento de rua</t>
  </si>
  <si>
    <t>Ajudante de pedreiro</t>
  </si>
  <si>
    <t>Pedreiro</t>
  </si>
  <si>
    <t>Aço CA-50 - Média das bitolas</t>
  </si>
  <si>
    <t>Areia média</t>
  </si>
  <si>
    <t>Cimento Portland CP II-E-32</t>
  </si>
  <si>
    <t>Tijolo comum de barro 5 x 10 x 20 cm</t>
  </si>
  <si>
    <t>Troca rede coletora esgoto - PVC/PEAD ocre esgoto</t>
  </si>
  <si>
    <t>Luva de correr PVC ocre para esgoto com junta elástica - DN200mm</t>
  </si>
  <si>
    <t>Tubo PVC ocre para esgoto com junta elástica - DN 200mm - NBR 7362</t>
  </si>
  <si>
    <t>Reparo em rede coletora esgoto - PVC/PEAD ocre esgoto</t>
  </si>
  <si>
    <t>Troca ramal esgoto - PVC/PEAD ocre esgoto</t>
  </si>
  <si>
    <t xml:space="preserve">  4.2 - Beneficio Fiscal Ressarcimentos</t>
  </si>
  <si>
    <t xml:space="preserve">  2.1 - Verificador Independente</t>
  </si>
  <si>
    <t>População sem atendimento</t>
  </si>
  <si>
    <t>Demanda Reprimida</t>
  </si>
  <si>
    <t>Consumo per capita Disponibilizado</t>
  </si>
  <si>
    <t>l/hab.dia</t>
  </si>
  <si>
    <t>Consumo per capita Consumido</t>
  </si>
  <si>
    <t>Consumo per capita Medido</t>
  </si>
  <si>
    <t>1. INVESTIMENTOS EM FUNÇÃO DA DEMANDA REPRIMIDA</t>
  </si>
  <si>
    <t>Resumo</t>
  </si>
  <si>
    <t>População Urbana Atendida com Água</t>
  </si>
  <si>
    <t>População Urbana Atendida com Esgoto</t>
  </si>
  <si>
    <t xml:space="preserve">1. INVESTIMENTOS EM DEMANDA REPRIMIDA </t>
  </si>
  <si>
    <t xml:space="preserve">Valor Total </t>
  </si>
  <si>
    <t>Água -  Reservação</t>
  </si>
  <si>
    <t xml:space="preserve">RESUMO DOS INVESTIMENTO </t>
  </si>
  <si>
    <t>Investimento 1º Quadriênio (Ano 1 ao Ano 4)</t>
  </si>
  <si>
    <t>Investimento 2º Quadriênio (Ano 5 ao Ano 8)</t>
  </si>
  <si>
    <t>Investimento 3º Quadriênio (Ano 9 ao Ano 12)</t>
  </si>
  <si>
    <t>Investimento 4º Quadriênio (Ano 13 ao Ano 16)</t>
  </si>
  <si>
    <t>Investimento 5º Quadriênio (Ano 17 ao Ano 20)</t>
  </si>
  <si>
    <t>Investimento 6º Quadriênio (Ano 21 ao Ano 24)</t>
  </si>
  <si>
    <t>Investimento 7º Quadriênio (Ano 25 ao Ano 28)</t>
  </si>
  <si>
    <t>Investimento 8º Quadriênio (Ano 29 ao Ano 32)</t>
  </si>
  <si>
    <t>Investimento 9º Quadriênio (Ano 33 ao Ano 35)</t>
  </si>
  <si>
    <t>Investimentos</t>
  </si>
  <si>
    <t>Base</t>
  </si>
  <si>
    <t>TOTAL DO CAPEX</t>
  </si>
  <si>
    <t>ÁGUA</t>
  </si>
  <si>
    <t>Valor Básico Inicial para a construção da matriz tarifária</t>
  </si>
  <si>
    <t xml:space="preserve">Para Alteração da Matriz Tarifária </t>
  </si>
  <si>
    <t>Inicial Cálculo R/m³</t>
  </si>
  <si>
    <t xml:space="preserve"> Residencial</t>
  </si>
  <si>
    <t>Valor do Empréstimo do CAPEX</t>
  </si>
  <si>
    <t>Custo do Hidrômetro</t>
  </si>
  <si>
    <t>RESUMO</t>
  </si>
  <si>
    <t>ESGOTO</t>
  </si>
  <si>
    <t>SISTEMA DE ABASTECIMENTO DE ÁGUA</t>
  </si>
  <si>
    <t>1.1 - Adequação e reforma da capatação de água bruta do Rio Benedito</t>
  </si>
  <si>
    <t>Código</t>
  </si>
  <si>
    <t xml:space="preserve">Item </t>
  </si>
  <si>
    <t>Preço</t>
  </si>
  <si>
    <t xml:space="preserve">Quant. </t>
  </si>
  <si>
    <t>Custo Total</t>
  </si>
  <si>
    <t>Referência</t>
  </si>
  <si>
    <t>CANTEIRO DE OBRAS</t>
  </si>
  <si>
    <t xml:space="preserve">Barração escritório </t>
  </si>
  <si>
    <t>CASAN</t>
  </si>
  <si>
    <t>Barração deposito</t>
  </si>
  <si>
    <t>Sanitário Isolado</t>
  </si>
  <si>
    <t>Chuveiro Isolado</t>
  </si>
  <si>
    <t>Placa de Obra</t>
  </si>
  <si>
    <t>SERVIÇOS PRELIMINARES</t>
  </si>
  <si>
    <t>Roçada Fina</t>
  </si>
  <si>
    <t>Limpeza mecanizada com raspagem superficial</t>
  </si>
  <si>
    <t xml:space="preserve">Remoção de pintura antiga latex </t>
  </si>
  <si>
    <t>Remoção de pintura antiga latex esmalte</t>
  </si>
  <si>
    <t>CAIXA DE PROTEÇÃO</t>
  </si>
  <si>
    <t>Cx de proteção para registro de manobra</t>
  </si>
  <si>
    <t xml:space="preserve">un </t>
  </si>
  <si>
    <t>REGULARIZAÇÃO E REVESTIMENTO</t>
  </si>
  <si>
    <t>Regularização mecanizada de superficie</t>
  </si>
  <si>
    <t>Revestimento com brita</t>
  </si>
  <si>
    <t>DISPOSITIVO DE PROTEÇÃO E ACESSO</t>
  </si>
  <si>
    <t xml:space="preserve">Grade de proteção e ertenção </t>
  </si>
  <si>
    <t>Grelha</t>
  </si>
  <si>
    <t>Guarda corpo</t>
  </si>
  <si>
    <t>Escada Tipo Marinheiro</t>
  </si>
  <si>
    <t>PISOS, TETOS E PAREDES</t>
  </si>
  <si>
    <t>Piso cimentado desempenado e=0,02 m</t>
  </si>
  <si>
    <t>IMPERMEABILIZAÇÃO / PROTEÇÃO</t>
  </si>
  <si>
    <t>Impermeabilização com cimento polimerico, base PVA</t>
  </si>
  <si>
    <t>PINTURA</t>
  </si>
  <si>
    <t>Pintura latex PVA sem massa corrida</t>
  </si>
  <si>
    <t>Pintura Esmalte</t>
  </si>
  <si>
    <t>Pintura de logotipo</t>
  </si>
  <si>
    <t>INSTALAÇÕES ELETRICAS</t>
  </si>
  <si>
    <t>Cabo de cobre 2,5 MM2 0,6/1,0 KV</t>
  </si>
  <si>
    <t>Cabo de cobre 95,00 MM2 0,6/1,0 KV</t>
  </si>
  <si>
    <t>MONTAGEM ELETRO-MECÂNICA</t>
  </si>
  <si>
    <t>Montagem Eletro Mecânica de conjunto MOTO-BOMBA DE 100,5 A 200 CV</t>
  </si>
  <si>
    <t>URBANIZAÇÃO</t>
  </si>
  <si>
    <t xml:space="preserve">Portão em estrutura Tubular para pedestre </t>
  </si>
  <si>
    <t xml:space="preserve">Portão em estrutura Tubular para veículo </t>
  </si>
  <si>
    <t>Alambrado de tela galvanizada em mourão de concreto</t>
  </si>
  <si>
    <t>Plantio de grama em placas</t>
  </si>
  <si>
    <t>INSTALAÇÃO, MONTAGEM E MANUTENÇÃO ELETROMECÂNICA</t>
  </si>
  <si>
    <t>Manutenção mecânica em bombas potência de 50,5  A 100 CV</t>
  </si>
  <si>
    <t>Lubrificação de cj moto-bomba</t>
  </si>
  <si>
    <t>Manutenção eletrica em quadro de comando para motor 50 a 100 cv</t>
  </si>
  <si>
    <t>Manutenção eletrica em quadro de comando com soft starter</t>
  </si>
  <si>
    <t>Limpeza e manutenção e, cabine de transformadores</t>
  </si>
  <si>
    <t>1.2 Adequação e reforma dos decantadores e filtros da ETA Timbó (ETA Convencional 120 L/s e ETA Compacta 01 50L/s)</t>
  </si>
  <si>
    <t>REFORMA DOS DECANTADORES</t>
  </si>
  <si>
    <t>Módulo de decantador em perfis tubulares de PVC</t>
  </si>
  <si>
    <t>Chicanas em madeira</t>
  </si>
  <si>
    <t>Sop-Log de madeira</t>
  </si>
  <si>
    <t>Fornecimento e enchimento dos filtros comPEDRA BRITADA Nº 4</t>
  </si>
  <si>
    <t>m³</t>
  </si>
  <si>
    <t>Fornecimento e colocaçao de areia nos filtros</t>
  </si>
  <si>
    <t>Fornecimento e colocaçao de pedregulho nos filtros</t>
  </si>
  <si>
    <t>Fornecimento e colocaçao de antracito nos filtros</t>
  </si>
  <si>
    <t>Fornecimento e assentamento de bloco Leopold</t>
  </si>
  <si>
    <t>Retirada de material filtrante dos filtros</t>
  </si>
  <si>
    <t xml:space="preserve">Carga e descarga de entulho </t>
  </si>
  <si>
    <t>REFORMA DA ETA COMPACTA 50 L/s</t>
  </si>
  <si>
    <t>Reforma da ETA COMPACTA 50 L/s 01</t>
  </si>
  <si>
    <t>M / Samae</t>
  </si>
  <si>
    <t>1.3 Implantação da captação no rio dos Cedros (120 L/s)</t>
  </si>
  <si>
    <t>Escavação mecanizada em solo não rochoso</t>
  </si>
  <si>
    <t>Compactação mecanizada, com contole tecnologico GC&gt;= 95% do proctor normal</t>
  </si>
  <si>
    <t>TOMADA D´ÁGUA</t>
  </si>
  <si>
    <t xml:space="preserve">Gabião tipo caixa </t>
  </si>
  <si>
    <t>Enrocamento com pedra de mão arrumada</t>
  </si>
  <si>
    <t>Transporte até 10 Km e descarga de tubo e conexões de PRFV DN 600 mm</t>
  </si>
  <si>
    <t>Lastro, laje berço, tubos e peças de concreto DN 600 mm</t>
  </si>
  <si>
    <t>Tubo de PRFV DN 600 mm</t>
  </si>
  <si>
    <t>Reaterro de valas compactado mecanicamente</t>
  </si>
  <si>
    <t>Reaterro de valas compactado com areia/pó de pedar GC .= 100% do proctor simples</t>
  </si>
  <si>
    <t>DESAREANADOR/POÇO SUÇÃO</t>
  </si>
  <si>
    <t>Estaca premoldada de concreto 20t</t>
  </si>
  <si>
    <t>Estaca premoldada de concreto 30t</t>
  </si>
  <si>
    <t>Concreto FCK 25 MPa</t>
  </si>
  <si>
    <t>Aço CA 50</t>
  </si>
  <si>
    <t>Aço CA 60</t>
  </si>
  <si>
    <t>Forma plana chapa resinada estrutural</t>
  </si>
  <si>
    <t>Escoramento especial</t>
  </si>
  <si>
    <t>Fornecimento e instalação de CALHA PARSHALL - W  9''</t>
  </si>
  <si>
    <t>EEAB - ESTAÇÃO ELEVATÓRIA DE ÁGUA BRUTA 120L/s</t>
  </si>
  <si>
    <t>EEA - Estação Elevatória de Água com vazão de 101 l/s a 200 l/s</t>
  </si>
  <si>
    <t>ABICON</t>
  </si>
  <si>
    <t>1.4 Implantação da ETA Compacta 02 (50 L/s)</t>
  </si>
  <si>
    <t>ETA - Estação de Tratamento de Água com vazão de até 50 l/s</t>
  </si>
  <si>
    <t>L/s</t>
  </si>
  <si>
    <t>1.5 Implantação da unidade de tratamento de lodo da ETA Timbó</t>
  </si>
  <si>
    <t xml:space="preserve">Skid tratamento de lodo </t>
  </si>
  <si>
    <t>Skid para tratamento de lodo contendo: Decanter para desidratação de lodo; Tanque de preparo e dosagem de polímero (pó ou emulsão); Tanque de dosagem de polímero em pó; Bomba para dosagem de polímero; Bomba para alimentação de lodo; Bomba booster para água de diluição (opcional); Tanque/bomba para retorno do clariﬁcado (opcional); Rosca para transporte de lodo desidratado;
Painel de força e comando.</t>
  </si>
  <si>
    <t>1.6 Adequação das Elevatórias da ETA Timbó</t>
  </si>
  <si>
    <t>EEAT</t>
  </si>
  <si>
    <t>EEA - Estação Elevatória de Água com vazão até 5 l/s</t>
  </si>
  <si>
    <t>l/s</t>
  </si>
  <si>
    <t>EEA - Estação Elevatória de Água com vazão de 6 l/s a 10 l/s</t>
  </si>
  <si>
    <t>EEA - Estação Elevatória de Água com vazão de 11 l/s a 25 l/s</t>
  </si>
  <si>
    <t>EEA - Estação Elevatória de Água com vazão de 26 l/s a 50 l/s</t>
  </si>
  <si>
    <t>EEA - Estação Elevatória de Água com vazão de 51 l/s a 100 l/s</t>
  </si>
  <si>
    <t>1.7 Adutorade água bruta da captação Rio dos Cedros a ETA Timbó</t>
  </si>
  <si>
    <t>ADUTORA ÁGUA BRUTA</t>
  </si>
  <si>
    <t>CPU-A.AD.133</t>
  </si>
  <si>
    <t>Adutora executada sob via de pavimentação asfáltica, em vala de 2,01m a 2,50m de profundidade - Adutora - TUBO DE PEAD - DN 300 mm</t>
  </si>
  <si>
    <t>2 - Distribuição</t>
  </si>
  <si>
    <t>2.1 -  Adutora água tratadada ETA Timbó aos Reservatórios</t>
  </si>
  <si>
    <t>AAT - ADUTORA ÁGUA TRATADA</t>
  </si>
  <si>
    <t>CPU-A.AD.391</t>
  </si>
  <si>
    <t>Adutora executada sob via de pavimentação de blocos intertravados, em vala de 2,51m a 3,00m de profundidade</t>
  </si>
  <si>
    <t>2.2 -  Rede de distribuição de água tratada</t>
  </si>
  <si>
    <t>REDE DE DISTRIBUIÇÃO</t>
  </si>
  <si>
    <t>CPU-A.RD.003</t>
  </si>
  <si>
    <t>Rede de Distribuição executada sob via de pavimentação asfáltica, em vala de até 1,20m de profundidade -  TUBO DE PBA - DN 100 mm</t>
  </si>
  <si>
    <t>CPU-A.RD.024</t>
  </si>
  <si>
    <t>Rede de Distribuição executada sob via de pavimentação de blocos intertravados, em vala de 1,51m a 2,00m de profundidade - TUBO DE PVC DEFOFO - DN 150 mm</t>
  </si>
  <si>
    <t>3- Reservação</t>
  </si>
  <si>
    <t>3.1- Reservatório de Distribuição</t>
  </si>
  <si>
    <t>Reservatório 100 m³</t>
  </si>
  <si>
    <t>RESERVATÓRIO</t>
  </si>
  <si>
    <t>Reservatório com capacidade 100 m³</t>
  </si>
  <si>
    <t>Reservatório 300 m³</t>
  </si>
  <si>
    <t>Reservatório com capacidade 300 m³</t>
  </si>
  <si>
    <t>Reservatório 500 m³</t>
  </si>
  <si>
    <t>Reservatório com capacidade 500 m³</t>
  </si>
  <si>
    <t>Reservatório 550 m³</t>
  </si>
  <si>
    <t>Reservatório com capacidade 550 m³</t>
  </si>
  <si>
    <t>Reservatório 750 m³</t>
  </si>
  <si>
    <t>Reservatório com capacidade 750m³</t>
  </si>
  <si>
    <t>4- Ligação Predial de Água</t>
  </si>
  <si>
    <t>4.1 - Ligação predial de água</t>
  </si>
  <si>
    <t>CPU-A.LP.019</t>
  </si>
  <si>
    <t>5- Estudo, Projetos, Consultorias e Licenciamento Ambiental</t>
  </si>
  <si>
    <t>5.1 - Estudos, Projetos, Consultorias e Licenciamentos Ambientais - Água</t>
  </si>
  <si>
    <t>ESTUDOS DE CONCEPÇÃO DE SISTEMAS DE ABASTECIMENTO DE ÁGUA</t>
  </si>
  <si>
    <t>PROJETO EXECUTIVO DE ADUTORAS DE ÁGUA    </t>
  </si>
  <si>
    <t>PROJETO EXECUTIVO DE RESERVATÓRIO DE CONCRETO ARMADO DE 50 a 100 m³</t>
  </si>
  <si>
    <t>PROJETO EXECUTIVO DE RESERVATÓRIO  DE CONCRETO ARMADODE 300 a 7500 M³</t>
  </si>
  <si>
    <t>ESTUDOS DE SETORIZAÇÃO DE REDES DE DISTRIBUIÇÃO DE ÁGUA</t>
  </si>
  <si>
    <t>PROJETO EXECUTIVO DE REDES DE ÁGUA</t>
  </si>
  <si>
    <t>6- Gerenciamento de Obras</t>
  </si>
  <si>
    <t>6.1 - Gerenciamento de Obras - Água</t>
  </si>
  <si>
    <t>Avompanhamento de obras de Captação e Tratamento</t>
  </si>
  <si>
    <t>Acompanhamento de obras de Distribuição de Água</t>
  </si>
  <si>
    <t xml:space="preserve">Acompanhamento de obras de Reservação de água </t>
  </si>
  <si>
    <t>Acompanhamento de obras de ligação predial de água</t>
  </si>
  <si>
    <t>1 - Coleta e Afastamento</t>
  </si>
  <si>
    <t>2.1- Rede coletora</t>
  </si>
  <si>
    <t>CPU-E.CT.016</t>
  </si>
  <si>
    <t>Coletor Tronco executado sobre via de pavimentação asfaltica, em vala de 2,50m TUBO DE CONCRETO - DN 400mm</t>
  </si>
  <si>
    <t>CPU-E.RC.015</t>
  </si>
  <si>
    <t>CPU-E.RC.014</t>
  </si>
  <si>
    <t>CPU-E.RC.007</t>
  </si>
  <si>
    <t>Tubo de recalque  executado sobre via de pavimentação asfaltica, em vala de 2,50m PVC - DN 100mm</t>
  </si>
  <si>
    <t>2.2 - EEE - Estação Elevatória de Esgoto</t>
  </si>
  <si>
    <t>EEE - Estação Elevatória de Esgoto com vazão até 5 l/s</t>
  </si>
  <si>
    <t>2 - Tratamento e disposição final</t>
  </si>
  <si>
    <t>2.2 - ETE - Estação Tratamento de esgoto</t>
  </si>
  <si>
    <t>ETE - Estação de Tratamento de Esgoto (aeração prolongada com lodos ativados) com vazão nominal de 210 l/s</t>
  </si>
  <si>
    <t>3 - Ligação predial de esgoto</t>
  </si>
  <si>
    <t>1.12- Ligação predial de esgoto</t>
  </si>
  <si>
    <t>CPU-E.LP.001</t>
  </si>
  <si>
    <t>4 - Estudos, Projetos, Consultorias e Licenciamento Ambiental</t>
  </si>
  <si>
    <t>1.14- Estudos, Projetos, Consultorias e Licenciamentos Ambientais - Esgoto</t>
  </si>
  <si>
    <t>ESTUDOS DE CONCEPÇÃO DE SISTEMAS DE ESGOTAMENTO SANITÁRIO</t>
  </si>
  <si>
    <t>PROJETO EXECUTIVO DE REDE COLETORA DE ESGOTOS até 50KM</t>
  </si>
  <si>
    <t>PROJETO EXECUTIVO DE COLETORES TRONCO até 5 KM</t>
  </si>
  <si>
    <t> ESTAÇÃO ELEVATÓRIA DE ESGOTOS        </t>
  </si>
  <si>
    <t>PROJETO EXECUTIVO DE ESTAÇÃO DE TRATAMENTO DE ESGOTO - PROCESSO AERAÇÃO PROLONGADA</t>
  </si>
  <si>
    <t>5- Gerenciamento de Obras</t>
  </si>
  <si>
    <t>Acompanhamento de obras de Tratamento de Esgoto</t>
  </si>
  <si>
    <t>Acompanhamento de obras de Ligação predial de Esgoto</t>
  </si>
  <si>
    <t>1 - Captação e Tratamento de Água</t>
  </si>
  <si>
    <t>VPL Projeto =</t>
  </si>
  <si>
    <t>VPL Acionista =</t>
  </si>
  <si>
    <t>M/SAMAE</t>
  </si>
  <si>
    <t>M/CASAN</t>
  </si>
  <si>
    <t>APCES</t>
  </si>
  <si>
    <t>SES - SISTEMA DE ESGOTAMENTO SANITÁRIO</t>
  </si>
  <si>
    <t>1º Ciclo</t>
  </si>
  <si>
    <t>2º Ciclo</t>
  </si>
  <si>
    <t>3º Ciclo</t>
  </si>
  <si>
    <t>4º Ciclo</t>
  </si>
  <si>
    <t>5º Ciclo</t>
  </si>
  <si>
    <t>6º Ciclo</t>
  </si>
  <si>
    <t>7º Ciclo</t>
  </si>
  <si>
    <t>8º Ciclo</t>
  </si>
  <si>
    <t>9º Ciclo</t>
  </si>
  <si>
    <t>10º Ciclo</t>
  </si>
  <si>
    <t>Valores orçados com base na estimativa do pessoal do Prestador de Serviço constante do CADERNO  I - TÉCNICO OPERACIONAL</t>
  </si>
  <si>
    <t>Observações:</t>
  </si>
  <si>
    <t>Acompanhamento de obras de Coleta e Afastamento de Esgoto</t>
  </si>
  <si>
    <t>Manutenção mecânica (% sobre o valor do veículo)</t>
  </si>
  <si>
    <t>Preços de energia elétricada tabela vigente da CELSC Dezembro de 2023</t>
  </si>
  <si>
    <t>Potencia média instalada Água</t>
  </si>
  <si>
    <t>Custo médio Anual de Energia Eletrica</t>
  </si>
  <si>
    <t xml:space="preserve">Fator de manutenção </t>
  </si>
  <si>
    <t xml:space="preserve">Potencia média instalada Esgoto </t>
  </si>
  <si>
    <t>Custo médio de EE/Potência Inst.</t>
  </si>
  <si>
    <t>Custo de manutenção/CV instaldo</t>
  </si>
  <si>
    <r>
      <t xml:space="preserve"> kd (</t>
    </r>
    <r>
      <rPr>
        <b/>
        <sz val="9"/>
        <color theme="1"/>
        <rFont val="Calibri"/>
        <family val="2"/>
        <scheme val="minor"/>
      </rPr>
      <t>Capital Terceiros</t>
    </r>
    <r>
      <rPr>
        <b/>
        <sz val="11"/>
        <color theme="1"/>
        <rFont val="Calibri"/>
        <family val="2"/>
        <scheme val="minor"/>
      </rPr>
      <t>)</t>
    </r>
  </si>
  <si>
    <r>
      <t xml:space="preserve"> ke (</t>
    </r>
    <r>
      <rPr>
        <b/>
        <sz val="9"/>
        <color theme="1"/>
        <rFont val="Calibri"/>
        <family val="2"/>
        <scheme val="minor"/>
      </rPr>
      <t>Capital Próprio</t>
    </r>
    <r>
      <rPr>
        <b/>
        <sz val="11"/>
        <color theme="1"/>
        <rFont val="Calibri"/>
        <family val="2"/>
        <scheme val="minor"/>
      </rPr>
      <t>)</t>
    </r>
  </si>
  <si>
    <t>% Ano</t>
  </si>
  <si>
    <t>Tipo de Taxa</t>
  </si>
  <si>
    <t>Beta Alavancado</t>
  </si>
  <si>
    <t>Rede Coletora executada sobre via de pavimentação asfaltico, em vala de 2,50m - TUBO DE PVC - DN 300mm</t>
  </si>
  <si>
    <t>Rede Coletora executada sobre via de pavimentação asfaltico, em vala de 2,50m TUBO DE PVC - DN 200mm</t>
  </si>
  <si>
    <t xml:space="preserve">CPU-E.RC.001
CPU-E.RC.004	
CPU-E.RC.007
CPU-E.RC.058	</t>
  </si>
  <si>
    <r>
      <rPr>
        <b/>
        <sz val="9"/>
        <color theme="1"/>
        <rFont val="Calibri"/>
        <family val="2"/>
      </rPr>
      <t>Composição:</t>
    </r>
    <r>
      <rPr>
        <sz val="9"/>
        <color theme="1"/>
        <rFont val="Calibri"/>
        <family val="2"/>
      </rPr>
      <t xml:space="preserve"> Rede Coletora executada sobre via de pavimentação asfaltico e sem pavimentação, em vala de 1,00m a 1,40 m - TUBO DE PVC - DN 150 mm*</t>
    </r>
  </si>
  <si>
    <t>*Composição</t>
  </si>
  <si>
    <t>CPU-E.RC.001</t>
  </si>
  <si>
    <t>CPU-E.RC.004</t>
  </si>
  <si>
    <t>CPU-E.RC.058</t>
  </si>
  <si>
    <t>Descrição</t>
  </si>
  <si>
    <t>Rede Coletora executada sobre via de pavimentação asfaltico, em vala de 1,00m	 - TUBO DE PVC - DN 150 mm</t>
  </si>
  <si>
    <t>Rede Coletora executada sobre via de pavimentação asfaltico, em vala de 1,20m	 - TUBO DE PVC - DN 150 mm</t>
  </si>
  <si>
    <t>Rede Coletora executada sobre via de pavimentação asfaltico, em vala de 1,40m	 - TUBO DE PVC - DN 150 mm</t>
  </si>
  <si>
    <t>Rede Coletora executada sobre via de sem pavimentação, em vala de 1,00m	 - TUBO DE PVC - DN 150 mm</t>
  </si>
  <si>
    <t>Quantidade</t>
  </si>
  <si>
    <t>-</t>
  </si>
  <si>
    <t>Preço Médio</t>
  </si>
  <si>
    <t>Indice de Reajuste =</t>
  </si>
  <si>
    <t>10 m³</t>
  </si>
  <si>
    <t>15 m³</t>
  </si>
  <si>
    <t>20 m³</t>
  </si>
  <si>
    <t>25 m³</t>
  </si>
  <si>
    <t>30 m³</t>
  </si>
  <si>
    <t>Conta</t>
  </si>
  <si>
    <t>40 m³</t>
  </si>
  <si>
    <t>50 m³</t>
  </si>
  <si>
    <r>
      <t>WACC</t>
    </r>
    <r>
      <rPr>
        <b/>
        <vertAlign val="subscript"/>
        <sz val="11"/>
        <color theme="0"/>
        <rFont val="Calibri"/>
        <family val="2"/>
        <scheme val="minor"/>
      </rPr>
      <t>calculado</t>
    </r>
  </si>
  <si>
    <t>Condições para Contrato</t>
  </si>
  <si>
    <t>Valor total de referência do Contrato Dez 2025=</t>
  </si>
  <si>
    <t xml:space="preserve">Obrigações </t>
  </si>
  <si>
    <t>Eventos</t>
  </si>
  <si>
    <t>Comprovação / Pagamento</t>
  </si>
  <si>
    <t>Aliquota</t>
  </si>
  <si>
    <t>Valor Dez 2025</t>
  </si>
  <si>
    <t xml:space="preserve">Garantia de proposta </t>
  </si>
  <si>
    <t xml:space="preserve">Proposta </t>
  </si>
  <si>
    <t>Até o 3° dia útil antes da data de entrega da proposta</t>
  </si>
  <si>
    <t>Valor do Contrato de Referência</t>
  </si>
  <si>
    <t>Patrrimónio Líquido</t>
  </si>
  <si>
    <t xml:space="preserve">Data do encerramento do último exercicio social </t>
  </si>
  <si>
    <t xml:space="preserve">Valor mínimo do atestado de captação de recursos </t>
  </si>
  <si>
    <t>Até 15 anos anterior a data da entrega da proposta</t>
  </si>
  <si>
    <t>Valor do Capex do EVTE</t>
  </si>
  <si>
    <t>Valor mínimo para o somatório de atestados</t>
  </si>
  <si>
    <t>Valor do Atestado</t>
  </si>
  <si>
    <t>Homologação e Adjudicação da Licitação</t>
  </si>
  <si>
    <t>Até o 5° dia após a Homologação e Adjudicação</t>
  </si>
  <si>
    <t>Valor determinado no EVTE</t>
  </si>
  <si>
    <t>Capital Social a ser integralizado no contrato inicial</t>
  </si>
  <si>
    <t>Assinatura do Contarto</t>
  </si>
  <si>
    <t>Verificador/Certificador Independente</t>
  </si>
  <si>
    <t>Apoós assinatura do Contrato</t>
  </si>
  <si>
    <t>Mutações do Capital Social</t>
  </si>
  <si>
    <t>Periodo de vigência</t>
  </si>
  <si>
    <t>Integralização</t>
  </si>
  <si>
    <t>Capital Social Mínimo</t>
  </si>
  <si>
    <t>do 1 ao 8° ano do contrato</t>
  </si>
  <si>
    <t>Até 60 dias após a Homologação e Adjuducação</t>
  </si>
  <si>
    <t>no 8° ano do contrato</t>
  </si>
  <si>
    <t>Até o 5° dia util do mês de janeiro do 8° ano do contrato</t>
  </si>
  <si>
    <t>no 9° ano do contrato</t>
  </si>
  <si>
    <t>Até o 5° dia util do mês de janeiro do 9° ano do contrato</t>
  </si>
  <si>
    <t>no 10° ano do contrato</t>
  </si>
  <si>
    <t>Até o 5° dia util do mês de janeiro do 10° ano do contrato</t>
  </si>
  <si>
    <t>no 11° ano do contrato</t>
  </si>
  <si>
    <t>Até o 5° dia util do mês de janeiro do 11° ano do contrato</t>
  </si>
  <si>
    <t>no 12° ano do contrato</t>
  </si>
  <si>
    <t>Até o 5° dia util do mês de janeiro do 12° ano do contrato</t>
  </si>
  <si>
    <t>no 13° ano do contrato</t>
  </si>
  <si>
    <t>Até o 5° dia util do mês de janeiro do 13° ano do contrato</t>
  </si>
  <si>
    <t>no 14° ano do contrato</t>
  </si>
  <si>
    <t>Até o 5° dia util do mês de janeiro do 14° ano do contrato</t>
  </si>
  <si>
    <t>no 15° ano do contrato</t>
  </si>
  <si>
    <t>Até o 5° dia util do mês de janeiro do 15° ano do contrato</t>
  </si>
  <si>
    <t>do 16° ao 35° ano do contrato</t>
  </si>
  <si>
    <t>Até o 5° dia util do mês de janeiro do 16° ano do contrato</t>
  </si>
  <si>
    <t>Seguros e Garantias Contratuais</t>
  </si>
  <si>
    <t>Pagamento</t>
  </si>
  <si>
    <t>Seguro de Risco de Engenharia</t>
  </si>
  <si>
    <t>Durante o Investimento</t>
  </si>
  <si>
    <t>Até o 5° dia util antes da assinatura do contrato</t>
  </si>
  <si>
    <t>Seguro de Responsabilidade Civil - Obras</t>
  </si>
  <si>
    <t>Seguro de Responsabilidade Civil - Operação (Durante o Contrato)</t>
  </si>
  <si>
    <t>Durante o Contrato</t>
  </si>
  <si>
    <t>Valor do Opex do EVTE</t>
  </si>
  <si>
    <t>Seguro Riscos Gerais - "All Risks" (Durante o Contrato)</t>
  </si>
  <si>
    <t xml:space="preserve">Garantia de Execução do Contato </t>
  </si>
  <si>
    <t>do 1° ao 10° ano</t>
  </si>
  <si>
    <t>do 10° ao 25° ano</t>
  </si>
  <si>
    <t>Até o 5° dia utíl antes do vencimento da apólice anterior</t>
  </si>
  <si>
    <t>do 25° ao 35° ano</t>
  </si>
  <si>
    <t>Data Base do EVTE  Dezembro/2025</t>
  </si>
  <si>
    <t>B3</t>
  </si>
  <si>
    <t>Anual</t>
  </si>
  <si>
    <t>2027 - 2030</t>
  </si>
  <si>
    <t>2031-2033</t>
  </si>
  <si>
    <t>2035-2038</t>
  </si>
  <si>
    <t>2039- 2042</t>
  </si>
  <si>
    <t>20433 - 2046</t>
  </si>
  <si>
    <t>2047 - 2050</t>
  </si>
  <si>
    <t>2051 - 2054</t>
  </si>
  <si>
    <t>2055 - 2058</t>
  </si>
  <si>
    <t>2059 - 2061</t>
  </si>
  <si>
    <t>2027 - 2061</t>
  </si>
  <si>
    <t>Vol mës</t>
  </si>
  <si>
    <t>Valor previsto no Projeto</t>
  </si>
  <si>
    <t>Valor praticado Samae 2025</t>
  </si>
  <si>
    <t>Valor da Conta mensal de água e esgoto Dezembro de 2025</t>
  </si>
  <si>
    <t>Ano Base</t>
  </si>
  <si>
    <t>REFERÊNCIAS</t>
  </si>
  <si>
    <t>Valor Total do Projeto</t>
  </si>
  <si>
    <t>Quant</t>
  </si>
  <si>
    <t>Custo/Ligação</t>
  </si>
  <si>
    <t>1 - Despesas diversas</t>
  </si>
  <si>
    <t>1.1 - Comunicação Social</t>
  </si>
  <si>
    <t>1.1.1  - Comunicados gerais via rádio/TV (inserção)</t>
  </si>
  <si>
    <t>Inserção</t>
  </si>
  <si>
    <t>92 FM /RBS/TV Barriga Verde/SAMAE</t>
  </si>
  <si>
    <t>1.1.2 - Comunicados gerais via jornais ( Página)</t>
  </si>
  <si>
    <t>Página</t>
  </si>
  <si>
    <t>Jornal do Médio Vale/A Cidade/SAMAE</t>
  </si>
  <si>
    <t>1.1.3 - Outdor por semana</t>
  </si>
  <si>
    <t>Agência Ultra - Timbó/SAMAE</t>
  </si>
  <si>
    <t>1.1.4 - Panfletos, cartilhas e informes impressos A4 colorido (fl)</t>
  </si>
  <si>
    <t>folha</t>
  </si>
  <si>
    <t>1.2 - Propaganda e Marketing</t>
  </si>
  <si>
    <t>1.2.1 - Agência de Propaganda - criação e gerenciamento dde mídia (30% do item 1.1)</t>
  </si>
  <si>
    <t>GB</t>
  </si>
  <si>
    <t>1.2.2 - Pesquisa de satisfação do usuário qualitativa (entrevista)</t>
  </si>
  <si>
    <t>entrevista</t>
  </si>
  <si>
    <t>1.2.3 - Pesquisa de satisfação do usuário quantitativa (entrevista)</t>
  </si>
  <si>
    <t>1.2.4 - Produtora para Filmagem/Edição de video (mês)</t>
  </si>
  <si>
    <t>1.2.5 - Produtora de Fotos e Imagens (mês)</t>
  </si>
  <si>
    <t>1.3 - Centro de Controle Operacional - CCO Água</t>
  </si>
  <si>
    <t>1.3.1 - Software para controle de sistema de água - locação mensal</t>
  </si>
  <si>
    <t>Linedata / MKS SAMAE</t>
  </si>
  <si>
    <t>1.3.2 - Equipamentos para controle de pressão de rede - locação mensal</t>
  </si>
  <si>
    <t>1.3.3 - Equipamentos para medição de vazão de redes e manciais - locação mensal</t>
  </si>
  <si>
    <t>1.3.4 - Equipamentos para controle de nivel de reservatórios - locação mensal</t>
  </si>
  <si>
    <t>1.3.5 - Equipamentos para controle de parametros fisico-quimicos da água na rede - locação mensal</t>
  </si>
  <si>
    <t>1.3.6 - Aquisição de hardware da CCO Água 1º Parte</t>
  </si>
  <si>
    <t>1.3.6 - Aquisição de hardware da CCO Água 2º Parte</t>
  </si>
  <si>
    <t>1.4 - Centro de Controle Operacional - CCO Esgoto</t>
  </si>
  <si>
    <t>1.4.1 - Software para controle de sistema de esgoto - locação mensal</t>
  </si>
  <si>
    <t>1.4.2 - Equipamentos para controle de pressão de rede e elevatória de esgoto- locação mensal</t>
  </si>
  <si>
    <t>1.4.3 - Equipamentos para medição de vazão de redes de esgoto- locação mensal</t>
  </si>
  <si>
    <t>1.4.4 - Equipamentos para controle de nivel de reservatórios pulmão das elevatórias - locação mensal</t>
  </si>
  <si>
    <t>1.3.6 - Aquisição de hardware da CCO Esgoto 1º Parte</t>
  </si>
  <si>
    <t>1.3.6 - Aquisição de hardware da CCO Esgoto 2º Parte</t>
  </si>
  <si>
    <t>1.5 -Sistema de Gestâo e Gerenciamento Ambiental</t>
  </si>
  <si>
    <t>1.5.1 - Software para gerenciamento e  controle por imagem de área urbana e rural com certificação ISO 14.001- locação mensal</t>
  </si>
  <si>
    <t>1.5.2 - Levantamento de campo para identificação das matas ciliares (ha)</t>
  </si>
  <si>
    <t>ha</t>
  </si>
  <si>
    <t>Cotação Mercado</t>
  </si>
  <si>
    <t>1.5.3 - Levantamento de campo para identificação  sistemas individuais de esgoto urbano (unid)</t>
  </si>
  <si>
    <t>unid</t>
  </si>
  <si>
    <t>SAMAE Preço de Vistoria</t>
  </si>
  <si>
    <t>1.5.4 - Levantamento de campo para identificação  sistemas individuais de esgoto rural(unid)</t>
  </si>
  <si>
    <t>SAMAE Preço dde Vistoria</t>
  </si>
  <si>
    <t>1.5.5 - Programa de recuperação e preservação de matas ciliares urbanas (ha)</t>
  </si>
  <si>
    <t>1.5.6 - Campanha ambiental  uso racional da água escolas de 1 grau (ano)</t>
  </si>
  <si>
    <t>ano</t>
  </si>
  <si>
    <t>1.5.7 - Campanha ambiental lançamento de esgoto e tratamento de esgoto escolas de 1 grau (ano)</t>
  </si>
  <si>
    <t>1.5.8 - Programa Caça Fraude em ligação de água</t>
  </si>
  <si>
    <t>SAMAE</t>
  </si>
  <si>
    <t>1.5.9 - Programa Lançamento de Esgoto clandestimo</t>
  </si>
  <si>
    <t>1.5.9 - Sistema de monitoramento por video das áreas de mata ciliar urbana</t>
  </si>
  <si>
    <t>1.6 Identificação e Controle de Mananciais</t>
  </si>
  <si>
    <t>1.6.1 - Análise de qualidade de água bruta nos pontos acima da captação do Rio Benedito e Rio dos Cedros</t>
  </si>
  <si>
    <t>Laboratório Freitag</t>
  </si>
  <si>
    <t>1.6.2 - Análise complementar de qualidade de água bruta cianobactérias acima da captação</t>
  </si>
  <si>
    <t>Casan</t>
  </si>
  <si>
    <t>Custo Unitário In</t>
  </si>
  <si>
    <t>Diferença</t>
  </si>
  <si>
    <t>2 - Tarifas para fornecimento de água, coleta, afastamento e tratamento e esgoto através de ligações temporárias</t>
  </si>
  <si>
    <t>2.1</t>
  </si>
  <si>
    <t>Fornecimento de água, coleta, afastamento e tratamento e esgoto por ligação em caráter temporário para festas, circos e eventos.</t>
  </si>
  <si>
    <t>TABELA 2 - TARIFAS PARA FORNECIMENTO DE ÁGUA, COLETA, AFASTAMENTO E TRATAMENTO E ESGOTO - AVULSO</t>
  </si>
  <si>
    <t>Preço Unitário</t>
  </si>
  <si>
    <t>Fornecimento temporário de água e tratamento de esgoto domiciliar avulso para usuários cadastrados.</t>
  </si>
  <si>
    <t>1.1</t>
  </si>
  <si>
    <t>Fornecimento de água em caminhão 6m³ até 15 km - Categoria Residencial</t>
  </si>
  <si>
    <t>1.2</t>
  </si>
  <si>
    <t>Fornecimento de água em caminhão 6m³ até 15 km - Categoria Residencial Social</t>
  </si>
  <si>
    <t>1.3</t>
  </si>
  <si>
    <t>Fornecimento de água em caminhão 6m³ até 15 km - Categoria Mista</t>
  </si>
  <si>
    <t>1.4</t>
  </si>
  <si>
    <t>Fornecimento de água em caminhão 6m³ até 15 km - Categoria Comercial / Industrial</t>
  </si>
  <si>
    <t>1.5</t>
  </si>
  <si>
    <t>Fornecimento de água em caminhão 6m³ até 15 km - Categoria Pública</t>
  </si>
  <si>
    <t>1.6</t>
  </si>
  <si>
    <t>Fornecimento de água tratada em caminhão 6m³ até 15 km - para abastecimento de piscina</t>
  </si>
  <si>
    <t>1.7</t>
  </si>
  <si>
    <t>Fornecimento de água de reuso para irrigação em caminhão 6 m³ até 15 km</t>
  </si>
  <si>
    <t>1.8</t>
  </si>
  <si>
    <t>Fornecimento de água de reuso para irrigação em veículo do interessado</t>
  </si>
  <si>
    <t>1.9</t>
  </si>
  <si>
    <t>Km rodado adicional acima de 15 Km</t>
  </si>
  <si>
    <t>R$/Km</t>
  </si>
  <si>
    <t>1.10</t>
  </si>
  <si>
    <t>Fornecimento de água tratada em veículo do interessado</t>
  </si>
  <si>
    <t>1.11</t>
  </si>
  <si>
    <t>Despejo avulso de efluente domiciliar em estação de tratamento de esgoto</t>
  </si>
  <si>
    <t>Fornecimento temporário de água e tratamento de esgoto domiciliar avulso para usuários não cadastrados.</t>
  </si>
  <si>
    <t>Fornecimento de água tratada em caminhão 6m³ até 15 km</t>
  </si>
  <si>
    <t>2.2</t>
  </si>
  <si>
    <t>2.3</t>
  </si>
  <si>
    <t>2.4</t>
  </si>
  <si>
    <t>2.5</t>
  </si>
  <si>
    <t>2.6</t>
  </si>
  <si>
    <t>TABELA 3 - TARIFAS DE SERVIÇOS DE REDES E AMPLIAÇÃO DOS SISTEMAS DE ABASTECIMENTO DE ÁGUA E/OU COLETA, AFASTAMENTO E TRATAMENTO DE ESGOTO</t>
  </si>
  <si>
    <t>Tabela 3 - Tarifas de serviços de redes e ampliação dos sistemas de abastecimento de água e/ou coleta, afastamento e tratamento de esgoto</t>
  </si>
  <si>
    <t xml:space="preserve"> Serviços de redes</t>
  </si>
  <si>
    <t xml:space="preserve"> </t>
  </si>
  <si>
    <t xml:space="preserve">Extensão de rede de água DN 50 mm </t>
  </si>
  <si>
    <t>R$/m</t>
  </si>
  <si>
    <t xml:space="preserve">Extensão de rede de água DN 75 mm </t>
  </si>
  <si>
    <t xml:space="preserve">Extensão de rede de água DN 100 mm </t>
  </si>
  <si>
    <t xml:space="preserve">Extensão de rede de água DN 150 mm </t>
  </si>
  <si>
    <t xml:space="preserve">Extensão de rede de água DN 200 mm </t>
  </si>
  <si>
    <t xml:space="preserve">Extensão de rede de água DN 250 mm </t>
  </si>
  <si>
    <t xml:space="preserve">Extensão de rede de esgoto DN 150 mm </t>
  </si>
  <si>
    <t xml:space="preserve">Extensão de rede de esgoto DN 200 mm </t>
  </si>
  <si>
    <t>Extensão de rede de esgoto DN 250 mm</t>
  </si>
  <si>
    <t>1.12</t>
  </si>
  <si>
    <t>Extensão de rede de esgoto DN 300 mm</t>
  </si>
  <si>
    <t xml:space="preserve"> Execução de Poços de Visita</t>
  </si>
  <si>
    <t xml:space="preserve"> Em alvenaria com profundidade menor ou igual a 1,5 m </t>
  </si>
  <si>
    <t>unidade</t>
  </si>
  <si>
    <t xml:space="preserve"> Acréscimo de alvenaria com profundidade maior que 1,5 m </t>
  </si>
  <si>
    <t>Instalação de Poço de visita em PEAD</t>
  </si>
  <si>
    <t xml:space="preserve"> Pavimentação</t>
  </si>
  <si>
    <t>3.1</t>
  </si>
  <si>
    <t xml:space="preserve">Reposição do pavimento de rua com massa asfáltica usinada a quente (CBUQ), incluindo base de brita graduada E=20 cm com meio fio e capa asfáltica de 4cm. </t>
  </si>
  <si>
    <t>R$/m²</t>
  </si>
  <si>
    <t>3.2</t>
  </si>
  <si>
    <t xml:space="preserve">Reposição do pavimento com PAVER (20x10x8), incluindo base de pedrisco E=15 Cm e com meio fio </t>
  </si>
  <si>
    <t>3.3</t>
  </si>
  <si>
    <t xml:space="preserve">Reposição do pavimento de rua com Paralelepípedo de concreto </t>
  </si>
  <si>
    <t xml:space="preserve"> Ligação de água</t>
  </si>
  <si>
    <t>4.1</t>
  </si>
  <si>
    <t>4.2</t>
  </si>
  <si>
    <t>4.3</t>
  </si>
  <si>
    <t>4.4</t>
  </si>
  <si>
    <t>4.5</t>
  </si>
  <si>
    <t>5.1</t>
  </si>
  <si>
    <t>5.2</t>
  </si>
  <si>
    <t>5.3</t>
  </si>
  <si>
    <t>5.4</t>
  </si>
  <si>
    <t>5.5</t>
  </si>
  <si>
    <t>5.6</t>
  </si>
  <si>
    <t>5.7</t>
  </si>
  <si>
    <t>6.1</t>
  </si>
  <si>
    <t>6.2</t>
  </si>
  <si>
    <t>6.3</t>
  </si>
  <si>
    <t>7.1</t>
  </si>
  <si>
    <t>7.2</t>
  </si>
  <si>
    <t>7.3</t>
  </si>
  <si>
    <t>7.4</t>
  </si>
  <si>
    <t xml:space="preserve"> Fornecimento de hidrômetro e serviços de hidrometria</t>
  </si>
  <si>
    <t>8.1</t>
  </si>
  <si>
    <t>8.2</t>
  </si>
  <si>
    <t>8.3</t>
  </si>
  <si>
    <t>8.4</t>
  </si>
  <si>
    <t xml:space="preserve">Hidrômetro Ø 1" Multijato - Classe "B" - Vazão Nominal = 3,5 m³/h - Completo com conexões (tubetes) </t>
  </si>
  <si>
    <t>8.5</t>
  </si>
  <si>
    <t xml:space="preserve">Hidrômetro Ø 1" Multijato - Classe "B" - Vazão Nominal = 5,0 m³/h - Completo com conexões (tubetes) </t>
  </si>
  <si>
    <t>8.6</t>
  </si>
  <si>
    <t xml:space="preserve">Hidrômetro Ø 1.1/2" Multijato - Classe "B" - Vazão Nominal = 10,0 m³/h - Completo com conexões (tubetes) </t>
  </si>
  <si>
    <t>8.7</t>
  </si>
  <si>
    <t xml:space="preserve">Hidrômetro Ø 2" Woltman - Classe "B" - Vazão Nominal = 15,0 m³/h - Completo com conexões (flanges + parafusos) </t>
  </si>
  <si>
    <t>8.8</t>
  </si>
  <si>
    <t xml:space="preserve">Hidrômetro Ø 3" Woltman - Classe "B" - Vazão Nominal = 40,0 m³/h - Completo com conexões (flanges + parafusos) </t>
  </si>
  <si>
    <t>8.9</t>
  </si>
  <si>
    <t>8.10</t>
  </si>
  <si>
    <t>8.11</t>
  </si>
  <si>
    <t>8.12</t>
  </si>
  <si>
    <t>8.13</t>
  </si>
  <si>
    <t>8.14</t>
  </si>
  <si>
    <t>8.15</t>
  </si>
  <si>
    <t>8.16</t>
  </si>
  <si>
    <t xml:space="preserve"> Fornecimento e instalação de Lacre Padrão com arame </t>
  </si>
  <si>
    <t>8.17</t>
  </si>
  <si>
    <t xml:space="preserve"> Fornecimento e instalação de Lacre Padrão em PVC </t>
  </si>
  <si>
    <t>8.18</t>
  </si>
  <si>
    <t xml:space="preserve"> Mão de obra para concerto de hidrômetro, cavalete e caixa padrão </t>
  </si>
  <si>
    <t xml:space="preserve"> Corte e reestabelecimento de fornecimento de água</t>
  </si>
  <si>
    <t>9.1</t>
  </si>
  <si>
    <t xml:space="preserve"> Corte por inadimplência no cavalete ou caixa padrão </t>
  </si>
  <si>
    <t>9.2</t>
  </si>
  <si>
    <t xml:space="preserve"> Corte por inadimplência na calçada </t>
  </si>
  <si>
    <t>9.3</t>
  </si>
  <si>
    <t xml:space="preserve"> Corte por solicitação do usuário no cavalete ou caixa padrão sem retirada de hidrômetro</t>
  </si>
  <si>
    <t>9.4</t>
  </si>
  <si>
    <t xml:space="preserve"> Corte por solicitação do usuário no cavalete ou caixa padrão com retirada de hidrômetro</t>
  </si>
  <si>
    <t>9.5</t>
  </si>
  <si>
    <t xml:space="preserve"> Reestabelecimento de fornecimento no cavalete ou caixa padrão sem retirada de hidrômetro</t>
  </si>
  <si>
    <t>9.6</t>
  </si>
  <si>
    <t xml:space="preserve"> Reestabelecimento de fornecimento no cavalete ou caixa padrão com retirada de hidrômetro</t>
  </si>
  <si>
    <t>9.7</t>
  </si>
  <si>
    <t xml:space="preserve"> Reestabelecimento de fornecimento na calçada </t>
  </si>
  <si>
    <t xml:space="preserve"> Desobstrução de esgoto e limpeza de fossa séptica</t>
  </si>
  <si>
    <t>10.1</t>
  </si>
  <si>
    <t xml:space="preserve"> Desobstrução de ramal de esgoto com varão de aço (deslocamento até 15 km)</t>
  </si>
  <si>
    <t>10.2</t>
  </si>
  <si>
    <t xml:space="preserve"> Desobstrução de ramal de esgoto com caminhão hidro jato (deslocamento até 15 Km)</t>
  </si>
  <si>
    <t>10.3</t>
  </si>
  <si>
    <t xml:space="preserve"> Limpeza ou esgotamento de fossa até 6 m³ (deslocamento até 15 km)</t>
  </si>
  <si>
    <t>10.4</t>
  </si>
  <si>
    <t xml:space="preserve"> Km rodado adicional acima de 15 Km de caminhão de desobstrução de esgoto, caminhão hidro jato, caminhão auto vácuo ou caminhão limpa fossa.</t>
  </si>
  <si>
    <t>R$/km</t>
  </si>
  <si>
    <t>TABELA 4 - TARIFAS DE SERVIÇOS TÉCNICOS E DE EXPEDIENTE</t>
  </si>
  <si>
    <t>Serviços técnicos e de Expediente</t>
  </si>
  <si>
    <t xml:space="preserve"> Certidões para fins de atestado de regularidade de ligações de água e esgoto</t>
  </si>
  <si>
    <t xml:space="preserve"> Certidão para fins de habite-se</t>
  </si>
  <si>
    <t>por unidade habitacional</t>
  </si>
  <si>
    <t xml:space="preserve"> Certidões de diretrizes de abastecimento de água</t>
  </si>
  <si>
    <t>Certidões de diretrizes de abastecimento de esgoto</t>
  </si>
  <si>
    <t xml:space="preserve"> Outras certidões </t>
  </si>
  <si>
    <t xml:space="preserve"> 2ª via do recibo impresso / Fatura</t>
  </si>
  <si>
    <t xml:space="preserve"> Fotocópias </t>
  </si>
  <si>
    <t xml:space="preserve"> Análise de projeto-Empreendimentos até 10 unidades habitacionais </t>
  </si>
  <si>
    <t xml:space="preserve"> Análise de projeto-Empreendimentos até 11 a 50 unidades habitacionais </t>
  </si>
  <si>
    <t xml:space="preserve"> Análise de projeto-Empreendimentos até 51 a 100 unidades habitacionais </t>
  </si>
  <si>
    <t xml:space="preserve"> Análise de projeto-Empreendimentos 101 até 200 unidades habitacionais </t>
  </si>
  <si>
    <t xml:space="preserve"> Análise de projeto-Empreendimentos 201 até 300 unidades habitacionais </t>
  </si>
  <si>
    <t>1.13</t>
  </si>
  <si>
    <t xml:space="preserve"> Análise de projeto-Empreendimentos 301 até 400 unidades habitacionais </t>
  </si>
  <si>
    <t>1.14</t>
  </si>
  <si>
    <t xml:space="preserve"> Análise de projeto-Empreendimentos 401 até 500 unidades habitacionais </t>
  </si>
  <si>
    <t>1.15</t>
  </si>
  <si>
    <t xml:space="preserve"> Análise de projeto-Empreendimentos 501 até 600 unidades habitacionais </t>
  </si>
  <si>
    <t>1.16</t>
  </si>
  <si>
    <t xml:space="preserve"> Análise de projeto -Empreendimentos 601 até 700 unidades habitacionais </t>
  </si>
  <si>
    <t>1.17</t>
  </si>
  <si>
    <t xml:space="preserve"> Análise de projeto -Empreendimentos 700 até 800 unidades habitacionais </t>
  </si>
  <si>
    <t>1.18</t>
  </si>
  <si>
    <t xml:space="preserve"> Análise e Aprovação de projeto -Empreendimentos acima 801 unidades habitacionais </t>
  </si>
  <si>
    <t>1.19</t>
  </si>
  <si>
    <t xml:space="preserve"> Editais</t>
  </si>
  <si>
    <t>Por folha</t>
  </si>
  <si>
    <t>1.20</t>
  </si>
  <si>
    <t xml:space="preserve"> Cópias de Projetos e Plantas </t>
  </si>
  <si>
    <t>1.21</t>
  </si>
  <si>
    <t>Análise de água - Físico-Químico</t>
  </si>
  <si>
    <t>1.22</t>
  </si>
  <si>
    <t>Análise de água - Bacteriológico</t>
  </si>
  <si>
    <t>1.23</t>
  </si>
  <si>
    <t>Análise de esgoto - Físico-Químico</t>
  </si>
  <si>
    <t xml:space="preserve"> Serviços de vistorias técnicas e fiscalizações de obras</t>
  </si>
  <si>
    <t>Vistorias em reservatórios e estações elevatórias</t>
  </si>
  <si>
    <t>Vistoria técnica para recebimento e aceitação poços profundos com medição de vazão</t>
  </si>
  <si>
    <t>Vistoria técnica em imóvel para levantamento de condições de abastecimento de água por solicitação do usuário</t>
  </si>
  <si>
    <t>Vistoria técnica em imóvel para levantamento de condições de abastecimento de água e/ou de esgotamento sanitário com sondagem para detecção de vazamento por solicitação do usuário</t>
  </si>
  <si>
    <t>Vistoria técnica em imóvel para levantamento de condições de esgotamento sanitário por solicitação do usuário</t>
  </si>
  <si>
    <t>Vistoria técnica em imóvel para levantamento das condições de aceitação de instalações hidrossanitárias internas e externas para reformas e construções novas.</t>
  </si>
  <si>
    <t>2.7</t>
  </si>
  <si>
    <t xml:space="preserve"> Vistoria técnica em imóvel para levantamento de condições de abastecimento de água com aferição de hidrômetro por solicitação do usuário</t>
  </si>
  <si>
    <t>2.8</t>
  </si>
  <si>
    <t xml:space="preserve"> Fiscalização e acompanhamento de perfuração de poços profundos de abastecimento de água</t>
  </si>
  <si>
    <t>2.9</t>
  </si>
  <si>
    <t xml:space="preserve"> Fiscalização e acompanhamento de execução de redes de água e esgoto para loteamentos e empreendimentos imobiliários (calculado sobre a área total do empreendimento)</t>
  </si>
  <si>
    <t>2.10</t>
  </si>
  <si>
    <t xml:space="preserve"> Visita improdutiva quando não for possível a execução de serviços </t>
  </si>
  <si>
    <t>1.6.3 - Cadastramento de malha hidrográfica do municipio</t>
  </si>
  <si>
    <t xml:space="preserve">1.6.3 - Cadastramento de malha hidrográfica do municipio </t>
  </si>
  <si>
    <t>Distribuição do Item 1.5.5</t>
  </si>
  <si>
    <t>Social</t>
  </si>
  <si>
    <t>Data do Contrato</t>
  </si>
  <si>
    <t>Usuário</t>
  </si>
  <si>
    <t>Total Ligação</t>
  </si>
  <si>
    <t>Adequação 1/2 - 3/4</t>
  </si>
  <si>
    <t>OPERADOR</t>
  </si>
  <si>
    <t>Receita Tarifa</t>
  </si>
  <si>
    <t>Receita usuário</t>
  </si>
  <si>
    <t>Ramal</t>
  </si>
  <si>
    <t>Distr</t>
  </si>
  <si>
    <t>Custo Ponderado da ligação de esgoto</t>
  </si>
  <si>
    <t>Ramal sob via sem Asf c/ rep Passeio</t>
  </si>
  <si>
    <t>Ramal sob via Asf c/ rep Passeio</t>
  </si>
  <si>
    <t>Ramal sob via Bloco c/ rep Passeio</t>
  </si>
  <si>
    <t>Ramal sob via Paralelo c/ rep Passeio</t>
  </si>
  <si>
    <t>Ligação de água executada sob via sem pavimentação (40%), Asfalto com reposição de pavimento (20%), Bloco de concreto com reposição de pavimento (20%) Paralelepípedo com reposição de pavimento (20%) - incluso o hidrômetro - TUBO DE PEAD - DN 25 mm (3/4") e fornecimento de caixa de proteção de hidrometro padrão sem instalação em totem ou parede.</t>
  </si>
  <si>
    <t>Composição do custo médio ponderado da ligação de esgoto com caixa padrão</t>
  </si>
  <si>
    <t xml:space="preserve">Residencial Social  </t>
  </si>
  <si>
    <t xml:space="preserve">Ligação nova de água Ø¾” </t>
  </si>
  <si>
    <t>4.2.1</t>
  </si>
  <si>
    <t>4.2.2</t>
  </si>
  <si>
    <t>4.2.3</t>
  </si>
  <si>
    <t>4.2.4</t>
  </si>
  <si>
    <t>4.2.5</t>
  </si>
  <si>
    <t>4.2.6</t>
  </si>
  <si>
    <t>4.2.7</t>
  </si>
  <si>
    <t>4.2.8</t>
  </si>
  <si>
    <t xml:space="preserve">Ligação nova de água Ø1” </t>
  </si>
  <si>
    <t>4.3.1</t>
  </si>
  <si>
    <t>4.3.2</t>
  </si>
  <si>
    <t>4.3.3</t>
  </si>
  <si>
    <t>4.3.4</t>
  </si>
  <si>
    <t>4.3.5</t>
  </si>
  <si>
    <t>4.3.6</t>
  </si>
  <si>
    <t>4.3.7</t>
  </si>
  <si>
    <t>4.3.8</t>
  </si>
  <si>
    <t>Ligação nova de água Ø1 1/2"</t>
  </si>
  <si>
    <t>4.4.1</t>
  </si>
  <si>
    <t>4.4.2</t>
  </si>
  <si>
    <t>4.4.3</t>
  </si>
  <si>
    <t>4.4.4</t>
  </si>
  <si>
    <t>4.4.5</t>
  </si>
  <si>
    <t>4.4.6</t>
  </si>
  <si>
    <t>4.4.7</t>
  </si>
  <si>
    <t>4.4.8</t>
  </si>
  <si>
    <t>Ligação nova de água Ø2"</t>
  </si>
  <si>
    <t>4.5.1</t>
  </si>
  <si>
    <t>4.5.2</t>
  </si>
  <si>
    <t>4.5.3</t>
  </si>
  <si>
    <t>4.5.4</t>
  </si>
  <si>
    <t>4.5.5</t>
  </si>
  <si>
    <t>4.5.6</t>
  </si>
  <si>
    <t>4.5.7</t>
  </si>
  <si>
    <t>4.5.8</t>
  </si>
  <si>
    <t>Primeira ligação de água – Novos Usuários da Categoria Residencial Social¹ (¹) A primeira ligação de água para novos usuários da categoria Residencial Social, compreendendo a implantação do ramal predial, a reposição de pavimento e o fornecimento da caixa padrão de hidrômetro (CPH) e do hidrômetro, é de responsabilidade da Concessionário, sem qualquer custo adicional ao usuário.</t>
  </si>
  <si>
    <t>gratuito</t>
  </si>
  <si>
    <r>
      <t xml:space="preserve"> </t>
    </r>
    <r>
      <rPr>
        <b/>
        <sz val="8"/>
        <color rgb="FF000000"/>
        <rFont val="Segoe UI"/>
        <family val="2"/>
      </rPr>
      <t>Caixa de proteção de hidrômetro</t>
    </r>
  </si>
  <si>
    <t xml:space="preserve">Fornecimento de Caixa de proteção de hidrômetro Ø ¾” e 1" Padrão de Parede </t>
  </si>
  <si>
    <t xml:space="preserve">Fornecimento de Caixa de proteção de hidrômetro Ø ¾” e 1" Padrão de Piso </t>
  </si>
  <si>
    <t>Fornecimento e instalação de Caixa de proteção de hidrômetro Ø ¾” e 1" Padrão no piso.</t>
  </si>
  <si>
    <t>Fornecimento e instalação de Caixa de proteção de hidrômetro Ø ¾” e 1" Padrão em parede existente.</t>
  </si>
  <si>
    <t>Fornecimento e instalação de Caixa de proteção de hidrômetro Ø ¾” e 1" Padrão em totem de alvenaria</t>
  </si>
  <si>
    <t xml:space="preserve"> Fornecimento e instalação de Caixa de proteção para dois hidrômetros de Ø¾” e 1" Padrão em totem.</t>
  </si>
  <si>
    <t xml:space="preserve"> Fornecimento e instalação de Caixa de proteção para dois hidrômetros de Ø ¾” e 1" Padrão em parede.</t>
  </si>
  <si>
    <r>
      <t xml:space="preserve"> </t>
    </r>
    <r>
      <rPr>
        <b/>
        <sz val="8"/>
        <color rgb="FF000000"/>
        <rFont val="Segoe UI"/>
        <family val="2"/>
      </rPr>
      <t>Ligação de esgoto</t>
    </r>
  </si>
  <si>
    <t>Primeira ligação de esgoto² - Para usuários da Categoria Residencial Social e para os usuários já conectados ao sistema de abastecimento de água na data da celebração do Contrato. (²) A primeira ligação de esgoto, especificamente para aos usuários que, na data de celebração do CONTRATO, estejam conectados ao sistema de abastecimento de água e para novos usuários da categoria Residencial Social, terão os custos das ligações de esgoto custeados integralmente pela CONCESSIONÁRIA quando da implantação do sistema de esgotamento sanitário, incluindo os serviços de implantação do ramal predial, reposição de pavimento e fornecimento de TIL de inspeção com tampa, instalado na calçada, sem custo adicional para o usuário.</t>
  </si>
  <si>
    <t>gratuíto</t>
  </si>
  <si>
    <t>Ligação de esgoto DN 100 mm - Ligação de esgoto executada sob via de pavimentada, com caixa de inspeção de plástico, executada em TUBO DE PVC ocre para esgoto com junta elástica - DN 100 mm até 6 m</t>
  </si>
  <si>
    <t>Ligação de esgoto executada sob via sem pavimentação, com caixa de inspeção de plástico, executada em TUBO DE PVC ocre para esgoto com junta elástica - DN 100 mm até 6 m</t>
  </si>
  <si>
    <t>6.4</t>
  </si>
  <si>
    <t>6.5</t>
  </si>
  <si>
    <t xml:space="preserve">Fornecimento e instalação de TIL de inspeção de esgoto, com tampa de concreto e tampão de inspeção 150 mm, altura ddo plomgamoto de 0,50 m, incluindo reposição de calçada </t>
  </si>
  <si>
    <t>6.6</t>
  </si>
  <si>
    <t xml:space="preserve">Fornecimento e instalação de Caixa de inspeção de esgoto padrão de plástico de 0,35 x 0,45 x 0,50, com tampa de concreto e tampão de inspeção 150 mm, incluindo reposição de calçada </t>
  </si>
  <si>
    <t>6.7</t>
  </si>
  <si>
    <t xml:space="preserve">Fornecimento e instalação de Caixa de inspeção de esgoto padrão de concretro de 0,45 x 0,65 m, altura de  0,60 a 0,70, com tampa de concreto e tampão de inspeção 150 mm, incluindo reposição de calçada </t>
  </si>
  <si>
    <t>6.8</t>
  </si>
  <si>
    <t xml:space="preserve">Fornecimento e instalação de Caixa de inspeção de esgoto padrão de concretro de 0,65 x 0,65 m, altura de  0,8 a 1,20 m, com tampa de concreto e tampão de inspeção 150 mm, incluindo reposição de calçada </t>
  </si>
  <si>
    <t xml:space="preserve"> Instalação, troca ou relocação de ramal predial</t>
  </si>
  <si>
    <t>7.5</t>
  </si>
  <si>
    <t xml:space="preserve"> Fornecimento de hidrômetro Ø¾” Qn 0,75 m³/h - Classe B  - Completo com conexões (tubetes) </t>
  </si>
  <si>
    <t xml:space="preserve"> Fornecimento de hidrômetro Ø¾” Qn 1,5 m³/h - Classe C  - Completo com conexões (tubetes) </t>
  </si>
  <si>
    <t xml:space="preserve"> Fornecimento de hidrômetro Ø¾” Qn 2,5 m³/h - Classe C  - Completo com conexões (tubetes) </t>
  </si>
  <si>
    <t xml:space="preserve"> Instalação de cavalete Ø¾”  Tubo galvanizado</t>
  </si>
  <si>
    <t xml:space="preserve"> Instalação de cavalete Ø1”  Tubo galvanizado</t>
  </si>
  <si>
    <t xml:space="preserve"> Instalação de cavalete Ø1½”  Tubo galvanizado</t>
  </si>
  <si>
    <t xml:space="preserve"> Instalação de cavalete Ø2”  Tubo Galvanizado</t>
  </si>
  <si>
    <t xml:space="preserve"> Aferição de hidrômetro Ø¾” </t>
  </si>
  <si>
    <t xml:space="preserve"> Instalação de hidrômetro  Ø¾” </t>
  </si>
  <si>
    <t xml:space="preserve"> Retirada de hidrômetro Ø¾” </t>
  </si>
  <si>
    <t>Ligação nova de água Ø¾” executada sob via sem pavimentação - TUBO DE PEAD DN  25 mm -sem reposição de calçada</t>
  </si>
  <si>
    <t>Ligação nova de água Ø¾” executada sob via sem pavimentação - TUBO DE PEAD DN  25 mm - com reposição de calçada</t>
  </si>
  <si>
    <t>Ligação nova de água Ø¾” executada sob via de pavimentação asfaltica - TUBO DE PEAD DN  25 mm - sem reposição de calçada</t>
  </si>
  <si>
    <t>Ligação nova de água Ø¾” executada sob via de pavimentação asfaltica - TUBO DE PEAD DN  25 mm - com reposição de calçada</t>
  </si>
  <si>
    <t>Ligação nova de água Ø¾” executada sob via de pavimentação paralelepípedo - TUBO DE PEAD DN  25 mm - sem reposição de calçada</t>
  </si>
  <si>
    <t>Ligação nova de água Ø¾” executada sob via de pavimentação bloco intertravado de concreto - TUBO DE PEAD DN  25 mm - sem reposição de calçada</t>
  </si>
  <si>
    <t>Ligação nova de água Ø¾” executada sob via de pavimentação de bloco intertravaddo dde concreto - TUBO DE PEAD DN  25 mm - com reposição de calçada</t>
  </si>
  <si>
    <t>Ligação nova de água Ø1” executada sob via sem pavimentação - TUBO DE PEAD DN  32 mm - incluinddo hidrômetro sem reposição de calçada</t>
  </si>
  <si>
    <t>Ligação de água Ø1” executada sob via sem pavimentação - TUBO DE PEAD DN  32mm -com reposição de calçada</t>
  </si>
  <si>
    <t>Ligação de água Ø1” executada sob via de pavimentação asfaltica - TUBO DE PEAD DN  32 mm - sem reposição de calçada</t>
  </si>
  <si>
    <t>Ligação de água Ø1” executada sob via de pavimentação asfaltica - TUBO DE PEAD DN  32 mm -  com reposição de calçada</t>
  </si>
  <si>
    <t>Ligação de água Ø1” executada sob via de pavimentação paralelepípedo - TUBO DE PEAD DN 32 mm - isem reposição de calçada</t>
  </si>
  <si>
    <t>Ligação nova de água Ø1” executada sob via de pavimentação bloco intertravado de concreto - TUBO DE PEAD DN  32 mm - sem reposição de calçada</t>
  </si>
  <si>
    <t>Ligação nova de água Ø1” executada sob via de pavimentação de bloco intertravaddo dde concreto - TUBO DE PEAD DN  32 mm - com reposição de calçada</t>
  </si>
  <si>
    <t>Ligação nova de água Ø1 1/2” executada sob via sem pavimentação - TUBO DE PEAD DN  40 mm - incluinddo hidrômetro sem reposição de calçada</t>
  </si>
  <si>
    <t>Ligação de água Ø1 1/2” executada sob via sem pavimentação - TUBO DE PEAD DN  40 mm -com reposição de calçada</t>
  </si>
  <si>
    <t>Ligação de água Ø1 1/2” executada sob via de pavimentação asfaltica - TUBO DE PEAD DN  40 mm - sem reposição de calçada</t>
  </si>
  <si>
    <t>Ligação de água Ø1 1/2” executada sob via de pavimentação asfaltica - TUBO DE PEAD DN  40 mm -  com reposição de calçada</t>
  </si>
  <si>
    <t>Ligação de água Ø1 1/2” executada sob via de pavimentação paralelepípedo - TUBO DE PEAD DN  40 mm - isem reposição de calçada</t>
  </si>
  <si>
    <t>Ligação nova de água Ø1 1/2” executada sob via de pavimentação bloco intertravado de concreto - TUBO DE PEAD DN  40 mm - sem reposição de calçada</t>
  </si>
  <si>
    <t>Ligação nova de água Ø1 1/2” executada sob via de pavimentação de bloco intertravaddo dde concreto - TUBO DE PEAD DN  40 mm - com reposição de calçada</t>
  </si>
  <si>
    <t>Ligação nova de água Ø2” executada sob via sem pavimentação - TUBO DE PEAD DN  60 mm - incluinddo hidrômetro sem reposição de calçada</t>
  </si>
  <si>
    <t>Ligação de água Ø 2” executada sob via sem pavimentação - TUBO DE PEAD DN  40 mm -com reposição de calçada</t>
  </si>
  <si>
    <t>Ligação de água Ø 2” executada sob via de pavimentação asfaltica - TUBO DE PEAD DN  40 mm - sem reposição de calçada</t>
  </si>
  <si>
    <t>Ligação de água Ø 2” executada sob via de pavimentação asfaltica - TUBO DE PEAD DN  40 mm -  com reposição de calçada</t>
  </si>
  <si>
    <t>Ligação de água Ø 2” executada sob via de pavimentação paralelepípedo - TUBO DE PEAD DN  40 mm - isem reposição de calçada</t>
  </si>
  <si>
    <t>Ligação nova de água Ø 2” executada sob via de pavimentação bloco intertravado de concreto - TUBO DE PEAD DN  40 mm - sem reposição de calçada</t>
  </si>
  <si>
    <t>Ligação nova de água Ø 2” executada sob via de pavimentação de bloco intertravaddo dde concreto - TUBO DE PEAD DN  40 mm - com reposição de calçada</t>
  </si>
  <si>
    <t>Instalação, troca ou relocação de novo ramal de esgoto executado sob via sem pavientação -TUBO DE PVC - DN 100 mm, sem reposição de calçada</t>
  </si>
  <si>
    <t>Instalação, troca ou relocação de novo ramal de esgoto executado sob via sem pavientação TUBO DE PVC - DN 100 mm, com reposição de calçada</t>
  </si>
  <si>
    <t>Instalação, troca ou relocação de ramal de esgoto executada sob via de pavimentação asfáltica TUBO DE PVC - DN 100 mm, com reposição de pavimento e  calçada</t>
  </si>
  <si>
    <t>Instalação, troca ou relocação de ramal de esgoto executado sob via de pavimentação de blocos de intertravados TUBO DE PVC - DN 100 mm, com reposição de pavimento e calçada</t>
  </si>
  <si>
    <t>Instalação, troca ou relocação de ramal de esgoto executado sob via de pavimentação de paralelepípedos TUBO DE PVC - DN 100 mm,com reposição de pavimento e calçada</t>
  </si>
  <si>
    <t xml:space="preserve">Residencial Social </t>
  </si>
  <si>
    <t>Caixa de Esgoto Padrão Concreto</t>
  </si>
  <si>
    <t>Ligação de esgoto executada sob via sem pavimenteção (40%), com pavimentação asfáltica (20%), com pavimentação de Bloco de concreto (20%), com pavimentação de Paralelepípido (20%) - caixa de esgoto padrão concreto - TUBO DE PVC - DN 100 mm</t>
  </si>
  <si>
    <t xml:space="preserve">Os custos dos sálarios dos funcionários foi baseado no salário médio do CAGED de Dezembro de 2025. </t>
  </si>
  <si>
    <t>Referëcia de preços de combustíveis ANP Dez 2025</t>
  </si>
  <si>
    <t>Referência de preços Lubrificantes, óleos e graxas cotação mercado Dez 2025</t>
  </si>
  <si>
    <t>Referência de preços para aquisição de veículos e caminhões cotação mercado Dez 2025</t>
  </si>
  <si>
    <t>Preços dos produtos químicos adquiridos pelo SAMAE em Dezembro de 2025</t>
  </si>
  <si>
    <t>Rede Coletora executada sobre via de pavimentação asfaltico e sem pavimentação, em vala de 1,00m a 1,40 m - TUBO DE PVC - DN 150 mm*</t>
  </si>
  <si>
    <t>Referënciade preços:ABICON-SC / SINAPI-SC /CASAN/APCES- Dez 2025</t>
  </si>
  <si>
    <t>Referënciade preços: SINAPI -SC - Dez 2025</t>
  </si>
  <si>
    <t>Preço referencial - Tabela SINAPI-SC - dez/2025 - Hidrometro unijáto DN 3/4" Qn 0,75 m³/h Qmax 1,5 m³/h ABNT- NBR 8194, com desconto para compras em lotes de 5000 unidades e pagamento a vista</t>
  </si>
  <si>
    <t>Tabela 4 - Tarifas de Serviços técnicos e de Expediente</t>
  </si>
  <si>
    <t>Tabela 2 - Tarifas para fornecimento de água, coleta, afastamento e tratamento e esgoto - Avulso</t>
  </si>
  <si>
    <t>Faturamento Total (Valor do Contrato)</t>
  </si>
  <si>
    <t>ICSD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</si>
</sst>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6" formatCode="&quot;R$&quot;\ #,##0;[Red]\-&quot;R$&quot;\ #,##0"/>
    <numFmt numFmtId="7" formatCode="&quot;R$&quot;\ #,##0.00;\-&quot;R$&quot;\ #,##0.00"/>
    <numFmt numFmtId="8" formatCode="&quot;R$&quot;\ #,##0.00;[Red]\-&quot;R$&quot;\ #,##0.00"/>
    <numFmt numFmtId="44" formatCode="_-&quot;R$&quot;\ * #,##0.00_-;\-&quot;R$&quot;\ * #,##0.00_-;_-&quot;R$&quot;\ * &quot;-&quot;??_-;_-@_-"/>
    <numFmt numFmtId="43" formatCode="_-* #,##0.00_-;\-* #,##0.00_-;_-* &quot;-&quot;??_-;_-@_-"/>
    <numFmt numFmtId="164" formatCode="&quot;R$&quot;\ #,##0.00"/>
    <numFmt numFmtId="165" formatCode="#,##0.0000"/>
    <numFmt numFmtId="166" formatCode="0.000%"/>
    <numFmt numFmtId="167" formatCode="0.0%"/>
    <numFmt numFmtId="168" formatCode="0.0000"/>
    <numFmt numFmtId="169" formatCode="0.000"/>
    <numFmt numFmtId="170" formatCode="#,##0_ ;[Red]\-#,##0\ "/>
    <numFmt numFmtId="171" formatCode="0.000000"/>
    <numFmt numFmtId="172" formatCode="&quot;R$&quot;\ #,##0.000000"/>
    <numFmt numFmtId="173" formatCode="0.0000%"/>
    <numFmt numFmtId="174" formatCode="0.0000000%"/>
    <numFmt numFmtId="175" formatCode="#,##0.000000"/>
    <numFmt numFmtId="176" formatCode="&quot;R$&quot;\ #,##0.00000000"/>
    <numFmt numFmtId="177" formatCode="_(* #,##0.00_);_(* \(#,##0.00\);_(* &quot;-&quot;??_);_(@_)"/>
    <numFmt numFmtId="178" formatCode="_-* #,##0_-;\-* #,##0_-;_-* &quot;-&quot;??_-;_-@_-"/>
    <numFmt numFmtId="179" formatCode="0.00000%"/>
    <numFmt numFmtId="180" formatCode="0.0000000000%"/>
    <numFmt numFmtId="181" formatCode="0.0"/>
    <numFmt numFmtId="182" formatCode="_-&quot;R$&quot;\ * #,##0.0000_-;\-&quot;R$&quot;\ * #,##0.0000_-;_-&quot;R$&quot;\ * &quot;-&quot;??_-;_-@_-"/>
    <numFmt numFmtId="183" formatCode="_(&quot;R$ &quot;* #,##0.00_);_(&quot;R$ &quot;* \(#,##0.00\);_(&quot;R$ &quot;* &quot;-&quot;??_);_(@_)"/>
    <numFmt numFmtId="184" formatCode="#,##0.00000"/>
    <numFmt numFmtId="185" formatCode="#,##0.000"/>
    <numFmt numFmtId="186" formatCode="_-&quot;R$&quot;\ * #,##0.000000_-;\-&quot;R$&quot;\ * #,##0.000000_-;_-&quot;R$&quot;\ * &quot;-&quot;??????_-;_-@_-"/>
    <numFmt numFmtId="187" formatCode="&quot;R$&quot;\ #,##0.0000;\-&quot;R$&quot;\ #,##0.0000"/>
  </numFmts>
  <fonts count="73" x14ac:knownFonts="1">
    <font>
      <sz val="11"/>
      <color theme="1"/>
      <name val="Calibri"/>
      <family val="2"/>
      <scheme val="minor"/>
    </font>
    <font>
      <sz val="11"/>
      <color theme="1"/>
      <name val="Calibri"/>
      <family val="2"/>
      <scheme val="minor"/>
    </font>
    <font>
      <sz val="8"/>
      <name val="Calibri"/>
      <family val="2"/>
      <scheme val="minor"/>
    </font>
    <font>
      <b/>
      <sz val="11"/>
      <color theme="1"/>
      <name val="Calibri"/>
      <family val="2"/>
      <scheme val="minor"/>
    </font>
    <font>
      <b/>
      <sz val="11"/>
      <color theme="0"/>
      <name val="Calibri"/>
      <family val="2"/>
      <scheme val="minor"/>
    </font>
    <font>
      <b/>
      <sz val="11"/>
      <name val="Calibri"/>
      <family val="2"/>
      <scheme val="minor"/>
    </font>
    <font>
      <b/>
      <sz val="11"/>
      <color rgb="FFFA7D00"/>
      <name val="Calibri"/>
      <family val="2"/>
      <scheme val="minor"/>
    </font>
    <font>
      <sz val="11"/>
      <color theme="1"/>
      <name val="Calibri"/>
      <family val="2"/>
    </font>
    <font>
      <b/>
      <sz val="11"/>
      <color rgb="FF000000"/>
      <name val="Calibri"/>
      <family val="2"/>
    </font>
    <font>
      <b/>
      <sz val="10"/>
      <color rgb="FF000000"/>
      <name val="Calibri"/>
      <family val="2"/>
    </font>
    <font>
      <b/>
      <sz val="12"/>
      <color rgb="FF000000"/>
      <name val="Calibri"/>
      <family val="2"/>
    </font>
    <font>
      <b/>
      <vertAlign val="superscript"/>
      <sz val="12"/>
      <color rgb="FF000000"/>
      <name val="Calibri"/>
      <family val="2"/>
    </font>
    <font>
      <b/>
      <sz val="11"/>
      <name val="Calibri"/>
      <family val="2"/>
    </font>
    <font>
      <b/>
      <sz val="11"/>
      <color rgb="FFFF0000"/>
      <name val="Calibri"/>
      <family val="2"/>
    </font>
    <font>
      <sz val="8"/>
      <color theme="1"/>
      <name val="Calibri"/>
      <family val="2"/>
      <scheme val="minor"/>
    </font>
    <font>
      <b/>
      <sz val="10"/>
      <color theme="1"/>
      <name val="Calibri"/>
      <family val="2"/>
      <scheme val="minor"/>
    </font>
    <font>
      <b/>
      <sz val="16"/>
      <color theme="0"/>
      <name val="Calibri"/>
      <family val="2"/>
    </font>
    <font>
      <sz val="11"/>
      <color rgb="FF3F3F76"/>
      <name val="Calibri"/>
      <family val="2"/>
      <scheme val="minor"/>
    </font>
    <font>
      <b/>
      <sz val="9"/>
      <color theme="0"/>
      <name val="Calibri"/>
      <family val="2"/>
      <scheme val="minor"/>
    </font>
    <font>
      <sz val="9"/>
      <color theme="1"/>
      <name val="Calibri"/>
      <family val="2"/>
      <scheme val="minor"/>
    </font>
    <font>
      <b/>
      <sz val="9"/>
      <color theme="1"/>
      <name val="Calibri"/>
      <family val="2"/>
      <scheme val="minor"/>
    </font>
    <font>
      <sz val="9"/>
      <color theme="0"/>
      <name val="Calibri"/>
      <family val="2"/>
      <scheme val="minor"/>
    </font>
    <font>
      <sz val="9"/>
      <name val="Calibri"/>
      <family val="2"/>
      <scheme val="minor"/>
    </font>
    <font>
      <b/>
      <sz val="9"/>
      <color rgb="FFFF0000"/>
      <name val="Calibri"/>
      <family val="2"/>
      <scheme val="minor"/>
    </font>
    <font>
      <sz val="11"/>
      <name val="Calibri"/>
      <family val="2"/>
    </font>
    <font>
      <sz val="7"/>
      <color rgb="FF000000"/>
      <name val="Arial"/>
      <family val="2"/>
    </font>
    <font>
      <b/>
      <sz val="11"/>
      <color theme="0"/>
      <name val="Calibri"/>
      <family val="2"/>
    </font>
    <font>
      <sz val="10"/>
      <color theme="1"/>
      <name val="Arial"/>
      <family val="2"/>
    </font>
    <font>
      <b/>
      <sz val="10"/>
      <color theme="0"/>
      <name val="Arial"/>
      <family val="2"/>
    </font>
    <font>
      <sz val="9"/>
      <color theme="1"/>
      <name val="Arial"/>
      <family val="2"/>
    </font>
    <font>
      <b/>
      <sz val="9"/>
      <color theme="1"/>
      <name val="Arial"/>
      <family val="2"/>
    </font>
    <font>
      <sz val="11"/>
      <color theme="0"/>
      <name val="Calibri"/>
      <family val="2"/>
      <scheme val="minor"/>
    </font>
    <font>
      <sz val="11"/>
      <name val="Calibri"/>
      <family val="2"/>
      <scheme val="minor"/>
    </font>
    <font>
      <b/>
      <sz val="10"/>
      <name val="Calibri"/>
      <family val="2"/>
      <scheme val="minor"/>
    </font>
    <font>
      <sz val="11"/>
      <color indexed="8"/>
      <name val="Calibri"/>
      <family val="2"/>
    </font>
    <font>
      <sz val="10"/>
      <name val="Arial"/>
      <family val="2"/>
    </font>
    <font>
      <b/>
      <sz val="8"/>
      <name val="Calibri"/>
      <family val="2"/>
      <scheme val="minor"/>
    </font>
    <font>
      <b/>
      <i/>
      <u/>
      <sz val="20"/>
      <name val="Calibri"/>
      <family val="2"/>
      <scheme val="minor"/>
    </font>
    <font>
      <b/>
      <sz val="20"/>
      <name val="Calibri"/>
      <family val="2"/>
      <scheme val="minor"/>
    </font>
    <font>
      <sz val="11"/>
      <color rgb="FFFF0000"/>
      <name val="Calibri"/>
      <family val="2"/>
      <scheme val="minor"/>
    </font>
    <font>
      <b/>
      <sz val="11"/>
      <color theme="0"/>
      <name val="Arial Narrow"/>
      <family val="2"/>
    </font>
    <font>
      <b/>
      <sz val="9"/>
      <color theme="0"/>
      <name val="Arial Narrow"/>
      <family val="2"/>
    </font>
    <font>
      <sz val="11"/>
      <color theme="1"/>
      <name val="Arial Narrow"/>
      <family val="2"/>
    </font>
    <font>
      <b/>
      <sz val="11"/>
      <color theme="1"/>
      <name val="Arial Narrow"/>
      <family val="2"/>
    </font>
    <font>
      <sz val="11"/>
      <name val="Arial Narrow"/>
      <family val="2"/>
    </font>
    <font>
      <sz val="11"/>
      <name val="Arial"/>
      <family val="2"/>
    </font>
    <font>
      <b/>
      <sz val="11"/>
      <color rgb="FF000000"/>
      <name val="Calibri"/>
      <family val="2"/>
      <scheme val="minor"/>
    </font>
    <font>
      <b/>
      <sz val="10"/>
      <color theme="0"/>
      <name val="Calibri"/>
      <family val="2"/>
    </font>
    <font>
      <b/>
      <sz val="8"/>
      <color theme="0"/>
      <name val="Calibri"/>
      <family val="2"/>
      <scheme val="minor"/>
    </font>
    <font>
      <b/>
      <sz val="20"/>
      <color theme="0"/>
      <name val="Arial Narrow"/>
      <family val="2"/>
    </font>
    <font>
      <b/>
      <sz val="8"/>
      <color theme="1"/>
      <name val="Calibri"/>
      <family val="2"/>
      <scheme val="minor"/>
    </font>
    <font>
      <b/>
      <sz val="8"/>
      <color rgb="FFFF0000"/>
      <name val="Calibri"/>
      <family val="2"/>
      <scheme val="minor"/>
    </font>
    <font>
      <sz val="9"/>
      <color theme="0"/>
      <name val="Arial"/>
      <family val="2"/>
    </font>
    <font>
      <sz val="10"/>
      <color theme="1"/>
      <name val="Calibri"/>
      <family val="2"/>
      <scheme val="minor"/>
    </font>
    <font>
      <sz val="10"/>
      <name val="Calibri"/>
      <family val="2"/>
      <scheme val="minor"/>
    </font>
    <font>
      <b/>
      <sz val="11"/>
      <color rgb="FF3F3F76"/>
      <name val="Calibri"/>
      <family val="2"/>
      <scheme val="minor"/>
    </font>
    <font>
      <b/>
      <sz val="11"/>
      <color rgb="FFFF0000"/>
      <name val="Calibri"/>
      <family val="2"/>
      <scheme val="minor"/>
    </font>
    <font>
      <sz val="16"/>
      <color theme="0"/>
      <name val="Calibri"/>
      <family val="2"/>
      <scheme val="minor"/>
    </font>
    <font>
      <b/>
      <sz val="9"/>
      <color theme="0"/>
      <name val="Calibri"/>
      <family val="2"/>
    </font>
    <font>
      <b/>
      <sz val="9"/>
      <color rgb="FF000000"/>
      <name val="Calibri"/>
      <family val="2"/>
    </font>
    <font>
      <sz val="9"/>
      <color theme="1"/>
      <name val="Calibri"/>
      <family val="2"/>
    </font>
    <font>
      <b/>
      <sz val="9"/>
      <name val="Calibri"/>
      <family val="2"/>
    </font>
    <font>
      <b/>
      <sz val="9"/>
      <color theme="1"/>
      <name val="Calibri"/>
      <family val="2"/>
    </font>
    <font>
      <sz val="9"/>
      <name val="Calibri"/>
      <family val="2"/>
    </font>
    <font>
      <b/>
      <sz val="11"/>
      <color theme="1"/>
      <name val="Calibri"/>
      <family val="2"/>
    </font>
    <font>
      <sz val="11"/>
      <color theme="2"/>
      <name val="Calibri"/>
      <family val="2"/>
      <scheme val="minor"/>
    </font>
    <font>
      <b/>
      <vertAlign val="subscript"/>
      <sz val="11"/>
      <color theme="0"/>
      <name val="Calibri"/>
      <family val="2"/>
      <scheme val="minor"/>
    </font>
    <font>
      <b/>
      <sz val="8"/>
      <color theme="1"/>
      <name val="Arial"/>
      <family val="2"/>
    </font>
    <font>
      <sz val="8"/>
      <color theme="1"/>
      <name val="Arial"/>
      <family val="2"/>
    </font>
    <font>
      <b/>
      <sz val="8"/>
      <color rgb="FF000000"/>
      <name val="Segoe UI"/>
      <family val="2"/>
    </font>
    <font>
      <sz val="8"/>
      <color rgb="FF000000"/>
      <name val="Segoe UI"/>
      <family val="2"/>
    </font>
    <font>
      <sz val="9"/>
      <color rgb="FF000000"/>
      <name val="Calibri"/>
      <family val="2"/>
    </font>
    <font>
      <sz val="8"/>
      <color theme="1"/>
      <name val="Calibri"/>
      <family val="2"/>
    </font>
  </fonts>
  <fills count="20">
    <fill>
      <patternFill patternType="none"/>
    </fill>
    <fill>
      <patternFill patternType="gray125"/>
    </fill>
    <fill>
      <patternFill patternType="solid">
        <fgColor rgb="FF002060"/>
        <bgColor indexed="64"/>
      </patternFill>
    </fill>
    <fill>
      <patternFill patternType="solid">
        <fgColor rgb="FFF2F2F2"/>
      </patternFill>
    </fill>
    <fill>
      <patternFill patternType="solid">
        <fgColor rgb="FFE7E6E6"/>
        <bgColor rgb="FF000000"/>
      </patternFill>
    </fill>
    <fill>
      <patternFill patternType="solid">
        <fgColor rgb="FFFFFFFF"/>
        <bgColor rgb="FF000000"/>
      </patternFill>
    </fill>
    <fill>
      <patternFill patternType="solid">
        <fgColor theme="0"/>
        <bgColor indexed="64"/>
      </patternFill>
    </fill>
    <fill>
      <patternFill patternType="solid">
        <fgColor theme="0" tint="-4.9989318521683403E-2"/>
        <bgColor indexed="64"/>
      </patternFill>
    </fill>
    <fill>
      <patternFill patternType="solid">
        <fgColor rgb="FF002060"/>
        <bgColor rgb="FF000000"/>
      </patternFill>
    </fill>
    <fill>
      <patternFill patternType="solid">
        <fgColor rgb="FFFFCC99"/>
      </patternFill>
    </fill>
    <fill>
      <patternFill patternType="solid">
        <fgColor theme="0" tint="-0.249977111117893"/>
        <bgColor indexed="64"/>
      </patternFill>
    </fill>
    <fill>
      <patternFill patternType="solid">
        <fgColor theme="0" tint="-0.249977111117893"/>
        <bgColor rgb="FF000000"/>
      </patternFill>
    </fill>
    <fill>
      <patternFill patternType="solid">
        <fgColor rgb="FF00B0F0"/>
        <bgColor indexed="64"/>
      </patternFill>
    </fill>
    <fill>
      <patternFill patternType="solid">
        <fgColor theme="7" tint="0.39997558519241921"/>
        <bgColor indexed="64"/>
      </patternFill>
    </fill>
    <fill>
      <patternFill patternType="solid">
        <fgColor theme="7" tint="0.39997558519241921"/>
        <bgColor rgb="FF000000"/>
      </patternFill>
    </fill>
    <fill>
      <patternFill patternType="solid">
        <fgColor indexed="22"/>
        <bgColor indexed="64"/>
      </patternFill>
    </fill>
    <fill>
      <patternFill patternType="solid">
        <fgColor rgb="FFFFFFFF"/>
        <bgColor indexed="64"/>
      </patternFill>
    </fill>
    <fill>
      <patternFill patternType="solid">
        <fgColor theme="5" tint="-0.249977111117893"/>
        <bgColor indexed="64"/>
      </patternFill>
    </fill>
    <fill>
      <patternFill patternType="solid">
        <fgColor rgb="FFFFFF00"/>
        <bgColor indexed="64"/>
      </patternFill>
    </fill>
    <fill>
      <patternFill patternType="solid">
        <fgColor rgb="FFF2F2F2"/>
        <bgColor indexed="64"/>
      </patternFill>
    </fill>
  </fills>
  <borders count="192">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auto="1"/>
      </left>
      <right style="thin">
        <color auto="1"/>
      </right>
      <top style="thin">
        <color auto="1"/>
      </top>
      <bottom style="thin">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double">
        <color auto="1"/>
      </left>
      <right style="thin">
        <color auto="1"/>
      </right>
      <top style="double">
        <color auto="1"/>
      </top>
      <bottom style="thin">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double">
        <color auto="1"/>
      </left>
      <right/>
      <top style="double">
        <color auto="1"/>
      </top>
      <bottom style="thin">
        <color auto="1"/>
      </bottom>
      <diagonal/>
    </border>
    <border>
      <left/>
      <right style="double">
        <color auto="1"/>
      </right>
      <top style="double">
        <color auto="1"/>
      </top>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thin">
        <color auto="1"/>
      </right>
      <top/>
      <bottom style="double">
        <color auto="1"/>
      </bottom>
      <diagonal/>
    </border>
    <border>
      <left style="thin">
        <color auto="1"/>
      </left>
      <right style="double">
        <color auto="1"/>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double">
        <color auto="1"/>
      </left>
      <right style="thin">
        <color auto="1"/>
      </right>
      <top/>
      <bottom/>
      <diagonal/>
    </border>
    <border>
      <left style="thin">
        <color auto="1"/>
      </left>
      <right style="double">
        <color auto="1"/>
      </right>
      <top style="thin">
        <color auto="1"/>
      </top>
      <bottom style="thin">
        <color auto="1"/>
      </bottom>
      <diagonal/>
    </border>
    <border>
      <left style="double">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style="thin">
        <color auto="1"/>
      </top>
      <bottom style="thin">
        <color auto="1"/>
      </bottom>
      <diagonal/>
    </border>
    <border>
      <left style="double">
        <color auto="1"/>
      </left>
      <right style="thin">
        <color auto="1"/>
      </right>
      <top style="thin">
        <color auto="1"/>
      </top>
      <bottom/>
      <diagonal/>
    </border>
    <border>
      <left style="thin">
        <color auto="1"/>
      </left>
      <right style="thin">
        <color auto="1"/>
      </right>
      <top style="thin">
        <color auto="1"/>
      </top>
      <bottom/>
      <diagonal/>
    </border>
    <border>
      <left style="double">
        <color auto="1"/>
      </left>
      <right style="thin">
        <color auto="1"/>
      </right>
      <top/>
      <bottom style="double">
        <color auto="1"/>
      </bottom>
      <diagonal/>
    </border>
    <border>
      <left/>
      <right style="double">
        <color auto="1"/>
      </right>
      <top style="thin">
        <color auto="1"/>
      </top>
      <bottom style="double">
        <color auto="1"/>
      </bottom>
      <diagonal/>
    </border>
    <border>
      <left style="thin">
        <color auto="1"/>
      </left>
      <right style="double">
        <color auto="1"/>
      </right>
      <top style="double">
        <color auto="1"/>
      </top>
      <bottom style="double">
        <color auto="1"/>
      </bottom>
      <diagonal/>
    </border>
    <border>
      <left style="thin">
        <color auto="1"/>
      </left>
      <right style="thin">
        <color auto="1"/>
      </right>
      <top style="double">
        <color auto="1"/>
      </top>
      <bottom style="double">
        <color auto="1"/>
      </bottom>
      <diagonal/>
    </border>
    <border>
      <left style="double">
        <color auto="1"/>
      </left>
      <right style="double">
        <color auto="1"/>
      </right>
      <top style="double">
        <color auto="1"/>
      </top>
      <bottom/>
      <diagonal/>
    </border>
    <border>
      <left/>
      <right style="double">
        <color auto="1"/>
      </right>
      <top style="double">
        <color auto="1"/>
      </top>
      <bottom style="thin">
        <color auto="1"/>
      </bottom>
      <diagonal/>
    </border>
    <border>
      <left style="double">
        <color auto="1"/>
      </left>
      <right/>
      <top style="thin">
        <color auto="1"/>
      </top>
      <bottom style="double">
        <color auto="1"/>
      </bottom>
      <diagonal/>
    </border>
    <border>
      <left style="double">
        <color auto="1"/>
      </left>
      <right style="thin">
        <color auto="1"/>
      </right>
      <top style="double">
        <color auto="1"/>
      </top>
      <bottom style="double">
        <color auto="1"/>
      </bottom>
      <diagonal/>
    </border>
    <border>
      <left style="thin">
        <color auto="1"/>
      </left>
      <right style="double">
        <color auto="1"/>
      </right>
      <top style="thin">
        <color auto="1"/>
      </top>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n">
        <color auto="1"/>
      </bottom>
      <diagonal/>
    </border>
    <border>
      <left style="thick">
        <color auto="1"/>
      </left>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medium">
        <color theme="0"/>
      </left>
      <right style="medium">
        <color theme="0"/>
      </right>
      <top style="thick">
        <color auto="1"/>
      </top>
      <bottom style="medium">
        <color theme="0"/>
      </bottom>
      <diagonal/>
    </border>
    <border>
      <left style="medium">
        <color theme="0"/>
      </left>
      <right style="medium">
        <color theme="0"/>
      </right>
      <top style="medium">
        <color theme="0"/>
      </top>
      <bottom style="thin">
        <color auto="1"/>
      </bottom>
      <diagonal/>
    </border>
    <border>
      <left style="thick">
        <color auto="1"/>
      </left>
      <right style="thin">
        <color auto="1"/>
      </right>
      <top style="thick">
        <color auto="1"/>
      </top>
      <bottom style="thin">
        <color auto="1"/>
      </bottom>
      <diagonal/>
    </border>
    <border>
      <left style="medium">
        <color theme="0"/>
      </left>
      <right style="medium">
        <color theme="0"/>
      </right>
      <top style="medium">
        <color theme="0"/>
      </top>
      <bottom style="medium">
        <color theme="0"/>
      </bottom>
      <diagonal/>
    </border>
    <border>
      <left style="thin">
        <color theme="0"/>
      </left>
      <right style="thin">
        <color theme="0"/>
      </right>
      <top style="medium">
        <color auto="1"/>
      </top>
      <bottom style="thin">
        <color theme="0"/>
      </bottom>
      <diagonal/>
    </border>
    <border>
      <left style="medium">
        <color auto="1"/>
      </left>
      <right/>
      <top style="medium">
        <color auto="1"/>
      </top>
      <bottom style="medium">
        <color theme="0"/>
      </bottom>
      <diagonal/>
    </border>
    <border>
      <left/>
      <right/>
      <top style="medium">
        <color auto="1"/>
      </top>
      <bottom style="medium">
        <color theme="0"/>
      </bottom>
      <diagonal/>
    </border>
    <border>
      <left/>
      <right style="medium">
        <color auto="1"/>
      </right>
      <top style="medium">
        <color auto="1"/>
      </top>
      <bottom style="medium">
        <color theme="0"/>
      </bottom>
      <diagonal/>
    </border>
    <border>
      <left style="medium">
        <color auto="1"/>
      </left>
      <right style="medium">
        <color theme="0"/>
      </right>
      <top style="medium">
        <color theme="0"/>
      </top>
      <bottom style="medium">
        <color theme="0"/>
      </bottom>
      <diagonal/>
    </border>
    <border>
      <left style="medium">
        <color theme="0"/>
      </left>
      <right style="medium">
        <color auto="1"/>
      </right>
      <top style="medium">
        <color theme="0"/>
      </top>
      <bottom style="medium">
        <color theme="0"/>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bottom style="thin">
        <color auto="1"/>
      </bottom>
      <diagonal/>
    </border>
    <border>
      <left/>
      <right/>
      <top style="thin">
        <color auto="1"/>
      </top>
      <bottom/>
      <diagonal/>
    </border>
    <border>
      <left/>
      <right/>
      <top style="thick">
        <color auto="1"/>
      </top>
      <bottom style="thick">
        <color auto="1"/>
      </bottom>
      <diagonal/>
    </border>
    <border>
      <left style="thick">
        <color auto="1"/>
      </left>
      <right/>
      <top/>
      <bottom style="thin">
        <color auto="1"/>
      </bottom>
      <diagonal/>
    </border>
    <border>
      <left/>
      <right/>
      <top/>
      <bottom style="thin">
        <color auto="1"/>
      </bottom>
      <diagonal/>
    </border>
    <border>
      <left/>
      <right style="thick">
        <color auto="1"/>
      </right>
      <top/>
      <bottom style="thin">
        <color auto="1"/>
      </bottom>
      <diagonal/>
    </border>
    <border>
      <left style="thin">
        <color theme="1"/>
      </left>
      <right style="thin">
        <color theme="1"/>
      </right>
      <top style="thin">
        <color theme="1"/>
      </top>
      <bottom style="thin">
        <color theme="1"/>
      </bottom>
      <diagonal/>
    </border>
    <border>
      <left style="thick">
        <color auto="1"/>
      </left>
      <right style="thin">
        <color auto="1"/>
      </right>
      <top style="thin">
        <color auto="1"/>
      </top>
      <bottom/>
      <diagonal/>
    </border>
    <border>
      <left style="thin">
        <color theme="1"/>
      </left>
      <right/>
      <top/>
      <bottom/>
      <diagonal/>
    </border>
    <border>
      <left/>
      <right style="thin">
        <color theme="1"/>
      </right>
      <top/>
      <bottom/>
      <diagonal/>
    </border>
    <border>
      <left style="thin">
        <color auto="1"/>
      </left>
      <right/>
      <top style="thin">
        <color auto="1"/>
      </top>
      <bottom/>
      <diagonal/>
    </border>
    <border>
      <left style="medium">
        <color auto="1"/>
      </left>
      <right/>
      <top/>
      <bottom/>
      <diagonal/>
    </border>
    <border>
      <left/>
      <right style="medium">
        <color auto="1"/>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auto="1"/>
      </left>
      <right style="thin">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medium">
        <color indexed="64"/>
      </left>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auto="1"/>
      </left>
      <right/>
      <top style="medium">
        <color indexed="64"/>
      </top>
      <bottom style="thin">
        <color auto="1"/>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auto="1"/>
      </right>
      <top style="thin">
        <color auto="1"/>
      </top>
      <bottom/>
      <diagonal/>
    </border>
    <border>
      <left style="thin">
        <color theme="1"/>
      </left>
      <right style="thin">
        <color theme="1"/>
      </right>
      <top/>
      <bottom style="thin">
        <color theme="1"/>
      </bottom>
      <diagonal/>
    </border>
    <border>
      <left/>
      <right/>
      <top/>
      <bottom style="medium">
        <color indexed="64"/>
      </bottom>
      <diagonal/>
    </border>
    <border>
      <left style="thick">
        <color auto="1"/>
      </left>
      <right style="medium">
        <color theme="0"/>
      </right>
      <top style="thick">
        <color auto="1"/>
      </top>
      <bottom/>
      <diagonal/>
    </border>
    <border>
      <left style="thick">
        <color auto="1"/>
      </left>
      <right style="medium">
        <color theme="0"/>
      </right>
      <top/>
      <bottom style="thin">
        <color auto="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medium">
        <color theme="0"/>
      </left>
      <right style="medium">
        <color theme="0"/>
      </right>
      <top style="medium">
        <color theme="0"/>
      </top>
      <bottom/>
      <diagonal/>
    </border>
    <border>
      <left style="medium">
        <color theme="0"/>
      </left>
      <right style="medium">
        <color theme="0"/>
      </right>
      <top/>
      <bottom style="medium">
        <color theme="0"/>
      </bottom>
      <diagonal/>
    </border>
    <border>
      <left/>
      <right style="medium">
        <color theme="0"/>
      </right>
      <top style="medium">
        <color theme="0"/>
      </top>
      <bottom/>
      <diagonal/>
    </border>
    <border>
      <left/>
      <right/>
      <top style="medium">
        <color indexed="64"/>
      </top>
      <bottom/>
      <diagonal/>
    </border>
    <border>
      <left style="medium">
        <color theme="0"/>
      </left>
      <right style="medium">
        <color auto="1"/>
      </right>
      <top style="medium">
        <color theme="0"/>
      </top>
      <bottom/>
      <diagonal/>
    </border>
    <border>
      <left style="medium">
        <color theme="0"/>
      </left>
      <right style="medium">
        <color auto="1"/>
      </right>
      <top/>
      <bottom style="medium">
        <color theme="0"/>
      </bottom>
      <diagonal/>
    </border>
    <border>
      <left style="medium">
        <color indexed="64"/>
      </left>
      <right style="thin">
        <color indexed="64"/>
      </right>
      <top/>
      <bottom/>
      <diagonal/>
    </border>
    <border>
      <left/>
      <right/>
      <top style="thin">
        <color theme="1"/>
      </top>
      <bottom style="thin">
        <color theme="1"/>
      </bottom>
      <diagonal/>
    </border>
    <border>
      <left style="thin">
        <color theme="1"/>
      </left>
      <right/>
      <top style="thin">
        <color auto="1"/>
      </top>
      <bottom style="thin">
        <color theme="1"/>
      </bottom>
      <diagonal/>
    </border>
    <border>
      <left/>
      <right style="thin">
        <color theme="1"/>
      </right>
      <top style="thin">
        <color auto="1"/>
      </top>
      <bottom style="thin">
        <color theme="1"/>
      </bottom>
      <diagonal/>
    </border>
    <border>
      <left style="thin">
        <color auto="1"/>
      </left>
      <right style="double">
        <color auto="1"/>
      </right>
      <top/>
      <bottom/>
      <diagonal/>
    </border>
    <border>
      <left style="thin">
        <color auto="1"/>
      </left>
      <right/>
      <top/>
      <bottom/>
      <diagonal/>
    </border>
    <border>
      <left style="thin">
        <color auto="1"/>
      </left>
      <right/>
      <top style="thin">
        <color auto="1"/>
      </top>
      <bottom style="thin">
        <color theme="0"/>
      </bottom>
      <diagonal/>
    </border>
    <border>
      <left/>
      <right/>
      <top style="thin">
        <color auto="1"/>
      </top>
      <bottom style="thin">
        <color theme="0"/>
      </bottom>
      <diagonal/>
    </border>
    <border>
      <left/>
      <right style="thin">
        <color auto="1"/>
      </right>
      <top style="thin">
        <color auto="1"/>
      </top>
      <bottom style="thin">
        <color theme="0"/>
      </bottom>
      <diagonal/>
    </border>
    <border>
      <left style="thin">
        <color auto="1"/>
      </left>
      <right/>
      <top style="thin">
        <color theme="0"/>
      </top>
      <bottom style="thin">
        <color auto="1"/>
      </bottom>
      <diagonal/>
    </border>
    <border>
      <left/>
      <right/>
      <top style="thin">
        <color theme="0"/>
      </top>
      <bottom style="thin">
        <color auto="1"/>
      </bottom>
      <diagonal/>
    </border>
    <border>
      <left/>
      <right style="thin">
        <color auto="1"/>
      </right>
      <top style="thin">
        <color theme="0"/>
      </top>
      <bottom style="thin">
        <color auto="1"/>
      </bottom>
      <diagonal/>
    </border>
    <border>
      <left/>
      <right style="medium">
        <color theme="0"/>
      </right>
      <top style="medium">
        <color theme="0"/>
      </top>
      <bottom style="medium">
        <color theme="0"/>
      </bottom>
      <diagonal/>
    </border>
    <border>
      <left/>
      <right/>
      <top style="medium">
        <color theme="0"/>
      </top>
      <bottom style="medium">
        <color theme="0"/>
      </bottom>
      <diagonal/>
    </border>
    <border>
      <left style="thick">
        <color auto="1"/>
      </left>
      <right style="thin">
        <color auto="1"/>
      </right>
      <top/>
      <bottom style="thin">
        <color auto="1"/>
      </bottom>
      <diagonal/>
    </border>
    <border>
      <left style="thick">
        <color auto="1"/>
      </left>
      <right style="thick">
        <color auto="1"/>
      </right>
      <top style="thick">
        <color auto="1"/>
      </top>
      <bottom style="thin">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style="thick">
        <color auto="1"/>
      </left>
      <right style="thin">
        <color auto="1"/>
      </right>
      <top/>
      <bottom style="thick">
        <color auto="1"/>
      </bottom>
      <diagonal/>
    </border>
    <border>
      <left style="thin">
        <color auto="1"/>
      </left>
      <right style="thin">
        <color auto="1"/>
      </right>
      <top/>
      <bottom style="thick">
        <color auto="1"/>
      </bottom>
      <diagonal/>
    </border>
    <border>
      <left/>
      <right/>
      <top/>
      <bottom style="thick">
        <color auto="1"/>
      </bottom>
      <diagonal/>
    </border>
    <border>
      <left style="thin">
        <color auto="1"/>
      </left>
      <right style="thick">
        <color auto="1"/>
      </right>
      <top/>
      <bottom style="thick">
        <color auto="1"/>
      </bottom>
      <diagonal/>
    </border>
    <border>
      <left style="thin">
        <color rgb="FF7F7F7F"/>
      </left>
      <right style="thin">
        <color rgb="FF7F7F7F"/>
      </right>
      <top style="thick">
        <color auto="1"/>
      </top>
      <bottom style="thick">
        <color auto="1"/>
      </bottom>
      <diagonal/>
    </border>
    <border>
      <left/>
      <right style="thick">
        <color auto="1"/>
      </right>
      <top style="thick">
        <color auto="1"/>
      </top>
      <bottom style="thick">
        <color auto="1"/>
      </bottom>
      <diagonal/>
    </border>
    <border>
      <left/>
      <right style="thin">
        <color auto="1"/>
      </right>
      <top/>
      <bottom style="thin">
        <color auto="1"/>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medium">
        <color auto="1"/>
      </left>
      <right style="medium">
        <color theme="0"/>
      </right>
      <top style="medium">
        <color auto="1"/>
      </top>
      <bottom/>
      <diagonal/>
    </border>
    <border>
      <left style="medium">
        <color theme="0"/>
      </left>
      <right style="medium">
        <color theme="0"/>
      </right>
      <top style="medium">
        <color auto="1"/>
      </top>
      <bottom style="medium">
        <color theme="0"/>
      </bottom>
      <diagonal/>
    </border>
    <border>
      <left/>
      <right style="medium">
        <color auto="1"/>
      </right>
      <top style="medium">
        <color auto="1"/>
      </top>
      <bottom/>
      <diagonal/>
    </border>
    <border>
      <left style="medium">
        <color auto="1"/>
      </left>
      <right style="thin">
        <color auto="1"/>
      </right>
      <top style="thick">
        <color auto="1"/>
      </top>
      <bottom style="thin">
        <color auto="1"/>
      </bottom>
      <diagonal/>
    </border>
    <border>
      <left style="thin">
        <color auto="1"/>
      </left>
      <right style="medium">
        <color auto="1"/>
      </right>
      <top style="thick">
        <color auto="1"/>
      </top>
      <bottom/>
      <diagonal/>
    </border>
    <border>
      <left style="thin">
        <color rgb="FF7F7F7F"/>
      </left>
      <right style="thin">
        <color rgb="FF7F7F7F"/>
      </right>
      <top style="thin">
        <color rgb="FF7F7F7F"/>
      </top>
      <bottom style="thick">
        <color auto="1"/>
      </bottom>
      <diagonal/>
    </border>
    <border>
      <left style="thin">
        <color rgb="FF7F7F7F"/>
      </left>
      <right style="thick">
        <color auto="1"/>
      </right>
      <top style="thin">
        <color rgb="FF7F7F7F"/>
      </top>
      <bottom style="thick">
        <color auto="1"/>
      </bottom>
      <diagonal/>
    </border>
    <border>
      <left/>
      <right/>
      <top style="thick">
        <color auto="1"/>
      </top>
      <bottom style="thin">
        <color auto="1"/>
      </bottom>
      <diagonal/>
    </border>
    <border>
      <left style="thick">
        <color auto="1"/>
      </left>
      <right/>
      <top style="thick">
        <color auto="1"/>
      </top>
      <bottom/>
      <diagonal/>
    </border>
    <border>
      <left/>
      <right style="thick">
        <color auto="1"/>
      </right>
      <top style="thick">
        <color auto="1"/>
      </top>
      <bottom/>
      <diagonal/>
    </border>
    <border>
      <left style="medium">
        <color theme="0"/>
      </left>
      <right style="medium">
        <color auto="1"/>
      </right>
      <top style="thick">
        <color auto="1"/>
      </top>
      <bottom/>
      <diagonal/>
    </border>
    <border>
      <left style="medium">
        <color theme="0"/>
      </left>
      <right style="medium">
        <color auto="1"/>
      </right>
      <top/>
      <bottom style="thin">
        <color auto="1"/>
      </bottom>
      <diagonal/>
    </border>
    <border>
      <left style="thick">
        <color auto="1"/>
      </left>
      <right/>
      <top/>
      <bottom style="thick">
        <color auto="1"/>
      </bottom>
      <diagonal/>
    </border>
    <border>
      <left/>
      <right style="thick">
        <color auto="1"/>
      </right>
      <top/>
      <bottom style="thick">
        <color auto="1"/>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medium">
        <color auto="1"/>
      </left>
      <right style="thin">
        <color rgb="FF7F7F7F"/>
      </right>
      <top style="thin">
        <color rgb="FF7F7F7F"/>
      </top>
      <bottom style="thin">
        <color rgb="FF7F7F7F"/>
      </bottom>
      <diagonal/>
    </border>
    <border>
      <left style="thin">
        <color rgb="FF7F7F7F"/>
      </left>
      <right style="medium">
        <color auto="1"/>
      </right>
      <top style="thin">
        <color rgb="FF7F7F7F"/>
      </top>
      <bottom style="thin">
        <color rgb="FF7F7F7F"/>
      </bottom>
      <diagonal/>
    </border>
    <border>
      <left style="medium">
        <color auto="1"/>
      </left>
      <right style="thin">
        <color rgb="FF7F7F7F"/>
      </right>
      <top style="thin">
        <color rgb="FF7F7F7F"/>
      </top>
      <bottom style="medium">
        <color auto="1"/>
      </bottom>
      <diagonal/>
    </border>
    <border>
      <left style="thin">
        <color auto="1"/>
      </left>
      <right style="thin">
        <color theme="0"/>
      </right>
      <top style="thin">
        <color auto="1"/>
      </top>
      <bottom style="thin">
        <color theme="0"/>
      </bottom>
      <diagonal/>
    </border>
    <border>
      <left style="thin">
        <color theme="0"/>
      </left>
      <right style="thin">
        <color theme="0"/>
      </right>
      <top style="thin">
        <color auto="1"/>
      </top>
      <bottom style="thin">
        <color theme="0"/>
      </bottom>
      <diagonal/>
    </border>
    <border>
      <left style="thin">
        <color theme="0"/>
      </left>
      <right style="thin">
        <color auto="1"/>
      </right>
      <top style="thin">
        <color auto="1"/>
      </top>
      <bottom style="thin">
        <color theme="0"/>
      </bottom>
      <diagonal/>
    </border>
    <border>
      <left style="thin">
        <color auto="1"/>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style="thin">
        <color auto="1"/>
      </right>
      <top style="thin">
        <color theme="0"/>
      </top>
      <bottom style="thin">
        <color theme="0"/>
      </bottom>
      <diagonal/>
    </border>
    <border>
      <left style="thin">
        <color auto="1"/>
      </left>
      <right style="thin">
        <color theme="0"/>
      </right>
      <top style="thin">
        <color theme="0"/>
      </top>
      <bottom style="thin">
        <color auto="1"/>
      </bottom>
      <diagonal/>
    </border>
    <border>
      <left style="thin">
        <color theme="0"/>
      </left>
      <right style="thin">
        <color theme="0"/>
      </right>
      <top style="thin">
        <color theme="0"/>
      </top>
      <bottom style="thin">
        <color auto="1"/>
      </bottom>
      <diagonal/>
    </border>
    <border>
      <left style="thin">
        <color theme="0"/>
      </left>
      <right style="thin">
        <color auto="1"/>
      </right>
      <top style="thin">
        <color theme="0"/>
      </top>
      <bottom style="thin">
        <color auto="1"/>
      </bottom>
      <diagonal/>
    </border>
    <border>
      <left style="thick">
        <color auto="1"/>
      </left>
      <right/>
      <top style="thick">
        <color auto="1"/>
      </top>
      <bottom style="thin">
        <color auto="1"/>
      </bottom>
      <diagonal/>
    </border>
    <border>
      <left/>
      <right style="thin">
        <color auto="1"/>
      </right>
      <top style="thick">
        <color auto="1"/>
      </top>
      <bottom style="thin">
        <color auto="1"/>
      </bottom>
      <diagonal/>
    </border>
    <border>
      <left style="thin">
        <color auto="1"/>
      </left>
      <right style="thin">
        <color theme="0"/>
      </right>
      <top style="thin">
        <color auto="1"/>
      </top>
      <bottom style="thin">
        <color auto="1"/>
      </bottom>
      <diagonal/>
    </border>
    <border>
      <left style="thin">
        <color theme="0"/>
      </left>
      <right style="thin">
        <color auto="1"/>
      </right>
      <top style="thin">
        <color auto="1"/>
      </top>
      <bottom style="thin">
        <color auto="1"/>
      </bottom>
      <diagonal/>
    </border>
    <border>
      <left style="thin">
        <color theme="0"/>
      </left>
      <right/>
      <top style="thin">
        <color theme="0"/>
      </top>
      <bottom style="thin">
        <color auto="1"/>
      </bottom>
      <diagonal/>
    </border>
    <border>
      <left/>
      <right style="thin">
        <color theme="0"/>
      </right>
      <top style="thin">
        <color theme="0"/>
      </top>
      <bottom style="thin">
        <color auto="1"/>
      </bottom>
      <diagonal/>
    </border>
    <border>
      <left style="medium">
        <color theme="0"/>
      </left>
      <right/>
      <top style="medium">
        <color indexed="64"/>
      </top>
      <bottom style="medium">
        <color theme="0"/>
      </bottom>
      <diagonal/>
    </border>
    <border>
      <left style="medium">
        <color indexed="64"/>
      </left>
      <right style="medium">
        <color theme="0"/>
      </right>
      <top/>
      <bottom style="medium">
        <color indexed="64"/>
      </bottom>
      <diagonal/>
    </border>
    <border>
      <left style="medium">
        <color theme="0"/>
      </left>
      <right style="medium">
        <color theme="0"/>
      </right>
      <top style="medium">
        <color theme="0"/>
      </top>
      <bottom style="medium">
        <color indexed="64"/>
      </bottom>
      <diagonal/>
    </border>
    <border>
      <left style="double">
        <color auto="1"/>
      </left>
      <right style="thin">
        <color theme="0"/>
      </right>
      <top style="double">
        <color auto="1"/>
      </top>
      <bottom style="thin">
        <color theme="0"/>
      </bottom>
      <diagonal/>
    </border>
    <border>
      <left style="thin">
        <color theme="0"/>
      </left>
      <right style="thin">
        <color theme="0"/>
      </right>
      <top style="double">
        <color auto="1"/>
      </top>
      <bottom style="thin">
        <color theme="0"/>
      </bottom>
      <diagonal/>
    </border>
    <border>
      <left style="thin">
        <color theme="0"/>
      </left>
      <right style="double">
        <color auto="1"/>
      </right>
      <top style="double">
        <color auto="1"/>
      </top>
      <bottom style="thin">
        <color theme="0"/>
      </bottom>
      <diagonal/>
    </border>
    <border>
      <left style="double">
        <color auto="1"/>
      </left>
      <right style="thin">
        <color theme="0"/>
      </right>
      <top style="thin">
        <color theme="0"/>
      </top>
      <bottom style="thin">
        <color theme="0"/>
      </bottom>
      <diagonal/>
    </border>
    <border>
      <left style="thin">
        <color theme="0"/>
      </left>
      <right style="double">
        <color auto="1"/>
      </right>
      <top style="thin">
        <color theme="0"/>
      </top>
      <bottom style="thin">
        <color theme="0"/>
      </bottom>
      <diagonal/>
    </border>
    <border>
      <left style="double">
        <color auto="1"/>
      </left>
      <right style="thin">
        <color theme="0"/>
      </right>
      <top style="thin">
        <color theme="0"/>
      </top>
      <bottom style="double">
        <color auto="1"/>
      </bottom>
      <diagonal/>
    </border>
    <border>
      <left style="thin">
        <color theme="0"/>
      </left>
      <right style="thin">
        <color theme="0"/>
      </right>
      <top style="thin">
        <color theme="0"/>
      </top>
      <bottom style="double">
        <color auto="1"/>
      </bottom>
      <diagonal/>
    </border>
    <border>
      <left style="thin">
        <color theme="0"/>
      </left>
      <right style="double">
        <color auto="1"/>
      </right>
      <top style="thin">
        <color theme="0"/>
      </top>
      <bottom style="thin">
        <color auto="1"/>
      </bottom>
      <diagonal/>
    </border>
    <border>
      <left/>
      <right/>
      <top style="thin">
        <color auto="1"/>
      </top>
      <bottom style="thick">
        <color auto="1"/>
      </bottom>
      <diagonal/>
    </border>
    <border>
      <left/>
      <right style="thick">
        <color auto="1"/>
      </right>
      <top style="thick">
        <color auto="1"/>
      </top>
      <bottom style="thin">
        <color auto="1"/>
      </bottom>
      <diagonal/>
    </border>
    <border>
      <left style="thick">
        <color auto="1"/>
      </left>
      <right/>
      <top style="thin">
        <color auto="1"/>
      </top>
      <bottom style="thick">
        <color auto="1"/>
      </bottom>
      <diagonal/>
    </border>
    <border>
      <left/>
      <right style="thick">
        <color auto="1"/>
      </right>
      <top style="thin">
        <color auto="1"/>
      </top>
      <bottom style="thick">
        <color auto="1"/>
      </bottom>
      <diagonal/>
    </border>
  </borders>
  <cellStyleXfs count="14">
    <xf numFmtId="0" fontId="0" fillId="0" borderId="0"/>
    <xf numFmtId="9" fontId="1" fillId="0" borderId="0" applyFont="0" applyFill="0" applyBorder="0" applyAlignment="0" applyProtection="0"/>
    <xf numFmtId="0" fontId="6" fillId="3" borderId="4" applyNumberFormat="0" applyAlignment="0" applyProtection="0"/>
    <xf numFmtId="44" fontId="1" fillId="0" borderId="0" applyFont="0" applyFill="0" applyBorder="0" applyAlignment="0" applyProtection="0"/>
    <xf numFmtId="0" fontId="17" fillId="9" borderId="4" applyNumberFormat="0" applyAlignment="0" applyProtection="0"/>
    <xf numFmtId="0" fontId="1" fillId="0" borderId="0"/>
    <xf numFmtId="43" fontId="1" fillId="0" borderId="0" applyFont="0" applyFill="0" applyBorder="0" applyAlignment="0" applyProtection="0"/>
    <xf numFmtId="0" fontId="34" fillId="0" borderId="0"/>
    <xf numFmtId="0" fontId="35" fillId="0" borderId="0"/>
    <xf numFmtId="9" fontId="34" fillId="0" borderId="0" applyFont="0" applyFill="0" applyBorder="0" applyAlignment="0" applyProtection="0"/>
    <xf numFmtId="177" fontId="34"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4" fillId="0" borderId="0" applyFont="0" applyFill="0" applyBorder="0" applyAlignment="0" applyProtection="0"/>
  </cellStyleXfs>
  <cellXfs count="1198">
    <xf numFmtId="0" fontId="0" fillId="0" borderId="0" xfId="0"/>
    <xf numFmtId="3" fontId="0" fillId="0" borderId="0" xfId="0" applyNumberFormat="1"/>
    <xf numFmtId="10" fontId="0" fillId="0" borderId="0" xfId="1" applyNumberFormat="1" applyFont="1"/>
    <xf numFmtId="164" fontId="0" fillId="0" borderId="0" xfId="0" applyNumberFormat="1"/>
    <xf numFmtId="0" fontId="0" fillId="0" borderId="5" xfId="0" applyBorder="1"/>
    <xf numFmtId="0" fontId="7" fillId="0" borderId="0" xfId="0" applyFont="1"/>
    <xf numFmtId="0" fontId="7" fillId="0" borderId="0" xfId="0" applyFont="1" applyAlignment="1">
      <alignment horizontal="center" vertical="center"/>
    </xf>
    <xf numFmtId="167" fontId="7" fillId="0" borderId="0" xfId="1" applyNumberFormat="1" applyFont="1" applyFill="1" applyBorder="1" applyAlignment="1">
      <alignment horizontal="center" vertical="center"/>
    </xf>
    <xf numFmtId="10" fontId="7" fillId="0" borderId="0" xfId="1" applyNumberFormat="1" applyFont="1" applyFill="1" applyBorder="1" applyAlignment="1">
      <alignment horizontal="center" vertical="center"/>
    </xf>
    <xf numFmtId="10" fontId="7" fillId="0" borderId="0" xfId="1" applyNumberFormat="1" applyFont="1" applyFill="1" applyBorder="1"/>
    <xf numFmtId="3" fontId="7" fillId="0" borderId="0" xfId="0" applyNumberFormat="1" applyFont="1"/>
    <xf numFmtId="0" fontId="8" fillId="0" borderId="9" xfId="0" applyFont="1" applyBorder="1" applyAlignment="1">
      <alignment horizontal="left" vertical="center"/>
    </xf>
    <xf numFmtId="0" fontId="8" fillId="0" borderId="28" xfId="0" applyFont="1" applyBorder="1" applyAlignment="1">
      <alignment horizontal="left" vertical="center"/>
    </xf>
    <xf numFmtId="0" fontId="8" fillId="0" borderId="16" xfId="0" applyFont="1" applyBorder="1" applyAlignment="1">
      <alignment horizontal="left" vertical="center"/>
    </xf>
    <xf numFmtId="0" fontId="0" fillId="0" borderId="0" xfId="0" applyAlignment="1">
      <alignment horizontal="center" vertical="center"/>
    </xf>
    <xf numFmtId="0" fontId="0" fillId="0" borderId="6" xfId="0" applyBorder="1"/>
    <xf numFmtId="0" fontId="0" fillId="0" borderId="7" xfId="0" applyBorder="1"/>
    <xf numFmtId="0" fontId="0" fillId="0" borderId="8" xfId="0" applyBorder="1"/>
    <xf numFmtId="0" fontId="19" fillId="0" borderId="0" xfId="0" applyFont="1"/>
    <xf numFmtId="0" fontId="20" fillId="0" borderId="5" xfId="0" applyFont="1" applyBorder="1"/>
    <xf numFmtId="0" fontId="19" fillId="0" borderId="5" xfId="0" applyFont="1" applyBorder="1"/>
    <xf numFmtId="3" fontId="19" fillId="0" borderId="0" xfId="0" applyNumberFormat="1" applyFont="1"/>
    <xf numFmtId="0" fontId="20" fillId="0" borderId="0" xfId="0" applyFont="1" applyAlignment="1">
      <alignment horizontal="center"/>
    </xf>
    <xf numFmtId="8" fontId="19" fillId="0" borderId="0" xfId="0" applyNumberFormat="1" applyFont="1"/>
    <xf numFmtId="8" fontId="19" fillId="0" borderId="5" xfId="0" applyNumberFormat="1" applyFont="1" applyBorder="1"/>
    <xf numFmtId="164" fontId="19" fillId="0" borderId="0" xfId="0" applyNumberFormat="1" applyFont="1"/>
    <xf numFmtId="4" fontId="19" fillId="0" borderId="0" xfId="0" applyNumberFormat="1" applyFont="1"/>
    <xf numFmtId="0" fontId="19" fillId="0" borderId="0" xfId="0" applyFont="1" applyAlignment="1">
      <alignment horizontal="center"/>
    </xf>
    <xf numFmtId="10" fontId="19" fillId="0" borderId="0" xfId="1" applyNumberFormat="1" applyFont="1"/>
    <xf numFmtId="10" fontId="19" fillId="0" borderId="0" xfId="0" applyNumberFormat="1" applyFont="1"/>
    <xf numFmtId="0" fontId="18" fillId="2" borderId="60" xfId="0" applyFont="1" applyFill="1" applyBorder="1"/>
    <xf numFmtId="0" fontId="18" fillId="2" borderId="56" xfId="0" applyFont="1" applyFill="1" applyBorder="1" applyAlignment="1">
      <alignment horizontal="center"/>
    </xf>
    <xf numFmtId="8" fontId="19" fillId="0" borderId="66" xfId="0" applyNumberFormat="1" applyFont="1" applyBorder="1"/>
    <xf numFmtId="7" fontId="18" fillId="2" borderId="57" xfId="2" applyNumberFormat="1" applyFont="1" applyFill="1" applyBorder="1"/>
    <xf numFmtId="166" fontId="23" fillId="0" borderId="0" xfId="0" applyNumberFormat="1" applyFont="1"/>
    <xf numFmtId="165" fontId="19" fillId="0" borderId="0" xfId="0" applyNumberFormat="1" applyFont="1"/>
    <xf numFmtId="0" fontId="19" fillId="0" borderId="0" xfId="1" applyNumberFormat="1" applyFont="1"/>
    <xf numFmtId="2" fontId="19" fillId="0" borderId="0" xfId="0" applyNumberFormat="1" applyFont="1"/>
    <xf numFmtId="7" fontId="0" fillId="0" borderId="0" xfId="0" applyNumberFormat="1"/>
    <xf numFmtId="168" fontId="0" fillId="0" borderId="0" xfId="0" applyNumberFormat="1"/>
    <xf numFmtId="0" fontId="3" fillId="0" borderId="5" xfId="0" applyFont="1" applyBorder="1" applyAlignment="1">
      <alignment horizontal="center"/>
    </xf>
    <xf numFmtId="10" fontId="19" fillId="0" borderId="0" xfId="0" applyNumberFormat="1" applyFont="1" applyAlignment="1">
      <alignment horizontal="center"/>
    </xf>
    <xf numFmtId="8" fontId="19" fillId="0" borderId="0" xfId="0" applyNumberFormat="1" applyFont="1" applyAlignment="1">
      <alignment horizontal="center"/>
    </xf>
    <xf numFmtId="171" fontId="0" fillId="0" borderId="0" xfId="0" applyNumberFormat="1"/>
    <xf numFmtId="3" fontId="25" fillId="0" borderId="0" xfId="0" applyNumberFormat="1" applyFont="1"/>
    <xf numFmtId="9" fontId="0" fillId="0" borderId="0" xfId="1" applyFont="1"/>
    <xf numFmtId="0" fontId="3" fillId="0" borderId="0" xfId="0" applyFont="1"/>
    <xf numFmtId="0" fontId="19" fillId="0" borderId="35" xfId="0" applyFont="1" applyBorder="1"/>
    <xf numFmtId="164" fontId="19" fillId="0" borderId="5" xfId="0" applyNumberFormat="1" applyFont="1" applyBorder="1"/>
    <xf numFmtId="0" fontId="19" fillId="0" borderId="88" xfId="0" applyFont="1" applyBorder="1"/>
    <xf numFmtId="0" fontId="19" fillId="0" borderId="95" xfId="0" applyFont="1" applyBorder="1"/>
    <xf numFmtId="0" fontId="19" fillId="0" borderId="1" xfId="0" applyFont="1" applyBorder="1"/>
    <xf numFmtId="164" fontId="19" fillId="0" borderId="1" xfId="0" applyNumberFormat="1" applyFont="1" applyBorder="1"/>
    <xf numFmtId="0" fontId="19" fillId="0" borderId="0" xfId="0" applyFont="1" applyAlignment="1">
      <alignment horizontal="center" vertical="center"/>
    </xf>
    <xf numFmtId="0" fontId="19" fillId="0" borderId="98" xfId="0" applyFont="1" applyBorder="1" applyAlignment="1">
      <alignment horizontal="center" vertical="center"/>
    </xf>
    <xf numFmtId="0" fontId="19" fillId="0" borderId="96" xfId="0" applyFont="1" applyBorder="1" applyAlignment="1">
      <alignment horizontal="center" vertical="center"/>
    </xf>
    <xf numFmtId="0" fontId="20" fillId="0" borderId="0" xfId="0" applyFont="1"/>
    <xf numFmtId="173" fontId="19" fillId="0" borderId="0" xfId="1" applyNumberFormat="1" applyFont="1" applyFill="1"/>
    <xf numFmtId="9" fontId="19" fillId="0" borderId="0" xfId="0" applyNumberFormat="1" applyFont="1"/>
    <xf numFmtId="10" fontId="19" fillId="0" borderId="0" xfId="1" applyNumberFormat="1" applyFont="1" applyFill="1" applyBorder="1"/>
    <xf numFmtId="10" fontId="19" fillId="0" borderId="0" xfId="1" applyNumberFormat="1" applyFont="1" applyFill="1" applyBorder="1" applyAlignment="1">
      <alignment horizontal="center" vertical="center"/>
    </xf>
    <xf numFmtId="9" fontId="19" fillId="0" borderId="0" xfId="1" applyFont="1" applyFill="1" applyBorder="1"/>
    <xf numFmtId="0" fontId="19" fillId="0" borderId="5" xfId="0" applyFont="1" applyBorder="1" applyAlignment="1">
      <alignment horizontal="center" vertical="center"/>
    </xf>
    <xf numFmtId="0" fontId="20" fillId="0" borderId="0" xfId="0" applyFont="1" applyAlignment="1">
      <alignment horizontal="center" vertical="center"/>
    </xf>
    <xf numFmtId="0" fontId="18" fillId="2" borderId="88" xfId="0" applyFont="1" applyFill="1" applyBorder="1" applyAlignment="1">
      <alignment horizontal="center"/>
    </xf>
    <xf numFmtId="0" fontId="18" fillId="2" borderId="87" xfId="0" applyFont="1" applyFill="1" applyBorder="1" applyAlignment="1">
      <alignment horizontal="center"/>
    </xf>
    <xf numFmtId="0" fontId="0" fillId="0" borderId="0" xfId="0" applyAlignment="1">
      <alignment horizontal="center"/>
    </xf>
    <xf numFmtId="10" fontId="0" fillId="0" borderId="0" xfId="0" applyNumberFormat="1"/>
    <xf numFmtId="0" fontId="3" fillId="0" borderId="0" xfId="0" applyFont="1" applyAlignment="1">
      <alignment horizontal="center"/>
    </xf>
    <xf numFmtId="2" fontId="0" fillId="0" borderId="0" xfId="0" applyNumberFormat="1"/>
    <xf numFmtId="173" fontId="0" fillId="0" borderId="0" xfId="0" applyNumberFormat="1"/>
    <xf numFmtId="8" fontId="0" fillId="0" borderId="0" xfId="0" applyNumberFormat="1"/>
    <xf numFmtId="173" fontId="0" fillId="0" borderId="0" xfId="1" applyNumberFormat="1" applyFont="1" applyAlignment="1">
      <alignment vertical="center"/>
    </xf>
    <xf numFmtId="6" fontId="0" fillId="0" borderId="0" xfId="0" applyNumberFormat="1"/>
    <xf numFmtId="0" fontId="3" fillId="0" borderId="0" xfId="0" applyFont="1" applyAlignment="1">
      <alignment vertical="center"/>
    </xf>
    <xf numFmtId="8" fontId="14" fillId="0" borderId="0" xfId="0" applyNumberFormat="1" applyFont="1"/>
    <xf numFmtId="0" fontId="31" fillId="2" borderId="0" xfId="0" applyFont="1" applyFill="1"/>
    <xf numFmtId="4" fontId="0" fillId="0" borderId="0" xfId="0" applyNumberFormat="1"/>
    <xf numFmtId="171" fontId="32" fillId="6" borderId="0" xfId="0" applyNumberFormat="1" applyFont="1" applyFill="1"/>
    <xf numFmtId="0" fontId="24" fillId="6" borderId="0" xfId="0" applyFont="1" applyFill="1"/>
    <xf numFmtId="0" fontId="32" fillId="6" borderId="0" xfId="0" applyFont="1" applyFill="1"/>
    <xf numFmtId="0" fontId="27" fillId="0" borderId="0" xfId="0" applyFont="1"/>
    <xf numFmtId="0" fontId="21" fillId="2" borderId="0" xfId="0" applyFont="1" applyFill="1"/>
    <xf numFmtId="44" fontId="19" fillId="0" borderId="0" xfId="0" applyNumberFormat="1" applyFont="1"/>
    <xf numFmtId="44" fontId="19" fillId="0" borderId="0" xfId="3" applyFont="1"/>
    <xf numFmtId="0" fontId="0" fillId="6" borderId="0" xfId="0" applyFill="1"/>
    <xf numFmtId="0" fontId="19" fillId="6" borderId="0" xfId="0" applyFont="1" applyFill="1"/>
    <xf numFmtId="8" fontId="0" fillId="0" borderId="0" xfId="0" applyNumberFormat="1" applyAlignment="1">
      <alignment horizontal="center"/>
    </xf>
    <xf numFmtId="0" fontId="41" fillId="2" borderId="56" xfId="0" applyFont="1" applyFill="1" applyBorder="1" applyAlignment="1">
      <alignment horizontal="center"/>
    </xf>
    <xf numFmtId="0" fontId="42" fillId="0" borderId="0" xfId="0" applyFont="1"/>
    <xf numFmtId="178" fontId="42" fillId="0" borderId="0" xfId="6" applyNumberFormat="1" applyFont="1"/>
    <xf numFmtId="43" fontId="0" fillId="0" borderId="0" xfId="0" applyNumberFormat="1"/>
    <xf numFmtId="167" fontId="0" fillId="0" borderId="0" xfId="1" applyNumberFormat="1" applyFont="1"/>
    <xf numFmtId="0" fontId="14" fillId="0" borderId="0" xfId="0" applyFont="1"/>
    <xf numFmtId="0" fontId="3" fillId="0" borderId="5" xfId="0" applyFont="1" applyBorder="1"/>
    <xf numFmtId="1" fontId="0" fillId="0" borderId="0" xfId="0" applyNumberFormat="1"/>
    <xf numFmtId="8" fontId="19" fillId="0" borderId="5" xfId="0" applyNumberFormat="1" applyFont="1" applyBorder="1" applyAlignment="1">
      <alignment horizontal="center" vertical="center"/>
    </xf>
    <xf numFmtId="8" fontId="20" fillId="0" borderId="5" xfId="0" applyNumberFormat="1" applyFont="1" applyBorder="1" applyAlignment="1">
      <alignment horizontal="center" vertical="center"/>
    </xf>
    <xf numFmtId="179" fontId="0" fillId="0" borderId="0" xfId="1" applyNumberFormat="1" applyFont="1"/>
    <xf numFmtId="8" fontId="0" fillId="0" borderId="5" xfId="0" applyNumberFormat="1" applyBorder="1"/>
    <xf numFmtId="0" fontId="4" fillId="2" borderId="53" xfId="0" applyFont="1" applyFill="1" applyBorder="1" applyAlignment="1">
      <alignment horizontal="center"/>
    </xf>
    <xf numFmtId="0" fontId="4" fillId="2" borderId="54" xfId="0" applyFont="1" applyFill="1" applyBorder="1" applyAlignment="1">
      <alignment horizontal="center"/>
    </xf>
    <xf numFmtId="0" fontId="3" fillId="0" borderId="48" xfId="0" applyFont="1" applyBorder="1"/>
    <xf numFmtId="0" fontId="3" fillId="0" borderId="49" xfId="0" applyFont="1" applyBorder="1"/>
    <xf numFmtId="0" fontId="3" fillId="0" borderId="2" xfId="0" applyFont="1" applyBorder="1" applyAlignment="1">
      <alignment horizontal="center"/>
    </xf>
    <xf numFmtId="0" fontId="3" fillId="6" borderId="48" xfId="0" applyFont="1" applyFill="1" applyBorder="1"/>
    <xf numFmtId="0" fontId="3" fillId="0" borderId="48" xfId="0" applyFont="1" applyBorder="1" applyAlignment="1">
      <alignment horizontal="center" vertical="center"/>
    </xf>
    <xf numFmtId="0" fontId="3" fillId="0" borderId="74" xfId="0" applyFont="1" applyBorder="1"/>
    <xf numFmtId="0" fontId="3" fillId="0" borderId="50" xfId="0" applyFont="1" applyBorder="1"/>
    <xf numFmtId="0" fontId="3" fillId="0" borderId="51" xfId="0" applyFont="1" applyBorder="1" applyAlignment="1">
      <alignment horizontal="center"/>
    </xf>
    <xf numFmtId="0" fontId="3" fillId="0" borderId="0" xfId="0" applyFont="1" applyAlignment="1">
      <alignment horizontal="left"/>
    </xf>
    <xf numFmtId="0" fontId="4" fillId="2" borderId="55" xfId="0" applyFont="1" applyFill="1" applyBorder="1" applyAlignment="1">
      <alignment horizontal="left" vertical="center" readingOrder="1"/>
    </xf>
    <xf numFmtId="0" fontId="0" fillId="0" borderId="48" xfId="0" applyBorder="1"/>
    <xf numFmtId="0" fontId="0" fillId="6" borderId="48" xfId="0" applyFill="1" applyBorder="1"/>
    <xf numFmtId="0" fontId="3" fillId="6" borderId="48" xfId="0" applyFont="1" applyFill="1" applyBorder="1" applyAlignment="1">
      <alignment horizontal="center"/>
    </xf>
    <xf numFmtId="0" fontId="5" fillId="6" borderId="48" xfId="0" applyFont="1" applyFill="1" applyBorder="1"/>
    <xf numFmtId="0" fontId="0" fillId="0" borderId="47" xfId="0" applyBorder="1"/>
    <xf numFmtId="0" fontId="0" fillId="0" borderId="69" xfId="0" applyBorder="1"/>
    <xf numFmtId="8" fontId="0" fillId="0" borderId="69" xfId="0" applyNumberFormat="1" applyBorder="1"/>
    <xf numFmtId="0" fontId="46" fillId="0" borderId="48" xfId="0" applyFont="1" applyBorder="1" applyAlignment="1">
      <alignment horizontal="left" vertical="center" readingOrder="1"/>
    </xf>
    <xf numFmtId="10" fontId="27" fillId="0" borderId="0" xfId="0" applyNumberFormat="1" applyFont="1"/>
    <xf numFmtId="180" fontId="27" fillId="0" borderId="0" xfId="0" applyNumberFormat="1" applyFont="1"/>
    <xf numFmtId="2" fontId="8" fillId="0" borderId="21" xfId="0" applyNumberFormat="1" applyFont="1" applyBorder="1" applyAlignment="1">
      <alignment horizontal="center" vertical="center"/>
    </xf>
    <xf numFmtId="2" fontId="8" fillId="0" borderId="22" xfId="0" applyNumberFormat="1" applyFont="1" applyBorder="1" applyAlignment="1">
      <alignment horizontal="center" vertical="center"/>
    </xf>
    <xf numFmtId="0" fontId="31" fillId="2" borderId="0" xfId="0" applyFont="1" applyFill="1" applyAlignment="1">
      <alignment horizontal="center"/>
    </xf>
    <xf numFmtId="0" fontId="4" fillId="2" borderId="5" xfId="0" applyFont="1" applyFill="1" applyBorder="1" applyAlignment="1">
      <alignment vertical="center"/>
    </xf>
    <xf numFmtId="0" fontId="4" fillId="2" borderId="5" xfId="0" applyFont="1" applyFill="1" applyBorder="1" applyAlignment="1">
      <alignment horizontal="center" vertical="center"/>
    </xf>
    <xf numFmtId="0" fontId="21" fillId="2" borderId="5" xfId="0" applyFont="1" applyFill="1" applyBorder="1" applyAlignment="1">
      <alignment horizontal="center"/>
    </xf>
    <xf numFmtId="0" fontId="21" fillId="2" borderId="5" xfId="0" applyFont="1" applyFill="1" applyBorder="1"/>
    <xf numFmtId="0" fontId="18" fillId="2" borderId="127" xfId="0" applyFont="1" applyFill="1" applyBorder="1" applyAlignment="1">
      <alignment horizontal="center"/>
    </xf>
    <xf numFmtId="0" fontId="18" fillId="2" borderId="111" xfId="0" applyFont="1" applyFill="1" applyBorder="1" applyAlignment="1">
      <alignment horizontal="center"/>
    </xf>
    <xf numFmtId="0" fontId="18" fillId="2" borderId="109" xfId="0" applyFont="1" applyFill="1" applyBorder="1" applyAlignment="1">
      <alignment horizontal="center"/>
    </xf>
    <xf numFmtId="44" fontId="0" fillId="0" borderId="0" xfId="0" applyNumberFormat="1"/>
    <xf numFmtId="0" fontId="0" fillId="0" borderId="2" xfId="0" applyBorder="1"/>
    <xf numFmtId="3" fontId="0" fillId="0" borderId="5" xfId="0" applyNumberFormat="1" applyBorder="1"/>
    <xf numFmtId="0" fontId="4" fillId="6" borderId="5" xfId="0" applyFont="1" applyFill="1" applyBorder="1" applyAlignment="1">
      <alignment horizontal="center"/>
    </xf>
    <xf numFmtId="0" fontId="18" fillId="2" borderId="5" xfId="0" applyFont="1" applyFill="1" applyBorder="1" applyAlignment="1">
      <alignment horizontal="center"/>
    </xf>
    <xf numFmtId="0" fontId="0" fillId="0" borderId="2" xfId="0" applyBorder="1" applyAlignment="1">
      <alignment horizontal="center"/>
    </xf>
    <xf numFmtId="0" fontId="27" fillId="0" borderId="2" xfId="0" applyFont="1" applyBorder="1" applyAlignment="1">
      <alignment horizontal="left" vertical="center" indent="1"/>
    </xf>
    <xf numFmtId="0" fontId="27" fillId="0" borderId="2" xfId="0" applyFont="1" applyBorder="1" applyAlignment="1">
      <alignment horizontal="center" vertical="center"/>
    </xf>
    <xf numFmtId="6" fontId="27" fillId="0" borderId="2" xfId="0" applyNumberFormat="1" applyFont="1" applyBorder="1" applyAlignment="1">
      <alignment horizontal="center" vertical="center"/>
    </xf>
    <xf numFmtId="2" fontId="0" fillId="10" borderId="2" xfId="0" applyNumberFormat="1" applyFill="1" applyBorder="1"/>
    <xf numFmtId="10" fontId="0" fillId="10" borderId="2" xfId="0" applyNumberFormat="1" applyFill="1" applyBorder="1"/>
    <xf numFmtId="4" fontId="27" fillId="10" borderId="2" xfId="0" applyNumberFormat="1" applyFont="1" applyFill="1" applyBorder="1" applyAlignment="1">
      <alignment vertical="center"/>
    </xf>
    <xf numFmtId="10" fontId="27" fillId="10" borderId="2" xfId="0" applyNumberFormat="1" applyFont="1" applyFill="1" applyBorder="1" applyAlignment="1">
      <alignment vertical="center"/>
    </xf>
    <xf numFmtId="0" fontId="0" fillId="10" borderId="0" xfId="0" applyFill="1"/>
    <xf numFmtId="8" fontId="0" fillId="10" borderId="5" xfId="0" applyNumberFormat="1" applyFill="1" applyBorder="1"/>
    <xf numFmtId="8" fontId="0" fillId="10" borderId="47" xfId="0" applyNumberFormat="1" applyFill="1" applyBorder="1"/>
    <xf numFmtId="8" fontId="3" fillId="10" borderId="5" xfId="0" applyNumberFormat="1" applyFont="1" applyFill="1" applyBorder="1"/>
    <xf numFmtId="0" fontId="0" fillId="10" borderId="5" xfId="0" applyFill="1" applyBorder="1"/>
    <xf numFmtId="0" fontId="19" fillId="0" borderId="5" xfId="0" applyFont="1" applyBorder="1" applyAlignment="1">
      <alignment horizontal="center"/>
    </xf>
    <xf numFmtId="178" fontId="0" fillId="0" borderId="0" xfId="0" applyNumberFormat="1"/>
    <xf numFmtId="8" fontId="19" fillId="10" borderId="5" xfId="0" applyNumberFormat="1" applyFont="1" applyFill="1" applyBorder="1"/>
    <xf numFmtId="8" fontId="19" fillId="10" borderId="66" xfId="0" applyNumberFormat="1" applyFont="1" applyFill="1" applyBorder="1"/>
    <xf numFmtId="178" fontId="43" fillId="10" borderId="5" xfId="0" applyNumberFormat="1" applyFont="1" applyFill="1" applyBorder="1"/>
    <xf numFmtId="178" fontId="42" fillId="10" borderId="5" xfId="6" applyNumberFormat="1" applyFont="1" applyFill="1" applyBorder="1"/>
    <xf numFmtId="10" fontId="0" fillId="10" borderId="5" xfId="1" applyNumberFormat="1" applyFont="1" applyFill="1" applyBorder="1"/>
    <xf numFmtId="0" fontId="43" fillId="0" borderId="5" xfId="0" applyFont="1" applyBorder="1"/>
    <xf numFmtId="0" fontId="42" fillId="0" borderId="5" xfId="0" applyFont="1" applyBorder="1"/>
    <xf numFmtId="0" fontId="44" fillId="0" borderId="5" xfId="7" applyFont="1" applyBorder="1" applyAlignment="1">
      <alignment horizontal="left" vertical="center" indent="2"/>
    </xf>
    <xf numFmtId="0" fontId="45" fillId="0" borderId="5" xfId="7" applyFont="1" applyBorder="1" applyAlignment="1">
      <alignment horizontal="left" vertical="center" indent="2"/>
    </xf>
    <xf numFmtId="178" fontId="42" fillId="0" borderId="5" xfId="6" applyNumberFormat="1" applyFont="1" applyFill="1" applyBorder="1"/>
    <xf numFmtId="164" fontId="20" fillId="10" borderId="5" xfId="0" applyNumberFormat="1" applyFont="1" applyFill="1" applyBorder="1"/>
    <xf numFmtId="0" fontId="8" fillId="0" borderId="26" xfId="0" applyFont="1" applyBorder="1" applyAlignment="1">
      <alignment horizontal="center" vertical="center"/>
    </xf>
    <xf numFmtId="0" fontId="7" fillId="0" borderId="21" xfId="0" applyFont="1" applyBorder="1" applyAlignment="1">
      <alignment horizontal="center" vertical="center"/>
    </xf>
    <xf numFmtId="0" fontId="10" fillId="0" borderId="26" xfId="0" applyFont="1" applyBorder="1" applyAlignment="1">
      <alignment horizontal="center" vertical="center" wrapText="1"/>
    </xf>
    <xf numFmtId="2" fontId="12" fillId="10" borderId="21" xfId="0" applyNumberFormat="1" applyFont="1" applyFill="1" applyBorder="1" applyAlignment="1">
      <alignment horizontal="center" vertical="center"/>
    </xf>
    <xf numFmtId="2" fontId="12" fillId="10" borderId="22" xfId="0" applyNumberFormat="1" applyFont="1" applyFill="1" applyBorder="1" applyAlignment="1">
      <alignment horizontal="center" vertical="center"/>
    </xf>
    <xf numFmtId="2" fontId="12" fillId="10" borderId="5" xfId="0" applyNumberFormat="1" applyFont="1" applyFill="1" applyBorder="1" applyAlignment="1">
      <alignment horizontal="center" vertical="center"/>
    </xf>
    <xf numFmtId="2" fontId="12" fillId="10" borderId="27" xfId="0" applyNumberFormat="1" applyFont="1" applyFill="1" applyBorder="1" applyAlignment="1">
      <alignment horizontal="center" vertical="center"/>
    </xf>
    <xf numFmtId="2" fontId="12" fillId="10" borderId="17" xfId="0" applyNumberFormat="1" applyFont="1" applyFill="1" applyBorder="1" applyAlignment="1">
      <alignment horizontal="center" vertical="center"/>
    </xf>
    <xf numFmtId="2" fontId="12" fillId="10" borderId="32" xfId="0" applyNumberFormat="1" applyFont="1" applyFill="1" applyBorder="1" applyAlignment="1">
      <alignment horizontal="center" vertical="center"/>
    </xf>
    <xf numFmtId="2" fontId="12" fillId="10" borderId="119" xfId="0" applyNumberFormat="1" applyFont="1" applyFill="1" applyBorder="1" applyAlignment="1">
      <alignment horizontal="center" vertical="center"/>
    </xf>
    <xf numFmtId="0" fontId="7" fillId="10" borderId="5" xfId="0" applyFont="1" applyFill="1" applyBorder="1" applyAlignment="1">
      <alignment horizontal="center" vertical="center"/>
    </xf>
    <xf numFmtId="9" fontId="24" fillId="12" borderId="5" xfId="1" applyFont="1" applyFill="1" applyBorder="1" applyAlignment="1">
      <alignment horizontal="center" vertical="center"/>
    </xf>
    <xf numFmtId="9" fontId="24" fillId="12" borderId="31" xfId="1" applyFont="1" applyFill="1" applyBorder="1" applyAlignment="1">
      <alignment horizontal="center" vertical="center"/>
    </xf>
    <xf numFmtId="0" fontId="7" fillId="12" borderId="21" xfId="0" applyFont="1" applyFill="1" applyBorder="1" applyAlignment="1">
      <alignment horizontal="center" vertical="center"/>
    </xf>
    <xf numFmtId="0" fontId="7" fillId="12" borderId="5" xfId="0" applyFont="1" applyFill="1" applyBorder="1" applyAlignment="1">
      <alignment horizontal="center" vertical="center"/>
    </xf>
    <xf numFmtId="0" fontId="7" fillId="11" borderId="23" xfId="0" applyFont="1" applyFill="1" applyBorder="1" applyAlignment="1">
      <alignment horizontal="center" vertical="center"/>
    </xf>
    <xf numFmtId="0" fontId="7" fillId="11" borderId="24" xfId="0" applyFont="1" applyFill="1" applyBorder="1" applyAlignment="1">
      <alignment horizontal="center" vertical="center"/>
    </xf>
    <xf numFmtId="0" fontId="7" fillId="10" borderId="28" xfId="0" applyFont="1" applyFill="1" applyBorder="1" applyAlignment="1">
      <alignment horizontal="center" vertical="center"/>
    </xf>
    <xf numFmtId="0" fontId="7" fillId="11" borderId="28" xfId="0" applyFont="1" applyFill="1" applyBorder="1" applyAlignment="1">
      <alignment horizontal="center" vertical="center"/>
    </xf>
    <xf numFmtId="0" fontId="7" fillId="11" borderId="5" xfId="0" applyFont="1" applyFill="1" applyBorder="1" applyAlignment="1">
      <alignment horizontal="center" vertical="center"/>
    </xf>
    <xf numFmtId="170" fontId="7" fillId="10" borderId="24" xfId="0" applyNumberFormat="1" applyFont="1" applyFill="1" applyBorder="1" applyAlignment="1">
      <alignment horizontal="center"/>
    </xf>
    <xf numFmtId="164" fontId="7" fillId="10" borderId="28" xfId="0" applyNumberFormat="1" applyFont="1" applyFill="1" applyBorder="1"/>
    <xf numFmtId="164" fontId="7" fillId="10" borderId="5" xfId="0" applyNumberFormat="1" applyFont="1" applyFill="1" applyBorder="1"/>
    <xf numFmtId="10" fontId="7" fillId="10" borderId="5" xfId="1" applyNumberFormat="1" applyFont="1" applyFill="1" applyBorder="1"/>
    <xf numFmtId="170" fontId="7" fillId="10" borderId="5" xfId="0" applyNumberFormat="1" applyFont="1" applyFill="1" applyBorder="1" applyAlignment="1">
      <alignment horizontal="center"/>
    </xf>
    <xf numFmtId="170" fontId="24" fillId="10" borderId="5" xfId="0" applyNumberFormat="1" applyFont="1" applyFill="1" applyBorder="1" applyAlignment="1">
      <alignment horizontal="center"/>
    </xf>
    <xf numFmtId="164" fontId="24" fillId="10" borderId="28" xfId="0" applyNumberFormat="1" applyFont="1" applyFill="1" applyBorder="1"/>
    <xf numFmtId="164" fontId="24" fillId="10" borderId="5" xfId="0" applyNumberFormat="1" applyFont="1" applyFill="1" applyBorder="1"/>
    <xf numFmtId="10" fontId="24" fillId="10" borderId="5" xfId="1" applyNumberFormat="1" applyFont="1" applyFill="1" applyBorder="1"/>
    <xf numFmtId="170" fontId="7" fillId="10" borderId="17" xfId="0" applyNumberFormat="1" applyFont="1" applyFill="1" applyBorder="1" applyAlignment="1">
      <alignment horizontal="center"/>
    </xf>
    <xf numFmtId="10" fontId="7" fillId="10" borderId="17" xfId="1" applyNumberFormat="1" applyFont="1" applyFill="1" applyBorder="1"/>
    <xf numFmtId="10" fontId="8" fillId="11" borderId="43" xfId="1" applyNumberFormat="1" applyFont="1" applyFill="1" applyBorder="1" applyAlignment="1">
      <alignment horizontal="center"/>
    </xf>
    <xf numFmtId="3" fontId="8" fillId="11" borderId="39" xfId="0" applyNumberFormat="1" applyFont="1" applyFill="1" applyBorder="1" applyAlignment="1">
      <alignment horizontal="center"/>
    </xf>
    <xf numFmtId="3" fontId="13" fillId="11" borderId="39" xfId="0" applyNumberFormat="1" applyFont="1" applyFill="1" applyBorder="1" applyAlignment="1">
      <alignment horizontal="center"/>
    </xf>
    <xf numFmtId="10" fontId="8" fillId="11" borderId="39" xfId="1" applyNumberFormat="1" applyFont="1" applyFill="1" applyBorder="1" applyAlignment="1">
      <alignment horizontal="center" vertical="center"/>
    </xf>
    <xf numFmtId="3" fontId="13" fillId="11" borderId="38" xfId="0" applyNumberFormat="1" applyFont="1" applyFill="1" applyBorder="1" applyAlignment="1">
      <alignment horizontal="center"/>
    </xf>
    <xf numFmtId="164" fontId="8" fillId="11" borderId="43" xfId="0" applyNumberFormat="1" applyFont="1" applyFill="1" applyBorder="1"/>
    <xf numFmtId="164" fontId="8" fillId="11" borderId="13" xfId="0" applyNumberFormat="1" applyFont="1" applyFill="1" applyBorder="1"/>
    <xf numFmtId="10" fontId="8" fillId="11" borderId="15" xfId="1" applyNumberFormat="1" applyFont="1" applyFill="1" applyBorder="1"/>
    <xf numFmtId="10" fontId="8" fillId="11" borderId="40" xfId="1" applyNumberFormat="1" applyFont="1" applyFill="1" applyBorder="1"/>
    <xf numFmtId="3" fontId="7" fillId="10" borderId="5" xfId="1" applyNumberFormat="1" applyFont="1" applyFill="1" applyBorder="1" applyAlignment="1">
      <alignment horizontal="center" vertical="center"/>
    </xf>
    <xf numFmtId="165" fontId="7" fillId="10" borderId="5" xfId="1" applyNumberFormat="1" applyFont="1" applyFill="1" applyBorder="1" applyAlignment="1">
      <alignment horizontal="center" vertical="center"/>
    </xf>
    <xf numFmtId="9" fontId="7" fillId="10" borderId="5" xfId="1" applyFont="1" applyFill="1" applyBorder="1" applyAlignment="1">
      <alignment horizontal="center" vertical="center"/>
    </xf>
    <xf numFmtId="164" fontId="12" fillId="10" borderId="5" xfId="0" applyNumberFormat="1" applyFont="1" applyFill="1" applyBorder="1" applyAlignment="1">
      <alignment horizontal="center" vertical="center"/>
    </xf>
    <xf numFmtId="164" fontId="12" fillId="10" borderId="27" xfId="0" applyNumberFormat="1" applyFont="1" applyFill="1" applyBorder="1" applyAlignment="1">
      <alignment horizontal="center" vertical="center"/>
    </xf>
    <xf numFmtId="0" fontId="18" fillId="2" borderId="5" xfId="0" applyFont="1" applyFill="1" applyBorder="1" applyAlignment="1">
      <alignment horizontal="left" vertical="center" wrapText="1" readingOrder="1"/>
    </xf>
    <xf numFmtId="8" fontId="20" fillId="10" borderId="5" xfId="0" applyNumberFormat="1" applyFont="1" applyFill="1" applyBorder="1" applyAlignment="1">
      <alignment horizontal="center" vertical="center"/>
    </xf>
    <xf numFmtId="164" fontId="20" fillId="10" borderId="5" xfId="0" applyNumberFormat="1" applyFont="1" applyFill="1" applyBorder="1" applyAlignment="1">
      <alignment horizontal="center" vertical="center"/>
    </xf>
    <xf numFmtId="9" fontId="20" fillId="10" borderId="5" xfId="0" applyNumberFormat="1" applyFont="1" applyFill="1" applyBorder="1"/>
    <xf numFmtId="9" fontId="20" fillId="10" borderId="5" xfId="0" applyNumberFormat="1" applyFont="1" applyFill="1" applyBorder="1" applyAlignment="1">
      <alignment horizontal="center" vertical="center"/>
    </xf>
    <xf numFmtId="0" fontId="0" fillId="12" borderId="0" xfId="0" applyFill="1"/>
    <xf numFmtId="9" fontId="9" fillId="12" borderId="120" xfId="1" applyFont="1" applyFill="1" applyBorder="1" applyAlignment="1">
      <alignment horizontal="center" vertical="center" wrapText="1"/>
    </xf>
    <xf numFmtId="9" fontId="24" fillId="12" borderId="21" xfId="1" applyFont="1" applyFill="1" applyBorder="1" applyAlignment="1">
      <alignment horizontal="center" vertical="center"/>
    </xf>
    <xf numFmtId="8" fontId="19" fillId="10" borderId="96" xfId="0" applyNumberFormat="1" applyFont="1" applyFill="1" applyBorder="1"/>
    <xf numFmtId="8" fontId="19" fillId="10" borderId="88" xfId="0" applyNumberFormat="1" applyFont="1" applyFill="1" applyBorder="1"/>
    <xf numFmtId="8" fontId="19" fillId="10" borderId="87" xfId="0" applyNumberFormat="1" applyFont="1" applyFill="1" applyBorder="1"/>
    <xf numFmtId="8" fontId="19" fillId="10" borderId="65" xfId="0" applyNumberFormat="1" applyFont="1" applyFill="1" applyBorder="1"/>
    <xf numFmtId="8" fontId="19" fillId="10" borderId="94" xfId="0" applyNumberFormat="1" applyFont="1" applyFill="1" applyBorder="1"/>
    <xf numFmtId="8" fontId="19" fillId="10" borderId="91" xfId="0" applyNumberFormat="1" applyFont="1" applyFill="1" applyBorder="1"/>
    <xf numFmtId="8" fontId="19" fillId="10" borderId="90" xfId="0" applyNumberFormat="1" applyFont="1" applyFill="1" applyBorder="1"/>
    <xf numFmtId="8" fontId="20" fillId="10" borderId="93" xfId="0" applyNumberFormat="1" applyFont="1" applyFill="1" applyBorder="1"/>
    <xf numFmtId="8" fontId="19" fillId="10" borderId="97" xfId="0" applyNumberFormat="1" applyFont="1" applyFill="1" applyBorder="1"/>
    <xf numFmtId="8" fontId="19" fillId="10" borderId="92" xfId="0" applyNumberFormat="1" applyFont="1" applyFill="1" applyBorder="1"/>
    <xf numFmtId="8" fontId="19" fillId="10" borderId="93" xfId="0" applyNumberFormat="1" applyFont="1" applyFill="1" applyBorder="1"/>
    <xf numFmtId="8" fontId="19" fillId="0" borderId="96" xfId="0" applyNumberFormat="1" applyFont="1" applyBorder="1"/>
    <xf numFmtId="8" fontId="19" fillId="0" borderId="88" xfId="0" applyNumberFormat="1" applyFont="1" applyBorder="1"/>
    <xf numFmtId="8" fontId="19" fillId="0" borderId="87" xfId="0" applyNumberFormat="1" applyFont="1" applyBorder="1"/>
    <xf numFmtId="8" fontId="19" fillId="0" borderId="65" xfId="0" applyNumberFormat="1" applyFont="1" applyBorder="1"/>
    <xf numFmtId="8" fontId="19" fillId="0" borderId="94" xfId="0" applyNumberFormat="1" applyFont="1" applyBorder="1"/>
    <xf numFmtId="8" fontId="19" fillId="0" borderId="91" xfId="0" applyNumberFormat="1" applyFont="1" applyBorder="1"/>
    <xf numFmtId="8" fontId="19" fillId="0" borderId="90" xfId="0" applyNumberFormat="1" applyFont="1" applyBorder="1"/>
    <xf numFmtId="0" fontId="29" fillId="0" borderId="5" xfId="0" applyFont="1" applyBorder="1" applyAlignment="1">
      <alignment horizontal="left" vertical="center" indent="1"/>
    </xf>
    <xf numFmtId="0" fontId="29" fillId="0" borderId="5" xfId="0" applyFont="1" applyBorder="1" applyAlignment="1">
      <alignment horizontal="center" vertical="center"/>
    </xf>
    <xf numFmtId="3" fontId="29" fillId="0" borderId="5" xfId="0" applyNumberFormat="1" applyFont="1" applyBorder="1" applyAlignment="1">
      <alignment horizontal="center" vertical="center"/>
    </xf>
    <xf numFmtId="0" fontId="29" fillId="0" borderId="5" xfId="0" applyFont="1" applyBorder="1" applyAlignment="1">
      <alignment vertical="center"/>
    </xf>
    <xf numFmtId="0" fontId="0" fillId="0" borderId="5" xfId="0" applyBorder="1" applyAlignment="1">
      <alignment horizontal="center"/>
    </xf>
    <xf numFmtId="0" fontId="30" fillId="0" borderId="5" xfId="0" applyFont="1" applyBorder="1" applyAlignment="1">
      <alignment horizontal="left" vertical="center" indent="1"/>
    </xf>
    <xf numFmtId="0" fontId="30" fillId="0" borderId="5" xfId="0" applyFont="1" applyBorder="1" applyAlignment="1">
      <alignment horizontal="center" vertical="center"/>
    </xf>
    <xf numFmtId="4" fontId="29" fillId="10" borderId="5" xfId="0" applyNumberFormat="1" applyFont="1" applyFill="1" applyBorder="1" applyAlignment="1">
      <alignment horizontal="center" vertical="center"/>
    </xf>
    <xf numFmtId="3" fontId="29" fillId="10" borderId="5" xfId="0" applyNumberFormat="1" applyFont="1" applyFill="1" applyBorder="1" applyAlignment="1">
      <alignment horizontal="center" vertical="center"/>
    </xf>
    <xf numFmtId="10" fontId="29" fillId="10" borderId="5" xfId="1" applyNumberFormat="1" applyFont="1" applyFill="1" applyBorder="1" applyAlignment="1">
      <alignment horizontal="center" vertical="center"/>
    </xf>
    <xf numFmtId="3" fontId="0" fillId="10" borderId="5" xfId="0" applyNumberFormat="1" applyFill="1" applyBorder="1"/>
    <xf numFmtId="4" fontId="29" fillId="10" borderId="5" xfId="3" applyNumberFormat="1" applyFont="1" applyFill="1" applyBorder="1" applyAlignment="1">
      <alignment horizontal="center" vertical="center"/>
    </xf>
    <xf numFmtId="44" fontId="30" fillId="10" borderId="5" xfId="3" applyFont="1" applyFill="1" applyBorder="1" applyAlignment="1">
      <alignment horizontal="center" vertical="center"/>
    </xf>
    <xf numFmtId="8" fontId="39" fillId="10" borderId="5" xfId="0" applyNumberFormat="1" applyFont="1" applyFill="1" applyBorder="1"/>
    <xf numFmtId="0" fontId="39" fillId="10" borderId="5" xfId="0" applyFont="1" applyFill="1" applyBorder="1"/>
    <xf numFmtId="8" fontId="32" fillId="10" borderId="5" xfId="0" applyNumberFormat="1" applyFont="1" applyFill="1" applyBorder="1"/>
    <xf numFmtId="172" fontId="19" fillId="10" borderId="5" xfId="0" applyNumberFormat="1" applyFont="1" applyFill="1" applyBorder="1"/>
    <xf numFmtId="3" fontId="19" fillId="10" borderId="5" xfId="0" applyNumberFormat="1" applyFont="1" applyFill="1" applyBorder="1"/>
    <xf numFmtId="9" fontId="19" fillId="10" borderId="5" xfId="1" applyFont="1" applyFill="1" applyBorder="1"/>
    <xf numFmtId="44" fontId="19" fillId="10" borderId="5" xfId="3" applyFont="1" applyFill="1" applyBorder="1"/>
    <xf numFmtId="175" fontId="20" fillId="10" borderId="5" xfId="0" applyNumberFormat="1" applyFont="1" applyFill="1" applyBorder="1"/>
    <xf numFmtId="44" fontId="20" fillId="10" borderId="5" xfId="0" applyNumberFormat="1" applyFont="1" applyFill="1" applyBorder="1"/>
    <xf numFmtId="4" fontId="19" fillId="10" borderId="5" xfId="0" applyNumberFormat="1" applyFont="1" applyFill="1" applyBorder="1"/>
    <xf numFmtId="2" fontId="19" fillId="10" borderId="5" xfId="0" applyNumberFormat="1" applyFont="1" applyFill="1" applyBorder="1"/>
    <xf numFmtId="175" fontId="19" fillId="10" borderId="5" xfId="0" applyNumberFormat="1" applyFont="1" applyFill="1" applyBorder="1"/>
    <xf numFmtId="0" fontId="21" fillId="2" borderId="35" xfId="0" applyFont="1" applyFill="1" applyBorder="1"/>
    <xf numFmtId="0" fontId="22" fillId="10" borderId="35" xfId="0" applyFont="1" applyFill="1" applyBorder="1"/>
    <xf numFmtId="173" fontId="0" fillId="0" borderId="5" xfId="1" applyNumberFormat="1" applyFont="1" applyFill="1" applyBorder="1" applyAlignment="1">
      <alignment horizontal="center" vertical="center"/>
    </xf>
    <xf numFmtId="0" fontId="0" fillId="0" borderId="5" xfId="0" applyBorder="1" applyAlignment="1">
      <alignment horizontal="left" vertical="center"/>
    </xf>
    <xf numFmtId="164" fontId="0" fillId="0" borderId="5" xfId="0" applyNumberFormat="1" applyBorder="1"/>
    <xf numFmtId="173" fontId="0" fillId="10" borderId="5" xfId="1" applyNumberFormat="1" applyFont="1" applyFill="1" applyBorder="1" applyAlignment="1">
      <alignment horizontal="center" vertical="center"/>
    </xf>
    <xf numFmtId="0" fontId="0" fillId="0" borderId="1" xfId="0" applyBorder="1"/>
    <xf numFmtId="0" fontId="0" fillId="0" borderId="3" xfId="0" applyBorder="1"/>
    <xf numFmtId="8" fontId="0" fillId="0" borderId="3" xfId="0" applyNumberFormat="1" applyBorder="1"/>
    <xf numFmtId="9" fontId="0" fillId="0" borderId="1" xfId="0" applyNumberFormat="1" applyBorder="1"/>
    <xf numFmtId="9" fontId="0" fillId="0" borderId="3" xfId="0" applyNumberFormat="1" applyBorder="1"/>
    <xf numFmtId="173" fontId="0" fillId="0" borderId="5" xfId="1" applyNumberFormat="1" applyFont="1" applyFill="1" applyBorder="1"/>
    <xf numFmtId="6" fontId="0" fillId="0" borderId="5" xfId="0" applyNumberFormat="1" applyBorder="1"/>
    <xf numFmtId="0" fontId="3" fillId="0" borderId="1" xfId="0" applyFont="1" applyBorder="1" applyAlignment="1">
      <alignment vertical="center"/>
    </xf>
    <xf numFmtId="0" fontId="3" fillId="0" borderId="3" xfId="0" applyFont="1" applyBorder="1" applyAlignment="1">
      <alignment vertical="center"/>
    </xf>
    <xf numFmtId="8" fontId="0" fillId="10" borderId="1" xfId="0" applyNumberFormat="1" applyFill="1" applyBorder="1"/>
    <xf numFmtId="164" fontId="0" fillId="10" borderId="5" xfId="0" applyNumberFormat="1" applyFill="1" applyBorder="1"/>
    <xf numFmtId="174" fontId="0" fillId="10" borderId="5" xfId="1" applyNumberFormat="1" applyFont="1" applyFill="1" applyBorder="1"/>
    <xf numFmtId="0" fontId="36" fillId="0" borderId="112" xfId="0" applyFont="1" applyBorder="1" applyAlignment="1">
      <alignment horizontal="center" vertical="center"/>
    </xf>
    <xf numFmtId="0" fontId="36" fillId="0" borderId="80" xfId="0" applyFont="1" applyBorder="1" applyAlignment="1">
      <alignment horizontal="center" vertical="center"/>
    </xf>
    <xf numFmtId="0" fontId="32" fillId="0" borderId="0" xfId="0" applyFont="1"/>
    <xf numFmtId="164" fontId="36" fillId="0" borderId="104" xfId="0" applyNumberFormat="1" applyFont="1" applyBorder="1"/>
    <xf numFmtId="164" fontId="36" fillId="0" borderId="82" xfId="0" applyNumberFormat="1" applyFont="1" applyBorder="1"/>
    <xf numFmtId="164" fontId="32" fillId="0" borderId="0" xfId="0" applyNumberFormat="1" applyFont="1"/>
    <xf numFmtId="0" fontId="32" fillId="0" borderId="81" xfId="0" applyFont="1" applyBorder="1"/>
    <xf numFmtId="0" fontId="5" fillId="0" borderId="0" xfId="0" applyFont="1" applyAlignment="1">
      <alignment horizontal="center" vertical="center"/>
    </xf>
    <xf numFmtId="0" fontId="2" fillId="0" borderId="0" xfId="0" applyFont="1" applyAlignment="1">
      <alignment horizontal="center" vertical="center"/>
    </xf>
    <xf numFmtId="164" fontId="2" fillId="0" borderId="0" xfId="0" applyNumberFormat="1" applyFont="1"/>
    <xf numFmtId="164" fontId="2" fillId="0" borderId="81" xfId="0" applyNumberFormat="1" applyFont="1" applyBorder="1"/>
    <xf numFmtId="176" fontId="32" fillId="0" borderId="0" xfId="0" applyNumberFormat="1" applyFont="1"/>
    <xf numFmtId="0" fontId="36" fillId="0" borderId="104" xfId="0" applyFont="1" applyBorder="1" applyAlignment="1">
      <alignment horizontal="center" vertical="center"/>
    </xf>
    <xf numFmtId="0" fontId="5" fillId="0" borderId="0" xfId="0" applyFont="1"/>
    <xf numFmtId="10" fontId="36" fillId="0" borderId="104" xfId="0" applyNumberFormat="1" applyFont="1" applyBorder="1"/>
    <xf numFmtId="0" fontId="32" fillId="0" borderId="0" xfId="0" applyFont="1" applyAlignment="1">
      <alignment wrapText="1"/>
    </xf>
    <xf numFmtId="0" fontId="48" fillId="2" borderId="112" xfId="0" applyFont="1" applyFill="1" applyBorder="1" applyAlignment="1">
      <alignment horizontal="center" vertical="center"/>
    </xf>
    <xf numFmtId="0" fontId="48" fillId="2" borderId="80" xfId="0" applyFont="1" applyFill="1" applyBorder="1" applyAlignment="1">
      <alignment horizontal="center" vertical="center"/>
    </xf>
    <xf numFmtId="164" fontId="36" fillId="10" borderId="104" xfId="0" applyNumberFormat="1" applyFont="1" applyFill="1" applyBorder="1"/>
    <xf numFmtId="164" fontId="36" fillId="10" borderId="82" xfId="0" applyNumberFormat="1" applyFont="1" applyFill="1" applyBorder="1"/>
    <xf numFmtId="0" fontId="2" fillId="10" borderId="0" xfId="0" applyFont="1" applyFill="1" applyAlignment="1">
      <alignment horizontal="center" vertical="center"/>
    </xf>
    <xf numFmtId="164" fontId="2" fillId="10" borderId="0" xfId="0" applyNumberFormat="1" applyFont="1" applyFill="1"/>
    <xf numFmtId="164" fontId="2" fillId="10" borderId="81" xfId="0" applyNumberFormat="1" applyFont="1" applyFill="1" applyBorder="1"/>
    <xf numFmtId="0" fontId="36" fillId="10" borderId="104" xfId="0" applyFont="1" applyFill="1" applyBorder="1" applyAlignment="1">
      <alignment horizontal="center" vertical="center"/>
    </xf>
    <xf numFmtId="10" fontId="2" fillId="10" borderId="0" xfId="1" applyNumberFormat="1" applyFont="1" applyFill="1" applyBorder="1"/>
    <xf numFmtId="10" fontId="2" fillId="10" borderId="0" xfId="0" applyNumberFormat="1" applyFont="1" applyFill="1"/>
    <xf numFmtId="0" fontId="30" fillId="0" borderId="0" xfId="0" applyFont="1" applyAlignment="1">
      <alignment horizontal="left" vertical="center" indent="1"/>
    </xf>
    <xf numFmtId="0" fontId="30" fillId="0" borderId="0" xfId="0" applyFont="1" applyAlignment="1">
      <alignment horizontal="center" vertical="center"/>
    </xf>
    <xf numFmtId="0" fontId="28" fillId="2" borderId="2" xfId="0" applyFont="1" applyFill="1" applyBorder="1" applyAlignment="1">
      <alignment horizontal="left" vertical="center" indent="1"/>
    </xf>
    <xf numFmtId="1" fontId="28" fillId="2" borderId="2" xfId="0" applyNumberFormat="1" applyFont="1" applyFill="1" applyBorder="1" applyAlignment="1">
      <alignment horizontal="center" vertical="center"/>
    </xf>
    <xf numFmtId="4" fontId="30" fillId="10" borderId="5" xfId="0" applyNumberFormat="1" applyFont="1" applyFill="1" applyBorder="1" applyAlignment="1">
      <alignment horizontal="center" vertical="center"/>
    </xf>
    <xf numFmtId="3" fontId="30" fillId="10" borderId="5" xfId="0" applyNumberFormat="1" applyFont="1" applyFill="1" applyBorder="1" applyAlignment="1">
      <alignment horizontal="center" vertical="center"/>
    </xf>
    <xf numFmtId="0" fontId="0" fillId="13" borderId="0" xfId="0" applyFill="1"/>
    <xf numFmtId="10" fontId="0" fillId="13" borderId="5" xfId="0" applyNumberFormat="1" applyFill="1" applyBorder="1"/>
    <xf numFmtId="4" fontId="0" fillId="13" borderId="5" xfId="0" applyNumberFormat="1" applyFill="1" applyBorder="1"/>
    <xf numFmtId="3" fontId="0" fillId="13" borderId="5" xfId="0" applyNumberFormat="1" applyFill="1" applyBorder="1"/>
    <xf numFmtId="10" fontId="0" fillId="13" borderId="5" xfId="1" applyNumberFormat="1" applyFont="1" applyFill="1" applyBorder="1" applyAlignment="1">
      <alignment horizontal="right"/>
    </xf>
    <xf numFmtId="2" fontId="7" fillId="13" borderId="24" xfId="0" applyNumberFormat="1" applyFont="1" applyFill="1" applyBorder="1" applyAlignment="1">
      <alignment horizontal="center" vertical="center"/>
    </xf>
    <xf numFmtId="10" fontId="7" fillId="14" borderId="24" xfId="1" applyNumberFormat="1" applyFont="1" applyFill="1" applyBorder="1" applyAlignment="1">
      <alignment horizontal="center" vertical="center"/>
    </xf>
    <xf numFmtId="181" fontId="7" fillId="13" borderId="24" xfId="0" applyNumberFormat="1" applyFont="1" applyFill="1" applyBorder="1" applyAlignment="1">
      <alignment horizontal="center" vertical="center"/>
    </xf>
    <xf numFmtId="10" fontId="7" fillId="13" borderId="67" xfId="1" applyNumberFormat="1" applyFont="1" applyFill="1" applyBorder="1" applyAlignment="1">
      <alignment horizontal="center" vertical="center"/>
    </xf>
    <xf numFmtId="2" fontId="7" fillId="13" borderId="5" xfId="0" applyNumberFormat="1" applyFont="1" applyFill="1" applyBorder="1" applyAlignment="1">
      <alignment horizontal="center" vertical="center"/>
    </xf>
    <xf numFmtId="10" fontId="7" fillId="14" borderId="5" xfId="1" applyNumberFormat="1" applyFont="1" applyFill="1" applyBorder="1" applyAlignment="1">
      <alignment horizontal="center" vertical="center"/>
    </xf>
    <xf numFmtId="181" fontId="7" fillId="13" borderId="5" xfId="0" applyNumberFormat="1" applyFont="1" applyFill="1" applyBorder="1" applyAlignment="1">
      <alignment horizontal="center" vertical="center"/>
    </xf>
    <xf numFmtId="10" fontId="7" fillId="13" borderId="1" xfId="1" applyNumberFormat="1" applyFont="1" applyFill="1" applyBorder="1" applyAlignment="1">
      <alignment horizontal="center" vertical="center"/>
    </xf>
    <xf numFmtId="2" fontId="24" fillId="13" borderId="5" xfId="0" applyNumberFormat="1" applyFont="1" applyFill="1" applyBorder="1" applyAlignment="1">
      <alignment horizontal="center" vertical="center"/>
    </xf>
    <xf numFmtId="181" fontId="24" fillId="13" borderId="5" xfId="0" applyNumberFormat="1" applyFont="1" applyFill="1" applyBorder="1" applyAlignment="1">
      <alignment horizontal="center" vertical="center"/>
    </xf>
    <xf numFmtId="10" fontId="24" fillId="13" borderId="1" xfId="1" applyNumberFormat="1" applyFont="1" applyFill="1" applyBorder="1" applyAlignment="1">
      <alignment horizontal="center" vertical="center"/>
    </xf>
    <xf numFmtId="2" fontId="7" fillId="13" borderId="17" xfId="0" applyNumberFormat="1" applyFont="1" applyFill="1" applyBorder="1" applyAlignment="1">
      <alignment horizontal="center" vertical="center"/>
    </xf>
    <xf numFmtId="10" fontId="7" fillId="14" borderId="17" xfId="1" applyNumberFormat="1" applyFont="1" applyFill="1" applyBorder="1" applyAlignment="1">
      <alignment horizontal="center" vertical="center"/>
    </xf>
    <xf numFmtId="181" fontId="7" fillId="13" borderId="17" xfId="0" applyNumberFormat="1" applyFont="1" applyFill="1" applyBorder="1" applyAlignment="1">
      <alignment horizontal="center" vertical="center"/>
    </xf>
    <xf numFmtId="10" fontId="7" fillId="13" borderId="30" xfId="1" applyNumberFormat="1" applyFont="1" applyFill="1" applyBorder="1" applyAlignment="1">
      <alignment horizontal="center" vertical="center"/>
    </xf>
    <xf numFmtId="0" fontId="20" fillId="13" borderId="5" xfId="0" applyFont="1" applyFill="1" applyBorder="1" applyAlignment="1">
      <alignment horizontal="center" vertical="center"/>
    </xf>
    <xf numFmtId="10" fontId="19" fillId="10" borderId="5" xfId="1" applyNumberFormat="1" applyFont="1" applyFill="1" applyBorder="1" applyAlignment="1">
      <alignment horizontal="center" vertical="center"/>
    </xf>
    <xf numFmtId="10" fontId="19" fillId="13" borderId="5" xfId="1" applyNumberFormat="1" applyFont="1" applyFill="1" applyBorder="1" applyAlignment="1">
      <alignment horizontal="center" vertical="center"/>
    </xf>
    <xf numFmtId="10" fontId="19" fillId="13" borderId="5" xfId="0" applyNumberFormat="1" applyFont="1" applyFill="1" applyBorder="1" applyAlignment="1">
      <alignment horizontal="center" vertical="center"/>
    </xf>
    <xf numFmtId="164" fontId="19" fillId="10" borderId="5" xfId="0" applyNumberFormat="1" applyFont="1" applyFill="1" applyBorder="1"/>
    <xf numFmtId="164" fontId="19" fillId="10" borderId="66" xfId="0" applyNumberFormat="1" applyFont="1" applyFill="1" applyBorder="1"/>
    <xf numFmtId="164" fontId="19" fillId="10" borderId="35" xfId="0" applyNumberFormat="1" applyFont="1" applyFill="1" applyBorder="1"/>
    <xf numFmtId="8" fontId="19" fillId="10" borderId="35" xfId="0" applyNumberFormat="1" applyFont="1" applyFill="1" applyBorder="1"/>
    <xf numFmtId="8" fontId="19" fillId="10" borderId="86" xfId="0" applyNumberFormat="1" applyFont="1" applyFill="1" applyBorder="1"/>
    <xf numFmtId="0" fontId="20" fillId="0" borderId="84" xfId="0" applyFont="1" applyBorder="1"/>
    <xf numFmtId="164" fontId="20" fillId="10" borderId="83" xfId="0" applyNumberFormat="1" applyFont="1" applyFill="1" applyBorder="1"/>
    <xf numFmtId="3" fontId="29" fillId="13" borderId="5" xfId="0" applyNumberFormat="1" applyFont="1" applyFill="1" applyBorder="1" applyAlignment="1">
      <alignment horizontal="center" vertical="center"/>
    </xf>
    <xf numFmtId="3" fontId="30" fillId="13" borderId="5" xfId="0" applyNumberFormat="1" applyFont="1" applyFill="1" applyBorder="1" applyAlignment="1">
      <alignment horizontal="center" vertical="center"/>
    </xf>
    <xf numFmtId="3" fontId="30" fillId="0" borderId="0" xfId="0" applyNumberFormat="1" applyFont="1" applyAlignment="1">
      <alignment horizontal="center" vertical="center"/>
    </xf>
    <xf numFmtId="10" fontId="19" fillId="13" borderId="0" xfId="1" applyNumberFormat="1" applyFont="1" applyFill="1"/>
    <xf numFmtId="10" fontId="29" fillId="13" borderId="0" xfId="1" applyNumberFormat="1" applyFont="1" applyFill="1" applyBorder="1" applyAlignment="1">
      <alignment vertical="center"/>
    </xf>
    <xf numFmtId="10" fontId="0" fillId="13" borderId="5" xfId="1" applyNumberFormat="1" applyFont="1" applyFill="1" applyBorder="1"/>
    <xf numFmtId="0" fontId="19" fillId="13" borderId="5" xfId="0" applyFont="1" applyFill="1" applyBorder="1"/>
    <xf numFmtId="10" fontId="19" fillId="13" borderId="5" xfId="1" applyNumberFormat="1" applyFont="1" applyFill="1" applyBorder="1"/>
    <xf numFmtId="9" fontId="19" fillId="13" borderId="5" xfId="1" applyFont="1" applyFill="1" applyBorder="1" applyAlignment="1">
      <alignment horizontal="center"/>
    </xf>
    <xf numFmtId="169" fontId="19" fillId="13" borderId="5" xfId="0" applyNumberFormat="1" applyFont="1" applyFill="1" applyBorder="1"/>
    <xf numFmtId="9" fontId="19" fillId="13" borderId="5" xfId="1" applyFont="1" applyFill="1" applyBorder="1"/>
    <xf numFmtId="0" fontId="32" fillId="13" borderId="0" xfId="0" applyFont="1" applyFill="1"/>
    <xf numFmtId="0" fontId="22" fillId="13" borderId="0" xfId="0" applyFont="1" applyFill="1"/>
    <xf numFmtId="4" fontId="22" fillId="13" borderId="0" xfId="0" applyNumberFormat="1" applyFont="1" applyFill="1"/>
    <xf numFmtId="167" fontId="22" fillId="13" borderId="5" xfId="1" applyNumberFormat="1" applyFont="1" applyFill="1" applyBorder="1" applyAlignment="1">
      <alignment horizontal="center"/>
    </xf>
    <xf numFmtId="167" fontId="22" fillId="13" borderId="35" xfId="1" applyNumberFormat="1" applyFont="1" applyFill="1" applyBorder="1" applyAlignment="1">
      <alignment horizontal="center"/>
    </xf>
    <xf numFmtId="0" fontId="22" fillId="13" borderId="5" xfId="0" applyFont="1" applyFill="1" applyBorder="1"/>
    <xf numFmtId="44" fontId="0" fillId="13" borderId="1" xfId="3" applyFont="1" applyFill="1" applyBorder="1"/>
    <xf numFmtId="0" fontId="50" fillId="0" borderId="0" xfId="0" applyFont="1"/>
    <xf numFmtId="10" fontId="50" fillId="10" borderId="5" xfId="0" applyNumberFormat="1" applyFont="1" applyFill="1" applyBorder="1" applyAlignment="1">
      <alignment horizontal="center"/>
    </xf>
    <xf numFmtId="10" fontId="50" fillId="10" borderId="5" xfId="0" applyNumberFormat="1" applyFont="1" applyFill="1" applyBorder="1" applyAlignment="1">
      <alignment horizontal="center" vertical="center"/>
    </xf>
    <xf numFmtId="7" fontId="36" fillId="0" borderId="5" xfId="3" applyNumberFormat="1" applyFont="1" applyFill="1" applyBorder="1"/>
    <xf numFmtId="166" fontId="51" fillId="0" borderId="0" xfId="0" applyNumberFormat="1" applyFont="1"/>
    <xf numFmtId="0" fontId="14" fillId="0" borderId="5" xfId="0" applyFont="1" applyBorder="1"/>
    <xf numFmtId="164" fontId="50" fillId="10" borderId="5" xfId="0" applyNumberFormat="1" applyFont="1" applyFill="1" applyBorder="1"/>
    <xf numFmtId="167" fontId="14" fillId="0" borderId="0" xfId="1" applyNumberFormat="1" applyFont="1"/>
    <xf numFmtId="0" fontId="7" fillId="0" borderId="24" xfId="0" applyFont="1" applyBorder="1" applyAlignment="1">
      <alignment horizontal="center" vertical="center"/>
    </xf>
    <xf numFmtId="2" fontId="12" fillId="10" borderId="24" xfId="0" applyNumberFormat="1" applyFont="1" applyFill="1" applyBorder="1" applyAlignment="1">
      <alignment horizontal="center" vertical="center"/>
    </xf>
    <xf numFmtId="2" fontId="12" fillId="10" borderId="25" xfId="0" applyNumberFormat="1" applyFont="1" applyFill="1" applyBorder="1" applyAlignment="1">
      <alignment horizontal="center" vertical="center"/>
    </xf>
    <xf numFmtId="0" fontId="0" fillId="0" borderId="5" xfId="0" applyBorder="1" applyAlignment="1">
      <alignment horizontal="center" vertical="center"/>
    </xf>
    <xf numFmtId="0" fontId="31" fillId="2" borderId="5" xfId="0" applyFont="1" applyFill="1" applyBorder="1" applyAlignment="1">
      <alignment horizontal="center" vertical="center"/>
    </xf>
    <xf numFmtId="10" fontId="0" fillId="12" borderId="5" xfId="1" applyNumberFormat="1" applyFont="1" applyFill="1" applyBorder="1" applyAlignment="1">
      <alignment horizontal="right"/>
    </xf>
    <xf numFmtId="164" fontId="0" fillId="13" borderId="5" xfId="3" applyNumberFormat="1" applyFont="1" applyFill="1" applyBorder="1"/>
    <xf numFmtId="9" fontId="0" fillId="13" borderId="5" xfId="1" applyFont="1" applyFill="1" applyBorder="1" applyAlignment="1">
      <alignment horizontal="center" vertical="center"/>
    </xf>
    <xf numFmtId="182" fontId="31" fillId="2" borderId="5" xfId="0" applyNumberFormat="1" applyFont="1" applyFill="1" applyBorder="1" applyAlignment="1">
      <alignment horizontal="center" vertical="center"/>
    </xf>
    <xf numFmtId="44" fontId="31" fillId="2" borderId="5" xfId="0" applyNumberFormat="1" applyFont="1" applyFill="1" applyBorder="1" applyAlignment="1">
      <alignment horizontal="center" vertical="center"/>
    </xf>
    <xf numFmtId="0" fontId="29" fillId="12" borderId="5" xfId="0" applyFont="1" applyFill="1" applyBorder="1" applyAlignment="1">
      <alignment horizontal="left" vertical="center" indent="1"/>
    </xf>
    <xf numFmtId="0" fontId="0" fillId="12" borderId="5" xfId="0" applyFill="1" applyBorder="1" applyAlignment="1">
      <alignment horizontal="center"/>
    </xf>
    <xf numFmtId="0" fontId="0" fillId="12" borderId="5" xfId="0" applyFill="1" applyBorder="1"/>
    <xf numFmtId="0" fontId="0" fillId="12" borderId="5" xfId="0" applyFill="1" applyBorder="1" applyAlignment="1">
      <alignment horizontal="center" vertical="center"/>
    </xf>
    <xf numFmtId="4" fontId="33" fillId="0" borderId="79" xfId="0" applyNumberFormat="1" applyFont="1" applyBorder="1" applyAlignment="1">
      <alignment horizontal="center" vertical="center"/>
    </xf>
    <xf numFmtId="4" fontId="54" fillId="0" borderId="79" xfId="0" applyNumberFormat="1" applyFont="1" applyBorder="1" applyAlignment="1">
      <alignment horizontal="right" vertical="center"/>
    </xf>
    <xf numFmtId="0" fontId="54" fillId="15" borderId="104" xfId="0" applyFont="1" applyFill="1" applyBorder="1" applyAlignment="1">
      <alignment horizontal="center" vertical="center"/>
    </xf>
    <xf numFmtId="183" fontId="54" fillId="15" borderId="104" xfId="0" applyNumberFormat="1" applyFont="1" applyFill="1" applyBorder="1" applyAlignment="1">
      <alignment horizontal="center" vertical="center" wrapText="1"/>
    </xf>
    <xf numFmtId="0" fontId="53" fillId="0" borderId="0" xfId="0" applyFont="1"/>
    <xf numFmtId="0" fontId="33" fillId="15" borderId="96" xfId="0" applyFont="1" applyFill="1" applyBorder="1" applyAlignment="1">
      <alignment horizontal="left" vertical="center" wrapText="1"/>
    </xf>
    <xf numFmtId="0" fontId="33" fillId="0" borderId="78" xfId="0" applyFont="1" applyBorder="1" applyAlignment="1">
      <alignment horizontal="left" vertical="center" wrapText="1"/>
    </xf>
    <xf numFmtId="0" fontId="33" fillId="0" borderId="0" xfId="0" applyFont="1" applyAlignment="1">
      <alignment horizontal="center" vertical="center"/>
    </xf>
    <xf numFmtId="183" fontId="33" fillId="0" borderId="0" xfId="0" applyNumberFormat="1" applyFont="1" applyAlignment="1">
      <alignment horizontal="center" vertical="center" wrapText="1"/>
    </xf>
    <xf numFmtId="0" fontId="54" fillId="0" borderId="78" xfId="0" applyFont="1" applyBorder="1" applyAlignment="1">
      <alignment horizontal="left" vertical="center" wrapText="1"/>
    </xf>
    <xf numFmtId="184" fontId="54" fillId="13" borderId="0" xfId="0" applyNumberFormat="1" applyFont="1" applyFill="1" applyAlignment="1" applyProtection="1">
      <alignment horizontal="center" vertical="center"/>
      <protection locked="0"/>
    </xf>
    <xf numFmtId="0" fontId="54" fillId="0" borderId="0" xfId="0" applyFont="1" applyAlignment="1">
      <alignment horizontal="center" vertical="center"/>
    </xf>
    <xf numFmtId="183" fontId="54" fillId="13" borderId="0" xfId="0" applyNumberFormat="1" applyFont="1" applyFill="1" applyAlignment="1">
      <alignment horizontal="center" vertical="center" wrapText="1"/>
    </xf>
    <xf numFmtId="183" fontId="54" fillId="0" borderId="0" xfId="0" applyNumberFormat="1" applyFont="1" applyAlignment="1">
      <alignment horizontal="center" vertical="center" wrapText="1"/>
    </xf>
    <xf numFmtId="0" fontId="54" fillId="0" borderId="0" xfId="0" applyFont="1" applyAlignment="1">
      <alignment horizontal="center" vertical="center" wrapText="1"/>
    </xf>
    <xf numFmtId="0" fontId="54" fillId="15" borderId="0" xfId="0" applyFont="1" applyFill="1" applyAlignment="1">
      <alignment vertical="center"/>
    </xf>
    <xf numFmtId="165" fontId="54" fillId="15" borderId="0" xfId="0" applyNumberFormat="1" applyFont="1" applyFill="1" applyAlignment="1">
      <alignment vertical="center"/>
    </xf>
    <xf numFmtId="0" fontId="54" fillId="15" borderId="0" xfId="0" applyFont="1" applyFill="1" applyAlignment="1">
      <alignment horizontal="center" vertical="center" wrapText="1"/>
    </xf>
    <xf numFmtId="183" fontId="54" fillId="15" borderId="0" xfId="0" applyNumberFormat="1" applyFont="1" applyFill="1" applyAlignment="1">
      <alignment horizontal="center" vertical="center" wrapText="1"/>
    </xf>
    <xf numFmtId="0" fontId="54" fillId="0" borderId="78" xfId="0" applyFont="1" applyBorder="1" applyAlignment="1">
      <alignment vertical="center" wrapText="1"/>
    </xf>
    <xf numFmtId="3" fontId="3" fillId="0" borderId="5" xfId="0" applyNumberFormat="1" applyFont="1" applyBorder="1"/>
    <xf numFmtId="4" fontId="5" fillId="0" borderId="79" xfId="0" applyNumberFormat="1" applyFont="1" applyBorder="1" applyAlignment="1">
      <alignment horizontal="center" vertical="center"/>
    </xf>
    <xf numFmtId="4" fontId="32" fillId="0" borderId="79" xfId="0" applyNumberFormat="1" applyFont="1" applyBorder="1" applyAlignment="1">
      <alignment horizontal="right" vertical="center"/>
    </xf>
    <xf numFmtId="0" fontId="32" fillId="15" borderId="104" xfId="0" applyFont="1" applyFill="1" applyBorder="1" applyAlignment="1">
      <alignment horizontal="center" vertical="center"/>
    </xf>
    <xf numFmtId="183" fontId="32" fillId="15" borderId="104" xfId="0" applyNumberFormat="1" applyFont="1" applyFill="1" applyBorder="1" applyAlignment="1">
      <alignment horizontal="center" vertical="center" wrapText="1"/>
    </xf>
    <xf numFmtId="0" fontId="5" fillId="15" borderId="96" xfId="0" applyFont="1" applyFill="1" applyBorder="1" applyAlignment="1">
      <alignment horizontal="left" vertical="center" wrapText="1"/>
    </xf>
    <xf numFmtId="0" fontId="5" fillId="0" borderId="78" xfId="0" applyFont="1" applyBorder="1" applyAlignment="1">
      <alignment horizontal="left" vertical="center" wrapText="1"/>
    </xf>
    <xf numFmtId="183" fontId="5" fillId="0" borderId="0" xfId="0" applyNumberFormat="1" applyFont="1" applyAlignment="1">
      <alignment horizontal="center" vertical="center" wrapText="1"/>
    </xf>
    <xf numFmtId="0" fontId="32" fillId="0" borderId="78" xfId="0" applyFont="1" applyBorder="1" applyAlignment="1">
      <alignment horizontal="left" vertical="center" wrapText="1"/>
    </xf>
    <xf numFmtId="0" fontId="32" fillId="0" borderId="0" xfId="0" applyFont="1" applyAlignment="1">
      <alignment horizontal="center" vertical="center"/>
    </xf>
    <xf numFmtId="183" fontId="32" fillId="0" borderId="0" xfId="0" applyNumberFormat="1" applyFont="1" applyAlignment="1">
      <alignment horizontal="center" vertical="center" wrapText="1"/>
    </xf>
    <xf numFmtId="0" fontId="32" fillId="0" borderId="0" xfId="0" applyFont="1" applyAlignment="1">
      <alignment horizontal="center" vertical="center" wrapText="1"/>
    </xf>
    <xf numFmtId="0" fontId="32" fillId="15" borderId="0" xfId="0" applyFont="1" applyFill="1" applyAlignment="1">
      <alignment vertical="center"/>
    </xf>
    <xf numFmtId="165" fontId="32" fillId="15" borderId="0" xfId="0" applyNumberFormat="1" applyFont="1" applyFill="1" applyAlignment="1">
      <alignment vertical="center"/>
    </xf>
    <xf numFmtId="0" fontId="32" fillId="15" borderId="0" xfId="0" applyFont="1" applyFill="1" applyAlignment="1">
      <alignment horizontal="center" vertical="center" wrapText="1"/>
    </xf>
    <xf numFmtId="183" fontId="32" fillId="15" borderId="0" xfId="0" applyNumberFormat="1" applyFont="1" applyFill="1" applyAlignment="1">
      <alignment horizontal="center" vertical="center" wrapText="1"/>
    </xf>
    <xf numFmtId="43" fontId="53" fillId="0" borderId="0" xfId="0" applyNumberFormat="1" applyFont="1"/>
    <xf numFmtId="165" fontId="54" fillId="13" borderId="0" xfId="0" applyNumberFormat="1" applyFont="1" applyFill="1" applyAlignment="1" applyProtection="1">
      <alignment horizontal="center" vertical="center"/>
      <protection locked="0"/>
    </xf>
    <xf numFmtId="185" fontId="54" fillId="13" borderId="0" xfId="0" applyNumberFormat="1" applyFont="1" applyFill="1" applyAlignment="1" applyProtection="1">
      <alignment horizontal="center" vertical="center"/>
      <protection locked="0"/>
    </xf>
    <xf numFmtId="10" fontId="19" fillId="10" borderId="29" xfId="1" applyNumberFormat="1" applyFont="1" applyFill="1" applyBorder="1"/>
    <xf numFmtId="4" fontId="32" fillId="12" borderId="5" xfId="0" applyNumberFormat="1" applyFont="1" applyFill="1" applyBorder="1" applyAlignment="1">
      <alignment horizontal="right"/>
    </xf>
    <xf numFmtId="4" fontId="32" fillId="13" borderId="5" xfId="0" applyNumberFormat="1" applyFont="1" applyFill="1" applyBorder="1" applyAlignment="1">
      <alignment horizontal="right"/>
    </xf>
    <xf numFmtId="3" fontId="0" fillId="12" borderId="5" xfId="0" applyNumberFormat="1" applyFill="1" applyBorder="1" applyAlignment="1">
      <alignment horizontal="right"/>
    </xf>
    <xf numFmtId="3" fontId="0" fillId="13" borderId="5" xfId="0" applyNumberFormat="1" applyFill="1" applyBorder="1" applyAlignment="1">
      <alignment horizontal="right"/>
    </xf>
    <xf numFmtId="3" fontId="0" fillId="0" borderId="5" xfId="0" applyNumberFormat="1" applyBorder="1" applyAlignment="1">
      <alignment horizontal="right"/>
    </xf>
    <xf numFmtId="10" fontId="0" fillId="12" borderId="5" xfId="0" applyNumberFormat="1" applyFill="1" applyBorder="1"/>
    <xf numFmtId="4" fontId="0" fillId="12" borderId="5" xfId="0" applyNumberFormat="1" applyFill="1" applyBorder="1"/>
    <xf numFmtId="4" fontId="0" fillId="10" borderId="5" xfId="0" applyNumberFormat="1" applyFill="1" applyBorder="1"/>
    <xf numFmtId="3" fontId="0" fillId="10" borderId="5" xfId="0" applyNumberFormat="1" applyFill="1" applyBorder="1" applyAlignment="1">
      <alignment horizontal="right"/>
    </xf>
    <xf numFmtId="3" fontId="0" fillId="0" borderId="2" xfId="0" applyNumberFormat="1" applyBorder="1" applyAlignment="1">
      <alignment horizontal="right"/>
    </xf>
    <xf numFmtId="3" fontId="0" fillId="12" borderId="5" xfId="0" applyNumberFormat="1" applyFill="1" applyBorder="1"/>
    <xf numFmtId="3" fontId="0" fillId="10" borderId="35" xfId="0" applyNumberFormat="1" applyFill="1" applyBorder="1"/>
    <xf numFmtId="3" fontId="0" fillId="10" borderId="51" xfId="0" applyNumberFormat="1" applyFill="1" applyBorder="1"/>
    <xf numFmtId="0" fontId="4" fillId="2" borderId="121" xfId="0" applyFont="1" applyFill="1" applyBorder="1" applyAlignment="1">
      <alignment horizontal="center"/>
    </xf>
    <xf numFmtId="0" fontId="4" fillId="2" borderId="122" xfId="0" applyFont="1" applyFill="1" applyBorder="1" applyAlignment="1">
      <alignment horizontal="center"/>
    </xf>
    <xf numFmtId="0" fontId="4" fillId="2" borderId="123" xfId="0" applyFont="1" applyFill="1" applyBorder="1" applyAlignment="1">
      <alignment horizontal="center"/>
    </xf>
    <xf numFmtId="0" fontId="4" fillId="2" borderId="124" xfId="0" applyFont="1" applyFill="1" applyBorder="1" applyAlignment="1">
      <alignment horizontal="center"/>
    </xf>
    <xf numFmtId="0" fontId="4" fillId="2" borderId="125" xfId="0" applyFont="1" applyFill="1" applyBorder="1" applyAlignment="1">
      <alignment horizontal="center"/>
    </xf>
    <xf numFmtId="0" fontId="4" fillId="2" borderId="126" xfId="0" applyFont="1" applyFill="1" applyBorder="1" applyAlignment="1">
      <alignment horizontal="center"/>
    </xf>
    <xf numFmtId="0" fontId="5" fillId="0" borderId="5" xfId="0" applyFont="1" applyBorder="1" applyAlignment="1">
      <alignment horizontal="left" indent="1"/>
    </xf>
    <xf numFmtId="10" fontId="32" fillId="13" borderId="5" xfId="1" applyNumberFormat="1" applyFont="1" applyFill="1" applyBorder="1"/>
    <xf numFmtId="10" fontId="32" fillId="13" borderId="5" xfId="0" applyNumberFormat="1" applyFont="1" applyFill="1" applyBorder="1"/>
    <xf numFmtId="43" fontId="32" fillId="13" borderId="5" xfId="0" applyNumberFormat="1" applyFont="1" applyFill="1" applyBorder="1"/>
    <xf numFmtId="43" fontId="32" fillId="13" borderId="5" xfId="6" applyFont="1" applyFill="1" applyBorder="1"/>
    <xf numFmtId="10" fontId="32" fillId="10" borderId="5" xfId="1" applyNumberFormat="1" applyFont="1" applyFill="1" applyBorder="1"/>
    <xf numFmtId="0" fontId="4" fillId="2" borderId="143" xfId="0" applyFont="1" applyFill="1" applyBorder="1" applyAlignment="1">
      <alignment horizontal="center" vertical="center"/>
    </xf>
    <xf numFmtId="0" fontId="4" fillId="2" borderId="144" xfId="0" applyFont="1" applyFill="1" applyBorder="1" applyAlignment="1">
      <alignment horizontal="center"/>
    </xf>
    <xf numFmtId="0" fontId="0" fillId="0" borderId="145" xfId="0" applyBorder="1"/>
    <xf numFmtId="0" fontId="3" fillId="0" borderId="78" xfId="0" applyFont="1" applyBorder="1" applyAlignment="1">
      <alignment horizontal="left"/>
    </xf>
    <xf numFmtId="2" fontId="3" fillId="0" borderId="79" xfId="0" applyNumberFormat="1" applyFont="1" applyBorder="1"/>
    <xf numFmtId="0" fontId="4" fillId="2" borderId="146" xfId="0" applyFont="1" applyFill="1" applyBorder="1" applyAlignment="1">
      <alignment horizontal="left" vertical="center" readingOrder="1"/>
    </xf>
    <xf numFmtId="0" fontId="0" fillId="0" borderId="65" xfId="0" applyBorder="1"/>
    <xf numFmtId="0" fontId="0" fillId="6" borderId="65" xfId="0" applyFill="1" applyBorder="1"/>
    <xf numFmtId="8" fontId="0" fillId="10" borderId="66" xfId="0" applyNumberFormat="1" applyFill="1" applyBorder="1"/>
    <xf numFmtId="0" fontId="3" fillId="6" borderId="65" xfId="0" applyFont="1" applyFill="1" applyBorder="1" applyAlignment="1">
      <alignment horizontal="center"/>
    </xf>
    <xf numFmtId="0" fontId="3" fillId="0" borderId="65" xfId="0" applyFont="1" applyBorder="1"/>
    <xf numFmtId="0" fontId="5" fillId="6" borderId="50" xfId="0" applyFont="1" applyFill="1" applyBorder="1"/>
    <xf numFmtId="8" fontId="5" fillId="10" borderId="148" xfId="4" applyNumberFormat="1" applyFont="1" applyFill="1" applyBorder="1" applyAlignment="1">
      <alignment horizontal="center"/>
    </xf>
    <xf numFmtId="0" fontId="4" fillId="2" borderId="150" xfId="0" applyFont="1" applyFill="1" applyBorder="1" applyAlignment="1">
      <alignment horizontal="center" vertical="center" readingOrder="1"/>
    </xf>
    <xf numFmtId="0" fontId="3" fillId="0" borderId="50" xfId="0" applyFont="1" applyBorder="1" applyAlignment="1">
      <alignment horizontal="center" vertical="center"/>
    </xf>
    <xf numFmtId="8" fontId="3" fillId="10" borderId="51" xfId="0" applyNumberFormat="1" applyFont="1" applyFill="1" applyBorder="1" applyAlignment="1">
      <alignment horizontal="center" vertical="center"/>
    </xf>
    <xf numFmtId="8" fontId="3" fillId="10" borderId="52" xfId="0" applyNumberFormat="1" applyFont="1" applyFill="1" applyBorder="1" applyAlignment="1">
      <alignment horizontal="center" vertical="center"/>
    </xf>
    <xf numFmtId="10" fontId="3" fillId="10" borderId="5" xfId="0" applyNumberFormat="1" applyFont="1" applyFill="1" applyBorder="1" applyAlignment="1">
      <alignment horizontal="center"/>
    </xf>
    <xf numFmtId="10" fontId="55" fillId="10" borderId="5" xfId="4" applyNumberFormat="1" applyFont="1" applyFill="1" applyBorder="1" applyAlignment="1">
      <alignment horizontal="center"/>
    </xf>
    <xf numFmtId="10" fontId="5" fillId="10" borderId="5" xfId="1" applyNumberFormat="1" applyFont="1" applyFill="1" applyBorder="1" applyAlignment="1">
      <alignment horizontal="center"/>
    </xf>
    <xf numFmtId="10" fontId="55" fillId="10" borderId="5" xfId="4" applyNumberFormat="1" applyFont="1" applyFill="1" applyBorder="1" applyAlignment="1">
      <alignment horizontal="center" vertical="center"/>
    </xf>
    <xf numFmtId="10" fontId="3" fillId="10" borderId="5" xfId="1" applyNumberFormat="1" applyFont="1" applyFill="1" applyBorder="1" applyAlignment="1">
      <alignment horizontal="center"/>
    </xf>
    <xf numFmtId="10" fontId="3" fillId="10" borderId="5" xfId="0" applyNumberFormat="1" applyFont="1" applyFill="1" applyBorder="1" applyAlignment="1">
      <alignment horizontal="center" vertical="center"/>
    </xf>
    <xf numFmtId="8" fontId="3" fillId="6" borderId="5" xfId="2" applyNumberFormat="1" applyFont="1" applyFill="1" applyBorder="1" applyAlignment="1">
      <alignment horizontal="center"/>
    </xf>
    <xf numFmtId="10" fontId="3" fillId="6" borderId="5" xfId="1" applyNumberFormat="1" applyFont="1" applyFill="1" applyBorder="1" applyAlignment="1">
      <alignment horizontal="center"/>
    </xf>
    <xf numFmtId="0" fontId="5" fillId="6" borderId="107" xfId="2" applyFont="1" applyFill="1" applyBorder="1" applyAlignment="1">
      <alignment vertical="center"/>
    </xf>
    <xf numFmtId="0" fontId="5" fillId="6" borderId="108" xfId="2" applyFont="1" applyFill="1" applyBorder="1" applyAlignment="1">
      <alignment vertical="center"/>
    </xf>
    <xf numFmtId="8" fontId="3" fillId="10" borderId="103" xfId="2" applyNumberFormat="1" applyFont="1" applyFill="1" applyBorder="1" applyAlignment="1">
      <alignment horizontal="right" vertical="center"/>
    </xf>
    <xf numFmtId="8" fontId="3" fillId="10" borderId="73" xfId="2" applyNumberFormat="1" applyFont="1" applyFill="1" applyBorder="1" applyAlignment="1">
      <alignment horizontal="right" vertical="center"/>
    </xf>
    <xf numFmtId="8" fontId="3" fillId="10" borderId="73" xfId="1" applyNumberFormat="1" applyFont="1" applyFill="1" applyBorder="1" applyAlignment="1">
      <alignment horizontal="right" vertical="center"/>
    </xf>
    <xf numFmtId="10" fontId="3" fillId="10" borderId="73" xfId="1" applyNumberFormat="1" applyFont="1" applyFill="1" applyBorder="1" applyAlignment="1">
      <alignment horizontal="center" vertical="center"/>
    </xf>
    <xf numFmtId="10" fontId="39" fillId="0" borderId="0" xfId="1" applyNumberFormat="1" applyFont="1"/>
    <xf numFmtId="0" fontId="4" fillId="2" borderId="58" xfId="0" applyFont="1" applyFill="1" applyBorder="1"/>
    <xf numFmtId="0" fontId="4" fillId="2" borderId="59" xfId="0" applyFont="1" applyFill="1" applyBorder="1"/>
    <xf numFmtId="0" fontId="4" fillId="2" borderId="60" xfId="0" applyFont="1" applyFill="1" applyBorder="1"/>
    <xf numFmtId="0" fontId="4" fillId="2" borderId="61" xfId="0" applyFont="1" applyFill="1" applyBorder="1" applyAlignment="1">
      <alignment horizontal="center"/>
    </xf>
    <xf numFmtId="0" fontId="4" fillId="2" borderId="56" xfId="0" applyFont="1" applyFill="1" applyBorder="1" applyAlignment="1">
      <alignment horizontal="center"/>
    </xf>
    <xf numFmtId="0" fontId="4" fillId="2" borderId="62" xfId="0" applyFont="1" applyFill="1" applyBorder="1" applyAlignment="1">
      <alignment horizontal="center"/>
    </xf>
    <xf numFmtId="0" fontId="31" fillId="2" borderId="61" xfId="0" applyFont="1" applyFill="1" applyBorder="1"/>
    <xf numFmtId="0" fontId="31" fillId="2" borderId="56" xfId="0" applyFont="1" applyFill="1" applyBorder="1"/>
    <xf numFmtId="0" fontId="3" fillId="0" borderId="63" xfId="0" applyFont="1" applyBorder="1"/>
    <xf numFmtId="0" fontId="0" fillId="0" borderId="24" xfId="0" applyBorder="1"/>
    <xf numFmtId="8" fontId="3" fillId="0" borderId="24" xfId="0" applyNumberFormat="1" applyFont="1" applyBorder="1"/>
    <xf numFmtId="8" fontId="3" fillId="0" borderId="67" xfId="0" applyNumberFormat="1" applyFont="1" applyBorder="1"/>
    <xf numFmtId="8" fontId="0" fillId="0" borderId="64" xfId="0" applyNumberFormat="1" applyBorder="1"/>
    <xf numFmtId="8" fontId="3" fillId="0" borderId="5" xfId="0" applyNumberFormat="1" applyFont="1" applyBorder="1"/>
    <xf numFmtId="8" fontId="3" fillId="0" borderId="1" xfId="0" applyNumberFormat="1" applyFont="1" applyBorder="1"/>
    <xf numFmtId="8" fontId="0" fillId="0" borderId="66" xfId="0" applyNumberFormat="1" applyBorder="1"/>
    <xf numFmtId="10" fontId="17" fillId="13" borderId="5" xfId="4" applyNumberFormat="1" applyFill="1" applyBorder="1" applyAlignment="1">
      <alignment horizontal="center"/>
    </xf>
    <xf numFmtId="8" fontId="0" fillId="0" borderId="1" xfId="0" applyNumberFormat="1" applyBorder="1"/>
    <xf numFmtId="8" fontId="4" fillId="0" borderId="5" xfId="1" applyNumberFormat="1" applyFont="1" applyFill="1" applyBorder="1" applyAlignment="1">
      <alignment horizontal="center"/>
    </xf>
    <xf numFmtId="8" fontId="32" fillId="0" borderId="5" xfId="0" applyNumberFormat="1" applyFont="1" applyBorder="1"/>
    <xf numFmtId="10" fontId="0" fillId="0" borderId="5" xfId="0" applyNumberFormat="1" applyBorder="1" applyAlignment="1">
      <alignment horizontal="center"/>
    </xf>
    <xf numFmtId="8" fontId="0" fillId="6" borderId="66" xfId="0" applyNumberFormat="1" applyFill="1" applyBorder="1"/>
    <xf numFmtId="10" fontId="0" fillId="0" borderId="0" xfId="0" applyNumberFormat="1" applyAlignment="1">
      <alignment horizontal="center"/>
    </xf>
    <xf numFmtId="10" fontId="0" fillId="0" borderId="5" xfId="1" applyNumberFormat="1" applyFont="1" applyFill="1" applyBorder="1"/>
    <xf numFmtId="10" fontId="0" fillId="0" borderId="0" xfId="1" applyNumberFormat="1" applyFont="1" applyAlignment="1">
      <alignment horizontal="center" vertical="center"/>
    </xf>
    <xf numFmtId="10" fontId="3" fillId="0" borderId="5" xfId="1" applyNumberFormat="1" applyFont="1" applyBorder="1" applyAlignment="1">
      <alignment horizontal="center"/>
    </xf>
    <xf numFmtId="8" fontId="0" fillId="0" borderId="0" xfId="0" applyNumberFormat="1" applyAlignment="1">
      <alignment horizontal="center" vertical="center"/>
    </xf>
    <xf numFmtId="10" fontId="0" fillId="0" borderId="5" xfId="0" applyNumberFormat="1" applyBorder="1"/>
    <xf numFmtId="0" fontId="32" fillId="6" borderId="65" xfId="0" applyFont="1" applyFill="1" applyBorder="1"/>
    <xf numFmtId="0" fontId="32" fillId="6" borderId="5" xfId="0" applyFont="1" applyFill="1" applyBorder="1"/>
    <xf numFmtId="8" fontId="32" fillId="6" borderId="5" xfId="0" applyNumberFormat="1" applyFont="1" applyFill="1" applyBorder="1"/>
    <xf numFmtId="10" fontId="0" fillId="0" borderId="5" xfId="1" applyNumberFormat="1" applyFont="1" applyBorder="1" applyAlignment="1">
      <alignment horizontal="center"/>
    </xf>
    <xf numFmtId="10" fontId="17" fillId="13" borderId="4" xfId="4" applyNumberFormat="1" applyFill="1" applyAlignment="1">
      <alignment horizontal="center"/>
    </xf>
    <xf numFmtId="0" fontId="0" fillId="0" borderId="78" xfId="0" applyBorder="1"/>
    <xf numFmtId="10" fontId="0" fillId="0" borderId="0" xfId="1" applyNumberFormat="1" applyFont="1" applyBorder="1" applyAlignment="1">
      <alignment horizontal="center"/>
    </xf>
    <xf numFmtId="8" fontId="0" fillId="0" borderId="79" xfId="0" applyNumberFormat="1" applyBorder="1"/>
    <xf numFmtId="0" fontId="5" fillId="0" borderId="5" xfId="2" applyFont="1" applyFill="1" applyBorder="1"/>
    <xf numFmtId="8" fontId="5" fillId="0" borderId="5" xfId="1" applyNumberFormat="1" applyFont="1" applyFill="1" applyBorder="1" applyAlignment="1">
      <alignment horizontal="center"/>
    </xf>
    <xf numFmtId="0" fontId="5" fillId="10" borderId="5" xfId="2" applyFont="1" applyFill="1" applyBorder="1" applyAlignment="1">
      <alignment horizontal="center"/>
    </xf>
    <xf numFmtId="7" fontId="5" fillId="10" borderId="5" xfId="2" applyNumberFormat="1" applyFont="1" applyFill="1" applyBorder="1"/>
    <xf numFmtId="0" fontId="5" fillId="0" borderId="5" xfId="0" applyFont="1" applyBorder="1"/>
    <xf numFmtId="0" fontId="5" fillId="10" borderId="5" xfId="0" applyFont="1" applyFill="1" applyBorder="1" applyAlignment="1">
      <alignment horizontal="center"/>
    </xf>
    <xf numFmtId="7" fontId="5" fillId="10" borderId="5" xfId="0" applyNumberFormat="1" applyFont="1" applyFill="1" applyBorder="1"/>
    <xf numFmtId="7" fontId="32" fillId="10" borderId="5" xfId="0" applyNumberFormat="1" applyFont="1" applyFill="1" applyBorder="1"/>
    <xf numFmtId="166" fontId="56" fillId="0" borderId="0" xfId="0" applyNumberFormat="1" applyFont="1"/>
    <xf numFmtId="0" fontId="3" fillId="6" borderId="1" xfId="0" applyFont="1" applyFill="1" applyBorder="1"/>
    <xf numFmtId="0" fontId="3" fillId="6" borderId="2" xfId="0" applyFont="1" applyFill="1" applyBorder="1"/>
    <xf numFmtId="0" fontId="5" fillId="6" borderId="1" xfId="2" applyFont="1" applyFill="1" applyBorder="1" applyAlignment="1"/>
    <xf numFmtId="0" fontId="5" fillId="6" borderId="2" xfId="2" applyFont="1" applyFill="1" applyBorder="1" applyAlignment="1"/>
    <xf numFmtId="168" fontId="55" fillId="10" borderId="5" xfId="4" applyNumberFormat="1" applyFont="1" applyFill="1" applyBorder="1" applyAlignment="1">
      <alignment horizontal="center" vertical="center"/>
    </xf>
    <xf numFmtId="8" fontId="0" fillId="10" borderId="73" xfId="2" applyNumberFormat="1" applyFont="1" applyFill="1" applyBorder="1"/>
    <xf numFmtId="8" fontId="0" fillId="10" borderId="103" xfId="2" applyNumberFormat="1" applyFont="1" applyFill="1" applyBorder="1"/>
    <xf numFmtId="10" fontId="3" fillId="10" borderId="5" xfId="1" applyNumberFormat="1" applyFont="1" applyFill="1" applyBorder="1" applyAlignment="1">
      <alignment horizontal="center" vertical="center"/>
    </xf>
    <xf numFmtId="8" fontId="0" fillId="10" borderId="73" xfId="0" applyNumberFormat="1" applyFill="1" applyBorder="1"/>
    <xf numFmtId="10" fontId="5" fillId="13" borderId="5" xfId="1" applyNumberFormat="1" applyFont="1" applyFill="1" applyBorder="1" applyAlignment="1">
      <alignment horizontal="center"/>
    </xf>
    <xf numFmtId="166" fontId="5" fillId="12" borderId="5" xfId="1" applyNumberFormat="1" applyFont="1" applyFill="1" applyBorder="1" applyAlignment="1">
      <alignment horizontal="center"/>
    </xf>
    <xf numFmtId="8" fontId="3" fillId="10" borderId="73" xfId="2" applyNumberFormat="1" applyFont="1" applyFill="1" applyBorder="1"/>
    <xf numFmtId="10" fontId="3" fillId="10" borderId="73" xfId="1" applyNumberFormat="1" applyFont="1" applyFill="1" applyBorder="1"/>
    <xf numFmtId="0" fontId="0" fillId="0" borderId="63" xfId="0" applyBorder="1"/>
    <xf numFmtId="0" fontId="3" fillId="0" borderId="115" xfId="0" applyFont="1" applyBorder="1"/>
    <xf numFmtId="8" fontId="0" fillId="0" borderId="35" xfId="0" applyNumberFormat="1" applyBorder="1"/>
    <xf numFmtId="8" fontId="3" fillId="0" borderId="35" xfId="0" applyNumberFormat="1" applyFont="1" applyBorder="1"/>
    <xf numFmtId="166" fontId="5" fillId="0" borderId="5" xfId="0" applyNumberFormat="1" applyFont="1" applyBorder="1"/>
    <xf numFmtId="0" fontId="4" fillId="2" borderId="71" xfId="0" applyFont="1" applyFill="1" applyBorder="1" applyAlignment="1">
      <alignment horizontal="center" vertical="center" readingOrder="1"/>
    </xf>
    <xf numFmtId="10" fontId="55" fillId="10" borderId="1" xfId="4" applyNumberFormat="1" applyFont="1" applyFill="1" applyBorder="1" applyAlignment="1">
      <alignment horizontal="center"/>
    </xf>
    <xf numFmtId="10" fontId="55" fillId="10" borderId="1" xfId="4" applyNumberFormat="1" applyFont="1" applyFill="1" applyBorder="1" applyAlignment="1">
      <alignment horizontal="center" vertical="center"/>
    </xf>
    <xf numFmtId="168" fontId="55" fillId="13" borderId="1" xfId="4" applyNumberFormat="1" applyFont="1" applyFill="1" applyBorder="1" applyAlignment="1">
      <alignment horizontal="center" vertical="center"/>
    </xf>
    <xf numFmtId="10" fontId="3" fillId="10" borderId="1" xfId="0" applyNumberFormat="1" applyFont="1" applyFill="1" applyBorder="1" applyAlignment="1">
      <alignment horizontal="center" vertical="center"/>
    </xf>
    <xf numFmtId="10" fontId="3" fillId="12" borderId="1" xfId="1" applyNumberFormat="1" applyFont="1" applyFill="1" applyBorder="1" applyAlignment="1">
      <alignment horizontal="center"/>
    </xf>
    <xf numFmtId="164" fontId="32" fillId="10" borderId="1" xfId="4" applyNumberFormat="1" applyFont="1" applyFill="1" applyBorder="1" applyAlignment="1">
      <alignment horizontal="center"/>
    </xf>
    <xf numFmtId="164" fontId="32" fillId="10" borderId="1" xfId="4" applyNumberFormat="1" applyFont="1" applyFill="1" applyBorder="1" applyAlignment="1">
      <alignment horizontal="center" vertical="center"/>
    </xf>
    <xf numFmtId="9" fontId="32" fillId="10" borderId="1" xfId="1" applyFont="1" applyFill="1" applyBorder="1" applyAlignment="1">
      <alignment horizontal="center" vertical="center"/>
    </xf>
    <xf numFmtId="10" fontId="55" fillId="13" borderId="1" xfId="1" applyNumberFormat="1" applyFont="1" applyFill="1" applyBorder="1" applyAlignment="1">
      <alignment horizontal="center" vertical="center"/>
    </xf>
    <xf numFmtId="0" fontId="19" fillId="0" borderId="29" xfId="0" applyFont="1" applyBorder="1"/>
    <xf numFmtId="0" fontId="21" fillId="2" borderId="158" xfId="0" applyFont="1" applyFill="1" applyBorder="1" applyAlignment="1">
      <alignment horizontal="center" vertical="center" wrapText="1"/>
    </xf>
    <xf numFmtId="164" fontId="56" fillId="13" borderId="0" xfId="0" applyNumberFormat="1" applyFont="1" applyFill="1" applyAlignment="1">
      <alignment horizontal="center" vertical="center"/>
    </xf>
    <xf numFmtId="0" fontId="31" fillId="0" borderId="0" xfId="0" applyFont="1"/>
    <xf numFmtId="0" fontId="4" fillId="2" borderId="5" xfId="0" applyFont="1" applyFill="1" applyBorder="1" applyAlignment="1">
      <alignment horizontal="center"/>
    </xf>
    <xf numFmtId="0" fontId="59" fillId="12" borderId="17" xfId="0" applyFont="1" applyFill="1" applyBorder="1" applyAlignment="1">
      <alignment horizontal="center" vertical="center"/>
    </xf>
    <xf numFmtId="0" fontId="60" fillId="12" borderId="21" xfId="0" applyFont="1" applyFill="1" applyBorder="1" applyAlignment="1">
      <alignment horizontal="center" vertical="center"/>
    </xf>
    <xf numFmtId="0" fontId="60" fillId="12" borderId="5" xfId="0" applyFont="1" applyFill="1" applyBorder="1" applyAlignment="1">
      <alignment horizontal="center" vertical="center"/>
    </xf>
    <xf numFmtId="0" fontId="59" fillId="12" borderId="12" xfId="0" applyFont="1" applyFill="1" applyBorder="1" applyAlignment="1">
      <alignment horizontal="center" vertical="center" wrapText="1"/>
    </xf>
    <xf numFmtId="0" fontId="59" fillId="12" borderId="13" xfId="0" applyFont="1" applyFill="1" applyBorder="1" applyAlignment="1">
      <alignment horizontal="center" vertical="center" wrapText="1"/>
    </xf>
    <xf numFmtId="0" fontId="59" fillId="12" borderId="18" xfId="0" applyFont="1" applyFill="1" applyBorder="1" applyAlignment="1">
      <alignment horizontal="center" vertical="center" wrapText="1"/>
    </xf>
    <xf numFmtId="0" fontId="59" fillId="12" borderId="19" xfId="0" applyFont="1" applyFill="1" applyBorder="1" applyAlignment="1">
      <alignment horizontal="center" vertical="center" wrapText="1"/>
    </xf>
    <xf numFmtId="164" fontId="61" fillId="10" borderId="21" xfId="0" applyNumberFormat="1" applyFont="1" applyFill="1" applyBorder="1" applyAlignment="1">
      <alignment horizontal="center" vertical="center"/>
    </xf>
    <xf numFmtId="164" fontId="61" fillId="10" borderId="22" xfId="0" applyNumberFormat="1" applyFont="1" applyFill="1" applyBorder="1" applyAlignment="1">
      <alignment horizontal="center" vertical="center"/>
    </xf>
    <xf numFmtId="164" fontId="61" fillId="10" borderId="5" xfId="0" applyNumberFormat="1" applyFont="1" applyFill="1" applyBorder="1" applyAlignment="1">
      <alignment horizontal="center" vertical="center"/>
    </xf>
    <xf numFmtId="164" fontId="61" fillId="10" borderId="27" xfId="0" applyNumberFormat="1" applyFont="1" applyFill="1" applyBorder="1" applyAlignment="1">
      <alignment horizontal="center" vertical="center"/>
    </xf>
    <xf numFmtId="164" fontId="61" fillId="10" borderId="17" xfId="0" applyNumberFormat="1" applyFont="1" applyFill="1" applyBorder="1" applyAlignment="1">
      <alignment horizontal="center" vertical="center"/>
    </xf>
    <xf numFmtId="164" fontId="61" fillId="10" borderId="32" xfId="0" applyNumberFormat="1" applyFont="1" applyFill="1" applyBorder="1" applyAlignment="1">
      <alignment horizontal="center" vertical="center"/>
    </xf>
    <xf numFmtId="0" fontId="18" fillId="2" borderId="89" xfId="0" applyFont="1" applyFill="1" applyBorder="1" applyAlignment="1">
      <alignment horizontal="center"/>
    </xf>
    <xf numFmtId="0" fontId="4" fillId="2" borderId="112" xfId="0" applyFont="1" applyFill="1" applyBorder="1" applyAlignment="1">
      <alignment horizontal="center"/>
    </xf>
    <xf numFmtId="0" fontId="4" fillId="2" borderId="145" xfId="0" applyFont="1" applyFill="1" applyBorder="1" applyAlignment="1">
      <alignment horizontal="center"/>
    </xf>
    <xf numFmtId="0" fontId="15" fillId="0" borderId="159" xfId="0" applyFont="1" applyBorder="1"/>
    <xf numFmtId="10" fontId="22" fillId="10" borderId="4" xfId="4" applyNumberFormat="1" applyFont="1" applyFill="1" applyAlignment="1">
      <alignment horizontal="center"/>
    </xf>
    <xf numFmtId="10" fontId="22" fillId="10" borderId="160" xfId="4" applyNumberFormat="1" applyFont="1" applyFill="1" applyBorder="1" applyAlignment="1">
      <alignment horizontal="center"/>
    </xf>
    <xf numFmtId="0" fontId="33" fillId="6" borderId="159" xfId="0" applyFont="1" applyFill="1" applyBorder="1"/>
    <xf numFmtId="0" fontId="15" fillId="0" borderId="161" xfId="0" applyFont="1" applyBorder="1"/>
    <xf numFmtId="10" fontId="3" fillId="10" borderId="104" xfId="0" applyNumberFormat="1" applyFont="1" applyFill="1" applyBorder="1"/>
    <xf numFmtId="10" fontId="3" fillId="10" borderId="141" xfId="0" applyNumberFormat="1" applyFont="1" applyFill="1" applyBorder="1"/>
    <xf numFmtId="0" fontId="48" fillId="2" borderId="0" xfId="0" applyFont="1" applyFill="1"/>
    <xf numFmtId="0" fontId="18" fillId="2" borderId="165" xfId="0" applyFont="1" applyFill="1" applyBorder="1" applyAlignment="1">
      <alignment horizontal="centerContinuous"/>
    </xf>
    <xf numFmtId="0" fontId="18" fillId="2" borderId="166" xfId="0" applyFont="1" applyFill="1" applyBorder="1" applyAlignment="1">
      <alignment horizontal="centerContinuous"/>
    </xf>
    <xf numFmtId="0" fontId="18" fillId="2" borderId="167" xfId="0" applyFont="1" applyFill="1" applyBorder="1" applyAlignment="1">
      <alignment horizontal="centerContinuous"/>
    </xf>
    <xf numFmtId="0" fontId="18" fillId="2" borderId="168" xfId="0" applyFont="1" applyFill="1" applyBorder="1" applyAlignment="1">
      <alignment horizontal="centerContinuous"/>
    </xf>
    <xf numFmtId="0" fontId="18" fillId="2" borderId="169" xfId="0" applyFont="1" applyFill="1" applyBorder="1" applyAlignment="1">
      <alignment horizontal="centerContinuous"/>
    </xf>
    <xf numFmtId="0" fontId="18" fillId="2" borderId="170" xfId="0" applyFont="1" applyFill="1" applyBorder="1" applyAlignment="1">
      <alignment horizontal="centerContinuous"/>
    </xf>
    <xf numFmtId="0" fontId="60" fillId="0" borderId="0" xfId="0" applyFont="1"/>
    <xf numFmtId="0" fontId="60" fillId="0" borderId="0" xfId="0" applyFont="1" applyAlignment="1">
      <alignment horizontal="center" vertical="center"/>
    </xf>
    <xf numFmtId="4" fontId="60" fillId="0" borderId="0" xfId="0" applyNumberFormat="1" applyFont="1" applyAlignment="1">
      <alignment horizontal="center" vertical="center"/>
    </xf>
    <xf numFmtId="0" fontId="58" fillId="2" borderId="55" xfId="0" applyFont="1" applyFill="1" applyBorder="1" applyAlignment="1">
      <alignment horizontal="left" vertical="center" readingOrder="1"/>
    </xf>
    <xf numFmtId="0" fontId="58" fillId="2" borderId="45" xfId="0" applyFont="1" applyFill="1" applyBorder="1" applyAlignment="1">
      <alignment horizontal="center" vertical="center" readingOrder="1"/>
    </xf>
    <xf numFmtId="0" fontId="58" fillId="2" borderId="55" xfId="0" applyFont="1" applyFill="1" applyBorder="1" applyAlignment="1">
      <alignment horizontal="center" vertical="center" readingOrder="1"/>
    </xf>
    <xf numFmtId="4" fontId="58" fillId="2" borderId="130" xfId="0" applyNumberFormat="1" applyFont="1" applyFill="1" applyBorder="1" applyAlignment="1">
      <alignment horizontal="center" vertical="center" readingOrder="1"/>
    </xf>
    <xf numFmtId="0" fontId="60" fillId="0" borderId="48" xfId="0" applyFont="1" applyBorder="1"/>
    <xf numFmtId="0" fontId="62" fillId="0" borderId="5" xfId="0" applyFont="1" applyBorder="1" applyAlignment="1">
      <alignment horizontal="center"/>
    </xf>
    <xf numFmtId="4" fontId="62" fillId="0" borderId="47" xfId="0" applyNumberFormat="1" applyFont="1" applyBorder="1" applyAlignment="1">
      <alignment horizontal="center" vertical="center"/>
    </xf>
    <xf numFmtId="0" fontId="60" fillId="6" borderId="48" xfId="0" applyFont="1" applyFill="1" applyBorder="1" applyAlignment="1">
      <alignment horizontal="left" indent="1"/>
    </xf>
    <xf numFmtId="164" fontId="60" fillId="0" borderId="0" xfId="0" applyNumberFormat="1" applyFont="1"/>
    <xf numFmtId="0" fontId="60" fillId="6" borderId="74" xfId="0" applyFont="1" applyFill="1" applyBorder="1" applyAlignment="1">
      <alignment horizontal="left" indent="1"/>
    </xf>
    <xf numFmtId="0" fontId="62" fillId="6" borderId="131" xfId="0" applyFont="1" applyFill="1" applyBorder="1" applyAlignment="1">
      <alignment horizontal="center"/>
    </xf>
    <xf numFmtId="8" fontId="62" fillId="10" borderId="132" xfId="0" applyNumberFormat="1" applyFont="1" applyFill="1" applyBorder="1" applyAlignment="1">
      <alignment horizontal="center"/>
    </xf>
    <xf numFmtId="3" fontId="60" fillId="10" borderId="69" xfId="0" applyNumberFormat="1" applyFont="1" applyFill="1" applyBorder="1" applyAlignment="1">
      <alignment horizontal="center" vertical="center"/>
    </xf>
    <xf numFmtId="0" fontId="60" fillId="6" borderId="129" xfId="0" applyFont="1" applyFill="1" applyBorder="1" applyAlignment="1">
      <alignment horizontal="left" indent="1"/>
    </xf>
    <xf numFmtId="0" fontId="62" fillId="0" borderId="134" xfId="0" applyFont="1" applyBorder="1" applyAlignment="1">
      <alignment horizontal="center" vertical="center"/>
    </xf>
    <xf numFmtId="8" fontId="62" fillId="10" borderId="135" xfId="0" applyNumberFormat="1" applyFont="1" applyFill="1" applyBorder="1" applyAlignment="1">
      <alignment horizontal="center"/>
    </xf>
    <xf numFmtId="0" fontId="60" fillId="10" borderId="136" xfId="0" applyFont="1" applyFill="1" applyBorder="1"/>
    <xf numFmtId="0" fontId="60" fillId="0" borderId="48" xfId="0" applyFont="1" applyBorder="1" applyAlignment="1">
      <alignment horizontal="left" indent="1"/>
    </xf>
    <xf numFmtId="8" fontId="63" fillId="10" borderId="5" xfId="4" applyNumberFormat="1" applyFont="1" applyFill="1" applyBorder="1" applyAlignment="1">
      <alignment horizontal="center"/>
    </xf>
    <xf numFmtId="8" fontId="61" fillId="10" borderId="138" xfId="4" applyNumberFormat="1" applyFont="1" applyFill="1" applyBorder="1" applyAlignment="1">
      <alignment horizontal="center"/>
    </xf>
    <xf numFmtId="0" fontId="60" fillId="0" borderId="129" xfId="0" applyFont="1" applyBorder="1" applyAlignment="1">
      <alignment horizontal="left" indent="1"/>
    </xf>
    <xf numFmtId="8" fontId="60" fillId="0" borderId="0" xfId="0" applyNumberFormat="1" applyFont="1"/>
    <xf numFmtId="4" fontId="60" fillId="16" borderId="0" xfId="0" applyNumberFormat="1" applyFont="1" applyFill="1" applyAlignment="1">
      <alignment horizontal="right" vertical="center" wrapText="1"/>
    </xf>
    <xf numFmtId="8" fontId="60" fillId="0" borderId="0" xfId="0" applyNumberFormat="1" applyFont="1" applyAlignment="1">
      <alignment horizontal="center" vertical="center"/>
    </xf>
    <xf numFmtId="0" fontId="62" fillId="0" borderId="5" xfId="0" applyFont="1" applyBorder="1" applyAlignment="1">
      <alignment horizontal="center" vertical="center"/>
    </xf>
    <xf numFmtId="0" fontId="60" fillId="0" borderId="0" xfId="0" applyFont="1" applyAlignment="1">
      <alignment wrapText="1"/>
    </xf>
    <xf numFmtId="0" fontId="60" fillId="16" borderId="0" xfId="0" applyFont="1" applyFill="1" applyAlignment="1">
      <alignment horizontal="left" vertical="center" wrapText="1" indent="2"/>
    </xf>
    <xf numFmtId="4" fontId="60" fillId="16" borderId="0" xfId="0" applyNumberFormat="1" applyFont="1" applyFill="1" applyAlignment="1">
      <alignment horizontal="center" vertical="center" wrapText="1"/>
    </xf>
    <xf numFmtId="164" fontId="60" fillId="0" borderId="0" xfId="0" applyNumberFormat="1" applyFont="1" applyAlignment="1">
      <alignment horizontal="center" vertical="center"/>
    </xf>
    <xf numFmtId="0" fontId="58" fillId="2" borderId="131" xfId="0" applyFont="1" applyFill="1" applyBorder="1" applyAlignment="1">
      <alignment horizontal="left"/>
    </xf>
    <xf numFmtId="0" fontId="58" fillId="2" borderId="69" xfId="0" applyFont="1" applyFill="1" applyBorder="1" applyAlignment="1">
      <alignment horizontal="left" wrapText="1"/>
    </xf>
    <xf numFmtId="0" fontId="58" fillId="2" borderId="69" xfId="0" applyFont="1" applyFill="1" applyBorder="1" applyAlignment="1">
      <alignment horizontal="left"/>
    </xf>
    <xf numFmtId="0" fontId="58" fillId="2" borderId="69" xfId="0" applyFont="1" applyFill="1" applyBorder="1" applyAlignment="1">
      <alignment horizontal="left" vertical="center" wrapText="1"/>
    </xf>
    <xf numFmtId="4" fontId="58" fillId="2" borderId="69" xfId="0" applyNumberFormat="1" applyFont="1" applyFill="1" applyBorder="1" applyAlignment="1">
      <alignment horizontal="center" vertical="center"/>
    </xf>
    <xf numFmtId="164" fontId="58" fillId="2" borderId="69" xfId="0" applyNumberFormat="1" applyFont="1" applyFill="1" applyBorder="1" applyAlignment="1">
      <alignment horizontal="center" vertical="center" wrapText="1"/>
    </xf>
    <xf numFmtId="164" fontId="58" fillId="2" borderId="139" xfId="0" applyNumberFormat="1" applyFont="1" applyFill="1" applyBorder="1" applyAlignment="1">
      <alignment horizontal="left" vertical="center"/>
    </xf>
    <xf numFmtId="0" fontId="60" fillId="6" borderId="140" xfId="0" applyFont="1" applyFill="1" applyBorder="1" applyAlignment="1">
      <alignment horizontal="left" indent="1"/>
    </xf>
    <xf numFmtId="164" fontId="12" fillId="6" borderId="1" xfId="0" applyNumberFormat="1" applyFont="1" applyFill="1" applyBorder="1" applyAlignment="1">
      <alignment horizontal="center" vertical="center" wrapText="1"/>
    </xf>
    <xf numFmtId="4" fontId="64" fillId="16" borderId="5" xfId="0" applyNumberFormat="1" applyFont="1" applyFill="1" applyBorder="1" applyAlignment="1">
      <alignment horizontal="center" vertical="center" wrapText="1"/>
    </xf>
    <xf numFmtId="0" fontId="62" fillId="0" borderId="5" xfId="0" applyFont="1" applyBorder="1"/>
    <xf numFmtId="0" fontId="62" fillId="0" borderId="5" xfId="0" applyFont="1" applyBorder="1" applyAlignment="1">
      <alignment horizontal="center" vertical="center" wrapText="1"/>
    </xf>
    <xf numFmtId="4" fontId="62" fillId="0" borderId="5" xfId="0" applyNumberFormat="1" applyFont="1" applyBorder="1" applyAlignment="1">
      <alignment horizontal="center" vertical="center" wrapText="1"/>
    </xf>
    <xf numFmtId="4" fontId="62" fillId="16" borderId="5" xfId="0" applyNumberFormat="1" applyFont="1" applyFill="1" applyBorder="1" applyAlignment="1">
      <alignment horizontal="center" vertical="center" wrapText="1"/>
    </xf>
    <xf numFmtId="0" fontId="62" fillId="0" borderId="5" xfId="0" applyFont="1" applyBorder="1" applyAlignment="1">
      <alignment horizontal="left" wrapText="1"/>
    </xf>
    <xf numFmtId="4" fontId="62" fillId="0" borderId="5" xfId="0" applyNumberFormat="1" applyFont="1" applyBorder="1" applyAlignment="1">
      <alignment horizontal="center" vertical="center"/>
    </xf>
    <xf numFmtId="164" fontId="62" fillId="0" borderId="5" xfId="3" applyNumberFormat="1" applyFont="1" applyBorder="1" applyAlignment="1">
      <alignment horizontal="right" wrapText="1"/>
    </xf>
    <xf numFmtId="0" fontId="60" fillId="0" borderId="5" xfId="0" applyFont="1" applyBorder="1" applyAlignment="1">
      <alignment horizontal="left" wrapText="1"/>
    </xf>
    <xf numFmtId="0" fontId="60" fillId="0" borderId="5" xfId="0" applyFont="1" applyBorder="1" applyAlignment="1">
      <alignment horizontal="left" wrapText="1" indent="1"/>
    </xf>
    <xf numFmtId="0" fontId="60" fillId="0" borderId="5" xfId="0" applyFont="1" applyBorder="1" applyAlignment="1">
      <alignment horizontal="center" vertical="center" wrapText="1"/>
    </xf>
    <xf numFmtId="164" fontId="60" fillId="0" borderId="5" xfId="3" applyNumberFormat="1" applyFont="1" applyBorder="1" applyAlignment="1">
      <alignment horizontal="right" wrapText="1"/>
    </xf>
    <xf numFmtId="4" fontId="60" fillId="16" borderId="5" xfId="0" applyNumberFormat="1" applyFont="1" applyFill="1" applyBorder="1" applyAlignment="1">
      <alignment horizontal="center" vertical="center" wrapText="1"/>
    </xf>
    <xf numFmtId="0" fontId="60" fillId="0" borderId="0" xfId="0" applyFont="1" applyAlignment="1">
      <alignment horizontal="left" wrapText="1"/>
    </xf>
    <xf numFmtId="4" fontId="60" fillId="0" borderId="0" xfId="0" applyNumberFormat="1" applyFont="1" applyAlignment="1">
      <alignment horizontal="center" vertical="center" wrapText="1"/>
    </xf>
    <xf numFmtId="164" fontId="12" fillId="6" borderId="1" xfId="0" applyNumberFormat="1" applyFont="1" applyFill="1" applyBorder="1" applyAlignment="1">
      <alignment vertical="center" wrapText="1"/>
    </xf>
    <xf numFmtId="0" fontId="62" fillId="0" borderId="5" xfId="0" applyFont="1" applyBorder="1" applyAlignment="1">
      <alignment horizontal="center" wrapText="1"/>
    </xf>
    <xf numFmtId="164" fontId="62" fillId="16" borderId="5" xfId="0" applyNumberFormat="1" applyFont="1" applyFill="1" applyBorder="1" applyAlignment="1">
      <alignment horizontal="right" vertical="center" wrapText="1"/>
    </xf>
    <xf numFmtId="0" fontId="60" fillId="0" borderId="5" xfId="0" applyFont="1" applyBorder="1" applyAlignment="1">
      <alignment horizontal="center" wrapText="1"/>
    </xf>
    <xf numFmtId="164" fontId="60" fillId="0" borderId="5" xfId="0" applyNumberFormat="1" applyFont="1" applyBorder="1" applyAlignment="1">
      <alignment horizontal="right" wrapText="1"/>
    </xf>
    <xf numFmtId="164" fontId="60" fillId="16" borderId="5" xfId="0" applyNumberFormat="1" applyFont="1" applyFill="1" applyBorder="1" applyAlignment="1">
      <alignment horizontal="right" vertical="center" wrapText="1"/>
    </xf>
    <xf numFmtId="0" fontId="60" fillId="0" borderId="5" xfId="0" applyFont="1" applyBorder="1" applyAlignment="1">
      <alignment horizontal="left" vertical="center" wrapText="1"/>
    </xf>
    <xf numFmtId="0" fontId="60" fillId="0" borderId="0" xfId="0" applyFont="1" applyAlignment="1">
      <alignment horizontal="center" vertical="center" wrapText="1"/>
    </xf>
    <xf numFmtId="164" fontId="60" fillId="0" borderId="0" xfId="3" applyNumberFormat="1" applyFont="1" applyBorder="1" applyAlignment="1">
      <alignment horizontal="right" wrapText="1"/>
    </xf>
    <xf numFmtId="164" fontId="60" fillId="0" borderId="5" xfId="3" applyNumberFormat="1" applyFont="1" applyBorder="1" applyAlignment="1">
      <alignment horizontal="right" vertical="center" wrapText="1"/>
    </xf>
    <xf numFmtId="164" fontId="62" fillId="16" borderId="5" xfId="0" applyNumberFormat="1" applyFont="1" applyFill="1" applyBorder="1" applyAlignment="1">
      <alignment horizontal="center" vertical="center" wrapText="1"/>
    </xf>
    <xf numFmtId="164" fontId="60" fillId="0" borderId="5" xfId="0" applyNumberFormat="1" applyFont="1" applyBorder="1" applyAlignment="1">
      <alignment horizontal="center" wrapText="1"/>
    </xf>
    <xf numFmtId="164" fontId="60" fillId="16" borderId="5" xfId="0" applyNumberFormat="1" applyFont="1" applyFill="1" applyBorder="1" applyAlignment="1">
      <alignment horizontal="center" vertical="center" wrapText="1"/>
    </xf>
    <xf numFmtId="164" fontId="62" fillId="0" borderId="5" xfId="3" applyNumberFormat="1" applyFont="1" applyBorder="1" applyAlignment="1">
      <alignment horizontal="center" wrapText="1"/>
    </xf>
    <xf numFmtId="164" fontId="60" fillId="0" borderId="5" xfId="0" applyNumberFormat="1" applyFont="1" applyBorder="1" applyAlignment="1">
      <alignment horizontal="center" vertical="center" wrapText="1"/>
    </xf>
    <xf numFmtId="0" fontId="60" fillId="0" borderId="0" xfId="0" applyFont="1" applyAlignment="1">
      <alignment horizontal="left" wrapText="1" indent="1"/>
    </xf>
    <xf numFmtId="164" fontId="60" fillId="0" borderId="0" xfId="3" applyNumberFormat="1" applyFont="1" applyBorder="1" applyAlignment="1">
      <alignment horizontal="center" vertical="center" wrapText="1"/>
    </xf>
    <xf numFmtId="164" fontId="60" fillId="16" borderId="0" xfId="0" applyNumberFormat="1" applyFont="1" applyFill="1" applyAlignment="1">
      <alignment horizontal="center" vertical="center" wrapText="1"/>
    </xf>
    <xf numFmtId="0" fontId="61" fillId="6" borderId="5" xfId="0" applyFont="1" applyFill="1" applyBorder="1" applyAlignment="1">
      <alignment horizontal="centerContinuous" wrapText="1"/>
    </xf>
    <xf numFmtId="0" fontId="58" fillId="17" borderId="131" xfId="0" applyFont="1" applyFill="1" applyBorder="1" applyAlignment="1">
      <alignment horizontal="left"/>
    </xf>
    <xf numFmtId="0" fontId="58" fillId="17" borderId="69" xfId="0" applyFont="1" applyFill="1" applyBorder="1" applyAlignment="1">
      <alignment horizontal="left" wrapText="1"/>
    </xf>
    <xf numFmtId="0" fontId="58" fillId="17" borderId="69" xfId="0" applyFont="1" applyFill="1" applyBorder="1" applyAlignment="1">
      <alignment horizontal="left"/>
    </xf>
    <xf numFmtId="0" fontId="58" fillId="17" borderId="69" xfId="0" applyFont="1" applyFill="1" applyBorder="1" applyAlignment="1">
      <alignment horizontal="left" vertical="center" wrapText="1"/>
    </xf>
    <xf numFmtId="4" fontId="58" fillId="17" borderId="69" xfId="0" applyNumberFormat="1" applyFont="1" applyFill="1" applyBorder="1" applyAlignment="1">
      <alignment horizontal="center" vertical="center"/>
    </xf>
    <xf numFmtId="4" fontId="58" fillId="17" borderId="69" xfId="0" applyNumberFormat="1" applyFont="1" applyFill="1" applyBorder="1" applyAlignment="1">
      <alignment horizontal="center" vertical="center" wrapText="1"/>
    </xf>
    <xf numFmtId="164" fontId="58" fillId="17" borderId="139" xfId="0" applyNumberFormat="1" applyFont="1" applyFill="1" applyBorder="1" applyAlignment="1">
      <alignment horizontal="left" vertical="center"/>
    </xf>
    <xf numFmtId="164" fontId="58" fillId="17" borderId="1" xfId="0" applyNumberFormat="1" applyFont="1" applyFill="1" applyBorder="1" applyAlignment="1">
      <alignment vertical="center" wrapText="1"/>
    </xf>
    <xf numFmtId="164" fontId="58" fillId="17" borderId="3" xfId="0" applyNumberFormat="1" applyFont="1" applyFill="1" applyBorder="1" applyAlignment="1">
      <alignment vertical="center" wrapText="1"/>
    </xf>
    <xf numFmtId="0" fontId="62" fillId="0" borderId="5" xfId="0" applyFont="1" applyBorder="1" applyAlignment="1">
      <alignment horizontal="right"/>
    </xf>
    <xf numFmtId="0" fontId="60" fillId="0" borderId="5" xfId="0" applyFont="1" applyBorder="1" applyAlignment="1">
      <alignment horizontal="right" wrapText="1"/>
    </xf>
    <xf numFmtId="0" fontId="62" fillId="0" borderId="5" xfId="0" applyFont="1" applyBorder="1" applyAlignment="1">
      <alignment horizontal="right" wrapText="1"/>
    </xf>
    <xf numFmtId="0" fontId="26" fillId="2" borderId="1" xfId="0" applyFont="1" applyFill="1" applyBorder="1" applyAlignment="1">
      <alignment horizontal="centerContinuous"/>
    </xf>
    <xf numFmtId="0" fontId="26" fillId="2" borderId="2" xfId="0" applyFont="1" applyFill="1" applyBorder="1" applyAlignment="1">
      <alignment horizontal="centerContinuous"/>
    </xf>
    <xf numFmtId="4" fontId="26" fillId="2" borderId="2" xfId="0" applyNumberFormat="1" applyFont="1" applyFill="1" applyBorder="1" applyAlignment="1">
      <alignment horizontal="center" vertical="center"/>
    </xf>
    <xf numFmtId="164" fontId="26" fillId="2" borderId="2" xfId="0" applyNumberFormat="1" applyFont="1" applyFill="1" applyBorder="1" applyAlignment="1">
      <alignment horizontal="center" vertical="center"/>
    </xf>
    <xf numFmtId="164" fontId="26" fillId="2" borderId="2" xfId="0" applyNumberFormat="1" applyFont="1" applyFill="1" applyBorder="1" applyAlignment="1">
      <alignment vertical="center"/>
    </xf>
    <xf numFmtId="164" fontId="26" fillId="17" borderId="100" xfId="0" applyNumberFormat="1" applyFont="1" applyFill="1" applyBorder="1"/>
    <xf numFmtId="0" fontId="26" fillId="17" borderId="99" xfId="0" applyFont="1" applyFill="1" applyBorder="1"/>
    <xf numFmtId="0" fontId="4" fillId="2" borderId="162" xfId="0" applyFont="1" applyFill="1" applyBorder="1" applyAlignment="1">
      <alignment horizontal="center" vertical="center"/>
    </xf>
    <xf numFmtId="0" fontId="4" fillId="2" borderId="163" xfId="0" applyFont="1" applyFill="1" applyBorder="1" applyAlignment="1">
      <alignment horizontal="center" vertical="center"/>
    </xf>
    <xf numFmtId="0" fontId="4" fillId="2" borderId="164" xfId="0" applyFont="1" applyFill="1" applyBorder="1" applyAlignment="1">
      <alignment horizontal="center" vertical="center"/>
    </xf>
    <xf numFmtId="0" fontId="4" fillId="2" borderId="168" xfId="0" applyFont="1" applyFill="1" applyBorder="1" applyAlignment="1">
      <alignment horizontal="center" vertical="center"/>
    </xf>
    <xf numFmtId="0" fontId="4" fillId="2" borderId="169" xfId="0" applyFont="1" applyFill="1" applyBorder="1" applyAlignment="1">
      <alignment horizontal="center" vertical="center"/>
    </xf>
    <xf numFmtId="0" fontId="4" fillId="2" borderId="170" xfId="0" applyFont="1" applyFill="1" applyBorder="1" applyAlignment="1">
      <alignment horizontal="center" vertical="center"/>
    </xf>
    <xf numFmtId="164" fontId="12" fillId="6" borderId="3" xfId="0" applyNumberFormat="1" applyFont="1" applyFill="1" applyBorder="1" applyAlignment="1">
      <alignment vertical="center" wrapText="1"/>
    </xf>
    <xf numFmtId="0" fontId="64" fillId="0" borderId="5" xfId="0" applyFont="1" applyBorder="1" applyAlignment="1">
      <alignment horizontal="center" vertical="center" wrapText="1"/>
    </xf>
    <xf numFmtId="0" fontId="12" fillId="6" borderId="5" xfId="0" applyFont="1" applyFill="1" applyBorder="1" applyAlignment="1">
      <alignment horizontal="centerContinuous" wrapText="1"/>
    </xf>
    <xf numFmtId="4" fontId="12" fillId="6" borderId="5" xfId="0" applyNumberFormat="1" applyFont="1" applyFill="1" applyBorder="1" applyAlignment="1">
      <alignment horizontal="center" vertical="center" wrapText="1"/>
    </xf>
    <xf numFmtId="4" fontId="7" fillId="16" borderId="5" xfId="0" applyNumberFormat="1" applyFont="1" applyFill="1" applyBorder="1" applyAlignment="1">
      <alignment horizontal="center" vertical="center" wrapText="1"/>
    </xf>
    <xf numFmtId="0" fontId="26" fillId="17" borderId="84" xfId="0" applyFont="1" applyFill="1" applyBorder="1" applyAlignment="1">
      <alignment horizontal="left"/>
    </xf>
    <xf numFmtId="0" fontId="26" fillId="17" borderId="100" xfId="0" applyFont="1" applyFill="1" applyBorder="1" applyAlignment="1">
      <alignment horizontal="left" wrapText="1"/>
    </xf>
    <xf numFmtId="0" fontId="26" fillId="17" borderId="100" xfId="0" applyFont="1" applyFill="1" applyBorder="1" applyAlignment="1">
      <alignment horizontal="left"/>
    </xf>
    <xf numFmtId="0" fontId="26" fillId="17" borderId="100" xfId="0" applyFont="1" applyFill="1" applyBorder="1" applyAlignment="1">
      <alignment horizontal="left" vertical="center" wrapText="1"/>
    </xf>
    <xf numFmtId="4" fontId="26" fillId="17" borderId="100" xfId="0" applyNumberFormat="1" applyFont="1" applyFill="1" applyBorder="1" applyAlignment="1">
      <alignment horizontal="center" vertical="center"/>
    </xf>
    <xf numFmtId="4" fontId="26" fillId="17" borderId="100" xfId="0" applyNumberFormat="1" applyFont="1" applyFill="1" applyBorder="1" applyAlignment="1">
      <alignment horizontal="center" vertical="center" wrapText="1"/>
    </xf>
    <xf numFmtId="164" fontId="26" fillId="17" borderId="99" xfId="0" applyNumberFormat="1" applyFont="1" applyFill="1" applyBorder="1" applyAlignment="1">
      <alignment horizontal="left" vertical="center"/>
    </xf>
    <xf numFmtId="0" fontId="7" fillId="0" borderId="0" xfId="0" applyFont="1" applyAlignment="1">
      <alignment horizontal="left" wrapText="1"/>
    </xf>
    <xf numFmtId="0" fontId="7" fillId="0" borderId="0" xfId="0" applyFont="1" applyAlignment="1">
      <alignment horizontal="left" wrapText="1" indent="1"/>
    </xf>
    <xf numFmtId="0" fontId="7" fillId="0" borderId="0" xfId="0" applyFont="1" applyAlignment="1">
      <alignment horizontal="center" vertical="center" wrapText="1"/>
    </xf>
    <xf numFmtId="164" fontId="7" fillId="0" borderId="0" xfId="3" applyNumberFormat="1" applyFont="1" applyBorder="1" applyAlignment="1">
      <alignment horizontal="center" vertical="center" wrapText="1"/>
    </xf>
    <xf numFmtId="4" fontId="7" fillId="0" borderId="0" xfId="0" applyNumberFormat="1" applyFont="1" applyAlignment="1">
      <alignment horizontal="center" vertical="center" wrapText="1"/>
    </xf>
    <xf numFmtId="164" fontId="7" fillId="16" borderId="0" xfId="0" applyNumberFormat="1" applyFont="1" applyFill="1" applyAlignment="1">
      <alignment horizontal="center" vertical="center" wrapText="1"/>
    </xf>
    <xf numFmtId="4" fontId="7" fillId="16" borderId="0" xfId="0" applyNumberFormat="1" applyFont="1" applyFill="1" applyAlignment="1">
      <alignment horizontal="center" vertical="center" wrapText="1"/>
    </xf>
    <xf numFmtId="164" fontId="26" fillId="17" borderId="1" xfId="0" applyNumberFormat="1" applyFont="1" applyFill="1" applyBorder="1" applyAlignment="1">
      <alignment vertical="center" wrapText="1"/>
    </xf>
    <xf numFmtId="164" fontId="26" fillId="17" borderId="3" xfId="0" applyNumberFormat="1" applyFont="1" applyFill="1" applyBorder="1" applyAlignment="1">
      <alignment vertical="center" wrapText="1"/>
    </xf>
    <xf numFmtId="0" fontId="26" fillId="17" borderId="131" xfId="0" applyFont="1" applyFill="1" applyBorder="1" applyAlignment="1">
      <alignment horizontal="left"/>
    </xf>
    <xf numFmtId="0" fontId="26" fillId="17" borderId="69" xfId="0" applyFont="1" applyFill="1" applyBorder="1" applyAlignment="1">
      <alignment horizontal="left" wrapText="1"/>
    </xf>
    <xf numFmtId="0" fontId="26" fillId="17" borderId="69" xfId="0" applyFont="1" applyFill="1" applyBorder="1" applyAlignment="1">
      <alignment horizontal="left"/>
    </xf>
    <xf numFmtId="0" fontId="26" fillId="17" borderId="69" xfId="0" applyFont="1" applyFill="1" applyBorder="1" applyAlignment="1">
      <alignment horizontal="left" vertical="center" wrapText="1"/>
    </xf>
    <xf numFmtId="4" fontId="26" fillId="17" borderId="69" xfId="0" applyNumberFormat="1" applyFont="1" applyFill="1" applyBorder="1" applyAlignment="1">
      <alignment horizontal="center" vertical="center"/>
    </xf>
    <xf numFmtId="4" fontId="26" fillId="17" borderId="69" xfId="0" applyNumberFormat="1" applyFont="1" applyFill="1" applyBorder="1" applyAlignment="1">
      <alignment horizontal="center" vertical="center" wrapText="1"/>
    </xf>
    <xf numFmtId="164" fontId="26" fillId="17" borderId="139" xfId="0" applyNumberFormat="1" applyFont="1" applyFill="1" applyBorder="1" applyAlignment="1">
      <alignment horizontal="left" vertical="center"/>
    </xf>
    <xf numFmtId="164" fontId="26" fillId="17" borderId="1" xfId="0" applyNumberFormat="1" applyFont="1" applyFill="1" applyBorder="1" applyAlignment="1">
      <alignment horizontal="center" vertical="center" wrapText="1"/>
    </xf>
    <xf numFmtId="164" fontId="26" fillId="17" borderId="3" xfId="0" applyNumberFormat="1" applyFont="1" applyFill="1" applyBorder="1" applyAlignment="1">
      <alignment horizontal="center" vertical="center" wrapText="1"/>
    </xf>
    <xf numFmtId="9" fontId="54" fillId="0" borderId="78" xfId="0" quotePrefix="1" applyNumberFormat="1" applyFont="1" applyBorder="1" applyAlignment="1">
      <alignment horizontal="right" vertical="center" wrapText="1"/>
    </xf>
    <xf numFmtId="10" fontId="54" fillId="0" borderId="0" xfId="1" applyNumberFormat="1" applyFont="1" applyFill="1" applyBorder="1" applyAlignment="1" applyProtection="1">
      <alignment vertical="center"/>
    </xf>
    <xf numFmtId="9" fontId="54" fillId="15" borderId="78" xfId="0" applyNumberFormat="1" applyFont="1" applyFill="1" applyBorder="1" applyAlignment="1">
      <alignment horizontal="right" vertical="center" wrapText="1"/>
    </xf>
    <xf numFmtId="4" fontId="33" fillId="15" borderId="0" xfId="0" quotePrefix="1" applyNumberFormat="1" applyFont="1" applyFill="1" applyAlignment="1">
      <alignment horizontal="right" vertical="center"/>
    </xf>
    <xf numFmtId="183" fontId="33" fillId="15" borderId="0" xfId="0" applyNumberFormat="1" applyFont="1" applyFill="1" applyAlignment="1">
      <alignment horizontal="center" vertical="center" wrapText="1"/>
    </xf>
    <xf numFmtId="4" fontId="54" fillId="15" borderId="79" xfId="0" applyNumberFormat="1" applyFont="1" applyFill="1" applyBorder="1" applyAlignment="1">
      <alignment vertical="center"/>
    </xf>
    <xf numFmtId="183" fontId="33" fillId="15" borderId="88" xfId="0" applyNumberFormat="1" applyFont="1" applyFill="1" applyBorder="1" applyAlignment="1">
      <alignment horizontal="center" vertical="center" wrapText="1"/>
    </xf>
    <xf numFmtId="4" fontId="33" fillId="15" borderId="87" xfId="3" applyNumberFormat="1" applyFont="1" applyFill="1" applyBorder="1" applyAlignment="1" applyProtection="1">
      <alignment vertical="center"/>
    </xf>
    <xf numFmtId="4" fontId="54" fillId="0" borderId="79" xfId="0" applyNumberFormat="1" applyFont="1" applyBorder="1" applyAlignment="1">
      <alignment vertical="center"/>
    </xf>
    <xf numFmtId="10" fontId="54" fillId="0" borderId="0" xfId="0" quotePrefix="1" applyNumberFormat="1" applyFont="1" applyAlignment="1">
      <alignment horizontal="right" vertical="center"/>
    </xf>
    <xf numFmtId="9" fontId="54" fillId="15" borderId="85" xfId="0" applyNumberFormat="1" applyFont="1" applyFill="1" applyBorder="1" applyAlignment="1">
      <alignment horizontal="right" vertical="center" wrapText="1"/>
    </xf>
    <xf numFmtId="9" fontId="54" fillId="15" borderId="104" xfId="1" applyFont="1" applyFill="1" applyBorder="1" applyAlignment="1" applyProtection="1">
      <alignment vertical="center"/>
    </xf>
    <xf numFmtId="4" fontId="54" fillId="15" borderId="141" xfId="0" applyNumberFormat="1" applyFont="1" applyFill="1" applyBorder="1" applyAlignment="1">
      <alignment vertical="center"/>
    </xf>
    <xf numFmtId="183" fontId="5" fillId="15" borderId="88" xfId="0" applyNumberFormat="1" applyFont="1" applyFill="1" applyBorder="1" applyAlignment="1">
      <alignment horizontal="center" vertical="center" wrapText="1"/>
    </xf>
    <xf numFmtId="4" fontId="5" fillId="15" borderId="87" xfId="3" applyNumberFormat="1" applyFont="1" applyFill="1" applyBorder="1" applyAlignment="1" applyProtection="1">
      <alignment vertical="center"/>
    </xf>
    <xf numFmtId="9" fontId="32" fillId="0" borderId="78" xfId="0" quotePrefix="1" applyNumberFormat="1" applyFont="1" applyBorder="1" applyAlignment="1">
      <alignment horizontal="right" vertical="center" wrapText="1"/>
    </xf>
    <xf numFmtId="10" fontId="32" fillId="0" borderId="0" xfId="1" applyNumberFormat="1" applyFont="1" applyFill="1" applyBorder="1" applyAlignment="1" applyProtection="1">
      <alignment vertical="center"/>
    </xf>
    <xf numFmtId="4" fontId="32" fillId="0" borderId="79" xfId="0" applyNumberFormat="1" applyFont="1" applyBorder="1" applyAlignment="1">
      <alignment vertical="center"/>
    </xf>
    <xf numFmtId="9" fontId="32" fillId="15" borderId="78" xfId="0" applyNumberFormat="1" applyFont="1" applyFill="1" applyBorder="1" applyAlignment="1">
      <alignment horizontal="right" vertical="center" wrapText="1"/>
    </xf>
    <xf numFmtId="4" fontId="5" fillId="15" borderId="0" xfId="0" quotePrefix="1" applyNumberFormat="1" applyFont="1" applyFill="1" applyAlignment="1">
      <alignment horizontal="right" vertical="center"/>
    </xf>
    <xf numFmtId="183" fontId="5" fillId="15" borderId="0" xfId="0" applyNumberFormat="1" applyFont="1" applyFill="1" applyAlignment="1">
      <alignment horizontal="center" vertical="center" wrapText="1"/>
    </xf>
    <xf numFmtId="4" fontId="32" fillId="15" borderId="79" xfId="0" applyNumberFormat="1" applyFont="1" applyFill="1" applyBorder="1" applyAlignment="1">
      <alignment vertical="center"/>
    </xf>
    <xf numFmtId="10" fontId="32" fillId="0" borderId="0" xfId="0" quotePrefix="1" applyNumberFormat="1" applyFont="1" applyAlignment="1">
      <alignment horizontal="right" vertical="center"/>
    </xf>
    <xf numFmtId="9" fontId="32" fillId="15" borderId="85" xfId="0" applyNumberFormat="1" applyFont="1" applyFill="1" applyBorder="1" applyAlignment="1">
      <alignment horizontal="right" vertical="center" wrapText="1"/>
    </xf>
    <xf numFmtId="9" fontId="32" fillId="15" borderId="104" xfId="1" applyFont="1" applyFill="1" applyBorder="1" applyAlignment="1" applyProtection="1">
      <alignment vertical="center"/>
    </xf>
    <xf numFmtId="4" fontId="32" fillId="15" borderId="141" xfId="0" applyNumberFormat="1" applyFont="1" applyFill="1" applyBorder="1" applyAlignment="1">
      <alignment vertical="center"/>
    </xf>
    <xf numFmtId="164" fontId="60" fillId="13" borderId="5" xfId="3" applyNumberFormat="1" applyFont="1" applyFill="1" applyBorder="1" applyAlignment="1">
      <alignment horizontal="right" wrapText="1"/>
    </xf>
    <xf numFmtId="4" fontId="60" fillId="13" borderId="5" xfId="0" applyNumberFormat="1" applyFont="1" applyFill="1" applyBorder="1" applyAlignment="1">
      <alignment horizontal="center" vertical="center" wrapText="1"/>
    </xf>
    <xf numFmtId="164" fontId="60" fillId="13" borderId="5" xfId="3" applyNumberFormat="1" applyFont="1" applyFill="1" applyBorder="1" applyAlignment="1">
      <alignment horizontal="center" vertical="center" wrapText="1"/>
    </xf>
    <xf numFmtId="164" fontId="60" fillId="13" borderId="5" xfId="3" applyNumberFormat="1" applyFont="1" applyFill="1" applyBorder="1" applyAlignment="1">
      <alignment horizontal="center" wrapText="1"/>
    </xf>
    <xf numFmtId="164" fontId="62" fillId="10" borderId="133" xfId="0" applyNumberFormat="1" applyFont="1" applyFill="1" applyBorder="1" applyAlignment="1">
      <alignment horizontal="center" vertical="center"/>
    </xf>
    <xf numFmtId="164" fontId="62" fillId="10" borderId="133" xfId="3" applyNumberFormat="1" applyFont="1" applyFill="1" applyBorder="1" applyAlignment="1">
      <alignment horizontal="center" vertical="center"/>
    </xf>
    <xf numFmtId="164" fontId="62" fillId="10" borderId="137" xfId="3" applyNumberFormat="1" applyFont="1" applyFill="1" applyBorder="1" applyAlignment="1">
      <alignment horizontal="center" vertical="center"/>
    </xf>
    <xf numFmtId="164" fontId="62" fillId="10" borderId="139" xfId="0" applyNumberFormat="1" applyFont="1" applyFill="1" applyBorder="1" applyAlignment="1">
      <alignment horizontal="center" vertical="center"/>
    </xf>
    <xf numFmtId="164" fontId="62" fillId="10" borderId="137" xfId="0" applyNumberFormat="1" applyFont="1" applyFill="1" applyBorder="1" applyAlignment="1">
      <alignment horizontal="center" vertical="center"/>
    </xf>
    <xf numFmtId="164" fontId="62" fillId="10" borderId="46" xfId="0" applyNumberFormat="1" applyFont="1" applyFill="1" applyBorder="1" applyAlignment="1">
      <alignment horizontal="center" vertical="center"/>
    </xf>
    <xf numFmtId="164" fontId="62" fillId="10" borderId="47" xfId="0" applyNumberFormat="1" applyFont="1" applyFill="1" applyBorder="1" applyAlignment="1">
      <alignment horizontal="center" vertical="center"/>
    </xf>
    <xf numFmtId="164" fontId="62" fillId="10" borderId="52" xfId="0" applyNumberFormat="1" applyFont="1" applyFill="1" applyBorder="1" applyAlignment="1">
      <alignment horizontal="center" vertical="center"/>
    </xf>
    <xf numFmtId="0" fontId="19" fillId="0" borderId="2" xfId="0" applyFont="1" applyBorder="1"/>
    <xf numFmtId="0" fontId="19" fillId="0" borderId="3" xfId="0" applyFont="1" applyBorder="1"/>
    <xf numFmtId="164" fontId="30" fillId="10" borderId="5" xfId="3" applyNumberFormat="1" applyFont="1" applyFill="1" applyBorder="1" applyAlignment="1">
      <alignment horizontal="center" vertical="center"/>
    </xf>
    <xf numFmtId="0" fontId="29" fillId="0" borderId="0" xfId="0" applyFont="1" applyAlignment="1">
      <alignment horizontal="left" vertical="center" indent="1"/>
    </xf>
    <xf numFmtId="173" fontId="0" fillId="12" borderId="5" xfId="1" applyNumberFormat="1" applyFont="1" applyFill="1" applyBorder="1"/>
    <xf numFmtId="2" fontId="0" fillId="12" borderId="5" xfId="0" applyNumberFormat="1" applyFill="1" applyBorder="1" applyAlignment="1">
      <alignment horizontal="center" vertical="center"/>
    </xf>
    <xf numFmtId="4" fontId="0" fillId="10" borderId="5" xfId="0" applyNumberFormat="1" applyFill="1" applyBorder="1" applyAlignment="1">
      <alignment horizontal="center" vertical="center"/>
    </xf>
    <xf numFmtId="186" fontId="0" fillId="0" borderId="0" xfId="0" applyNumberFormat="1"/>
    <xf numFmtId="168" fontId="0" fillId="0" borderId="5" xfId="0" applyNumberFormat="1" applyBorder="1"/>
    <xf numFmtId="44" fontId="0" fillId="0" borderId="5" xfId="0" applyNumberFormat="1" applyBorder="1"/>
    <xf numFmtId="171" fontId="1" fillId="13" borderId="5" xfId="1" applyNumberFormat="1" applyFont="1" applyFill="1" applyBorder="1"/>
    <xf numFmtId="10" fontId="3" fillId="10" borderId="1" xfId="0" applyNumberFormat="1" applyFont="1" applyFill="1" applyBorder="1" applyAlignment="1">
      <alignment horizontal="centerContinuous"/>
    </xf>
    <xf numFmtId="10" fontId="3" fillId="10" borderId="3" xfId="0" applyNumberFormat="1" applyFont="1" applyFill="1" applyBorder="1" applyAlignment="1">
      <alignment horizontal="centerContinuous"/>
    </xf>
    <xf numFmtId="10" fontId="5" fillId="10" borderId="1" xfId="0" applyNumberFormat="1" applyFont="1" applyFill="1" applyBorder="1" applyAlignment="1">
      <alignment horizontal="centerContinuous"/>
    </xf>
    <xf numFmtId="10" fontId="5" fillId="10" borderId="3" xfId="0" applyNumberFormat="1" applyFont="1" applyFill="1" applyBorder="1" applyAlignment="1">
      <alignment horizontal="centerContinuous"/>
    </xf>
    <xf numFmtId="8" fontId="3" fillId="10" borderId="1" xfId="2" applyNumberFormat="1" applyFont="1" applyFill="1" applyBorder="1" applyAlignment="1">
      <alignment horizontal="centerContinuous"/>
    </xf>
    <xf numFmtId="8" fontId="3" fillId="10" borderId="3" xfId="2" applyNumberFormat="1" applyFont="1" applyFill="1" applyBorder="1" applyAlignment="1">
      <alignment horizontal="centerContinuous"/>
    </xf>
    <xf numFmtId="2" fontId="3" fillId="10" borderId="1" xfId="2" applyNumberFormat="1" applyFont="1" applyFill="1" applyBorder="1" applyAlignment="1">
      <alignment horizontal="centerContinuous"/>
    </xf>
    <xf numFmtId="2" fontId="3" fillId="10" borderId="3" xfId="2" applyNumberFormat="1" applyFont="1" applyFill="1" applyBorder="1" applyAlignment="1">
      <alignment horizontal="centerContinuous"/>
    </xf>
    <xf numFmtId="10" fontId="19" fillId="0" borderId="5" xfId="0" applyNumberFormat="1" applyFont="1" applyBorder="1" applyAlignment="1">
      <alignment horizontal="center"/>
    </xf>
    <xf numFmtId="3" fontId="0" fillId="10" borderId="2" xfId="0" applyNumberFormat="1" applyFill="1" applyBorder="1"/>
    <xf numFmtId="0" fontId="12" fillId="6" borderId="5" xfId="0" applyFont="1" applyFill="1" applyBorder="1" applyAlignment="1">
      <alignment wrapText="1"/>
    </xf>
    <xf numFmtId="0" fontId="19" fillId="0" borderId="5" xfId="0" applyFont="1" applyBorder="1" applyAlignment="1">
      <alignment horizontal="left" vertical="center"/>
    </xf>
    <xf numFmtId="8" fontId="62" fillId="10" borderId="0" xfId="0" applyNumberFormat="1" applyFont="1" applyFill="1" applyAlignment="1">
      <alignment horizontal="center" vertical="center"/>
    </xf>
    <xf numFmtId="168" fontId="62" fillId="10" borderId="0" xfId="0" applyNumberFormat="1" applyFont="1" applyFill="1" applyAlignment="1">
      <alignment horizontal="center" vertical="center"/>
    </xf>
    <xf numFmtId="164" fontId="60" fillId="13" borderId="5" xfId="3" applyNumberFormat="1" applyFont="1" applyFill="1" applyBorder="1" applyAlignment="1">
      <alignment horizontal="right" vertical="center" wrapText="1"/>
    </xf>
    <xf numFmtId="0" fontId="65" fillId="0" borderId="0" xfId="0" applyFont="1"/>
    <xf numFmtId="0" fontId="3" fillId="10" borderId="5" xfId="0" applyFont="1" applyFill="1" applyBorder="1" applyAlignment="1">
      <alignment horizontal="center" vertical="center"/>
    </xf>
    <xf numFmtId="4" fontId="3" fillId="10" borderId="5" xfId="0" applyNumberFormat="1" applyFont="1" applyFill="1" applyBorder="1"/>
    <xf numFmtId="10" fontId="4" fillId="2" borderId="1" xfId="1" applyNumberFormat="1" applyFont="1" applyFill="1" applyBorder="1" applyAlignment="1">
      <alignment horizontal="center" vertical="center"/>
    </xf>
    <xf numFmtId="8" fontId="4" fillId="2" borderId="5" xfId="0" applyNumberFormat="1" applyFont="1" applyFill="1" applyBorder="1" applyAlignment="1">
      <alignment horizontal="center" vertical="center"/>
    </xf>
    <xf numFmtId="8" fontId="4" fillId="2" borderId="5" xfId="1" applyNumberFormat="1" applyFont="1" applyFill="1" applyBorder="1" applyAlignment="1">
      <alignment horizontal="center" vertical="center"/>
    </xf>
    <xf numFmtId="0" fontId="49" fillId="2" borderId="0" xfId="5" applyFont="1" applyFill="1" applyAlignment="1">
      <alignment vertical="center"/>
    </xf>
    <xf numFmtId="0" fontId="4" fillId="2" borderId="0" xfId="0" applyFont="1" applyFill="1"/>
    <xf numFmtId="0" fontId="28" fillId="2" borderId="2" xfId="0" applyFont="1" applyFill="1" applyBorder="1" applyAlignment="1">
      <alignment horizontal="center" vertical="center"/>
    </xf>
    <xf numFmtId="1" fontId="28" fillId="2" borderId="2" xfId="0" applyNumberFormat="1" applyFont="1" applyFill="1" applyBorder="1" applyAlignment="1">
      <alignment horizontal="centerContinuous" vertical="center"/>
    </xf>
    <xf numFmtId="167" fontId="27" fillId="6" borderId="5" xfId="1" applyNumberFormat="1" applyFont="1" applyFill="1" applyBorder="1" applyAlignment="1">
      <alignment horizontal="center" vertical="center"/>
    </xf>
    <xf numFmtId="0" fontId="0" fillId="0" borderId="1" xfId="0" applyBorder="1" applyAlignment="1">
      <alignment horizontal="left" indent="1"/>
    </xf>
    <xf numFmtId="4" fontId="27" fillId="10" borderId="3" xfId="0" applyNumberFormat="1" applyFont="1" applyFill="1" applyBorder="1" applyAlignment="1">
      <alignment vertical="center"/>
    </xf>
    <xf numFmtId="0" fontId="27" fillId="0" borderId="0" xfId="0" applyFont="1" applyAlignment="1">
      <alignment horizontal="left" vertical="center" indent="1"/>
    </xf>
    <xf numFmtId="0" fontId="0" fillId="0" borderId="0" xfId="0" applyAlignment="1">
      <alignment horizontal="centerContinuous"/>
    </xf>
    <xf numFmtId="0" fontId="0" fillId="6" borderId="5" xfId="0" applyFill="1" applyBorder="1" applyAlignment="1">
      <alignment horizontal="left" vertical="center" indent="1"/>
    </xf>
    <xf numFmtId="164" fontId="28" fillId="2" borderId="2" xfId="0" applyNumberFormat="1" applyFont="1" applyFill="1" applyBorder="1" applyAlignment="1">
      <alignment horizontal="center" vertical="center"/>
    </xf>
    <xf numFmtId="0" fontId="28" fillId="2" borderId="2" xfId="0" applyFont="1" applyFill="1" applyBorder="1" applyAlignment="1">
      <alignment horizontal="left" vertical="center"/>
    </xf>
    <xf numFmtId="0" fontId="4" fillId="2" borderId="0" xfId="0" applyFont="1" applyFill="1" applyAlignment="1">
      <alignment horizontal="centerContinuous" vertical="center"/>
    </xf>
    <xf numFmtId="0" fontId="4" fillId="2" borderId="125" xfId="0" applyFont="1" applyFill="1" applyBorder="1" applyAlignment="1">
      <alignment horizontal="centerContinuous"/>
    </xf>
    <xf numFmtId="0" fontId="4" fillId="2" borderId="175" xfId="0" applyFont="1" applyFill="1" applyBorder="1" applyAlignment="1">
      <alignment horizontal="centerContinuous"/>
    </xf>
    <xf numFmtId="0" fontId="4" fillId="2" borderId="176" xfId="0" applyFont="1" applyFill="1" applyBorder="1" applyAlignment="1">
      <alignment horizontal="centerContinuous"/>
    </xf>
    <xf numFmtId="0" fontId="59" fillId="12" borderId="28" xfId="0" applyFont="1" applyFill="1" applyBorder="1" applyAlignment="1">
      <alignment vertical="center" wrapText="1"/>
    </xf>
    <xf numFmtId="0" fontId="4" fillId="2" borderId="179" xfId="0" applyFont="1" applyFill="1" applyBorder="1" applyAlignment="1">
      <alignment horizontal="center"/>
    </xf>
    <xf numFmtId="0" fontId="4" fillId="2" borderId="179" xfId="0" applyFont="1" applyFill="1" applyBorder="1" applyAlignment="1">
      <alignment horizontal="center" vertical="center"/>
    </xf>
    <xf numFmtId="0" fontId="4" fillId="2" borderId="179" xfId="0" applyFont="1" applyFill="1" applyBorder="1" applyAlignment="1">
      <alignment horizontal="center" vertical="center" wrapText="1"/>
    </xf>
    <xf numFmtId="0" fontId="3" fillId="0" borderId="140" xfId="0" applyFont="1" applyBorder="1"/>
    <xf numFmtId="8" fontId="0" fillId="0" borderId="158" xfId="0" applyNumberFormat="1" applyBorder="1"/>
    <xf numFmtId="8" fontId="3" fillId="0" borderId="29" xfId="0" applyNumberFormat="1" applyFont="1" applyBorder="1"/>
    <xf numFmtId="8" fontId="3" fillId="0" borderId="64" xfId="0" applyNumberFormat="1" applyFont="1" applyBorder="1"/>
    <xf numFmtId="164" fontId="0" fillId="0" borderId="24" xfId="0" applyNumberFormat="1" applyBorder="1"/>
    <xf numFmtId="0" fontId="3" fillId="0" borderId="3" xfId="0" applyFont="1" applyBorder="1"/>
    <xf numFmtId="164" fontId="3" fillId="0" borderId="5" xfId="0" applyNumberFormat="1" applyFont="1" applyBorder="1"/>
    <xf numFmtId="8" fontId="3" fillId="6" borderId="5" xfId="0" applyNumberFormat="1" applyFont="1" applyFill="1" applyBorder="1"/>
    <xf numFmtId="8" fontId="3" fillId="0" borderId="66" xfId="0" applyNumberFormat="1" applyFont="1" applyBorder="1"/>
    <xf numFmtId="0" fontId="0" fillId="0" borderId="3" xfId="0" applyBorder="1" applyAlignment="1">
      <alignment horizontal="center" vertical="center"/>
    </xf>
    <xf numFmtId="164" fontId="0" fillId="0" borderId="5" xfId="3" applyNumberFormat="1" applyFont="1" applyBorder="1"/>
    <xf numFmtId="8" fontId="3" fillId="0" borderId="24" xfId="0" applyNumberFormat="1" applyFont="1" applyBorder="1" applyAlignment="1">
      <alignment horizontal="center" vertical="center"/>
    </xf>
    <xf numFmtId="44" fontId="0" fillId="10" borderId="5" xfId="0" applyNumberFormat="1" applyFill="1" applyBorder="1"/>
    <xf numFmtId="44" fontId="3" fillId="0" borderId="5" xfId="0" applyNumberFormat="1" applyFont="1" applyBorder="1"/>
    <xf numFmtId="0" fontId="4" fillId="2" borderId="56" xfId="0" applyFont="1" applyFill="1" applyBorder="1" applyAlignment="1">
      <alignment horizontal="center" vertical="center"/>
    </xf>
    <xf numFmtId="0" fontId="4" fillId="2" borderId="177" xfId="0" applyFont="1" applyFill="1" applyBorder="1" applyAlignment="1">
      <alignment horizontal="center" vertical="center"/>
    </xf>
    <xf numFmtId="164" fontId="0" fillId="0" borderId="24" xfId="3" applyNumberFormat="1" applyFont="1" applyBorder="1"/>
    <xf numFmtId="0" fontId="3" fillId="10" borderId="29" xfId="0" applyFont="1" applyFill="1" applyBorder="1" applyAlignment="1">
      <alignment horizontal="center" vertical="center"/>
    </xf>
    <xf numFmtId="164" fontId="0" fillId="0" borderId="1" xfId="0" applyNumberFormat="1" applyBorder="1"/>
    <xf numFmtId="10" fontId="0" fillId="0" borderId="5" xfId="1" applyNumberFormat="1" applyFont="1" applyBorder="1"/>
    <xf numFmtId="0" fontId="4" fillId="2" borderId="175" xfId="0" applyFont="1" applyFill="1" applyBorder="1" applyAlignment="1">
      <alignment horizontal="centerContinuous" vertical="center"/>
    </xf>
    <xf numFmtId="0" fontId="4" fillId="2" borderId="125" xfId="0" applyFont="1" applyFill="1" applyBorder="1" applyAlignment="1">
      <alignment horizontal="centerContinuous" vertical="center"/>
    </xf>
    <xf numFmtId="0" fontId="4" fillId="2" borderId="176" xfId="0" applyFont="1" applyFill="1" applyBorder="1" applyAlignment="1">
      <alignment horizontal="centerContinuous" vertical="center"/>
    </xf>
    <xf numFmtId="8" fontId="0" fillId="0" borderId="5" xfId="0" applyNumberFormat="1" applyBorder="1" applyAlignment="1">
      <alignment horizontal="right"/>
    </xf>
    <xf numFmtId="0" fontId="0" fillId="0" borderId="5" xfId="0" applyBorder="1" applyAlignment="1">
      <alignment horizontal="right"/>
    </xf>
    <xf numFmtId="0" fontId="31" fillId="2" borderId="5" xfId="0" applyFont="1" applyFill="1" applyBorder="1" applyAlignment="1">
      <alignment horizontal="centerContinuous" vertical="center"/>
    </xf>
    <xf numFmtId="8" fontId="3" fillId="0" borderId="0" xfId="0" applyNumberFormat="1" applyFont="1" applyAlignment="1">
      <alignment horizontal="center" vertical="center"/>
    </xf>
    <xf numFmtId="8" fontId="3" fillId="0" borderId="24" xfId="0" applyNumberFormat="1" applyFont="1" applyBorder="1" applyAlignment="1">
      <alignment wrapText="1"/>
    </xf>
    <xf numFmtId="8" fontId="0" fillId="0" borderId="24" xfId="0" applyNumberFormat="1" applyBorder="1" applyAlignment="1">
      <alignment wrapText="1"/>
    </xf>
    <xf numFmtId="8" fontId="0" fillId="0" borderId="24" xfId="0" applyNumberFormat="1" applyBorder="1" applyAlignment="1">
      <alignment horizontal="center" vertical="center" wrapText="1"/>
    </xf>
    <xf numFmtId="8" fontId="3" fillId="0" borderId="24" xfId="0" applyNumberFormat="1" applyFont="1" applyBorder="1" applyAlignment="1">
      <alignment horizontal="center" vertical="center" wrapText="1"/>
    </xf>
    <xf numFmtId="0" fontId="3" fillId="0" borderId="63" xfId="0" applyFont="1" applyBorder="1" applyAlignment="1">
      <alignment vertical="justify" wrapText="1"/>
    </xf>
    <xf numFmtId="0" fontId="3" fillId="0" borderId="65" xfId="0" applyFont="1" applyBorder="1" applyAlignment="1">
      <alignment vertical="justify" wrapText="1"/>
    </xf>
    <xf numFmtId="0" fontId="0" fillId="0" borderId="65" xfId="0" applyBorder="1" applyAlignment="1">
      <alignment vertical="justify" wrapText="1"/>
    </xf>
    <xf numFmtId="164" fontId="0" fillId="0" borderId="5" xfId="3" applyNumberFormat="1" applyFont="1" applyBorder="1" applyAlignment="1">
      <alignment horizontal="right" vertical="center"/>
    </xf>
    <xf numFmtId="164" fontId="0" fillId="0" borderId="5" xfId="3" applyNumberFormat="1" applyFont="1" applyBorder="1" applyAlignment="1">
      <alignment vertical="center"/>
    </xf>
    <xf numFmtId="3" fontId="0" fillId="0" borderId="5" xfId="0" applyNumberFormat="1" applyBorder="1" applyAlignment="1">
      <alignment horizontal="center" vertical="center"/>
    </xf>
    <xf numFmtId="0" fontId="0" fillId="0" borderId="3" xfId="0" applyBorder="1" applyAlignment="1">
      <alignment vertical="center"/>
    </xf>
    <xf numFmtId="164" fontId="0" fillId="0" borderId="5" xfId="0" applyNumberFormat="1" applyBorder="1" applyAlignment="1">
      <alignment vertical="center"/>
    </xf>
    <xf numFmtId="164" fontId="3" fillId="0" borderId="5" xfId="0" applyNumberFormat="1" applyFont="1" applyBorder="1" applyAlignment="1">
      <alignment vertical="center"/>
    </xf>
    <xf numFmtId="8" fontId="4" fillId="0" borderId="5" xfId="1" applyNumberFormat="1" applyFont="1" applyFill="1" applyBorder="1" applyAlignment="1">
      <alignment horizontal="center" vertical="center"/>
    </xf>
    <xf numFmtId="164" fontId="4" fillId="0" borderId="5" xfId="3" applyNumberFormat="1" applyFont="1" applyFill="1" applyBorder="1" applyAlignment="1">
      <alignment horizontal="right" vertical="center"/>
    </xf>
    <xf numFmtId="0" fontId="3" fillId="0" borderId="63" xfId="0" applyFont="1" applyBorder="1" applyAlignment="1">
      <alignment horizontal="left" vertical="center" wrapText="1"/>
    </xf>
    <xf numFmtId="0" fontId="3" fillId="0" borderId="65" xfId="0" applyFont="1" applyBorder="1" applyAlignment="1">
      <alignment horizontal="left" vertical="center" wrapText="1"/>
    </xf>
    <xf numFmtId="0" fontId="0" fillId="0" borderId="65" xfId="0" applyBorder="1" applyAlignment="1">
      <alignment horizontal="left" vertical="center" wrapText="1"/>
    </xf>
    <xf numFmtId="8" fontId="0" fillId="0" borderId="5" xfId="0" applyNumberFormat="1" applyBorder="1" applyAlignment="1">
      <alignment horizontal="center" vertical="center"/>
    </xf>
    <xf numFmtId="8" fontId="3" fillId="0" borderId="5" xfId="0" applyNumberFormat="1" applyFont="1" applyBorder="1" applyAlignment="1">
      <alignment horizontal="center" vertical="center"/>
    </xf>
    <xf numFmtId="44" fontId="0" fillId="0" borderId="5" xfId="3" applyFont="1" applyBorder="1" applyAlignment="1">
      <alignment horizontal="center" vertical="center"/>
    </xf>
    <xf numFmtId="0" fontId="0" fillId="0" borderId="5" xfId="0" applyBorder="1" applyAlignment="1">
      <alignment vertical="center"/>
    </xf>
    <xf numFmtId="3" fontId="0" fillId="0" borderId="5" xfId="0" applyNumberFormat="1" applyBorder="1" applyAlignment="1">
      <alignment vertical="center"/>
    </xf>
    <xf numFmtId="44" fontId="32" fillId="10" borderId="5" xfId="0" applyNumberFormat="1" applyFont="1" applyFill="1" applyBorder="1"/>
    <xf numFmtId="2" fontId="31" fillId="10" borderId="0" xfId="0" applyNumberFormat="1" applyFont="1" applyFill="1"/>
    <xf numFmtId="8" fontId="31" fillId="0" borderId="0" xfId="0" applyNumberFormat="1" applyFont="1"/>
    <xf numFmtId="3" fontId="19" fillId="0" borderId="5" xfId="0" applyNumberFormat="1" applyFont="1" applyBorder="1" applyAlignment="1">
      <alignment horizontal="center" vertical="center"/>
    </xf>
    <xf numFmtId="164" fontId="19" fillId="0" borderId="5" xfId="0" applyNumberFormat="1" applyFont="1" applyBorder="1" applyAlignment="1">
      <alignment horizontal="center" vertical="center"/>
    </xf>
    <xf numFmtId="187" fontId="36" fillId="0" borderId="5" xfId="3" applyNumberFormat="1" applyFont="1" applyFill="1" applyBorder="1"/>
    <xf numFmtId="8" fontId="19" fillId="0" borderId="5" xfId="0" applyNumberFormat="1" applyFont="1" applyBorder="1" applyAlignment="1">
      <alignment horizontal="center"/>
    </xf>
    <xf numFmtId="164" fontId="14" fillId="0" borderId="0" xfId="0" applyNumberFormat="1" applyFont="1"/>
    <xf numFmtId="9" fontId="19" fillId="0" borderId="5" xfId="0" applyNumberFormat="1" applyFont="1" applyBorder="1" applyAlignment="1">
      <alignment horizontal="center" vertical="center"/>
    </xf>
    <xf numFmtId="0" fontId="19" fillId="0" borderId="5" xfId="0" applyFont="1" applyBorder="1" applyAlignment="1">
      <alignment horizontal="center" vertical="center" wrapText="1"/>
    </xf>
    <xf numFmtId="164" fontId="19" fillId="13" borderId="5" xfId="0" applyNumberFormat="1" applyFont="1" applyFill="1" applyBorder="1" applyAlignment="1">
      <alignment horizontal="center" vertical="center"/>
    </xf>
    <xf numFmtId="164" fontId="26" fillId="17" borderId="5" xfId="0" applyNumberFormat="1" applyFont="1" applyFill="1" applyBorder="1" applyAlignment="1">
      <alignment horizontal="centerContinuous" vertical="center" wrapText="1"/>
    </xf>
    <xf numFmtId="164" fontId="58" fillId="17" borderId="5" xfId="0" applyNumberFormat="1" applyFont="1" applyFill="1" applyBorder="1" applyAlignment="1">
      <alignment horizontal="centerContinuous" vertical="center" wrapText="1"/>
    </xf>
    <xf numFmtId="164" fontId="58" fillId="2" borderId="35" xfId="0" applyNumberFormat="1" applyFont="1" applyFill="1" applyBorder="1" applyAlignment="1">
      <alignment horizontal="centerContinuous" vertical="center" wrapText="1"/>
    </xf>
    <xf numFmtId="3" fontId="19" fillId="0" borderId="24" xfId="0" applyNumberFormat="1" applyFont="1" applyBorder="1" applyAlignment="1">
      <alignment horizontal="center" vertical="center"/>
    </xf>
    <xf numFmtId="0" fontId="19" fillId="0" borderId="24" xfId="0" applyFont="1" applyBorder="1" applyAlignment="1">
      <alignment horizontal="center" vertical="center"/>
    </xf>
    <xf numFmtId="164" fontId="58" fillId="2" borderId="173" xfId="0" applyNumberFormat="1" applyFont="1" applyFill="1" applyBorder="1" applyAlignment="1">
      <alignment horizontal="center" vertical="center" wrapText="1"/>
    </xf>
    <xf numFmtId="164" fontId="58" fillId="2" borderId="169" xfId="0" applyNumberFormat="1" applyFont="1" applyFill="1" applyBorder="1" applyAlignment="1">
      <alignment horizontal="center" vertical="center" wrapText="1"/>
    </xf>
    <xf numFmtId="164" fontId="58" fillId="2" borderId="174" xfId="0" applyNumberFormat="1" applyFont="1" applyFill="1" applyBorder="1" applyAlignment="1">
      <alignment horizontal="center" vertical="center" wrapText="1"/>
    </xf>
    <xf numFmtId="0" fontId="47" fillId="8" borderId="166" xfId="0" applyFont="1" applyFill="1" applyBorder="1" applyAlignment="1">
      <alignment horizontal="center" vertical="center" wrapText="1"/>
    </xf>
    <xf numFmtId="0" fontId="47" fillId="8" borderId="167" xfId="0" applyFont="1" applyFill="1" applyBorder="1" applyAlignment="1">
      <alignment horizontal="center" vertical="center" wrapText="1"/>
    </xf>
    <xf numFmtId="0" fontId="47" fillId="2" borderId="169" xfId="0" applyFont="1" applyFill="1" applyBorder="1" applyAlignment="1">
      <alignment horizontal="center" vertical="center"/>
    </xf>
    <xf numFmtId="0" fontId="47" fillId="8" borderId="169" xfId="0" applyFont="1" applyFill="1" applyBorder="1" applyAlignment="1">
      <alignment horizontal="center" vertical="center" wrapText="1"/>
    </xf>
    <xf numFmtId="0" fontId="47" fillId="8" borderId="170" xfId="0" applyFont="1" applyFill="1" applyBorder="1" applyAlignment="1">
      <alignment horizontal="center" vertical="center" wrapText="1"/>
    </xf>
    <xf numFmtId="0" fontId="26" fillId="8" borderId="185" xfId="0" applyFont="1" applyFill="1" applyBorder="1" applyAlignment="1">
      <alignment horizontal="center" vertical="center"/>
    </xf>
    <xf numFmtId="0" fontId="26" fillId="8" borderId="186" xfId="0" applyFont="1" applyFill="1" applyBorder="1" applyAlignment="1">
      <alignment horizontal="center" vertical="center"/>
    </xf>
    <xf numFmtId="0" fontId="26" fillId="8" borderId="186" xfId="0" applyFont="1" applyFill="1" applyBorder="1" applyAlignment="1">
      <alignment horizontal="center"/>
    </xf>
    <xf numFmtId="0" fontId="26" fillId="8" borderId="186" xfId="0" applyFont="1" applyFill="1" applyBorder="1" applyAlignment="1">
      <alignment vertical="center"/>
    </xf>
    <xf numFmtId="0" fontId="69" fillId="0" borderId="29" xfId="0" applyFont="1" applyBorder="1" applyAlignment="1">
      <alignment horizontal="center" vertical="center"/>
    </xf>
    <xf numFmtId="0" fontId="69" fillId="0" borderId="0" xfId="0" applyFont="1" applyAlignment="1">
      <alignment vertical="center"/>
    </xf>
    <xf numFmtId="0" fontId="70" fillId="0" borderId="5" xfId="0" applyFont="1" applyBorder="1" applyAlignment="1">
      <alignment horizontal="center" vertical="center"/>
    </xf>
    <xf numFmtId="8" fontId="71" fillId="6" borderId="5" xfId="0" applyNumberFormat="1" applyFont="1" applyFill="1" applyBorder="1" applyAlignment="1">
      <alignment horizontal="right" vertical="center"/>
    </xf>
    <xf numFmtId="0" fontId="69" fillId="0" borderId="5" xfId="0" applyFont="1" applyBorder="1" applyAlignment="1">
      <alignment horizontal="center" vertical="center"/>
    </xf>
    <xf numFmtId="0" fontId="70" fillId="6" borderId="5" xfId="0" applyFont="1" applyFill="1" applyBorder="1" applyAlignment="1">
      <alignment horizontal="center" vertical="center"/>
    </xf>
    <xf numFmtId="0" fontId="69" fillId="19" borderId="5" xfId="0" applyFont="1" applyFill="1" applyBorder="1" applyAlignment="1">
      <alignment horizontal="center" vertical="center"/>
    </xf>
    <xf numFmtId="0" fontId="62" fillId="6" borderId="55" xfId="0" applyFont="1" applyFill="1" applyBorder="1" applyAlignment="1">
      <alignment horizontal="left" indent="1"/>
    </xf>
    <xf numFmtId="8" fontId="62" fillId="10" borderId="45" xfId="0" applyNumberFormat="1" applyFont="1" applyFill="1" applyBorder="1" applyAlignment="1">
      <alignment horizontal="center"/>
    </xf>
    <xf numFmtId="3" fontId="60" fillId="10" borderId="150" xfId="0" applyNumberFormat="1" applyFont="1" applyFill="1" applyBorder="1" applyAlignment="1">
      <alignment horizontal="center" vertical="center"/>
    </xf>
    <xf numFmtId="0" fontId="62" fillId="6" borderId="50" xfId="0" applyFont="1" applyFill="1" applyBorder="1" applyAlignment="1">
      <alignment horizontal="left" indent="1"/>
    </xf>
    <xf numFmtId="8" fontId="62" fillId="10" borderId="51" xfId="0" applyNumberFormat="1" applyFont="1" applyFill="1" applyBorder="1" applyAlignment="1">
      <alignment horizontal="center"/>
    </xf>
    <xf numFmtId="3" fontId="60" fillId="10" borderId="188" xfId="0" applyNumberFormat="1" applyFont="1" applyFill="1" applyBorder="1" applyAlignment="1">
      <alignment horizontal="center" vertical="center"/>
    </xf>
    <xf numFmtId="0" fontId="62" fillId="6" borderId="171" xfId="0" applyFont="1" applyFill="1" applyBorder="1" applyAlignment="1">
      <alignment horizontal="left" indent="1"/>
    </xf>
    <xf numFmtId="8" fontId="61" fillId="10" borderId="150" xfId="4" applyNumberFormat="1" applyFont="1" applyFill="1" applyBorder="1" applyAlignment="1">
      <alignment horizontal="center"/>
    </xf>
    <xf numFmtId="164" fontId="62" fillId="10" borderId="189" xfId="0" applyNumberFormat="1" applyFont="1" applyFill="1" applyBorder="1" applyAlignment="1">
      <alignment horizontal="center" vertical="center"/>
    </xf>
    <xf numFmtId="0" fontId="62" fillId="6" borderId="190" xfId="0" applyFont="1" applyFill="1" applyBorder="1" applyAlignment="1">
      <alignment horizontal="left" indent="1"/>
    </xf>
    <xf numFmtId="8" fontId="61" fillId="10" borderId="188" xfId="4" applyNumberFormat="1" applyFont="1" applyFill="1" applyBorder="1" applyAlignment="1">
      <alignment horizontal="center"/>
    </xf>
    <xf numFmtId="164" fontId="62" fillId="10" borderId="191" xfId="0" applyNumberFormat="1" applyFont="1" applyFill="1" applyBorder="1" applyAlignment="1">
      <alignment horizontal="center" vertical="center"/>
    </xf>
    <xf numFmtId="3" fontId="60" fillId="10" borderId="45" xfId="0" applyNumberFormat="1" applyFont="1" applyFill="1" applyBorder="1" applyAlignment="1">
      <alignment horizontal="center" vertical="center"/>
    </xf>
    <xf numFmtId="3" fontId="60" fillId="10" borderId="51" xfId="0" applyNumberFormat="1" applyFont="1" applyFill="1" applyBorder="1" applyAlignment="1">
      <alignment horizontal="center" vertical="center"/>
    </xf>
    <xf numFmtId="164" fontId="72" fillId="0" borderId="0" xfId="0" applyNumberFormat="1" applyFont="1"/>
    <xf numFmtId="8" fontId="72" fillId="0" borderId="0" xfId="0" applyNumberFormat="1" applyFont="1" applyAlignment="1">
      <alignment horizontal="center" vertical="center"/>
    </xf>
    <xf numFmtId="0" fontId="72" fillId="0" borderId="0" xfId="0" applyFont="1"/>
    <xf numFmtId="8" fontId="72" fillId="0" borderId="0" xfId="0" applyNumberFormat="1" applyFont="1"/>
    <xf numFmtId="0" fontId="72" fillId="0" borderId="0" xfId="0" applyFont="1" applyAlignment="1">
      <alignment horizontal="center" vertical="center"/>
    </xf>
    <xf numFmtId="4" fontId="72" fillId="16" borderId="0" xfId="0" applyNumberFormat="1" applyFont="1" applyFill="1" applyAlignment="1">
      <alignment horizontal="right" vertical="center" wrapText="1"/>
    </xf>
    <xf numFmtId="4" fontId="72" fillId="0" borderId="0" xfId="0" applyNumberFormat="1" applyFont="1"/>
    <xf numFmtId="10" fontId="60" fillId="0" borderId="5" xfId="1" applyNumberFormat="1" applyFont="1" applyBorder="1" applyAlignment="1">
      <alignment horizontal="center"/>
    </xf>
    <xf numFmtId="0" fontId="0" fillId="18" borderId="0" xfId="0" applyFill="1" applyAlignment="1">
      <alignment horizontal="center" vertical="center"/>
    </xf>
    <xf numFmtId="0" fontId="70" fillId="6" borderId="5" xfId="0" applyFont="1" applyFill="1" applyBorder="1" applyAlignment="1">
      <alignment vertical="center" wrapText="1"/>
    </xf>
    <xf numFmtId="0" fontId="70" fillId="6" borderId="5" xfId="0" applyFont="1" applyFill="1" applyBorder="1" applyAlignment="1">
      <alignment vertical="center"/>
    </xf>
    <xf numFmtId="0" fontId="69" fillId="6" borderId="0" xfId="0" applyFont="1" applyFill="1" applyAlignment="1">
      <alignment vertical="center"/>
    </xf>
    <xf numFmtId="0" fontId="70" fillId="6" borderId="0" xfId="0" applyFont="1" applyFill="1" applyAlignment="1">
      <alignment vertical="center" wrapText="1"/>
    </xf>
    <xf numFmtId="10" fontId="60" fillId="0" borderId="0" xfId="1" applyNumberFormat="1" applyFont="1" applyBorder="1" applyAlignment="1">
      <alignment horizontal="center"/>
    </xf>
    <xf numFmtId="164" fontId="58" fillId="17" borderId="5" xfId="0" applyNumberFormat="1" applyFont="1" applyFill="1" applyBorder="1" applyAlignment="1">
      <alignment horizontal="center" vertical="center" wrapText="1"/>
    </xf>
    <xf numFmtId="167" fontId="19" fillId="0" borderId="5" xfId="1" applyNumberFormat="1" applyFont="1" applyBorder="1" applyAlignment="1">
      <alignment horizontal="center" vertical="center"/>
    </xf>
    <xf numFmtId="10" fontId="58" fillId="17" borderId="5" xfId="0" applyNumberFormat="1" applyFont="1" applyFill="1" applyBorder="1" applyAlignment="1">
      <alignment horizontal="center" vertical="center" wrapText="1"/>
    </xf>
    <xf numFmtId="0" fontId="19" fillId="13" borderId="5" xfId="0" applyFont="1" applyFill="1" applyBorder="1" applyAlignment="1">
      <alignment horizontal="center" vertical="center"/>
    </xf>
    <xf numFmtId="0" fontId="27" fillId="6" borderId="2" xfId="0" applyFont="1" applyFill="1" applyBorder="1" applyAlignment="1">
      <alignment horizontal="left" vertical="center" indent="1"/>
    </xf>
    <xf numFmtId="0" fontId="0" fillId="6" borderId="1" xfId="0" applyFill="1" applyBorder="1" applyAlignment="1">
      <alignment horizontal="left" indent="1"/>
    </xf>
    <xf numFmtId="6" fontId="27" fillId="6" borderId="2" xfId="0" applyNumberFormat="1" applyFont="1" applyFill="1" applyBorder="1" applyAlignment="1">
      <alignment horizontal="center" vertical="center"/>
    </xf>
    <xf numFmtId="0" fontId="19" fillId="0" borderId="5" xfId="0" applyFont="1" applyBorder="1" applyAlignment="1">
      <alignment horizontal="left" vertical="center" wrapText="1"/>
    </xf>
    <xf numFmtId="164" fontId="58" fillId="17" borderId="5" xfId="0" applyNumberFormat="1" applyFont="1" applyFill="1" applyBorder="1" applyAlignment="1">
      <alignment horizontal="left" vertical="center" wrapText="1"/>
    </xf>
    <xf numFmtId="43" fontId="19" fillId="13" borderId="5" xfId="6" applyFont="1" applyFill="1" applyBorder="1" applyAlignment="1">
      <alignment horizontal="center" vertical="center"/>
    </xf>
    <xf numFmtId="43" fontId="58" fillId="17" borderId="5" xfId="0" applyNumberFormat="1" applyFont="1" applyFill="1" applyBorder="1" applyAlignment="1">
      <alignment horizontal="center" vertical="center" wrapText="1"/>
    </xf>
    <xf numFmtId="3" fontId="60" fillId="10" borderId="5" xfId="0" applyNumberFormat="1" applyFont="1" applyFill="1" applyBorder="1" applyAlignment="1">
      <alignment horizontal="center" vertical="center"/>
    </xf>
    <xf numFmtId="4" fontId="63" fillId="10" borderId="47" xfId="4" applyNumberFormat="1" applyFont="1" applyFill="1" applyBorder="1" applyAlignment="1">
      <alignment horizontal="center" vertical="center"/>
    </xf>
    <xf numFmtId="8" fontId="63" fillId="10" borderId="51" xfId="4" applyNumberFormat="1" applyFont="1" applyFill="1" applyBorder="1" applyAlignment="1">
      <alignment horizontal="center"/>
    </xf>
    <xf numFmtId="4" fontId="63" fillId="10" borderId="52" xfId="4" applyNumberFormat="1" applyFont="1" applyFill="1" applyBorder="1" applyAlignment="1">
      <alignment horizontal="center" vertical="center"/>
    </xf>
    <xf numFmtId="8" fontId="63" fillId="10" borderId="45" xfId="4" applyNumberFormat="1" applyFont="1" applyFill="1" applyBorder="1" applyAlignment="1">
      <alignment horizontal="center"/>
    </xf>
    <xf numFmtId="4" fontId="63" fillId="10" borderId="46" xfId="4" applyNumberFormat="1" applyFont="1" applyFill="1" applyBorder="1" applyAlignment="1">
      <alignment horizontal="center" vertical="center"/>
    </xf>
    <xf numFmtId="8" fontId="3" fillId="10" borderId="5" xfId="0" applyNumberFormat="1" applyFont="1" applyFill="1" applyBorder="1" applyAlignment="1">
      <alignment horizontal="center"/>
    </xf>
    <xf numFmtId="8" fontId="3" fillId="10" borderId="66" xfId="0" applyNumberFormat="1" applyFont="1" applyFill="1" applyBorder="1" applyAlignment="1">
      <alignment horizontal="center"/>
    </xf>
    <xf numFmtId="8" fontId="3" fillId="10" borderId="47" xfId="0" applyNumberFormat="1" applyFont="1" applyFill="1" applyBorder="1" applyAlignment="1">
      <alignment horizontal="center"/>
    </xf>
    <xf numFmtId="8" fontId="3" fillId="10" borderId="0" xfId="0" applyNumberFormat="1" applyFont="1" applyFill="1" applyAlignment="1">
      <alignment horizontal="center"/>
    </xf>
    <xf numFmtId="8" fontId="5" fillId="10" borderId="149" xfId="4" applyNumberFormat="1" applyFont="1" applyFill="1" applyBorder="1" applyAlignment="1">
      <alignment horizontal="center"/>
    </xf>
    <xf numFmtId="8" fontId="0" fillId="10" borderId="5" xfId="0" applyNumberFormat="1" applyFill="1" applyBorder="1" applyAlignment="1">
      <alignment horizontal="center"/>
    </xf>
    <xf numFmtId="8" fontId="0" fillId="10" borderId="47" xfId="0" applyNumberFormat="1" applyFill="1" applyBorder="1" applyAlignment="1">
      <alignment horizontal="center"/>
    </xf>
    <xf numFmtId="8" fontId="3" fillId="0" borderId="5" xfId="0" applyNumberFormat="1" applyFont="1" applyBorder="1" applyAlignment="1">
      <alignment horizontal="center"/>
    </xf>
    <xf numFmtId="0" fontId="67" fillId="0" borderId="9" xfId="0" applyFont="1" applyBorder="1" applyAlignment="1">
      <alignment horizontal="centerContinuous" vertical="justify" wrapText="1"/>
    </xf>
    <xf numFmtId="0" fontId="67" fillId="0" borderId="21" xfId="0" applyFont="1" applyBorder="1" applyAlignment="1">
      <alignment horizontal="centerContinuous" vertical="justify" wrapText="1"/>
    </xf>
    <xf numFmtId="0" fontId="0" fillId="0" borderId="22" xfId="0" applyBorder="1" applyAlignment="1">
      <alignment horizontal="centerContinuous" vertical="justify"/>
    </xf>
    <xf numFmtId="0" fontId="68" fillId="0" borderId="16" xfId="0" applyFont="1" applyBorder="1" applyAlignment="1">
      <alignment horizontal="center" vertical="center" wrapText="1"/>
    </xf>
    <xf numFmtId="0" fontId="68" fillId="0" borderId="17" xfId="0" applyFont="1" applyBorder="1" applyAlignment="1">
      <alignment horizontal="centerContinuous" vertical="justify" wrapText="1"/>
    </xf>
    <xf numFmtId="0" fontId="0" fillId="0" borderId="17" xfId="0" applyBorder="1" applyAlignment="1">
      <alignment horizontal="centerContinuous" vertical="justify"/>
    </xf>
    <xf numFmtId="0" fontId="68" fillId="0" borderId="17" xfId="0" applyFont="1" applyBorder="1" applyAlignment="1">
      <alignment horizontal="center" vertical="center" wrapText="1"/>
    </xf>
    <xf numFmtId="0" fontId="68" fillId="0" borderId="32" xfId="0" applyFont="1" applyBorder="1" applyAlignment="1">
      <alignment horizontal="center" vertical="center" wrapText="1"/>
    </xf>
    <xf numFmtId="0" fontId="3" fillId="10" borderId="5" xfId="0" applyFont="1" applyFill="1" applyBorder="1" applyAlignment="1">
      <alignment horizontal="center"/>
    </xf>
    <xf numFmtId="0" fontId="0" fillId="10" borderId="5" xfId="0" applyFill="1" applyBorder="1" applyAlignment="1">
      <alignment horizontal="center"/>
    </xf>
    <xf numFmtId="0" fontId="31" fillId="2" borderId="5" xfId="0" applyFont="1" applyFill="1" applyBorder="1" applyAlignment="1">
      <alignment horizontal="left" vertical="center"/>
    </xf>
    <xf numFmtId="0" fontId="31" fillId="2" borderId="5" xfId="0" applyFont="1" applyFill="1" applyBorder="1" applyAlignment="1">
      <alignment vertical="center"/>
    </xf>
    <xf numFmtId="169" fontId="0" fillId="0" borderId="0" xfId="0" applyNumberFormat="1"/>
    <xf numFmtId="0" fontId="49" fillId="2" borderId="0" xfId="5" applyFont="1" applyFill="1" applyAlignment="1">
      <alignment horizontal="center" vertical="center"/>
    </xf>
    <xf numFmtId="0" fontId="57" fillId="2" borderId="35" xfId="0" applyFont="1" applyFill="1" applyBorder="1" applyAlignment="1">
      <alignment horizontal="center" vertical="top" wrapText="1"/>
    </xf>
    <xf numFmtId="0" fontId="57" fillId="2" borderId="29" xfId="0" applyFont="1" applyFill="1" applyBorder="1" applyAlignment="1">
      <alignment horizontal="center" vertical="top" wrapText="1"/>
    </xf>
    <xf numFmtId="0" fontId="57" fillId="2" borderId="157" xfId="0" applyFont="1" applyFill="1" applyBorder="1" applyAlignment="1">
      <alignment horizontal="center" vertical="top" wrapText="1"/>
    </xf>
    <xf numFmtId="0" fontId="21" fillId="2" borderId="158" xfId="0" applyFont="1" applyFill="1" applyBorder="1" applyAlignment="1">
      <alignment horizontal="center" vertical="center" wrapText="1"/>
    </xf>
    <xf numFmtId="0" fontId="21" fillId="2" borderId="29" xfId="0" applyFont="1" applyFill="1" applyBorder="1" applyAlignment="1">
      <alignment horizontal="center" vertical="center" wrapText="1"/>
    </xf>
    <xf numFmtId="0" fontId="21" fillId="2" borderId="24" xfId="0" applyFont="1" applyFill="1" applyBorder="1" applyAlignment="1">
      <alignment horizontal="center" vertical="center" wrapText="1"/>
    </xf>
    <xf numFmtId="0" fontId="5" fillId="6" borderId="107" xfId="2" applyFont="1" applyFill="1" applyBorder="1" applyAlignment="1">
      <alignment horizontal="center"/>
    </xf>
    <xf numFmtId="0" fontId="5" fillId="6" borderId="116" xfId="2" applyFont="1" applyFill="1" applyBorder="1" applyAlignment="1">
      <alignment horizontal="center"/>
    </xf>
    <xf numFmtId="0" fontId="5" fillId="6" borderId="73" xfId="2" applyFont="1" applyFill="1" applyBorder="1" applyAlignment="1">
      <alignment vertical="center"/>
    </xf>
    <xf numFmtId="0" fontId="3" fillId="0" borderId="5" xfId="0" applyFont="1" applyBorder="1" applyAlignment="1">
      <alignment horizontal="left"/>
    </xf>
    <xf numFmtId="0" fontId="5" fillId="6" borderId="107" xfId="2" applyFont="1" applyFill="1" applyBorder="1" applyAlignment="1">
      <alignment vertical="center"/>
    </xf>
    <xf numFmtId="0" fontId="5" fillId="6" borderId="108" xfId="2" applyFont="1" applyFill="1" applyBorder="1" applyAlignment="1">
      <alignment vertical="center"/>
    </xf>
    <xf numFmtId="0" fontId="3" fillId="0" borderId="5" xfId="0" applyFont="1" applyBorder="1" applyAlignment="1">
      <alignment horizontal="left" vertical="center"/>
    </xf>
    <xf numFmtId="0" fontId="4" fillId="2" borderId="75" xfId="0" applyFont="1" applyFill="1" applyBorder="1" applyAlignment="1">
      <alignment horizontal="center"/>
    </xf>
    <xf numFmtId="0" fontId="4" fillId="2" borderId="0" xfId="0" applyFont="1" applyFill="1" applyAlignment="1">
      <alignment horizontal="center"/>
    </xf>
    <xf numFmtId="0" fontId="4" fillId="2" borderId="76" xfId="0" applyFont="1" applyFill="1" applyBorder="1" applyAlignment="1">
      <alignment horizontal="center"/>
    </xf>
    <xf numFmtId="0" fontId="4" fillId="2" borderId="5" xfId="0" applyFont="1" applyFill="1" applyBorder="1" applyAlignment="1">
      <alignment horizontal="center"/>
    </xf>
    <xf numFmtId="0" fontId="4" fillId="2" borderId="1" xfId="0" applyFont="1" applyFill="1" applyBorder="1" applyAlignment="1">
      <alignment horizontal="center"/>
    </xf>
    <xf numFmtId="0" fontId="3" fillId="6" borderId="107" xfId="0" applyFont="1" applyFill="1" applyBorder="1" applyAlignment="1">
      <alignment horizontal="center"/>
    </xf>
    <xf numFmtId="0" fontId="3" fillId="6" borderId="116" xfId="0" applyFont="1" applyFill="1" applyBorder="1" applyAlignment="1">
      <alignment horizontal="center"/>
    </xf>
    <xf numFmtId="2" fontId="3" fillId="10" borderId="5" xfId="2" applyNumberFormat="1" applyFont="1" applyFill="1" applyBorder="1" applyAlignment="1">
      <alignment horizontal="center" vertical="center"/>
    </xf>
    <xf numFmtId="8" fontId="3" fillId="10" borderId="5" xfId="2" applyNumberFormat="1" applyFont="1" applyFill="1" applyBorder="1" applyAlignment="1">
      <alignment horizontal="center" vertical="center"/>
    </xf>
    <xf numFmtId="10" fontId="5" fillId="10" borderId="5" xfId="0" applyNumberFormat="1" applyFont="1" applyFill="1" applyBorder="1" applyAlignment="1">
      <alignment horizontal="center" vertical="center"/>
    </xf>
    <xf numFmtId="10" fontId="3" fillId="10" borderId="5" xfId="0" applyNumberFormat="1" applyFont="1" applyFill="1" applyBorder="1" applyAlignment="1">
      <alignment horizontal="center" vertical="center"/>
    </xf>
    <xf numFmtId="0" fontId="40" fillId="2" borderId="109" xfId="0" applyFont="1" applyFill="1" applyBorder="1" applyAlignment="1">
      <alignment horizontal="center" vertical="center"/>
    </xf>
    <xf numFmtId="0" fontId="40" fillId="2" borderId="110" xfId="0" applyFont="1" applyFill="1" applyBorder="1" applyAlignment="1">
      <alignment horizontal="center" vertical="center"/>
    </xf>
    <xf numFmtId="0" fontId="41" fillId="2" borderId="113" xfId="0" applyFont="1" applyFill="1" applyBorder="1" applyAlignment="1">
      <alignment horizontal="center" vertical="center"/>
    </xf>
    <xf numFmtId="0" fontId="41" fillId="2" borderId="114" xfId="0" applyFont="1" applyFill="1" applyBorder="1" applyAlignment="1">
      <alignment horizontal="center" vertical="center"/>
    </xf>
    <xf numFmtId="0" fontId="5" fillId="6" borderId="107" xfId="2" applyFont="1" applyFill="1" applyBorder="1" applyAlignment="1">
      <alignment horizontal="left"/>
    </xf>
    <xf numFmtId="0" fontId="5" fillId="6" borderId="108" xfId="2" applyFont="1" applyFill="1" applyBorder="1" applyAlignment="1">
      <alignment horizontal="left"/>
    </xf>
    <xf numFmtId="0" fontId="3" fillId="0" borderId="5" xfId="0" applyFont="1" applyBorder="1" applyAlignment="1">
      <alignment horizontal="center" vertical="center"/>
    </xf>
    <xf numFmtId="0" fontId="5" fillId="6" borderId="117" xfId="2" applyFont="1" applyFill="1" applyBorder="1" applyAlignment="1">
      <alignment horizontal="left"/>
    </xf>
    <xf numFmtId="0" fontId="5" fillId="6" borderId="118" xfId="2" applyFont="1" applyFill="1" applyBorder="1" applyAlignment="1">
      <alignment horizontal="left"/>
    </xf>
    <xf numFmtId="0" fontId="5" fillId="6" borderId="1" xfId="2" applyFont="1" applyFill="1" applyBorder="1" applyAlignment="1">
      <alignment horizontal="center"/>
    </xf>
    <xf numFmtId="0" fontId="5" fillId="6" borderId="3" xfId="2" applyFont="1" applyFill="1" applyBorder="1" applyAlignment="1">
      <alignment horizontal="center"/>
    </xf>
    <xf numFmtId="0" fontId="58" fillId="8" borderId="6" xfId="0" applyFont="1" applyFill="1" applyBorder="1" applyAlignment="1">
      <alignment horizontal="center"/>
    </xf>
    <xf numFmtId="0" fontId="58" fillId="8" borderId="7" xfId="0" applyFont="1" applyFill="1" applyBorder="1" applyAlignment="1">
      <alignment horizontal="center"/>
    </xf>
    <xf numFmtId="0" fontId="58" fillId="8" borderId="8" xfId="0" applyFont="1" applyFill="1" applyBorder="1" applyAlignment="1">
      <alignment horizontal="center"/>
    </xf>
    <xf numFmtId="0" fontId="59" fillId="12" borderId="9" xfId="0" applyFont="1" applyFill="1" applyBorder="1" applyAlignment="1">
      <alignment horizontal="center" vertical="center"/>
    </xf>
    <xf numFmtId="0" fontId="59" fillId="12" borderId="16" xfId="0" applyFont="1" applyFill="1" applyBorder="1" applyAlignment="1">
      <alignment horizontal="center" vertical="center"/>
    </xf>
    <xf numFmtId="0" fontId="59" fillId="12" borderId="10" xfId="0" applyFont="1" applyFill="1" applyBorder="1" applyAlignment="1">
      <alignment horizontal="center" vertical="center"/>
    </xf>
    <xf numFmtId="0" fontId="59" fillId="12" borderId="11" xfId="0" applyFont="1" applyFill="1" applyBorder="1" applyAlignment="1">
      <alignment horizontal="center" vertical="center"/>
    </xf>
    <xf numFmtId="0" fontId="59" fillId="12" borderId="20" xfId="0" applyFont="1" applyFill="1" applyBorder="1" applyAlignment="1">
      <alignment horizontal="center" vertical="center" wrapText="1"/>
    </xf>
    <xf numFmtId="0" fontId="59" fillId="12" borderId="26" xfId="0" applyFont="1" applyFill="1" applyBorder="1" applyAlignment="1">
      <alignment horizontal="center" vertical="center" wrapText="1"/>
    </xf>
    <xf numFmtId="0" fontId="59" fillId="12" borderId="23" xfId="0" applyFont="1" applyFill="1" applyBorder="1" applyAlignment="1">
      <alignment horizontal="center" vertical="center" wrapText="1"/>
    </xf>
    <xf numFmtId="0" fontId="60" fillId="12" borderId="30" xfId="0" applyFont="1" applyFill="1" applyBorder="1" applyAlignment="1">
      <alignment horizontal="center" vertical="center"/>
    </xf>
    <xf numFmtId="0" fontId="60" fillId="12" borderId="31" xfId="0" applyFont="1" applyFill="1" applyBorder="1" applyAlignment="1">
      <alignment horizontal="center" vertical="center"/>
    </xf>
    <xf numFmtId="0" fontId="59" fillId="12" borderId="34" xfId="0" applyFont="1" applyFill="1" applyBorder="1" applyAlignment="1">
      <alignment horizontal="center" vertical="center" wrapText="1"/>
    </xf>
    <xf numFmtId="0" fontId="59" fillId="12" borderId="36" xfId="0" applyFont="1" applyFill="1" applyBorder="1" applyAlignment="1">
      <alignment horizontal="center" vertical="center" wrapText="1"/>
    </xf>
    <xf numFmtId="0" fontId="70" fillId="6" borderId="1" xfId="0" applyFont="1" applyFill="1" applyBorder="1" applyAlignment="1">
      <alignment vertical="center"/>
    </xf>
    <xf numFmtId="0" fontId="70" fillId="6" borderId="2" xfId="0" applyFont="1" applyFill="1" applyBorder="1" applyAlignment="1">
      <alignment vertical="center"/>
    </xf>
    <xf numFmtId="0" fontId="70" fillId="6" borderId="3" xfId="0" applyFont="1" applyFill="1" applyBorder="1" applyAlignment="1">
      <alignment vertical="center"/>
    </xf>
    <xf numFmtId="0" fontId="69" fillId="6" borderId="1" xfId="0" applyFont="1" applyFill="1" applyBorder="1" applyAlignment="1">
      <alignment vertical="center"/>
    </xf>
    <xf numFmtId="0" fontId="69" fillId="6" borderId="2" xfId="0" applyFont="1" applyFill="1" applyBorder="1" applyAlignment="1">
      <alignment vertical="center"/>
    </xf>
    <xf numFmtId="0" fontId="69" fillId="6" borderId="3" xfId="0" applyFont="1" applyFill="1" applyBorder="1" applyAlignment="1">
      <alignment vertical="center"/>
    </xf>
    <xf numFmtId="0" fontId="4" fillId="2" borderId="5" xfId="0" applyFont="1" applyFill="1" applyBorder="1" applyAlignment="1">
      <alignment horizontal="center" vertical="center"/>
    </xf>
    <xf numFmtId="10" fontId="7" fillId="10" borderId="44" xfId="1" applyNumberFormat="1" applyFont="1" applyFill="1" applyBorder="1" applyAlignment="1">
      <alignment horizontal="center" vertical="center"/>
    </xf>
    <xf numFmtId="10" fontId="7" fillId="10" borderId="119" xfId="1" applyNumberFormat="1" applyFont="1" applyFill="1" applyBorder="1" applyAlignment="1">
      <alignment horizontal="center" vertical="center"/>
    </xf>
    <xf numFmtId="10" fontId="7" fillId="10" borderId="25" xfId="1" applyNumberFormat="1" applyFont="1" applyFill="1" applyBorder="1" applyAlignment="1">
      <alignment horizontal="center" vertical="center"/>
    </xf>
    <xf numFmtId="0" fontId="7" fillId="10" borderId="35" xfId="0" applyFont="1" applyFill="1" applyBorder="1" applyAlignment="1">
      <alignment horizontal="center" vertical="center"/>
    </xf>
    <xf numFmtId="0" fontId="7" fillId="10" borderId="29" xfId="0" applyFont="1" applyFill="1" applyBorder="1" applyAlignment="1">
      <alignment horizontal="center" vertical="center"/>
    </xf>
    <xf numFmtId="0" fontId="7" fillId="10" borderId="24" xfId="0" applyFont="1" applyFill="1" applyBorder="1" applyAlignment="1">
      <alignment horizontal="center" vertical="center"/>
    </xf>
    <xf numFmtId="0" fontId="7" fillId="11" borderId="33" xfId="0" applyFont="1" applyFill="1" applyBorder="1" applyAlignment="1">
      <alignment horizontal="center" vertical="center"/>
    </xf>
    <xf numFmtId="0" fontId="7" fillId="11" borderId="3" xfId="0" applyFont="1" applyFill="1" applyBorder="1" applyAlignment="1">
      <alignment horizontal="center" vertical="center"/>
    </xf>
    <xf numFmtId="0" fontId="7" fillId="12" borderId="30" xfId="0" applyFont="1" applyFill="1" applyBorder="1" applyAlignment="1">
      <alignment horizontal="center" vertical="center"/>
    </xf>
    <xf numFmtId="0" fontId="7" fillId="12" borderId="31" xfId="0" applyFont="1" applyFill="1" applyBorder="1" applyAlignment="1">
      <alignment horizontal="center" vertical="center"/>
    </xf>
    <xf numFmtId="0" fontId="10" fillId="0" borderId="34"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23" xfId="0" applyFont="1" applyBorder="1" applyAlignment="1">
      <alignment horizontal="center" vertical="center" wrapText="1"/>
    </xf>
    <xf numFmtId="10" fontId="7" fillId="14" borderId="20" xfId="1" applyNumberFormat="1" applyFont="1" applyFill="1" applyBorder="1" applyAlignment="1">
      <alignment horizontal="center" vertical="center"/>
    </xf>
    <xf numFmtId="10" fontId="7" fillId="14" borderId="26" xfId="1" applyNumberFormat="1" applyFont="1" applyFill="1" applyBorder="1" applyAlignment="1">
      <alignment horizontal="center" vertical="center"/>
    </xf>
    <xf numFmtId="10" fontId="7" fillId="14" borderId="36" xfId="1" applyNumberFormat="1" applyFont="1" applyFill="1" applyBorder="1" applyAlignment="1">
      <alignment horizontal="center" vertical="center"/>
    </xf>
    <xf numFmtId="10" fontId="7" fillId="14" borderId="23" xfId="1" applyNumberFormat="1" applyFont="1" applyFill="1" applyBorder="1" applyAlignment="1">
      <alignment horizontal="center" vertical="center"/>
    </xf>
    <xf numFmtId="10" fontId="7" fillId="10" borderId="35" xfId="1" applyNumberFormat="1" applyFont="1" applyFill="1" applyBorder="1" applyAlignment="1">
      <alignment horizontal="center" vertical="center"/>
    </xf>
    <xf numFmtId="10" fontId="7" fillId="10" borderId="29" xfId="1" applyNumberFormat="1" applyFont="1" applyFill="1" applyBorder="1" applyAlignment="1">
      <alignment horizontal="center" vertical="center"/>
    </xf>
    <xf numFmtId="10" fontId="7" fillId="10" borderId="24" xfId="1" applyNumberFormat="1" applyFont="1" applyFill="1" applyBorder="1" applyAlignment="1">
      <alignment horizontal="center" vertical="center"/>
    </xf>
    <xf numFmtId="0" fontId="0" fillId="0" borderId="0" xfId="0" applyAlignment="1">
      <alignment horizontal="center"/>
    </xf>
    <xf numFmtId="0" fontId="8" fillId="5" borderId="1" xfId="0" applyFont="1" applyFill="1" applyBorder="1" applyAlignment="1">
      <alignment horizontal="left" vertical="center"/>
    </xf>
    <xf numFmtId="0" fontId="8" fillId="5" borderId="2" xfId="0" applyFont="1" applyFill="1" applyBorder="1" applyAlignment="1">
      <alignment horizontal="left" vertical="center"/>
    </xf>
    <xf numFmtId="0" fontId="8" fillId="5" borderId="3" xfId="0" applyFont="1" applyFill="1" applyBorder="1" applyAlignment="1">
      <alignment horizontal="left" vertical="center"/>
    </xf>
    <xf numFmtId="0" fontId="3" fillId="0" borderId="1" xfId="0" applyFont="1" applyBorder="1" applyAlignment="1">
      <alignment horizontal="left"/>
    </xf>
    <xf numFmtId="0" fontId="3" fillId="0" borderId="3" xfId="0" applyFont="1" applyBorder="1" applyAlignment="1">
      <alignment horizontal="left"/>
    </xf>
    <xf numFmtId="0" fontId="7" fillId="10" borderId="12" xfId="0" applyFont="1" applyFill="1" applyBorder="1" applyAlignment="1">
      <alignment horizontal="center" vertical="center"/>
    </xf>
    <xf numFmtId="10" fontId="7" fillId="10" borderId="12" xfId="1" applyNumberFormat="1" applyFont="1" applyFill="1" applyBorder="1" applyAlignment="1">
      <alignment horizontal="center" vertical="center"/>
    </xf>
    <xf numFmtId="0" fontId="10" fillId="0" borderId="34" xfId="0" applyFont="1" applyBorder="1" applyAlignment="1">
      <alignment horizontal="center" vertical="center"/>
    </xf>
    <xf numFmtId="0" fontId="10" fillId="0" borderId="26" xfId="0" applyFont="1" applyBorder="1" applyAlignment="1">
      <alignment horizontal="center" vertical="center"/>
    </xf>
    <xf numFmtId="0" fontId="10" fillId="0" borderId="36" xfId="0" applyFont="1" applyBorder="1" applyAlignment="1">
      <alignment horizontal="center" vertical="center"/>
    </xf>
    <xf numFmtId="0" fontId="7" fillId="10" borderId="18" xfId="0" applyFont="1" applyFill="1" applyBorder="1" applyAlignment="1">
      <alignment horizontal="center" vertical="center"/>
    </xf>
    <xf numFmtId="2" fontId="7" fillId="10" borderId="35" xfId="0" applyNumberFormat="1" applyFont="1" applyFill="1" applyBorder="1" applyAlignment="1">
      <alignment horizontal="center" vertical="center"/>
    </xf>
    <xf numFmtId="2" fontId="7" fillId="10" borderId="29" xfId="0" applyNumberFormat="1" applyFont="1" applyFill="1" applyBorder="1" applyAlignment="1">
      <alignment horizontal="center" vertical="center"/>
    </xf>
    <xf numFmtId="2" fontId="7" fillId="10" borderId="18" xfId="0" applyNumberFormat="1" applyFont="1" applyFill="1" applyBorder="1" applyAlignment="1">
      <alignment horizontal="center" vertical="center"/>
    </xf>
    <xf numFmtId="166" fontId="7" fillId="10" borderId="35" xfId="1" applyNumberFormat="1" applyFont="1" applyFill="1" applyBorder="1" applyAlignment="1">
      <alignment horizontal="center" vertical="center"/>
    </xf>
    <xf numFmtId="166" fontId="7" fillId="10" borderId="29" xfId="1" applyNumberFormat="1" applyFont="1" applyFill="1" applyBorder="1" applyAlignment="1">
      <alignment horizontal="center" vertical="center"/>
    </xf>
    <xf numFmtId="166" fontId="7" fillId="10" borderId="18" xfId="1" applyNumberFormat="1" applyFont="1" applyFill="1" applyBorder="1" applyAlignment="1">
      <alignment horizontal="center" vertical="center"/>
    </xf>
    <xf numFmtId="169" fontId="7" fillId="10" borderId="35" xfId="0" applyNumberFormat="1" applyFont="1" applyFill="1" applyBorder="1" applyAlignment="1">
      <alignment horizontal="center" vertical="center"/>
    </xf>
    <xf numFmtId="169" fontId="7" fillId="10" borderId="29" xfId="0" applyNumberFormat="1" applyFont="1" applyFill="1" applyBorder="1" applyAlignment="1">
      <alignment horizontal="center" vertical="center"/>
    </xf>
    <xf numFmtId="169" fontId="7" fillId="10" borderId="18" xfId="0" applyNumberFormat="1" applyFont="1" applyFill="1" applyBorder="1" applyAlignment="1">
      <alignment horizontal="center" vertical="center"/>
    </xf>
    <xf numFmtId="0" fontId="8" fillId="0" borderId="14" xfId="0" applyFont="1" applyBorder="1" applyAlignment="1">
      <alignment horizontal="center"/>
    </xf>
    <xf numFmtId="0" fontId="8" fillId="0" borderId="41" xfId="0" applyFont="1" applyBorder="1" applyAlignment="1">
      <alignment horizontal="center"/>
    </xf>
    <xf numFmtId="164" fontId="8" fillId="11" borderId="42" xfId="0" applyNumberFormat="1" applyFont="1" applyFill="1" applyBorder="1" applyAlignment="1">
      <alignment horizontal="center"/>
    </xf>
    <xf numFmtId="164" fontId="8" fillId="11" borderId="37" xfId="0" applyNumberFormat="1" applyFont="1" applyFill="1" applyBorder="1" applyAlignment="1">
      <alignment horizontal="center"/>
    </xf>
    <xf numFmtId="0" fontId="3" fillId="7" borderId="20" xfId="0" applyFont="1" applyFill="1" applyBorder="1" applyAlignment="1">
      <alignment horizontal="center" vertical="center"/>
    </xf>
    <xf numFmtId="0" fontId="3" fillId="7" borderId="12" xfId="0" applyFont="1" applyFill="1" applyBorder="1" applyAlignment="1">
      <alignment horizontal="center" vertical="center"/>
    </xf>
    <xf numFmtId="0" fontId="3" fillId="7" borderId="36" xfId="0" applyFont="1" applyFill="1" applyBorder="1" applyAlignment="1">
      <alignment horizontal="center" vertical="center"/>
    </xf>
    <xf numFmtId="0" fontId="3" fillId="7" borderId="18" xfId="0" applyFont="1" applyFill="1" applyBorder="1" applyAlignment="1">
      <alignment horizontal="center" vertical="center"/>
    </xf>
    <xf numFmtId="10" fontId="5" fillId="12" borderId="13" xfId="1" applyNumberFormat="1" applyFont="1" applyFill="1" applyBorder="1" applyAlignment="1">
      <alignment horizontal="center" vertical="center"/>
    </xf>
    <xf numFmtId="10" fontId="5" fillId="12" borderId="19" xfId="1" applyNumberFormat="1" applyFont="1" applyFill="1" applyBorder="1" applyAlignment="1">
      <alignment horizontal="center" vertical="center"/>
    </xf>
    <xf numFmtId="164" fontId="13" fillId="10" borderId="30" xfId="0" applyNumberFormat="1" applyFont="1" applyFill="1" applyBorder="1" applyAlignment="1">
      <alignment horizontal="center" vertical="center"/>
    </xf>
    <xf numFmtId="164" fontId="13" fillId="10" borderId="37" xfId="0" applyNumberFormat="1" applyFont="1" applyFill="1" applyBorder="1" applyAlignment="1">
      <alignment horizontal="center" vertical="center"/>
    </xf>
    <xf numFmtId="0" fontId="8" fillId="4" borderId="6" xfId="0" applyFont="1" applyFill="1" applyBorder="1" applyAlignment="1">
      <alignment horizontal="center"/>
    </xf>
    <xf numFmtId="0" fontId="8" fillId="4" borderId="7" xfId="0" applyFont="1" applyFill="1" applyBorder="1" applyAlignment="1">
      <alignment horizontal="center"/>
    </xf>
    <xf numFmtId="0" fontId="16" fillId="8" borderId="162" xfId="0" applyFont="1" applyFill="1" applyBorder="1" applyAlignment="1">
      <alignment horizontal="center"/>
    </xf>
    <xf numFmtId="0" fontId="16" fillId="8" borderId="163" xfId="0" applyFont="1" applyFill="1" applyBorder="1" applyAlignment="1">
      <alignment horizontal="center"/>
    </xf>
    <xf numFmtId="0" fontId="16" fillId="8" borderId="164" xfId="0" applyFont="1" applyFill="1" applyBorder="1" applyAlignment="1">
      <alignment horizontal="center"/>
    </xf>
    <xf numFmtId="0" fontId="10" fillId="0" borderId="20" xfId="0" applyFont="1" applyBorder="1" applyAlignment="1">
      <alignment horizontal="center" vertical="center" wrapText="1"/>
    </xf>
    <xf numFmtId="0" fontId="26" fillId="8" borderId="166" xfId="0" applyFont="1" applyFill="1" applyBorder="1" applyAlignment="1">
      <alignment horizontal="center" vertical="center"/>
    </xf>
    <xf numFmtId="0" fontId="26" fillId="8" borderId="169" xfId="0" applyFont="1" applyFill="1" applyBorder="1" applyAlignment="1">
      <alignment horizontal="center" vertical="center"/>
    </xf>
    <xf numFmtId="0" fontId="26" fillId="8" borderId="184" xfId="0" applyFont="1" applyFill="1" applyBorder="1" applyAlignment="1">
      <alignment horizontal="center" vertical="center"/>
    </xf>
    <xf numFmtId="0" fontId="26" fillId="8" borderId="187" xfId="0" applyFont="1" applyFill="1" applyBorder="1" applyAlignment="1">
      <alignment horizontal="center" vertical="center"/>
    </xf>
    <xf numFmtId="0" fontId="26" fillId="2" borderId="165" xfId="0" applyFont="1" applyFill="1" applyBorder="1" applyAlignment="1">
      <alignment horizontal="center" vertical="center"/>
    </xf>
    <xf numFmtId="0" fontId="26" fillId="2" borderId="168" xfId="0" applyFont="1" applyFill="1" applyBorder="1" applyAlignment="1">
      <alignment horizontal="center" vertical="center"/>
    </xf>
    <xf numFmtId="0" fontId="47" fillId="2" borderId="166" xfId="0" applyFont="1" applyFill="1" applyBorder="1" applyAlignment="1">
      <alignment horizontal="center" vertical="center"/>
    </xf>
    <xf numFmtId="0" fontId="26" fillId="8" borderId="183" xfId="0" applyFont="1" applyFill="1" applyBorder="1" applyAlignment="1">
      <alignment horizontal="center" vertical="center"/>
    </xf>
    <xf numFmtId="0" fontId="16" fillId="8" borderId="180" xfId="0" applyFont="1" applyFill="1" applyBorder="1" applyAlignment="1">
      <alignment horizontal="center"/>
    </xf>
    <xf numFmtId="0" fontId="16" fillId="8" borderId="181" xfId="0" applyFont="1" applyFill="1" applyBorder="1" applyAlignment="1">
      <alignment horizontal="center"/>
    </xf>
    <xf numFmtId="0" fontId="47" fillId="8" borderId="166" xfId="0" applyFont="1" applyFill="1" applyBorder="1" applyAlignment="1">
      <alignment horizontal="center" vertical="center" wrapText="1"/>
    </xf>
    <xf numFmtId="0" fontId="47" fillId="8" borderId="169" xfId="0" applyFont="1" applyFill="1" applyBorder="1" applyAlignment="1">
      <alignment horizontal="center" vertical="center" wrapText="1"/>
    </xf>
    <xf numFmtId="0" fontId="16" fillId="8" borderId="182" xfId="0" applyFont="1" applyFill="1" applyBorder="1" applyAlignment="1">
      <alignment horizontal="center"/>
    </xf>
    <xf numFmtId="0" fontId="4" fillId="2" borderId="105" xfId="0" applyFont="1" applyFill="1" applyBorder="1" applyAlignment="1">
      <alignment horizontal="center" vertical="center"/>
    </xf>
    <xf numFmtId="0" fontId="4" fillId="2" borderId="106"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62" fillId="0" borderId="48" xfId="0" applyFont="1" applyBorder="1" applyAlignment="1">
      <alignment horizontal="center" vertical="center"/>
    </xf>
    <xf numFmtId="0" fontId="62" fillId="0" borderId="5" xfId="0" applyFont="1" applyBorder="1" applyAlignment="1">
      <alignment horizontal="center" vertical="center"/>
    </xf>
    <xf numFmtId="0" fontId="62" fillId="0" borderId="55" xfId="0" applyFont="1" applyBorder="1" applyAlignment="1">
      <alignment horizontal="center" vertical="center"/>
    </xf>
    <xf numFmtId="0" fontId="62" fillId="0" borderId="45" xfId="0" applyFont="1" applyBorder="1" applyAlignment="1">
      <alignment horizontal="center" vertical="center"/>
    </xf>
    <xf numFmtId="0" fontId="58" fillId="2" borderId="171" xfId="0" applyFont="1" applyFill="1" applyBorder="1" applyAlignment="1">
      <alignment horizontal="center" vertical="center" readingOrder="1"/>
    </xf>
    <xf numFmtId="0" fontId="58" fillId="2" borderId="150" xfId="0" applyFont="1" applyFill="1" applyBorder="1" applyAlignment="1">
      <alignment horizontal="center" vertical="center" readingOrder="1"/>
    </xf>
    <xf numFmtId="0" fontId="58" fillId="2" borderId="172" xfId="0" applyFont="1" applyFill="1" applyBorder="1" applyAlignment="1">
      <alignment horizontal="center" vertical="center" readingOrder="1"/>
    </xf>
    <xf numFmtId="0" fontId="58" fillId="2" borderId="155" xfId="0" applyFont="1" applyFill="1" applyBorder="1" applyAlignment="1">
      <alignment horizontal="center" vertical="center"/>
    </xf>
    <xf numFmtId="0" fontId="58" fillId="2" borderId="136" xfId="0" applyFont="1" applyFill="1" applyBorder="1" applyAlignment="1">
      <alignment horizontal="center" vertical="center"/>
    </xf>
    <xf numFmtId="0" fontId="58" fillId="2" borderId="156" xfId="0" applyFont="1" applyFill="1" applyBorder="1" applyAlignment="1">
      <alignment horizontal="center" vertical="center"/>
    </xf>
    <xf numFmtId="0" fontId="62" fillId="0" borderId="50" xfId="0" applyFont="1" applyBorder="1" applyAlignment="1">
      <alignment horizontal="center"/>
    </xf>
    <xf numFmtId="0" fontId="62" fillId="0" borderId="51" xfId="0" applyFont="1" applyBorder="1" applyAlignment="1">
      <alignment horizontal="center"/>
    </xf>
    <xf numFmtId="0" fontId="12" fillId="6" borderId="5" xfId="0" applyFont="1" applyFill="1" applyBorder="1" applyAlignment="1">
      <alignment horizontal="center" wrapText="1"/>
    </xf>
    <xf numFmtId="0" fontId="26" fillId="17" borderId="5" xfId="0" applyFont="1" applyFill="1" applyBorder="1" applyAlignment="1">
      <alignment horizontal="center" wrapText="1"/>
    </xf>
    <xf numFmtId="0" fontId="58" fillId="17" borderId="5" xfId="0" applyFont="1" applyFill="1" applyBorder="1" applyAlignment="1">
      <alignment horizontal="center" wrapText="1"/>
    </xf>
    <xf numFmtId="0" fontId="26" fillId="17" borderId="101" xfId="0" applyFont="1" applyFill="1" applyBorder="1" applyAlignment="1">
      <alignment horizontal="center"/>
    </xf>
    <xf numFmtId="0" fontId="26" fillId="17" borderId="100" xfId="0" applyFont="1" applyFill="1" applyBorder="1" applyAlignment="1">
      <alignment horizontal="center"/>
    </xf>
    <xf numFmtId="0" fontId="4" fillId="2" borderId="147" xfId="0" applyFont="1" applyFill="1" applyBorder="1" applyAlignment="1">
      <alignment horizontal="center" vertical="center"/>
    </xf>
    <xf numFmtId="0" fontId="4" fillId="2" borderId="64" xfId="0" applyFont="1" applyFill="1" applyBorder="1" applyAlignment="1">
      <alignment horizontal="center" vertical="center"/>
    </xf>
    <xf numFmtId="0" fontId="4" fillId="2" borderId="153" xfId="0" applyFont="1" applyFill="1" applyBorder="1" applyAlignment="1">
      <alignment horizontal="center" vertical="center"/>
    </xf>
    <xf numFmtId="0" fontId="4" fillId="2" borderId="154" xfId="0" applyFont="1" applyFill="1" applyBorder="1" applyAlignment="1">
      <alignment horizontal="center" vertical="center"/>
    </xf>
    <xf numFmtId="0" fontId="4" fillId="2" borderId="151" xfId="0" applyFont="1" applyFill="1" applyBorder="1" applyAlignment="1">
      <alignment horizontal="center" vertical="center" readingOrder="1"/>
    </xf>
    <xf numFmtId="0" fontId="4" fillId="2" borderId="70" xfId="0" applyFont="1" applyFill="1" applyBorder="1" applyAlignment="1">
      <alignment horizontal="center" vertical="center" readingOrder="1"/>
    </xf>
    <xf numFmtId="0" fontId="4" fillId="2" borderId="152" xfId="0" applyFont="1" applyFill="1" applyBorder="1" applyAlignment="1">
      <alignment horizontal="center" vertical="center" readingOrder="1"/>
    </xf>
    <xf numFmtId="0" fontId="4" fillId="2" borderId="72" xfId="0" applyFont="1" applyFill="1" applyBorder="1" applyAlignment="1">
      <alignment horizontal="center" vertical="center" readingOrder="1"/>
    </xf>
    <xf numFmtId="0" fontId="19" fillId="0" borderId="77" xfId="0" applyFont="1" applyBorder="1" applyAlignment="1">
      <alignment horizontal="center"/>
    </xf>
    <xf numFmtId="0" fontId="19" fillId="0" borderId="68" xfId="0" applyFont="1" applyBorder="1" applyAlignment="1">
      <alignment horizontal="center"/>
    </xf>
    <xf numFmtId="0" fontId="19" fillId="0" borderId="102" xfId="0" applyFont="1" applyBorder="1" applyAlignment="1">
      <alignment horizontal="center"/>
    </xf>
    <xf numFmtId="164" fontId="19" fillId="10" borderId="101" xfId="0" applyNumberFormat="1" applyFont="1" applyFill="1" applyBorder="1" applyAlignment="1">
      <alignment horizontal="center"/>
    </xf>
    <xf numFmtId="164" fontId="19" fillId="10" borderId="100" xfId="0" applyNumberFormat="1" applyFont="1" applyFill="1" applyBorder="1" applyAlignment="1">
      <alignment horizontal="center"/>
    </xf>
    <xf numFmtId="164" fontId="19" fillId="10" borderId="99" xfId="0" applyNumberFormat="1" applyFont="1" applyFill="1" applyBorder="1" applyAlignment="1">
      <alignment horizontal="center"/>
    </xf>
    <xf numFmtId="0" fontId="18" fillId="2" borderId="5" xfId="0" applyFont="1" applyFill="1" applyBorder="1" applyAlignment="1">
      <alignment horizontal="center" vertical="center" wrapText="1" readingOrder="1"/>
    </xf>
    <xf numFmtId="9" fontId="19" fillId="10" borderId="101" xfId="0" applyNumberFormat="1" applyFont="1" applyFill="1" applyBorder="1" applyAlignment="1">
      <alignment horizontal="center"/>
    </xf>
    <xf numFmtId="0" fontId="19" fillId="10" borderId="100" xfId="0" applyFont="1" applyFill="1" applyBorder="1" applyAlignment="1">
      <alignment horizontal="center"/>
    </xf>
    <xf numFmtId="0" fontId="19" fillId="10" borderId="99" xfId="0" applyFont="1" applyFill="1" applyBorder="1" applyAlignment="1">
      <alignment horizontal="center"/>
    </xf>
    <xf numFmtId="0" fontId="18" fillId="2" borderId="101" xfId="0" applyFont="1" applyFill="1" applyBorder="1" applyAlignment="1">
      <alignment horizontal="center"/>
    </xf>
    <xf numFmtId="0" fontId="18" fillId="2" borderId="100" xfId="0" applyFont="1" applyFill="1" applyBorder="1" applyAlignment="1">
      <alignment horizontal="center"/>
    </xf>
    <xf numFmtId="0" fontId="18" fillId="2" borderId="99" xfId="0" applyFont="1" applyFill="1" applyBorder="1" applyAlignment="1">
      <alignment horizontal="center"/>
    </xf>
    <xf numFmtId="0" fontId="19" fillId="0" borderId="5" xfId="0" applyFont="1" applyBorder="1" applyAlignment="1">
      <alignment horizontal="center" vertical="center"/>
    </xf>
    <xf numFmtId="0" fontId="19" fillId="0" borderId="65" xfId="0" applyFont="1" applyBorder="1" applyAlignment="1">
      <alignment horizontal="center" vertical="center" wrapText="1"/>
    </xf>
    <xf numFmtId="0" fontId="19" fillId="0" borderId="94" xfId="0" applyFont="1" applyBorder="1" applyAlignment="1">
      <alignment horizontal="center" vertical="center" wrapText="1"/>
    </xf>
    <xf numFmtId="0" fontId="19" fillId="0" borderId="89" xfId="0" applyFont="1" applyBorder="1" applyAlignment="1">
      <alignment horizontal="center" vertical="center" wrapText="1"/>
    </xf>
    <xf numFmtId="0" fontId="19" fillId="0" borderId="78" xfId="0" applyFont="1" applyBorder="1" applyAlignment="1">
      <alignment horizontal="center" vertical="center" wrapText="1"/>
    </xf>
    <xf numFmtId="0" fontId="19" fillId="0" borderId="85" xfId="0" applyFont="1" applyBorder="1" applyAlignment="1">
      <alignment horizontal="center" vertical="center" wrapText="1"/>
    </xf>
    <xf numFmtId="9" fontId="19" fillId="10" borderId="100" xfId="0" applyNumberFormat="1" applyFont="1" applyFill="1" applyBorder="1" applyAlignment="1">
      <alignment horizontal="center"/>
    </xf>
    <xf numFmtId="9" fontId="19" fillId="10" borderId="99" xfId="0" applyNumberFormat="1" applyFont="1" applyFill="1" applyBorder="1" applyAlignment="1">
      <alignment horizontal="center"/>
    </xf>
    <xf numFmtId="0" fontId="19" fillId="0" borderId="1" xfId="0" applyFont="1" applyBorder="1" applyAlignment="1">
      <alignment horizontal="center"/>
    </xf>
    <xf numFmtId="0" fontId="19" fillId="0" borderId="2" xfId="0" applyFont="1" applyBorder="1" applyAlignment="1">
      <alignment horizontal="center"/>
    </xf>
    <xf numFmtId="0" fontId="19" fillId="0" borderId="3" xfId="0" applyFont="1" applyBorder="1" applyAlignment="1">
      <alignment horizontal="center"/>
    </xf>
    <xf numFmtId="0" fontId="19" fillId="0" borderId="1" xfId="0" applyFont="1" applyBorder="1" applyAlignment="1">
      <alignment horizontal="center" vertical="center"/>
    </xf>
    <xf numFmtId="0" fontId="19" fillId="0" borderId="2" xfId="0" applyFont="1" applyBorder="1" applyAlignment="1">
      <alignment horizontal="center" vertical="center"/>
    </xf>
    <xf numFmtId="0" fontId="19" fillId="0" borderId="3" xfId="0" applyFont="1" applyBorder="1" applyAlignment="1">
      <alignment horizontal="center" vertical="center"/>
    </xf>
    <xf numFmtId="0" fontId="18" fillId="2" borderId="5" xfId="0" applyFont="1" applyFill="1" applyBorder="1" applyAlignment="1">
      <alignment horizontal="center" vertical="center"/>
    </xf>
    <xf numFmtId="4" fontId="33" fillId="15" borderId="98" xfId="0" quotePrefix="1" applyNumberFormat="1" applyFont="1" applyFill="1" applyBorder="1" applyAlignment="1">
      <alignment horizontal="right" vertical="center"/>
    </xf>
    <xf numFmtId="4" fontId="33" fillId="15" borderId="142" xfId="0" quotePrefix="1" applyNumberFormat="1" applyFont="1" applyFill="1" applyBorder="1" applyAlignment="1">
      <alignment horizontal="right" vertical="center"/>
    </xf>
    <xf numFmtId="4" fontId="33" fillId="15" borderId="88" xfId="0" quotePrefix="1" applyNumberFormat="1" applyFont="1" applyFill="1" applyBorder="1" applyAlignment="1">
      <alignment horizontal="right" vertical="center"/>
    </xf>
    <xf numFmtId="4" fontId="5" fillId="15" borderId="88" xfId="0" quotePrefix="1" applyNumberFormat="1" applyFont="1" applyFill="1" applyBorder="1" applyAlignment="1">
      <alignment horizontal="right" vertical="center"/>
    </xf>
    <xf numFmtId="0" fontId="0" fillId="0" borderId="5" xfId="0" applyBorder="1" applyAlignment="1">
      <alignment horizontal="center"/>
    </xf>
    <xf numFmtId="0" fontId="52" fillId="2" borderId="77" xfId="0" applyFont="1" applyFill="1" applyBorder="1" applyAlignment="1">
      <alignment horizontal="center" vertical="center"/>
    </xf>
    <xf numFmtId="0" fontId="52" fillId="2" borderId="102" xfId="0" applyFont="1" applyFill="1" applyBorder="1" applyAlignment="1">
      <alignment horizontal="center" vertical="center"/>
    </xf>
    <xf numFmtId="0" fontId="52" fillId="2" borderId="67" xfId="0" applyFont="1" applyFill="1" applyBorder="1" applyAlignment="1">
      <alignment horizontal="center" vertical="center"/>
    </xf>
    <xf numFmtId="0" fontId="52" fillId="2" borderId="140" xfId="0" applyFont="1" applyFill="1" applyBorder="1" applyAlignment="1">
      <alignment horizontal="center" vertical="center"/>
    </xf>
    <xf numFmtId="0" fontId="0" fillId="0" borderId="35" xfId="0" applyBorder="1" applyAlignment="1">
      <alignment horizontal="center" vertical="center"/>
    </xf>
    <xf numFmtId="0" fontId="0" fillId="0" borderId="29" xfId="0" applyBorder="1" applyAlignment="1">
      <alignment horizontal="center" vertical="center"/>
    </xf>
    <xf numFmtId="0" fontId="0" fillId="0" borderId="24" xfId="0" applyBorder="1" applyAlignment="1">
      <alignment horizontal="center" vertical="center"/>
    </xf>
    <xf numFmtId="0" fontId="0" fillId="0" borderId="5" xfId="0" applyBorder="1" applyAlignment="1">
      <alignment horizontal="center" vertical="center"/>
    </xf>
    <xf numFmtId="0" fontId="18" fillId="2" borderId="162" xfId="0" applyFont="1" applyFill="1" applyBorder="1" applyAlignment="1">
      <alignment horizontal="center"/>
    </xf>
    <xf numFmtId="0" fontId="18" fillId="2" borderId="163" xfId="0" applyFont="1" applyFill="1" applyBorder="1" applyAlignment="1">
      <alignment horizontal="center"/>
    </xf>
    <xf numFmtId="0" fontId="18" fillId="2" borderId="164" xfId="0" applyFont="1" applyFill="1" applyBorder="1" applyAlignment="1">
      <alignment horizontal="center"/>
    </xf>
    <xf numFmtId="0" fontId="19" fillId="0" borderId="5" xfId="0" applyFont="1" applyBorder="1" applyAlignment="1">
      <alignment horizontal="center" vertical="center" textRotation="90"/>
    </xf>
    <xf numFmtId="0" fontId="20" fillId="0" borderId="5" xfId="0" applyFont="1" applyBorder="1" applyAlignment="1">
      <alignment horizontal="left"/>
    </xf>
    <xf numFmtId="0" fontId="18" fillId="0" borderId="5" xfId="0" applyFont="1" applyBorder="1" applyAlignment="1">
      <alignment horizontal="center" vertical="center"/>
    </xf>
    <xf numFmtId="0" fontId="18" fillId="2" borderId="5" xfId="0" applyFont="1" applyFill="1" applyBorder="1" applyAlignment="1">
      <alignment horizontal="center"/>
    </xf>
    <xf numFmtId="164" fontId="3" fillId="10" borderId="77" xfId="0" applyNumberFormat="1" applyFont="1" applyFill="1" applyBorder="1" applyAlignment="1">
      <alignment horizontal="center"/>
    </xf>
    <xf numFmtId="164" fontId="3" fillId="10" borderId="102" xfId="0" applyNumberFormat="1" applyFont="1" applyFill="1" applyBorder="1" applyAlignment="1">
      <alignment horizontal="center"/>
    </xf>
    <xf numFmtId="0" fontId="18" fillId="2" borderId="128" xfId="0" applyFont="1" applyFill="1" applyBorder="1" applyAlignment="1">
      <alignment horizontal="center"/>
    </xf>
    <xf numFmtId="0" fontId="18" fillId="2" borderId="127" xfId="0" applyFont="1" applyFill="1" applyBorder="1" applyAlignment="1">
      <alignment horizontal="center"/>
    </xf>
    <xf numFmtId="0" fontId="19" fillId="0" borderId="5" xfId="0" applyFont="1" applyBorder="1" applyAlignment="1">
      <alignment horizontal="center"/>
    </xf>
    <xf numFmtId="0" fontId="31" fillId="2" borderId="0" xfId="0" applyFont="1" applyFill="1" applyAlignment="1">
      <alignment horizontal="center"/>
    </xf>
    <xf numFmtId="0" fontId="20" fillId="0" borderId="5" xfId="0" applyFont="1" applyBorder="1" applyAlignment="1">
      <alignment horizontal="center"/>
    </xf>
    <xf numFmtId="0" fontId="19" fillId="0" borderId="5" xfId="0" applyFont="1" applyBorder="1" applyAlignment="1">
      <alignment horizontal="center" vertical="center" textRotation="45"/>
    </xf>
    <xf numFmtId="0" fontId="21" fillId="2" borderId="5" xfId="0" applyFont="1" applyFill="1" applyBorder="1" applyAlignment="1">
      <alignment horizontal="center"/>
    </xf>
    <xf numFmtId="0" fontId="4" fillId="2" borderId="143" xfId="0" applyFont="1" applyFill="1" applyBorder="1" applyAlignment="1">
      <alignment horizontal="center" vertical="center"/>
    </xf>
    <xf numFmtId="0" fontId="4" fillId="2" borderId="178" xfId="0" applyFont="1" applyFill="1" applyBorder="1" applyAlignment="1">
      <alignment horizontal="center" vertical="center"/>
    </xf>
    <xf numFmtId="0" fontId="4" fillId="2" borderId="144" xfId="0" applyFont="1" applyFill="1" applyBorder="1" applyAlignment="1">
      <alignment horizontal="center"/>
    </xf>
    <xf numFmtId="0" fontId="4" fillId="2" borderId="144" xfId="0" applyFont="1" applyFill="1" applyBorder="1" applyAlignment="1">
      <alignment horizontal="center" vertical="center"/>
    </xf>
    <xf numFmtId="0" fontId="4" fillId="2" borderId="179" xfId="0" applyFont="1" applyFill="1" applyBorder="1" applyAlignment="1">
      <alignment horizontal="center" vertical="center"/>
    </xf>
    <xf numFmtId="0" fontId="3" fillId="0" borderId="5" xfId="0" applyFont="1" applyBorder="1" applyAlignment="1">
      <alignment horizontal="center"/>
    </xf>
    <xf numFmtId="0" fontId="0" fillId="0" borderId="5" xfId="0" applyBorder="1" applyAlignment="1">
      <alignment horizontal="left" vertical="center"/>
    </xf>
    <xf numFmtId="0" fontId="5" fillId="0" borderId="80" xfId="0" applyFont="1" applyBorder="1" applyAlignment="1">
      <alignment horizontal="center" vertical="center"/>
    </xf>
    <xf numFmtId="0" fontId="5" fillId="0" borderId="81" xfId="0" applyFont="1" applyBorder="1" applyAlignment="1">
      <alignment horizontal="center" vertical="center"/>
    </xf>
    <xf numFmtId="0" fontId="5" fillId="0" borderId="82" xfId="0" applyFont="1" applyBorder="1" applyAlignment="1">
      <alignment horizontal="center" vertical="center"/>
    </xf>
    <xf numFmtId="0" fontId="38" fillId="0" borderId="80" xfId="0" applyFont="1" applyBorder="1" applyAlignment="1">
      <alignment horizontal="center" vertical="center"/>
    </xf>
    <xf numFmtId="0" fontId="38" fillId="0" borderId="81" xfId="0" applyFont="1" applyBorder="1" applyAlignment="1">
      <alignment horizontal="center" vertical="center"/>
    </xf>
    <xf numFmtId="0" fontId="38" fillId="0" borderId="82" xfId="0" applyFont="1" applyBorder="1" applyAlignment="1">
      <alignment horizontal="center" vertical="center"/>
    </xf>
    <xf numFmtId="0" fontId="31" fillId="2" borderId="5" xfId="0" applyFont="1" applyFill="1" applyBorder="1" applyAlignment="1">
      <alignment horizontal="center" vertical="center"/>
    </xf>
    <xf numFmtId="0" fontId="4" fillId="2" borderId="112" xfId="0" applyFont="1" applyFill="1" applyBorder="1" applyAlignment="1">
      <alignment horizontal="center" vertical="center"/>
    </xf>
    <xf numFmtId="0" fontId="4" fillId="2" borderId="104" xfId="0" applyFont="1" applyFill="1" applyBorder="1" applyAlignment="1">
      <alignment horizontal="center" vertical="center"/>
    </xf>
    <xf numFmtId="0" fontId="4" fillId="2" borderId="100" xfId="0" applyFont="1" applyFill="1" applyBorder="1" applyAlignment="1">
      <alignment horizontal="center" vertical="center"/>
    </xf>
    <xf numFmtId="0" fontId="4" fillId="2" borderId="99" xfId="0" applyFont="1" applyFill="1" applyBorder="1" applyAlignment="1">
      <alignment horizontal="center" vertical="center"/>
    </xf>
    <xf numFmtId="0" fontId="5" fillId="10" borderId="81" xfId="0" applyFont="1" applyFill="1" applyBorder="1" applyAlignment="1">
      <alignment horizontal="center" vertical="center"/>
    </xf>
    <xf numFmtId="0" fontId="5" fillId="10" borderId="82" xfId="0" applyFont="1" applyFill="1" applyBorder="1" applyAlignment="1">
      <alignment horizontal="center" vertical="center"/>
    </xf>
    <xf numFmtId="0" fontId="5" fillId="0" borderId="80" xfId="0" applyFont="1" applyBorder="1" applyAlignment="1">
      <alignment horizontal="center" vertical="center" wrapText="1"/>
    </xf>
    <xf numFmtId="0" fontId="5" fillId="0" borderId="81" xfId="0" applyFont="1" applyBorder="1" applyAlignment="1">
      <alignment horizontal="center" vertical="center" wrapText="1"/>
    </xf>
    <xf numFmtId="0" fontId="5" fillId="0" borderId="82" xfId="0" applyFont="1" applyBorder="1" applyAlignment="1">
      <alignment horizontal="center" vertical="center" wrapText="1"/>
    </xf>
    <xf numFmtId="4" fontId="29" fillId="13" borderId="5" xfId="0" applyNumberFormat="1" applyFont="1" applyFill="1" applyBorder="1" applyAlignment="1">
      <alignment horizontal="center" vertical="center"/>
    </xf>
    <xf numFmtId="10" fontId="0" fillId="10" borderId="5" xfId="0" applyNumberFormat="1" applyFill="1" applyBorder="1"/>
    <xf numFmtId="164" fontId="0" fillId="13" borderId="5" xfId="3" applyNumberFormat="1" applyFont="1" applyFill="1" applyBorder="1" applyAlignment="1">
      <alignment horizontal="right" vertical="center"/>
    </xf>
    <xf numFmtId="167" fontId="0" fillId="12" borderId="5" xfId="0" applyNumberFormat="1" applyFill="1" applyBorder="1"/>
  </cellXfs>
  <cellStyles count="14">
    <cellStyle name="Cálculo" xfId="2" builtinId="22"/>
    <cellStyle name="Entrada" xfId="4" builtinId="20"/>
    <cellStyle name="Moeda" xfId="3" builtinId="4"/>
    <cellStyle name="Moeda 2" xfId="11" xr:uid="{00000000-0005-0000-0000-000003000000}"/>
    <cellStyle name="Normal" xfId="0" builtinId="0"/>
    <cellStyle name="Normal 2" xfId="7" xr:uid="{00000000-0005-0000-0000-000005000000}"/>
    <cellStyle name="Normal 2 2 2" xfId="8" xr:uid="{00000000-0005-0000-0000-000006000000}"/>
    <cellStyle name="Normal 5" xfId="5" xr:uid="{00000000-0005-0000-0000-000007000000}"/>
    <cellStyle name="Porcentagem" xfId="1" builtinId="5"/>
    <cellStyle name="Porcentagem 2" xfId="9" xr:uid="{00000000-0005-0000-0000-000009000000}"/>
    <cellStyle name="Vírgula" xfId="6" builtinId="3"/>
    <cellStyle name="Vírgula 2" xfId="10" xr:uid="{00000000-0005-0000-0000-00000B000000}"/>
    <cellStyle name="Vírgula 2 2" xfId="13" xr:uid="{00000000-0005-0000-0000-00000C000000}"/>
    <cellStyle name="Vírgula 3" xfId="12" xr:uid="{00000000-0005-0000-0000-00000D000000}"/>
  </cellStyles>
  <dxfs count="6">
    <dxf>
      <fill>
        <patternFill>
          <bgColor theme="1"/>
        </patternFill>
      </fill>
    </dxf>
    <dxf>
      <fill>
        <patternFill>
          <bgColor rgb="FFFFFF00"/>
        </patternFill>
      </fill>
    </dxf>
    <dxf>
      <fill>
        <patternFill>
          <bgColor rgb="FFFF0000"/>
        </patternFill>
      </fill>
    </dxf>
    <dxf>
      <fill>
        <patternFill>
          <bgColor theme="1"/>
        </patternFill>
      </fill>
    </dxf>
    <dxf>
      <fill>
        <patternFill>
          <bgColor rgb="FFFFFF00"/>
        </patternFill>
      </fill>
    </dxf>
    <dxf>
      <fill>
        <patternFill>
          <bgColor rgb="FFFF0000"/>
        </patternFill>
      </fill>
    </dxf>
  </dxfs>
  <tableStyles count="0" defaultTableStyle="TableStyleMedium2" defaultPivotStyle="PivotStyleLight16"/>
  <colors>
    <mruColors>
      <color rgb="FF00FF00"/>
      <color rgb="FFF616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33"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sheetMetadata" Target="metadata.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pt-BR"/>
              <a:t>Saldo</a:t>
            </a:r>
            <a:r>
              <a:rPr lang="pt-BR" baseline="0"/>
              <a:t> de Caixa do Projeto</a:t>
            </a:r>
            <a:endParaRPr lang="pt-B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pt-BR"/>
        </a:p>
      </c:txPr>
    </c:title>
    <c:autoTitleDeleted val="0"/>
    <c:plotArea>
      <c:layout>
        <c:manualLayout>
          <c:layoutTarget val="inner"/>
          <c:xMode val="edge"/>
          <c:yMode val="edge"/>
          <c:x val="0.12312871353846987"/>
          <c:y val="0.14828449746866715"/>
          <c:w val="0.80610804917572787"/>
          <c:h val="0.66482403701576021"/>
        </c:manualLayout>
      </c:layout>
      <c:barChart>
        <c:barDir val="col"/>
        <c:grouping val="stacked"/>
        <c:varyColors val="0"/>
        <c:ser>
          <c:idx val="0"/>
          <c:order val="0"/>
          <c:tx>
            <c:v>3.4 - Receita Líquida</c:v>
          </c:tx>
          <c:spPr>
            <a:solidFill>
              <a:schemeClr val="accent1"/>
            </a:solidFill>
            <a:ln>
              <a:noFill/>
            </a:ln>
            <a:effectLst/>
          </c:spPr>
          <c:invertIfNegative val="0"/>
          <c:cat>
            <c:numLit>
              <c:formatCode>General</c:formatCode>
              <c:ptCount val="3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numLit>
          </c:cat>
          <c:val>
            <c:numLit>
              <c:formatCode>General</c:formatCode>
              <c:ptCount val="35"/>
              <c:pt idx="0">
                <c:v>18259967.455161162</c:v>
              </c:pt>
              <c:pt idx="1">
                <c:v>23794446.593608659</c:v>
              </c:pt>
              <c:pt idx="2">
                <c:v>26373604.32072223</c:v>
              </c:pt>
              <c:pt idx="3">
                <c:v>29317997.047056016</c:v>
              </c:pt>
              <c:pt idx="4">
                <c:v>32273887.455885787</c:v>
              </c:pt>
              <c:pt idx="5">
                <c:v>34908750.788191624</c:v>
              </c:pt>
              <c:pt idx="6">
                <c:v>37590648.401521988</c:v>
              </c:pt>
              <c:pt idx="7">
                <c:v>40299954.835582048</c:v>
              </c:pt>
              <c:pt idx="8">
                <c:v>43062325.752406672</c:v>
              </c:pt>
              <c:pt idx="9">
                <c:v>43943046.640301168</c:v>
              </c:pt>
              <c:pt idx="10">
                <c:v>44800059.565721259</c:v>
              </c:pt>
              <c:pt idx="11">
                <c:v>45638807.847348236</c:v>
              </c:pt>
              <c:pt idx="12">
                <c:v>46469690.208281308</c:v>
              </c:pt>
              <c:pt idx="13">
                <c:v>47299343.459637821</c:v>
              </c:pt>
              <c:pt idx="14">
                <c:v>47625283.9371856</c:v>
              </c:pt>
              <c:pt idx="15">
                <c:v>47941579.562357157</c:v>
              </c:pt>
              <c:pt idx="16">
                <c:v>48231752.134399138</c:v>
              </c:pt>
              <c:pt idx="17">
                <c:v>48517818.873852044</c:v>
              </c:pt>
              <c:pt idx="18">
                <c:v>48786470.964800291</c:v>
              </c:pt>
              <c:pt idx="19">
                <c:v>49057560.821269274</c:v>
              </c:pt>
              <c:pt idx="20">
                <c:v>49293064.101639114</c:v>
              </c:pt>
              <c:pt idx="21">
                <c:v>49531159.863382965</c:v>
              </c:pt>
              <c:pt idx="22">
                <c:v>49745990.489866368</c:v>
              </c:pt>
              <c:pt idx="23">
                <c:v>49952626.136493735</c:v>
              </c:pt>
              <c:pt idx="24">
                <c:v>50151559.153728142</c:v>
              </c:pt>
              <c:pt idx="25">
                <c:v>50339770.324829869</c:v>
              </c:pt>
              <c:pt idx="26">
                <c:v>50522022.550522961</c:v>
              </c:pt>
              <c:pt idx="27">
                <c:v>50709476.57182312</c:v>
              </c:pt>
              <c:pt idx="28">
                <c:v>50861516.326529317</c:v>
              </c:pt>
              <c:pt idx="29">
                <c:v>51033841.979105853</c:v>
              </c:pt>
              <c:pt idx="30">
                <c:v>51181178.408160828</c:v>
              </c:pt>
              <c:pt idx="31">
                <c:v>51335614.691719308</c:v>
              </c:pt>
              <c:pt idx="32">
                <c:v>51490351.460135706</c:v>
              </c:pt>
              <c:pt idx="33">
                <c:v>51640963.45445019</c:v>
              </c:pt>
              <c:pt idx="34">
                <c:v>51835706.203375757</c:v>
              </c:pt>
            </c:numLit>
          </c:val>
          <c:extLst>
            <c:ext xmlns:c16="http://schemas.microsoft.com/office/drawing/2014/chart" uri="{C3380CC4-5D6E-409C-BE32-E72D297353CC}">
              <c16:uniqueId val="{00000000-D43B-463A-B727-1D9B3EA9960E}"/>
            </c:ext>
          </c:extLst>
        </c:ser>
        <c:ser>
          <c:idx val="8"/>
          <c:order val="1"/>
          <c:tx>
            <c:v>3.5 - Custeio</c:v>
          </c:tx>
          <c:spPr>
            <a:solidFill>
              <a:schemeClr val="accent3">
                <a:lumMod val="60000"/>
              </a:schemeClr>
            </a:solidFill>
            <a:ln>
              <a:noFill/>
            </a:ln>
            <a:effectLst/>
          </c:spPr>
          <c:invertIfNegative val="0"/>
          <c:cat>
            <c:numLit>
              <c:formatCode>General</c:formatCode>
              <c:ptCount val="3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numLit>
          </c:cat>
          <c:val>
            <c:numLit>
              <c:formatCode>General</c:formatCode>
              <c:ptCount val="35"/>
              <c:pt idx="0">
                <c:v>-10420313.752238216</c:v>
              </c:pt>
              <c:pt idx="1">
                <c:v>-13296668.398130348</c:v>
              </c:pt>
              <c:pt idx="2">
                <c:v>-14690705.000611948</c:v>
              </c:pt>
              <c:pt idx="3">
                <c:v>-16211311.409318721</c:v>
              </c:pt>
              <c:pt idx="4">
                <c:v>-17710853.747647677</c:v>
              </c:pt>
              <c:pt idx="5">
                <c:v>-19162035.260049209</c:v>
              </c:pt>
              <c:pt idx="6">
                <c:v>-20638992.744423099</c:v>
              </c:pt>
              <c:pt idx="7">
                <c:v>-22133513.581663966</c:v>
              </c:pt>
              <c:pt idx="8">
                <c:v>-23645240.426083133</c:v>
              </c:pt>
              <c:pt idx="9">
                <c:v>-24028791.56155654</c:v>
              </c:pt>
              <c:pt idx="10">
                <c:v>-24106817.645908058</c:v>
              </c:pt>
              <c:pt idx="11">
                <c:v>-24565208.769698162</c:v>
              </c:pt>
              <c:pt idx="12">
                <c:v>-25020340.252358131</c:v>
              </c:pt>
              <c:pt idx="13">
                <c:v>-25471687.401068967</c:v>
              </c:pt>
              <c:pt idx="14">
                <c:v>-25622747.712379187</c:v>
              </c:pt>
              <c:pt idx="15">
                <c:v>-25787944.742774747</c:v>
              </c:pt>
              <c:pt idx="16">
                <c:v>-25945873.045292582</c:v>
              </c:pt>
              <c:pt idx="17">
                <c:v>-26097423.70558707</c:v>
              </c:pt>
              <c:pt idx="18">
                <c:v>-26242085.885871593</c:v>
              </c:pt>
              <c:pt idx="19">
                <c:v>-26380661.161283668</c:v>
              </c:pt>
              <c:pt idx="20">
                <c:v>-26512970.254264552</c:v>
              </c:pt>
              <c:pt idx="21">
                <c:v>-26639171.845406435</c:v>
              </c:pt>
              <c:pt idx="22">
                <c:v>-26759370.50199442</c:v>
              </c:pt>
              <c:pt idx="23">
                <c:v>-26874247.138251673</c:v>
              </c:pt>
              <c:pt idx="24">
                <c:v>-26984309.609012183</c:v>
              </c:pt>
              <c:pt idx="25">
                <c:v>-27216482.039869595</c:v>
              </c:pt>
              <c:pt idx="26">
                <c:v>-27316380.596982554</c:v>
              </c:pt>
              <c:pt idx="27">
                <c:v>-27411617.046705347</c:v>
              </c:pt>
              <c:pt idx="28">
                <c:v>-27502084.738347016</c:v>
              </c:pt>
              <c:pt idx="29">
                <c:v>-27588565.966790449</c:v>
              </c:pt>
              <c:pt idx="30">
                <c:v>-27670315.477654915</c:v>
              </c:pt>
              <c:pt idx="31">
                <c:v>-27748402.091193147</c:v>
              </c:pt>
              <c:pt idx="32">
                <c:v>-27823120.504130397</c:v>
              </c:pt>
              <c:pt idx="33">
                <c:v>-27893725.906392254</c:v>
              </c:pt>
              <c:pt idx="34">
                <c:v>-27960641.910240963</c:v>
              </c:pt>
            </c:numLit>
          </c:val>
          <c:extLst>
            <c:ext xmlns:c16="http://schemas.microsoft.com/office/drawing/2014/chart" uri="{C3380CC4-5D6E-409C-BE32-E72D297353CC}">
              <c16:uniqueId val="{00000001-D43B-463A-B727-1D9B3EA9960E}"/>
            </c:ext>
          </c:extLst>
        </c:ser>
        <c:ser>
          <c:idx val="2"/>
          <c:order val="2"/>
          <c:tx>
            <c:v>3.6 - Investimento</c:v>
          </c:tx>
          <c:spPr>
            <a:solidFill>
              <a:schemeClr val="accent3"/>
            </a:solidFill>
            <a:ln>
              <a:noFill/>
            </a:ln>
            <a:effectLst/>
          </c:spPr>
          <c:invertIfNegative val="0"/>
          <c:cat>
            <c:numLit>
              <c:formatCode>General</c:formatCode>
              <c:ptCount val="3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numLit>
          </c:cat>
          <c:val>
            <c:numLit>
              <c:formatCode>General</c:formatCode>
              <c:ptCount val="35"/>
              <c:pt idx="0">
                <c:v>-2114677.3868770716</c:v>
              </c:pt>
              <c:pt idx="1">
                <c:v>-39381365.766599283</c:v>
              </c:pt>
              <c:pt idx="2">
                <c:v>-22101408.064548817</c:v>
              </c:pt>
              <c:pt idx="3">
                <c:v>-22497662.708168142</c:v>
              </c:pt>
              <c:pt idx="4">
                <c:v>-22134603.483560711</c:v>
              </c:pt>
              <c:pt idx="5">
                <c:v>-21357053.752172656</c:v>
              </c:pt>
              <c:pt idx="6">
                <c:v>-21649635.919661108</c:v>
              </c:pt>
              <c:pt idx="7">
                <c:v>-21911066.986903075</c:v>
              </c:pt>
              <c:pt idx="8">
                <c:v>-22164031.264346197</c:v>
              </c:pt>
              <c:pt idx="9">
                <c:v>-6818761.1080981027</c:v>
              </c:pt>
              <c:pt idx="10">
                <c:v>-6771217.0309315585</c:v>
              </c:pt>
              <c:pt idx="11">
                <c:v>-6720458.0809714301</c:v>
              </c:pt>
              <c:pt idx="12">
                <c:v>-6672914.0038048849</c:v>
              </c:pt>
              <c:pt idx="13">
                <c:v>-6617582.1515767211</c:v>
              </c:pt>
              <c:pt idx="14">
                <c:v>-2523609.9151604311</c:v>
              </c:pt>
              <c:pt idx="15">
                <c:v>-2416978.510294497</c:v>
              </c:pt>
              <c:pt idx="16">
                <c:v>-2310347.1054285634</c:v>
              </c:pt>
              <c:pt idx="17">
                <c:v>-2217933.2212114208</c:v>
              </c:pt>
              <c:pt idx="18">
                <c:v>-2118410.576669883</c:v>
              </c:pt>
              <c:pt idx="19">
                <c:v>-2025996.6924527402</c:v>
              </c:pt>
              <c:pt idx="20">
                <c:v>-1940691.5685599935</c:v>
              </c:pt>
              <c:pt idx="21">
                <c:v>-1848277.6843428509</c:v>
              </c:pt>
              <c:pt idx="22">
                <c:v>-1762972.5604501038</c:v>
              </c:pt>
              <c:pt idx="23">
                <c:v>-1684776.1968817525</c:v>
              </c:pt>
              <c:pt idx="24">
                <c:v>-1613688.5936377966</c:v>
              </c:pt>
              <c:pt idx="25">
                <c:v>-1528383.4697450497</c:v>
              </c:pt>
              <c:pt idx="26">
                <c:v>-1464404.6268254896</c:v>
              </c:pt>
              <c:pt idx="27">
                <c:v>-1393317.0235815337</c:v>
              </c:pt>
              <c:pt idx="28">
                <c:v>-1329338.1806619735</c:v>
              </c:pt>
              <c:pt idx="29">
                <c:v>-1265359.3377424134</c:v>
              </c:pt>
              <c:pt idx="30">
                <c:v>-1201380.494822853</c:v>
              </c:pt>
              <c:pt idx="31">
                <c:v>-1144510.4122276884</c:v>
              </c:pt>
              <c:pt idx="32">
                <c:v>-1094749.0899569194</c:v>
              </c:pt>
              <c:pt idx="33">
                <c:v>-1037879.0073617547</c:v>
              </c:pt>
              <c:pt idx="34">
                <c:v>-981008.92476659012</c:v>
              </c:pt>
            </c:numLit>
          </c:val>
          <c:extLst xmlns:c15="http://schemas.microsoft.com/office/drawing/2012/chart">
            <c:ext xmlns:c16="http://schemas.microsoft.com/office/drawing/2014/chart" uri="{C3380CC4-5D6E-409C-BE32-E72D297353CC}">
              <c16:uniqueId val="{00000002-D43B-463A-B727-1D9B3EA9960E}"/>
            </c:ext>
          </c:extLst>
        </c:ser>
        <c:ser>
          <c:idx val="4"/>
          <c:order val="3"/>
          <c:tx>
            <c:v>3.10 - Impostos </c:v>
          </c:tx>
          <c:spPr>
            <a:solidFill>
              <a:schemeClr val="accent5"/>
            </a:solidFill>
            <a:ln>
              <a:noFill/>
            </a:ln>
            <a:effectLst/>
          </c:spPr>
          <c:invertIfNegative val="0"/>
          <c:cat>
            <c:numLit>
              <c:formatCode>General</c:formatCode>
              <c:ptCount val="3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numLit>
          </c:cat>
          <c:val>
            <c:numLit>
              <c:formatCode>General</c:formatCode>
              <c:ptCount val="35"/>
              <c:pt idx="0">
                <c:v>-4495332.4569330588</c:v>
              </c:pt>
              <c:pt idx="1">
                <c:v>-5392914.6968128551</c:v>
              </c:pt>
              <c:pt idx="2">
                <c:v>-5818514.1706784628</c:v>
              </c:pt>
              <c:pt idx="3">
                <c:v>-6337302.5226204088</c:v>
              </c:pt>
              <c:pt idx="4">
                <c:v>-6863896.9981064629</c:v>
              </c:pt>
              <c:pt idx="5">
                <c:v>-7279490.8574038222</c:v>
              </c:pt>
              <c:pt idx="6">
                <c:v>-7698939.3420715965</c:v>
              </c:pt>
              <c:pt idx="7">
                <c:v>-8121518.8056066334</c:v>
              </c:pt>
              <c:pt idx="8">
                <c:v>-8534495.0655698143</c:v>
              </c:pt>
              <c:pt idx="9">
                <c:v>-8741343.231807461</c:v>
              </c:pt>
              <c:pt idx="10">
                <c:v>-9058995.5222735703</c:v>
              </c:pt>
              <c:pt idx="11">
                <c:v>-9236530.853299411</c:v>
              </c:pt>
              <c:pt idx="12">
                <c:v>-9410878.7101608776</c:v>
              </c:pt>
              <c:pt idx="13">
                <c:v>-9580590.4787645154</c:v>
              </c:pt>
              <c:pt idx="14">
                <c:v>-9709324.2022131532</c:v>
              </c:pt>
              <c:pt idx="15">
                <c:v>-9829734.9221593253</c:v>
              </c:pt>
              <c:pt idx="16">
                <c:v>-9955575.0606646091</c:v>
              </c:pt>
              <c:pt idx="17">
                <c:v>-10064209.73183959</c:v>
              </c:pt>
              <c:pt idx="18">
                <c:v>-10169144.510055613</c:v>
              </c:pt>
              <c:pt idx="19">
                <c:v>-10272262.873509681</c:v>
              </c:pt>
              <c:pt idx="20">
                <c:v>-10359330.610804683</c:v>
              </c:pt>
              <c:pt idx="21">
                <c:v>-10447732.004964601</c:v>
              </c:pt>
              <c:pt idx="22">
                <c:v>-10527582.553539166</c:v>
              </c:pt>
              <c:pt idx="23">
                <c:v>-10601100.660642009</c:v>
              </c:pt>
              <c:pt idx="24">
                <c:v>-10669643.20957041</c:v>
              </c:pt>
              <c:pt idx="25">
                <c:v>-10688914.34340623</c:v>
              </c:pt>
              <c:pt idx="26">
                <c:v>-10746004.761054695</c:v>
              </c:pt>
              <c:pt idx="27">
                <c:v>-10801916.571289845</c:v>
              </c:pt>
              <c:pt idx="28">
                <c:v>-10842814.608424447</c:v>
              </c:pt>
              <c:pt idx="29">
                <c:v>-10879640.383859504</c:v>
              </c:pt>
              <c:pt idx="30">
                <c:v>-10895015.419404075</c:v>
              </c:pt>
              <c:pt idx="31">
                <c:v>-10896148.111748366</c:v>
              </c:pt>
              <c:pt idx="32">
                <c:v>-10866506.996029202</c:v>
              </c:pt>
              <c:pt idx="33">
                <c:v>-10773395.366060428</c:v>
              </c:pt>
              <c:pt idx="34">
                <c:v>-10508544.8102942</c:v>
              </c:pt>
            </c:numLit>
          </c:val>
          <c:extLst xmlns:c15="http://schemas.microsoft.com/office/drawing/2012/chart">
            <c:ext xmlns:c16="http://schemas.microsoft.com/office/drawing/2014/chart" uri="{C3380CC4-5D6E-409C-BE32-E72D297353CC}">
              <c16:uniqueId val="{00000003-D43B-463A-B727-1D9B3EA9960E}"/>
            </c:ext>
          </c:extLst>
        </c:ser>
        <c:ser>
          <c:idx val="5"/>
          <c:order val="4"/>
          <c:tx>
            <c:v>3.11- Equity</c:v>
          </c:tx>
          <c:spPr>
            <a:solidFill>
              <a:schemeClr val="accent6"/>
            </a:solidFill>
            <a:ln>
              <a:noFill/>
            </a:ln>
            <a:effectLst/>
          </c:spPr>
          <c:invertIfNegative val="0"/>
          <c:cat>
            <c:numLit>
              <c:formatCode>General</c:formatCode>
              <c:ptCount val="3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numLit>
          </c:cat>
          <c:val>
            <c:numLit>
              <c:formatCode>General</c:formatCode>
              <c:ptCount val="35"/>
              <c:pt idx="0">
                <c:v>0</c:v>
              </c:pt>
              <c:pt idx="1">
                <c:v>33379394.449948527</c:v>
              </c:pt>
              <c:pt idx="2">
                <c:v>15068254.803406913</c:v>
              </c:pt>
              <c:pt idx="3">
                <c:v>14371287.28749102</c:v>
              </c:pt>
              <c:pt idx="4">
                <c:v>12893023.986845456</c:v>
              </c:pt>
              <c:pt idx="5">
                <c:v>11179903.253122196</c:v>
              </c:pt>
              <c:pt idx="6">
                <c:v>10524798.606070964</c:v>
              </c:pt>
              <c:pt idx="7">
                <c:v>9827506.3059622515</c:v>
              </c:pt>
              <c:pt idx="8">
                <c:v>9093133.9323714897</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Lit>
          </c:val>
          <c:extLst xmlns:c15="http://schemas.microsoft.com/office/drawing/2012/chart">
            <c:ext xmlns:c16="http://schemas.microsoft.com/office/drawing/2014/chart" uri="{C3380CC4-5D6E-409C-BE32-E72D297353CC}">
              <c16:uniqueId val="{00000004-D43B-463A-B727-1D9B3EA9960E}"/>
            </c:ext>
          </c:extLst>
        </c:ser>
        <c:dLbls>
          <c:showLegendKey val="0"/>
          <c:showVal val="0"/>
          <c:showCatName val="0"/>
          <c:showSerName val="0"/>
          <c:showPercent val="0"/>
          <c:showBubbleSize val="0"/>
        </c:dLbls>
        <c:gapWidth val="150"/>
        <c:overlap val="100"/>
        <c:axId val="-559673104"/>
        <c:axId val="-559667120"/>
      </c:barChart>
      <c:lineChart>
        <c:grouping val="standard"/>
        <c:varyColors val="0"/>
        <c:ser>
          <c:idx val="6"/>
          <c:order val="5"/>
          <c:tx>
            <c:v>Saldo de CX</c:v>
          </c:tx>
          <c:spPr>
            <a:ln w="19050" cap="rnd">
              <a:solidFill>
                <a:schemeClr val="accent1">
                  <a:lumMod val="60000"/>
                </a:schemeClr>
              </a:solidFill>
              <a:round/>
            </a:ln>
            <a:effectLst/>
          </c:spPr>
          <c:marker>
            <c:symbol val="circle"/>
            <c:size val="5"/>
            <c:spPr>
              <a:solidFill>
                <a:schemeClr val="accent2">
                  <a:lumMod val="75000"/>
                </a:schemeClr>
              </a:solidFill>
              <a:ln w="9525">
                <a:solidFill>
                  <a:schemeClr val="accent1">
                    <a:lumMod val="60000"/>
                  </a:schemeClr>
                </a:solidFill>
              </a:ln>
              <a:effectLst/>
            </c:spPr>
          </c:marker>
          <c:cat>
            <c:numLit>
              <c:formatCode>General</c:formatCode>
              <c:ptCount val="3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numLit>
          </c:cat>
          <c:val>
            <c:numLit>
              <c:formatCode>General</c:formatCode>
              <c:ptCount val="35"/>
              <c:pt idx="0">
                <c:v>2055120.8110763645</c:v>
              </c:pt>
              <c:pt idx="1">
                <c:v>-33379394.449948527</c:v>
              </c:pt>
              <c:pt idx="2">
                <c:v>-15068254.803406913</c:v>
              </c:pt>
              <c:pt idx="3">
                <c:v>-14371287.28749102</c:v>
              </c:pt>
              <c:pt idx="4">
                <c:v>-12893023.986845456</c:v>
              </c:pt>
              <c:pt idx="5">
                <c:v>-11179903.253122196</c:v>
              </c:pt>
              <c:pt idx="6">
                <c:v>-10524798.606070964</c:v>
              </c:pt>
              <c:pt idx="7">
                <c:v>-9827506.3059622515</c:v>
              </c:pt>
              <c:pt idx="8">
                <c:v>-9093133.9323714897</c:v>
              </c:pt>
              <c:pt idx="9">
                <c:v>6669793.5280692857</c:v>
              </c:pt>
              <c:pt idx="10">
                <c:v>7625385.5501473732</c:v>
              </c:pt>
              <c:pt idx="11">
                <c:v>7939507.7168255616</c:v>
              </c:pt>
              <c:pt idx="12">
                <c:v>8249858.9695792235</c:v>
              </c:pt>
              <c:pt idx="13">
                <c:v>8572285.8930471092</c:v>
              </c:pt>
              <c:pt idx="14">
                <c:v>12769515.195332915</c:v>
              </c:pt>
              <c:pt idx="15">
                <c:v>12943690.569188785</c:v>
              </c:pt>
              <c:pt idx="16">
                <c:v>13106794.438842025</c:v>
              </c:pt>
              <c:pt idx="17">
                <c:v>13258848.339662462</c:v>
              </c:pt>
              <c:pt idx="18">
                <c:v>13412651.504951917</c:v>
              </c:pt>
              <c:pt idx="19">
                <c:v>13566388.01002807</c:v>
              </c:pt>
              <c:pt idx="20">
                <c:v>13695924.227812076</c:v>
              </c:pt>
              <c:pt idx="21">
                <c:v>13839850.497920077</c:v>
              </c:pt>
              <c:pt idx="22">
                <c:v>13967440.299102964</c:v>
              </c:pt>
              <c:pt idx="23">
                <c:v>14088309.66080907</c:v>
              </c:pt>
              <c:pt idx="24">
                <c:v>14202836.089666845</c:v>
              </c:pt>
              <c:pt idx="25">
                <c:v>14118580.936372768</c:v>
              </c:pt>
              <c:pt idx="26">
                <c:v>14227974.310542736</c:v>
              </c:pt>
              <c:pt idx="27">
                <c:v>14354911.032324977</c:v>
              </c:pt>
              <c:pt idx="28">
                <c:v>14460288.199298985</c:v>
              </c:pt>
              <c:pt idx="29">
                <c:v>14588224.804365411</c:v>
              </c:pt>
              <c:pt idx="30">
                <c:v>14712604.99811513</c:v>
              </c:pt>
              <c:pt idx="31">
                <c:v>14851289.251276532</c:v>
              </c:pt>
              <c:pt idx="32">
                <c:v>15010103.144751109</c:v>
              </c:pt>
              <c:pt idx="33">
                <c:v>15224988.737935647</c:v>
              </c:pt>
              <c:pt idx="34">
                <c:v>15619532.753390945</c:v>
              </c:pt>
            </c:numLit>
          </c:val>
          <c:smooth val="0"/>
          <c:extLst>
            <c:ext xmlns:c16="http://schemas.microsoft.com/office/drawing/2014/chart" uri="{C3380CC4-5D6E-409C-BE32-E72D297353CC}">
              <c16:uniqueId val="{00000005-D43B-463A-B727-1D9B3EA9960E}"/>
            </c:ext>
          </c:extLst>
        </c:ser>
        <c:ser>
          <c:idx val="7"/>
          <c:order val="6"/>
          <c:tx>
            <c:v>Saldo de CX Acumulado</c:v>
          </c:tx>
          <c:spPr>
            <a:ln w="19050" cap="rnd">
              <a:solidFill>
                <a:schemeClr val="accent2">
                  <a:lumMod val="60000"/>
                </a:schemeClr>
              </a:solidFill>
              <a:round/>
            </a:ln>
            <a:effectLst/>
          </c:spPr>
          <c:marker>
            <c:symbol val="circle"/>
            <c:size val="7"/>
            <c:spPr>
              <a:solidFill>
                <a:srgbClr val="FF0000"/>
              </a:solidFill>
              <a:ln w="9525">
                <a:solidFill>
                  <a:schemeClr val="tx1"/>
                </a:solidFill>
              </a:ln>
              <a:effectLst/>
            </c:spPr>
          </c:marker>
          <c:dLbls>
            <c:dLbl>
              <c:idx val="9"/>
              <c:layout>
                <c:manualLayout>
                  <c:x val="-5.5220440171620047E-2"/>
                  <c:y val="2.778810698571249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D43B-463A-B727-1D9B3EA9960E}"/>
                </c:ext>
              </c:extLst>
            </c:dLbl>
            <c:dLbl>
              <c:idx val="34"/>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43B-463A-B727-1D9B3EA9960E}"/>
                </c:ext>
              </c:extLst>
            </c:dLbl>
            <c:numFmt formatCode="&quot;R$&quot;\ #,##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pt-B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Lit>
              <c:formatCode>General</c:formatCode>
              <c:ptCount val="3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numLit>
          </c:cat>
          <c:val>
            <c:numLit>
              <c:formatCode>General</c:formatCode>
              <c:ptCount val="35"/>
              <c:pt idx="0">
                <c:v>2055120.8110763645</c:v>
              </c:pt>
              <c:pt idx="1">
                <c:v>-31324273.638872162</c:v>
              </c:pt>
              <c:pt idx="2">
                <c:v>-46392528.442279071</c:v>
              </c:pt>
              <c:pt idx="3">
                <c:v>-60763815.729770094</c:v>
              </c:pt>
              <c:pt idx="4">
                <c:v>-73656839.716615558</c:v>
              </c:pt>
              <c:pt idx="5">
                <c:v>-84836742.969737753</c:v>
              </c:pt>
              <c:pt idx="6">
                <c:v>-95361541.575808719</c:v>
              </c:pt>
              <c:pt idx="7">
                <c:v>-105189047.88177097</c:v>
              </c:pt>
              <c:pt idx="8">
                <c:v>-114282181.81414247</c:v>
              </c:pt>
              <c:pt idx="9">
                <c:v>-107612388.28607318</c:v>
              </c:pt>
              <c:pt idx="10">
                <c:v>-99987002.735925809</c:v>
              </c:pt>
              <c:pt idx="11">
                <c:v>-92047495.019100249</c:v>
              </c:pt>
              <c:pt idx="12">
                <c:v>-83797636.049521029</c:v>
              </c:pt>
              <c:pt idx="13">
                <c:v>-75225350.15647392</c:v>
              </c:pt>
              <c:pt idx="14">
                <c:v>-62455834.961141005</c:v>
              </c:pt>
              <c:pt idx="15">
                <c:v>-49512144.391952217</c:v>
              </c:pt>
              <c:pt idx="16">
                <c:v>-36405349.953110188</c:v>
              </c:pt>
              <c:pt idx="17">
                <c:v>-23146501.613447726</c:v>
              </c:pt>
              <c:pt idx="18">
                <c:v>-9733850.1084958091</c:v>
              </c:pt>
              <c:pt idx="19">
                <c:v>3832537.9015322607</c:v>
              </c:pt>
              <c:pt idx="20">
                <c:v>17528462.129344337</c:v>
              </c:pt>
              <c:pt idx="21">
                <c:v>31368312.627264414</c:v>
              </c:pt>
              <c:pt idx="22">
                <c:v>45335752.92636738</c:v>
              </c:pt>
              <c:pt idx="23">
                <c:v>59424062.58717645</c:v>
              </c:pt>
              <c:pt idx="24">
                <c:v>73626898.6768433</c:v>
              </c:pt>
              <c:pt idx="25">
                <c:v>87745479.613216072</c:v>
              </c:pt>
              <c:pt idx="26">
                <c:v>101973453.9237588</c:v>
              </c:pt>
              <c:pt idx="27">
                <c:v>116328364.95608377</c:v>
              </c:pt>
              <c:pt idx="28">
                <c:v>130788653.15538275</c:v>
              </c:pt>
              <c:pt idx="29">
                <c:v>145376877.95974815</c:v>
              </c:pt>
              <c:pt idx="30">
                <c:v>160089482.95786327</c:v>
              </c:pt>
              <c:pt idx="31">
                <c:v>174940772.20913979</c:v>
              </c:pt>
              <c:pt idx="32">
                <c:v>189950875.3538909</c:v>
              </c:pt>
              <c:pt idx="33">
                <c:v>205175864.09182656</c:v>
              </c:pt>
              <c:pt idx="34">
                <c:v>220795396.8452175</c:v>
              </c:pt>
            </c:numLit>
          </c:val>
          <c:smooth val="0"/>
          <c:extLst xmlns:c15="http://schemas.microsoft.com/office/drawing/2012/chart">
            <c:ext xmlns:c16="http://schemas.microsoft.com/office/drawing/2014/chart" uri="{C3380CC4-5D6E-409C-BE32-E72D297353CC}">
              <c16:uniqueId val="{00000008-D43B-463A-B727-1D9B3EA9960E}"/>
            </c:ext>
          </c:extLst>
        </c:ser>
        <c:dLbls>
          <c:showLegendKey val="0"/>
          <c:showVal val="0"/>
          <c:showCatName val="0"/>
          <c:showSerName val="0"/>
          <c:showPercent val="0"/>
          <c:showBubbleSize val="0"/>
        </c:dLbls>
        <c:marker val="1"/>
        <c:smooth val="0"/>
        <c:axId val="-559673104"/>
        <c:axId val="-559667120"/>
      </c:lineChart>
      <c:catAx>
        <c:axId val="-55967310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pt-BR"/>
          </a:p>
        </c:txPr>
        <c:crossAx val="-559667120"/>
        <c:crosses val="autoZero"/>
        <c:auto val="1"/>
        <c:lblAlgn val="ctr"/>
        <c:lblOffset val="100"/>
        <c:noMultiLvlLbl val="1"/>
      </c:catAx>
      <c:valAx>
        <c:axId val="-559667120"/>
        <c:scaling>
          <c:orientation val="minMax"/>
        </c:scaling>
        <c:delete val="0"/>
        <c:axPos val="l"/>
        <c:majorGridlines>
          <c:spPr>
            <a:ln w="9525" cap="flat" cmpd="sng" algn="ctr">
              <a:solidFill>
                <a:schemeClr val="tx1">
                  <a:lumMod val="15000"/>
                  <a:lumOff val="85000"/>
                </a:schemeClr>
              </a:solidFill>
              <a:round/>
            </a:ln>
            <a:effectLst/>
          </c:spPr>
        </c:majorGridlines>
        <c:numFmt formatCode="&quot;R$&quot;#,##0_);[Red]\(&quot;R$&quot;#,##0\)" sourceLinked="0"/>
        <c:majorTickMark val="out"/>
        <c:minorTickMark val="in"/>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59673104"/>
        <c:crosses val="autoZero"/>
        <c:crossBetween val="between"/>
        <c:dispUnits>
          <c:builtInUnit val="millions"/>
          <c:dispUnitsLbl>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pt-BR"/>
              </a:p>
            </c:txPr>
          </c:dispUnitsLbl>
        </c:dispUnits>
      </c:valAx>
      <c:spPr>
        <a:noFill/>
        <a:ln>
          <a:noFill/>
        </a:ln>
        <a:effectLst/>
      </c:spPr>
    </c:plotArea>
    <c:legend>
      <c:legendPos val="r"/>
      <c:layout>
        <c:manualLayout>
          <c:xMode val="edge"/>
          <c:yMode val="edge"/>
          <c:x val="2.1309937824123659E-2"/>
          <c:y val="0.89433336634742866"/>
          <c:w val="0.95284457382191601"/>
          <c:h val="0.10566662827766682"/>
        </c:manualLayout>
      </c:layout>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pt-BR"/>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pt-BR"/>
    </a:p>
  </c:txPr>
  <c:printSettings>
    <c:headerFooter/>
    <c:pageMargins b="0.78740157499999996" l="0.511811024" r="0.511811024" t="0.78740157499999996" header="0.31496062000000002" footer="0.31496062000000002"/>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pt-BR"/>
              <a:t>Despesas de Capex, Contrapartida,</a:t>
            </a:r>
            <a:r>
              <a:rPr lang="pt-BR" baseline="0"/>
              <a:t> </a:t>
            </a:r>
            <a:r>
              <a:rPr lang="pt-BR"/>
              <a:t>Empréstimos e Amortizações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pt-BR"/>
        </a:p>
      </c:txPr>
    </c:title>
    <c:autoTitleDeleted val="0"/>
    <c:plotArea>
      <c:layout>
        <c:manualLayout>
          <c:layoutTarget val="inner"/>
          <c:xMode val="edge"/>
          <c:yMode val="edge"/>
          <c:x val="0.12312871353846987"/>
          <c:y val="0.1055596821239011"/>
          <c:w val="0.80610804917572787"/>
          <c:h val="0.75113824977554"/>
        </c:manualLayout>
      </c:layout>
      <c:barChart>
        <c:barDir val="col"/>
        <c:grouping val="stacked"/>
        <c:varyColors val="0"/>
        <c:ser>
          <c:idx val="0"/>
          <c:order val="0"/>
          <c:tx>
            <c:v>Capex</c:v>
          </c:tx>
          <c:spPr>
            <a:solidFill>
              <a:srgbClr val="FF0000"/>
            </a:solidFill>
            <a:ln>
              <a:noFill/>
            </a:ln>
            <a:effectLst/>
          </c:spPr>
          <c:invertIfNegative val="0"/>
          <c:cat>
            <c:numLit>
              <c:formatCode>General</c:formatCode>
              <c:ptCount val="3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numLit>
          </c:cat>
          <c:val>
            <c:numLit>
              <c:formatCode>General</c:formatCode>
              <c:ptCount val="32"/>
              <c:pt idx="0">
                <c:v>-2114677.3868770716</c:v>
              </c:pt>
              <c:pt idx="1">
                <c:v>-39381365.766599275</c:v>
              </c:pt>
              <c:pt idx="2">
                <c:v>-22101408.06454882</c:v>
              </c:pt>
              <c:pt idx="3">
                <c:v>-22497662.708168142</c:v>
              </c:pt>
              <c:pt idx="4">
                <c:v>-22134603.483560715</c:v>
              </c:pt>
              <c:pt idx="5">
                <c:v>-21357053.752172653</c:v>
              </c:pt>
              <c:pt idx="6">
                <c:v>-21649635.919661108</c:v>
              </c:pt>
              <c:pt idx="7">
                <c:v>-21911066.986903075</c:v>
              </c:pt>
              <c:pt idx="8">
                <c:v>-22164031.264346197</c:v>
              </c:pt>
              <c:pt idx="9">
                <c:v>-6818761.1080981027</c:v>
              </c:pt>
              <c:pt idx="10">
                <c:v>-6771217.0309315585</c:v>
              </c:pt>
              <c:pt idx="11">
                <c:v>-6720458.0809714301</c:v>
              </c:pt>
              <c:pt idx="12">
                <c:v>-6672914.0038048858</c:v>
              </c:pt>
              <c:pt idx="13">
                <c:v>-6617582.1515767202</c:v>
              </c:pt>
              <c:pt idx="14">
                <c:v>-2523609.9151604311</c:v>
              </c:pt>
              <c:pt idx="15">
                <c:v>-2416978.510294497</c:v>
              </c:pt>
              <c:pt idx="16">
                <c:v>-2310347.1054285634</c:v>
              </c:pt>
              <c:pt idx="17">
                <c:v>-2217933.2212114208</c:v>
              </c:pt>
              <c:pt idx="18">
                <c:v>-2118410.576669883</c:v>
              </c:pt>
              <c:pt idx="19">
                <c:v>-2025996.6924527402</c:v>
              </c:pt>
              <c:pt idx="20">
                <c:v>-1940691.5685599935</c:v>
              </c:pt>
              <c:pt idx="21">
                <c:v>-1848277.6843428509</c:v>
              </c:pt>
              <c:pt idx="22">
                <c:v>-1762972.5604501038</c:v>
              </c:pt>
              <c:pt idx="23">
                <c:v>-1684776.1968817525</c:v>
              </c:pt>
              <c:pt idx="24">
                <c:v>-1613688.5936377966</c:v>
              </c:pt>
              <c:pt idx="25">
                <c:v>-1528383.4697450495</c:v>
              </c:pt>
              <c:pt idx="26">
                <c:v>-1464404.6268254893</c:v>
              </c:pt>
              <c:pt idx="27">
                <c:v>-1393317.0235815337</c:v>
              </c:pt>
              <c:pt idx="28">
                <c:v>-1329338.1806619735</c:v>
              </c:pt>
              <c:pt idx="29">
                <c:v>-1265359.3377424132</c:v>
              </c:pt>
              <c:pt idx="30">
                <c:v>-1201380.494822853</c:v>
              </c:pt>
              <c:pt idx="31">
                <c:v>-1144510.4122276884</c:v>
              </c:pt>
            </c:numLit>
          </c:val>
          <c:extLst xmlns:c15="http://schemas.microsoft.com/office/drawing/2012/chart">
            <c:ext xmlns:c16="http://schemas.microsoft.com/office/drawing/2014/chart" uri="{C3380CC4-5D6E-409C-BE32-E72D297353CC}">
              <c16:uniqueId val="{00000000-2B2D-4741-B60D-3E5B65B4C1F4}"/>
            </c:ext>
          </c:extLst>
        </c:ser>
        <c:ser>
          <c:idx val="3"/>
          <c:order val="1"/>
          <c:tx>
            <c:v>Empréstimo Anual (R$)</c:v>
          </c:tx>
          <c:spPr>
            <a:solidFill>
              <a:schemeClr val="accent5"/>
            </a:solidFill>
            <a:ln>
              <a:noFill/>
            </a:ln>
            <a:effectLst/>
          </c:spPr>
          <c:invertIfNegative val="0"/>
          <c:cat>
            <c:numLit>
              <c:formatCode>General</c:formatCode>
              <c:ptCount val="3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numLit>
          </c:cat>
          <c:val>
            <c:numLit>
              <c:formatCode>General</c:formatCode>
              <c:ptCount val="32"/>
              <c:pt idx="0">
                <c:v>1903209.6481893647</c:v>
              </c:pt>
              <c:pt idx="1">
                <c:v>35443229.18993935</c:v>
              </c:pt>
              <c:pt idx="2">
                <c:v>19891267.258093938</c:v>
              </c:pt>
              <c:pt idx="3">
                <c:v>20247896.437351327</c:v>
              </c:pt>
              <c:pt idx="4">
                <c:v>19921143.135204643</c:v>
              </c:pt>
              <c:pt idx="5">
                <c:v>19221348.376955386</c:v>
              </c:pt>
              <c:pt idx="6">
                <c:v>19484672.327694997</c:v>
              </c:pt>
              <c:pt idx="7">
                <c:v>19719960.288212769</c:v>
              </c:pt>
              <c:pt idx="8">
                <c:v>19947628.137911577</c:v>
              </c:pt>
              <c:pt idx="9">
                <c:v>6136884.9972882923</c:v>
              </c:pt>
              <c:pt idx="10">
                <c:v>6094095.3278384022</c:v>
              </c:pt>
              <c:pt idx="11">
                <c:v>6048412.2728742864</c:v>
              </c:pt>
              <c:pt idx="12">
                <c:v>6005622.6034243973</c:v>
              </c:pt>
              <c:pt idx="13">
                <c:v>5955823.9364190474</c:v>
              </c:pt>
              <c:pt idx="14">
                <c:v>2271248.9236443881</c:v>
              </c:pt>
              <c:pt idx="15">
                <c:v>2175280.6592650469</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numLit>
          </c:val>
          <c:extLst xmlns:c15="http://schemas.microsoft.com/office/drawing/2012/chart">
            <c:ext xmlns:c16="http://schemas.microsoft.com/office/drawing/2014/chart" uri="{C3380CC4-5D6E-409C-BE32-E72D297353CC}">
              <c16:uniqueId val="{00000001-2B2D-4741-B60D-3E5B65B4C1F4}"/>
            </c:ext>
          </c:extLst>
        </c:ser>
        <c:ser>
          <c:idx val="1"/>
          <c:order val="2"/>
          <c:tx>
            <c:v>Contrapartida Anual (R$)</c:v>
          </c:tx>
          <c:spPr>
            <a:solidFill>
              <a:schemeClr val="tx1"/>
            </a:solidFill>
            <a:ln>
              <a:noFill/>
            </a:ln>
            <a:effectLst/>
          </c:spPr>
          <c:invertIfNegative val="0"/>
          <c:cat>
            <c:numLit>
              <c:formatCode>General</c:formatCode>
              <c:ptCount val="3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numLit>
          </c:cat>
          <c:val>
            <c:numLit>
              <c:formatCode>General</c:formatCode>
              <c:ptCount val="32"/>
              <c:pt idx="0">
                <c:v>211467.73868770711</c:v>
              </c:pt>
              <c:pt idx="1">
                <c:v>3938136.5766599262</c:v>
              </c:pt>
              <c:pt idx="2">
                <c:v>2210140.8064548811</c:v>
              </c:pt>
              <c:pt idx="3">
                <c:v>2249766.2708168137</c:v>
              </c:pt>
              <c:pt idx="4">
                <c:v>2213460.3483560709</c:v>
              </c:pt>
              <c:pt idx="5">
                <c:v>2135705.375217265</c:v>
              </c:pt>
              <c:pt idx="6">
                <c:v>2164963.5919661107</c:v>
              </c:pt>
              <c:pt idx="7">
                <c:v>2191106.6986903073</c:v>
              </c:pt>
              <c:pt idx="8">
                <c:v>2216403.1264346191</c:v>
              </c:pt>
              <c:pt idx="9">
                <c:v>681876.11080981011</c:v>
              </c:pt>
              <c:pt idx="10">
                <c:v>677121.70309315564</c:v>
              </c:pt>
              <c:pt idx="11">
                <c:v>672045.80809714284</c:v>
              </c:pt>
              <c:pt idx="12">
                <c:v>667291.40038048849</c:v>
              </c:pt>
              <c:pt idx="13">
                <c:v>661758.21515767183</c:v>
              </c:pt>
              <c:pt idx="14">
                <c:v>252360.99151604308</c:v>
              </c:pt>
              <c:pt idx="15">
                <c:v>241697.85102944964</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numLit>
          </c:val>
          <c:extLst>
            <c:ext xmlns:c16="http://schemas.microsoft.com/office/drawing/2014/chart" uri="{C3380CC4-5D6E-409C-BE32-E72D297353CC}">
              <c16:uniqueId val="{00000002-2B2D-4741-B60D-3E5B65B4C1F4}"/>
            </c:ext>
          </c:extLst>
        </c:ser>
        <c:ser>
          <c:idx val="4"/>
          <c:order val="3"/>
          <c:tx>
            <c:v>Amortizações e juros</c:v>
          </c:tx>
          <c:spPr>
            <a:solidFill>
              <a:schemeClr val="accent4"/>
            </a:solidFill>
            <a:ln>
              <a:noFill/>
            </a:ln>
            <a:effectLst/>
          </c:spPr>
          <c:invertIfNegative val="0"/>
          <c:cat>
            <c:numLit>
              <c:formatCode>General</c:formatCode>
              <c:ptCount val="3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numLit>
          </c:cat>
          <c:val>
            <c:numLit>
              <c:formatCode>General</c:formatCode>
              <c:ptCount val="32"/>
              <c:pt idx="0">
                <c:v>-148260.031735</c:v>
              </c:pt>
              <c:pt idx="1">
                <c:v>-2909287.5856360001</c:v>
              </c:pt>
              <c:pt idx="2">
                <c:v>-4458817.3051899998</c:v>
              </c:pt>
              <c:pt idx="3">
                <c:v>-6036128.4378660005</c:v>
              </c:pt>
              <c:pt idx="4">
                <c:v>-9321007.5731615573</c:v>
              </c:pt>
              <c:pt idx="5">
                <c:v>-10818350.611726383</c:v>
              </c:pt>
              <c:pt idx="6">
                <c:v>-12336206.586053824</c:v>
              </c:pt>
              <c:pt idx="7">
                <c:v>-13872391.492505599</c:v>
              </c:pt>
              <c:pt idx="8">
                <c:v>-17178602.368959691</c:v>
              </c:pt>
              <c:pt idx="9">
                <c:v>-17656665.710248448</c:v>
              </c:pt>
              <c:pt idx="10">
                <c:v>-18131395.736287061</c:v>
              </c:pt>
              <c:pt idx="11">
                <c:v>-18602567.052343965</c:v>
              </c:pt>
              <c:pt idx="12">
                <c:v>-19925380.28738606</c:v>
              </c:pt>
              <c:pt idx="13">
                <c:v>-20389338.972033102</c:v>
              </c:pt>
              <c:pt idx="14">
                <c:v>-20566269.263185002</c:v>
              </c:pt>
              <c:pt idx="15">
                <c:v>-20735723.626541749</c:v>
              </c:pt>
              <c:pt idx="16">
                <c:v>-21140336.925504185</c:v>
              </c:pt>
              <c:pt idx="17">
                <c:v>-21140336.925504185</c:v>
              </c:pt>
              <c:pt idx="18">
                <c:v>-21140336.925504185</c:v>
              </c:pt>
              <c:pt idx="19">
                <c:v>-21140336.925504185</c:v>
              </c:pt>
              <c:pt idx="20">
                <c:v>-21140336.925504185</c:v>
              </c:pt>
              <c:pt idx="21">
                <c:v>-21140336.925504185</c:v>
              </c:pt>
              <c:pt idx="22">
                <c:v>-21140336.925504185</c:v>
              </c:pt>
              <c:pt idx="23">
                <c:v>-21140336.925504185</c:v>
              </c:pt>
              <c:pt idx="24">
                <c:v>-13371186.402575066</c:v>
              </c:pt>
              <c:pt idx="25">
                <c:v>-13371186.402575068</c:v>
              </c:pt>
              <c:pt idx="26">
                <c:v>-13371186.402575066</c:v>
              </c:pt>
              <c:pt idx="27">
                <c:v>-13371186.402575066</c:v>
              </c:pt>
              <c:pt idx="28">
                <c:v>-5515654.7884878041</c:v>
              </c:pt>
              <c:pt idx="29">
                <c:v>-5515654.7884878051</c:v>
              </c:pt>
              <c:pt idx="30">
                <c:v>-5515654.7884878051</c:v>
              </c:pt>
              <c:pt idx="31">
                <c:v>-5515654.7884878041</c:v>
              </c:pt>
            </c:numLit>
          </c:val>
          <c:extLst xmlns:c15="http://schemas.microsoft.com/office/drawing/2012/chart">
            <c:ext xmlns:c16="http://schemas.microsoft.com/office/drawing/2014/chart" uri="{C3380CC4-5D6E-409C-BE32-E72D297353CC}">
              <c16:uniqueId val="{00000003-2B2D-4741-B60D-3E5B65B4C1F4}"/>
            </c:ext>
          </c:extLst>
        </c:ser>
        <c:dLbls>
          <c:showLegendKey val="0"/>
          <c:showVal val="0"/>
          <c:showCatName val="0"/>
          <c:showSerName val="0"/>
          <c:showPercent val="0"/>
          <c:showBubbleSize val="0"/>
        </c:dLbls>
        <c:gapWidth val="150"/>
        <c:overlap val="100"/>
        <c:axId val="-559665488"/>
        <c:axId val="-559676912"/>
      </c:barChart>
      <c:catAx>
        <c:axId val="-55966548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pt-BR"/>
          </a:p>
        </c:txPr>
        <c:crossAx val="-559676912"/>
        <c:crosses val="autoZero"/>
        <c:auto val="1"/>
        <c:lblAlgn val="ctr"/>
        <c:lblOffset val="100"/>
        <c:noMultiLvlLbl val="1"/>
      </c:catAx>
      <c:valAx>
        <c:axId val="-559676912"/>
        <c:scaling>
          <c:orientation val="minMax"/>
          <c:max val="50000000"/>
          <c:min val="-50000000"/>
        </c:scaling>
        <c:delete val="0"/>
        <c:axPos val="l"/>
        <c:majorGridlines>
          <c:spPr>
            <a:ln w="9525" cap="flat" cmpd="sng" algn="ctr">
              <a:solidFill>
                <a:schemeClr val="tx1">
                  <a:lumMod val="15000"/>
                  <a:lumOff val="85000"/>
                </a:schemeClr>
              </a:solidFill>
              <a:round/>
            </a:ln>
            <a:effectLst/>
          </c:spPr>
        </c:majorGridlines>
        <c:numFmt formatCode="&quot;R$&quot;#,##0_);[Red]\(&quot;R$&quot;#,##0\)" sourceLinked="0"/>
        <c:majorTickMark val="out"/>
        <c:minorTickMark val="in"/>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59665488"/>
        <c:crosses val="autoZero"/>
        <c:crossBetween val="between"/>
        <c:dispUnits>
          <c:builtInUnit val="millions"/>
          <c:dispUnitsLbl>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pt-BR"/>
              </a:p>
            </c:txPr>
          </c:dispUnitsLbl>
        </c:dispUnits>
      </c:valAx>
      <c:spPr>
        <a:noFill/>
        <a:ln>
          <a:noFill/>
        </a:ln>
        <a:effectLst/>
      </c:spPr>
    </c:plotArea>
    <c:legend>
      <c:legendPos val="r"/>
      <c:layout>
        <c:manualLayout>
          <c:xMode val="edge"/>
          <c:yMode val="edge"/>
          <c:x val="2.099669556016627E-3"/>
          <c:y val="0.89433336634742866"/>
          <c:w val="0.97910996640261982"/>
          <c:h val="0.10566669164880238"/>
        </c:manualLayout>
      </c:layout>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pt-BR"/>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pt-BR"/>
              <a:t>Conta Água e Esgoto</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pt-BR"/>
        </a:p>
      </c:txPr>
    </c:title>
    <c:autoTitleDeleted val="0"/>
    <c:plotArea>
      <c:layout>
        <c:manualLayout>
          <c:layoutTarget val="inner"/>
          <c:xMode val="edge"/>
          <c:yMode val="edge"/>
          <c:x val="9.7097145875633464E-2"/>
          <c:y val="7.9283897799424657E-2"/>
          <c:w val="0.84647339837237312"/>
          <c:h val="0.66334097430173844"/>
        </c:manualLayout>
      </c:layout>
      <c:lineChart>
        <c:grouping val="standard"/>
        <c:varyColors val="0"/>
        <c:ser>
          <c:idx val="0"/>
          <c:order val="0"/>
          <c:tx>
            <c:strRef>
              <c:f>Histograma!$B$110</c:f>
              <c:strCache>
                <c:ptCount val="1"/>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Histograma!$B$111:$B$115</c:f>
              <c:numCache>
                <c:formatCode>General</c:formatCode>
                <c:ptCount val="5"/>
              </c:numCache>
            </c:numRef>
          </c:cat>
          <c:val>
            <c:numRef>
              <c:f>Histograma!$C$111:$C$115</c:f>
              <c:numCache>
                <c:formatCode>General</c:formatCode>
                <c:ptCount val="5"/>
              </c:numCache>
            </c:numRef>
          </c:val>
          <c:smooth val="0"/>
          <c:extLst>
            <c:ext xmlns:c16="http://schemas.microsoft.com/office/drawing/2014/chart" uri="{C3380CC4-5D6E-409C-BE32-E72D297353CC}">
              <c16:uniqueId val="{00000000-9DA8-4E6A-A5FD-FCDCC20C0305}"/>
            </c:ext>
          </c:extLst>
        </c:ser>
        <c:ser>
          <c:idx val="3"/>
          <c:order val="3"/>
          <c:tx>
            <c:strRef>
              <c:f>Histograma!$B$131</c:f>
              <c:strCache>
                <c:ptCount val="1"/>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val>
            <c:numRef>
              <c:f>Histograma!$C$132:$C$136</c:f>
              <c:numCache>
                <c:formatCode>General</c:formatCode>
                <c:ptCount val="5"/>
              </c:numCache>
            </c:numRef>
          </c:val>
          <c:smooth val="0"/>
          <c:extLst>
            <c:ext xmlns:c16="http://schemas.microsoft.com/office/drawing/2014/chart" uri="{C3380CC4-5D6E-409C-BE32-E72D297353CC}">
              <c16:uniqueId val="{00000003-9DA8-4E6A-A5FD-FCDCC20C0305}"/>
            </c:ext>
          </c:extLst>
        </c:ser>
        <c:ser>
          <c:idx val="6"/>
          <c:order val="6"/>
          <c:tx>
            <c:strRef>
              <c:f>Histograma!$B$152:$E$152</c:f>
              <c:strCache>
                <c:ptCount val="1"/>
              </c:strCache>
            </c:strRef>
          </c:tx>
          <c:spPr>
            <a:ln w="28575" cap="rnd">
              <a:solidFill>
                <a:schemeClr val="accent1">
                  <a:lumMod val="60000"/>
                </a:schemeClr>
              </a:solidFill>
              <a:round/>
            </a:ln>
            <a:effectLst/>
          </c:spPr>
          <c:marker>
            <c:symbol val="circle"/>
            <c:size val="5"/>
            <c:spPr>
              <a:solidFill>
                <a:schemeClr val="accent1">
                  <a:lumMod val="60000"/>
                </a:schemeClr>
              </a:solidFill>
              <a:ln w="9525">
                <a:solidFill>
                  <a:schemeClr val="accent1">
                    <a:lumMod val="60000"/>
                  </a:schemeClr>
                </a:solidFill>
              </a:ln>
              <a:effectLst/>
            </c:spPr>
          </c:marker>
          <c:val>
            <c:numRef>
              <c:f>Histograma!$C$153:$C$157</c:f>
              <c:numCache>
                <c:formatCode>General</c:formatCode>
                <c:ptCount val="5"/>
              </c:numCache>
            </c:numRef>
          </c:val>
          <c:smooth val="0"/>
          <c:extLst>
            <c:ext xmlns:c16="http://schemas.microsoft.com/office/drawing/2014/chart" uri="{C3380CC4-5D6E-409C-BE32-E72D297353CC}">
              <c16:uniqueId val="{00000006-9DA8-4E6A-A5FD-FCDCC20C0305}"/>
            </c:ext>
          </c:extLst>
        </c:ser>
        <c:ser>
          <c:idx val="7"/>
          <c:order val="7"/>
          <c:tx>
            <c:strRef>
              <c:f>Histograma!$B$159:$E$159</c:f>
              <c:strCache>
                <c:ptCount val="1"/>
              </c:strCache>
            </c:strRef>
          </c:tx>
          <c:spPr>
            <a:ln w="28575" cap="rnd">
              <a:solidFill>
                <a:schemeClr val="accent2">
                  <a:lumMod val="60000"/>
                </a:schemeClr>
              </a:solidFill>
              <a:round/>
            </a:ln>
            <a:effectLst/>
          </c:spPr>
          <c:marker>
            <c:symbol val="circle"/>
            <c:size val="5"/>
            <c:spPr>
              <a:solidFill>
                <a:schemeClr val="accent2">
                  <a:lumMod val="60000"/>
                </a:schemeClr>
              </a:solidFill>
              <a:ln w="9525">
                <a:solidFill>
                  <a:schemeClr val="accent2">
                    <a:lumMod val="60000"/>
                  </a:schemeClr>
                </a:solidFill>
              </a:ln>
              <a:effectLst/>
            </c:spPr>
          </c:marker>
          <c:val>
            <c:numRef>
              <c:f>Histograma!$C$160:$C$164</c:f>
              <c:numCache>
                <c:formatCode>General</c:formatCode>
                <c:ptCount val="5"/>
              </c:numCache>
            </c:numRef>
          </c:val>
          <c:smooth val="0"/>
          <c:extLst>
            <c:ext xmlns:c16="http://schemas.microsoft.com/office/drawing/2014/chart" uri="{C3380CC4-5D6E-409C-BE32-E72D297353CC}">
              <c16:uniqueId val="{00000007-9DA8-4E6A-A5FD-FCDCC20C0305}"/>
            </c:ext>
          </c:extLst>
        </c:ser>
        <c:ser>
          <c:idx val="8"/>
          <c:order val="8"/>
          <c:tx>
            <c:strRef>
              <c:f>Histograma!$B$166:$E$166</c:f>
              <c:strCache>
                <c:ptCount val="1"/>
              </c:strCache>
            </c:strRef>
          </c:tx>
          <c:spPr>
            <a:ln w="28575" cap="rnd">
              <a:solidFill>
                <a:schemeClr val="accent3">
                  <a:lumMod val="60000"/>
                </a:schemeClr>
              </a:solidFill>
              <a:round/>
            </a:ln>
            <a:effectLst/>
          </c:spPr>
          <c:marker>
            <c:symbol val="circle"/>
            <c:size val="5"/>
            <c:spPr>
              <a:solidFill>
                <a:schemeClr val="accent3">
                  <a:lumMod val="60000"/>
                </a:schemeClr>
              </a:solidFill>
              <a:ln w="9525">
                <a:solidFill>
                  <a:schemeClr val="accent3">
                    <a:lumMod val="60000"/>
                  </a:schemeClr>
                </a:solidFill>
              </a:ln>
              <a:effectLst/>
            </c:spPr>
          </c:marker>
          <c:val>
            <c:numRef>
              <c:f>Histograma!$C$167:$C$171</c:f>
              <c:numCache>
                <c:formatCode>General</c:formatCode>
                <c:ptCount val="5"/>
              </c:numCache>
            </c:numRef>
          </c:val>
          <c:smooth val="0"/>
          <c:extLst>
            <c:ext xmlns:c16="http://schemas.microsoft.com/office/drawing/2014/chart" uri="{C3380CC4-5D6E-409C-BE32-E72D297353CC}">
              <c16:uniqueId val="{00000008-9DA8-4E6A-A5FD-FCDCC20C0305}"/>
            </c:ext>
          </c:extLst>
        </c:ser>
        <c:ser>
          <c:idx val="9"/>
          <c:order val="9"/>
          <c:tx>
            <c:strRef>
              <c:f>Histograma!$B$173:$E$173</c:f>
              <c:strCache>
                <c:ptCount val="1"/>
              </c:strCache>
            </c:strRef>
          </c:tx>
          <c:spPr>
            <a:ln w="28575" cap="rnd">
              <a:solidFill>
                <a:schemeClr val="accent4">
                  <a:lumMod val="60000"/>
                </a:schemeClr>
              </a:solidFill>
              <a:round/>
            </a:ln>
            <a:effectLst/>
          </c:spPr>
          <c:marker>
            <c:symbol val="circle"/>
            <c:size val="5"/>
            <c:spPr>
              <a:solidFill>
                <a:schemeClr val="accent4">
                  <a:lumMod val="60000"/>
                </a:schemeClr>
              </a:solidFill>
              <a:ln w="9525">
                <a:solidFill>
                  <a:schemeClr val="accent4">
                    <a:lumMod val="60000"/>
                  </a:schemeClr>
                </a:solidFill>
              </a:ln>
              <a:effectLst/>
            </c:spPr>
          </c:marker>
          <c:val>
            <c:numRef>
              <c:f>Histograma!$C$174:$C$178</c:f>
              <c:numCache>
                <c:formatCode>General</c:formatCode>
                <c:ptCount val="5"/>
              </c:numCache>
            </c:numRef>
          </c:val>
          <c:smooth val="0"/>
          <c:extLst>
            <c:ext xmlns:c16="http://schemas.microsoft.com/office/drawing/2014/chart" uri="{C3380CC4-5D6E-409C-BE32-E72D297353CC}">
              <c16:uniqueId val="{00000009-9DA8-4E6A-A5FD-FCDCC20C0305}"/>
            </c:ext>
          </c:extLst>
        </c:ser>
        <c:dLbls>
          <c:showLegendKey val="0"/>
          <c:showVal val="0"/>
          <c:showCatName val="0"/>
          <c:showSerName val="0"/>
          <c:showPercent val="0"/>
          <c:showBubbleSize val="0"/>
        </c:dLbls>
        <c:marker val="1"/>
        <c:smooth val="0"/>
        <c:axId val="-559668208"/>
        <c:axId val="-559668752"/>
        <c:extLst>
          <c:ext xmlns:c15="http://schemas.microsoft.com/office/drawing/2012/chart" uri="{02D57815-91ED-43cb-92C2-25804820EDAC}">
            <c15:filteredLineSeries>
              <c15:ser>
                <c:idx val="1"/>
                <c:order val="1"/>
                <c:tx>
                  <c:strRef>
                    <c:extLst>
                      <c:ext uri="{02D57815-91ED-43cb-92C2-25804820EDAC}">
                        <c15:formulaRef>
                          <c15:sqref>Histograma!$B$117</c15:sqref>
                        </c15:formulaRef>
                      </c:ext>
                    </c:extLst>
                    <c:strCache>
                      <c:ptCount val="1"/>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val>
                  <c:numRef>
                    <c:extLst>
                      <c:ext uri="{02D57815-91ED-43cb-92C2-25804820EDAC}">
                        <c15:formulaRef>
                          <c15:sqref>Histograma!$C$118:$C$122</c15:sqref>
                        </c15:formulaRef>
                      </c:ext>
                    </c:extLst>
                    <c:numCache>
                      <c:formatCode>General</c:formatCode>
                      <c:ptCount val="5"/>
                    </c:numCache>
                  </c:numRef>
                </c:val>
                <c:smooth val="0"/>
                <c:extLst>
                  <c:ext xmlns:c16="http://schemas.microsoft.com/office/drawing/2014/chart" uri="{C3380CC4-5D6E-409C-BE32-E72D297353CC}">
                    <c16:uniqueId val="{00000001-9DA8-4E6A-A5FD-FCDCC20C0305}"/>
                  </c:ext>
                </c:extLst>
              </c15:ser>
            </c15:filteredLineSeries>
            <c15:filteredLineSeries>
              <c15:ser>
                <c:idx val="2"/>
                <c:order val="2"/>
                <c:tx>
                  <c:strRef>
                    <c:extLst xmlns:c15="http://schemas.microsoft.com/office/drawing/2012/chart">
                      <c:ext xmlns:c15="http://schemas.microsoft.com/office/drawing/2012/chart" uri="{02D57815-91ED-43cb-92C2-25804820EDAC}">
                        <c15:formulaRef>
                          <c15:sqref>Histograma!$B$124</c15:sqref>
                        </c15:formulaRef>
                      </c:ext>
                    </c:extLst>
                    <c:strCache>
                      <c:ptCount val="1"/>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val>
                  <c:numRef>
                    <c:extLst xmlns:c15="http://schemas.microsoft.com/office/drawing/2012/chart">
                      <c:ext xmlns:c15="http://schemas.microsoft.com/office/drawing/2012/chart" uri="{02D57815-91ED-43cb-92C2-25804820EDAC}">
                        <c15:formulaRef>
                          <c15:sqref>Histograma!$C$125:$C$129</c15:sqref>
                        </c15:formulaRef>
                      </c:ext>
                    </c:extLst>
                    <c:numCache>
                      <c:formatCode>General</c:formatCode>
                      <c:ptCount val="5"/>
                    </c:numCache>
                  </c:numRef>
                </c:val>
                <c:smooth val="0"/>
                <c:extLst xmlns:c15="http://schemas.microsoft.com/office/drawing/2012/chart">
                  <c:ext xmlns:c16="http://schemas.microsoft.com/office/drawing/2014/chart" uri="{C3380CC4-5D6E-409C-BE32-E72D297353CC}">
                    <c16:uniqueId val="{00000002-9DA8-4E6A-A5FD-FCDCC20C0305}"/>
                  </c:ext>
                </c:extLst>
              </c15:ser>
            </c15:filteredLineSeries>
            <c15:filteredLineSeries>
              <c15:ser>
                <c:idx val="4"/>
                <c:order val="4"/>
                <c:tx>
                  <c:strRef>
                    <c:extLst xmlns:c15="http://schemas.microsoft.com/office/drawing/2012/chart">
                      <c:ext xmlns:c15="http://schemas.microsoft.com/office/drawing/2012/chart" uri="{02D57815-91ED-43cb-92C2-25804820EDAC}">
                        <c15:formulaRef>
                          <c15:sqref>Histograma!$B$138</c15:sqref>
                        </c15:formulaRef>
                      </c:ext>
                    </c:extLst>
                    <c:strCache>
                      <c:ptCount val="1"/>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val>
                  <c:numRef>
                    <c:extLst xmlns:c15="http://schemas.microsoft.com/office/drawing/2012/chart">
                      <c:ext xmlns:c15="http://schemas.microsoft.com/office/drawing/2012/chart" uri="{02D57815-91ED-43cb-92C2-25804820EDAC}">
                        <c15:formulaRef>
                          <c15:sqref>Histograma!$C$139:$C$143</c15:sqref>
                        </c15:formulaRef>
                      </c:ext>
                    </c:extLst>
                    <c:numCache>
                      <c:formatCode>General</c:formatCode>
                      <c:ptCount val="5"/>
                    </c:numCache>
                  </c:numRef>
                </c:val>
                <c:smooth val="0"/>
                <c:extLst xmlns:c15="http://schemas.microsoft.com/office/drawing/2012/chart">
                  <c:ext xmlns:c16="http://schemas.microsoft.com/office/drawing/2014/chart" uri="{C3380CC4-5D6E-409C-BE32-E72D297353CC}">
                    <c16:uniqueId val="{00000004-9DA8-4E6A-A5FD-FCDCC20C0305}"/>
                  </c:ext>
                </c:extLst>
              </c15:ser>
            </c15:filteredLineSeries>
            <c15:filteredLineSeries>
              <c15:ser>
                <c:idx val="5"/>
                <c:order val="5"/>
                <c:tx>
                  <c:strRef>
                    <c:extLst xmlns:c15="http://schemas.microsoft.com/office/drawing/2012/chart">
                      <c:ext xmlns:c15="http://schemas.microsoft.com/office/drawing/2012/chart" uri="{02D57815-91ED-43cb-92C2-25804820EDAC}">
                        <c15:formulaRef>
                          <c15:sqref>Histograma!$B$145</c15:sqref>
                        </c15:formulaRef>
                      </c:ext>
                    </c:extLst>
                    <c:strCache>
                      <c:ptCount val="1"/>
                    </c:strCache>
                  </c:strRef>
                </c:tx>
                <c:spPr>
                  <a:ln w="28575" cap="rnd">
                    <a:solidFill>
                      <a:schemeClr val="accent6"/>
                    </a:solidFill>
                    <a:round/>
                  </a:ln>
                  <a:effectLst/>
                </c:spPr>
                <c:marker>
                  <c:symbol val="circle"/>
                  <c:size val="5"/>
                  <c:spPr>
                    <a:solidFill>
                      <a:schemeClr val="accent6"/>
                    </a:solidFill>
                    <a:ln w="9525">
                      <a:solidFill>
                        <a:schemeClr val="accent6"/>
                      </a:solidFill>
                    </a:ln>
                    <a:effectLst/>
                  </c:spPr>
                </c:marker>
                <c:val>
                  <c:numRef>
                    <c:extLst xmlns:c15="http://schemas.microsoft.com/office/drawing/2012/chart">
                      <c:ext xmlns:c15="http://schemas.microsoft.com/office/drawing/2012/chart" uri="{02D57815-91ED-43cb-92C2-25804820EDAC}">
                        <c15:formulaRef>
                          <c15:sqref>Histograma!$C$146:$C$150</c15:sqref>
                        </c15:formulaRef>
                      </c:ext>
                    </c:extLst>
                    <c:numCache>
                      <c:formatCode>General</c:formatCode>
                      <c:ptCount val="5"/>
                    </c:numCache>
                  </c:numRef>
                </c:val>
                <c:smooth val="0"/>
                <c:extLst xmlns:c15="http://schemas.microsoft.com/office/drawing/2012/chart">
                  <c:ext xmlns:c16="http://schemas.microsoft.com/office/drawing/2014/chart" uri="{C3380CC4-5D6E-409C-BE32-E72D297353CC}">
                    <c16:uniqueId val="{00000005-9DA8-4E6A-A5FD-FCDCC20C0305}"/>
                  </c:ext>
                </c:extLst>
              </c15:ser>
            </c15:filteredLineSeries>
          </c:ext>
        </c:extLst>
      </c:lineChart>
      <c:catAx>
        <c:axId val="-55966820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pt-BR"/>
                  <a:t>Volume Mensal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pt-BR"/>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59668752"/>
        <c:crosses val="autoZero"/>
        <c:auto val="1"/>
        <c:lblAlgn val="ctr"/>
        <c:lblOffset val="100"/>
        <c:noMultiLvlLbl val="0"/>
      </c:catAx>
      <c:valAx>
        <c:axId val="-55966875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59668208"/>
        <c:crosses val="autoZero"/>
        <c:crossBetween val="between"/>
        <c:majorUnit val="50"/>
      </c:valAx>
      <c:spPr>
        <a:noFill/>
        <a:ln>
          <a:noFill/>
        </a:ln>
        <a:effectLst/>
      </c:spPr>
    </c:plotArea>
    <c:legend>
      <c:legendPos val="r"/>
      <c:layout>
        <c:manualLayout>
          <c:xMode val="edge"/>
          <c:yMode val="edge"/>
          <c:x val="5.6630977731557133E-2"/>
          <c:y val="0.86962877483560197"/>
          <c:w val="0.90352987008699381"/>
          <c:h val="0.12972623968246247"/>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pt-BR"/>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smoothMarker"/>
        <c:varyColors val="0"/>
        <c:ser>
          <c:idx val="0"/>
          <c:order val="0"/>
          <c:yVal>
            <c:numRef>
              <c:f>'Seguros e Garantias'!$D$29:$AL$29</c:f>
              <c:numCache>
                <c:formatCode>"R$"#,##0.00_);[Red]\("R$"#,##0.00\)</c:formatCode>
                <c:ptCount val="3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yVal>
          <c:smooth val="1"/>
          <c:extLst>
            <c:ext xmlns:c16="http://schemas.microsoft.com/office/drawing/2014/chart" uri="{C3380CC4-5D6E-409C-BE32-E72D297353CC}">
              <c16:uniqueId val="{00000000-1220-42FC-8EC8-CE9EE361B265}"/>
            </c:ext>
          </c:extLst>
        </c:ser>
        <c:dLbls>
          <c:showLegendKey val="0"/>
          <c:showVal val="0"/>
          <c:showCatName val="0"/>
          <c:showSerName val="0"/>
          <c:showPercent val="0"/>
          <c:showBubbleSize val="0"/>
        </c:dLbls>
        <c:axId val="-747221952"/>
        <c:axId val="-747226304"/>
      </c:scatterChart>
      <c:valAx>
        <c:axId val="-747221952"/>
        <c:scaling>
          <c:orientation val="minMax"/>
          <c:max val="35"/>
        </c:scaling>
        <c:delete val="0"/>
        <c:axPos val="b"/>
        <c:majorTickMark val="out"/>
        <c:minorTickMark val="none"/>
        <c:tickLblPos val="nextTo"/>
        <c:crossAx val="-747226304"/>
        <c:crosses val="autoZero"/>
        <c:crossBetween val="midCat"/>
      </c:valAx>
      <c:valAx>
        <c:axId val="-747226304"/>
        <c:scaling>
          <c:orientation val="minMax"/>
        </c:scaling>
        <c:delete val="0"/>
        <c:axPos val="l"/>
        <c:majorGridlines/>
        <c:numFmt formatCode="&quot;R$&quot;#,##0.00_);[Red]\(&quot;R$&quot;#,##0.00\)" sourceLinked="1"/>
        <c:majorTickMark val="out"/>
        <c:minorTickMark val="none"/>
        <c:tickLblPos val="nextTo"/>
        <c:crossAx val="-747221952"/>
        <c:crosses val="autoZero"/>
        <c:crossBetween val="midCat"/>
      </c:valAx>
    </c:plotArea>
    <c:plotVisOnly val="1"/>
    <c:dispBlanksAs val="gap"/>
    <c:showDLblsOverMax val="0"/>
  </c:chart>
  <c:printSettings>
    <c:headerFooter/>
    <c:pageMargins b="0.78740157499999996" l="0.511811024" r="0.511811024" t="0.78740157499999996" header="0.31496062000000002" footer="0.3149606200000000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1333500</xdr:colOff>
      <xdr:row>19</xdr:row>
      <xdr:rowOff>0</xdr:rowOff>
    </xdr:from>
    <xdr:to>
      <xdr:col>7</xdr:col>
      <xdr:colOff>1050292</xdr:colOff>
      <xdr:row>51</xdr:row>
      <xdr:rowOff>46354</xdr:rowOff>
    </xdr:to>
    <xdr:graphicFrame macro="">
      <xdr:nvGraphicFramePr>
        <xdr:cNvPr id="3" name="Gráfico 2">
          <a:extLst>
            <a:ext uri="{FF2B5EF4-FFF2-40B4-BE49-F238E27FC236}">
              <a16:creationId xmlns:a16="http://schemas.microsoft.com/office/drawing/2014/main" id="{69B8114B-3B52-43BD-AAC8-BFD6C7BE5D8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1310641</xdr:colOff>
      <xdr:row>52</xdr:row>
      <xdr:rowOff>123825</xdr:rowOff>
    </xdr:from>
    <xdr:to>
      <xdr:col>7</xdr:col>
      <xdr:colOff>1085851</xdr:colOff>
      <xdr:row>82</xdr:row>
      <xdr:rowOff>171450</xdr:rowOff>
    </xdr:to>
    <xdr:graphicFrame macro="">
      <xdr:nvGraphicFramePr>
        <xdr:cNvPr id="5" name="Gráfico 4">
          <a:extLst>
            <a:ext uri="{FF2B5EF4-FFF2-40B4-BE49-F238E27FC236}">
              <a16:creationId xmlns:a16="http://schemas.microsoft.com/office/drawing/2014/main" id="{E60A0F24-646C-44F2-BEA6-A61613370DA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10</xdr:col>
      <xdr:colOff>247460</xdr:colOff>
      <xdr:row>8</xdr:row>
      <xdr:rowOff>41594</xdr:rowOff>
    </xdr:from>
    <xdr:to>
      <xdr:col>10</xdr:col>
      <xdr:colOff>1025796</xdr:colOff>
      <xdr:row>12</xdr:row>
      <xdr:rowOff>158089</xdr:rowOff>
    </xdr:to>
    <xdr:sp macro="" textlink="">
      <xdr:nvSpPr>
        <xdr:cNvPr id="3" name="Seta para baixo 2">
          <a:extLst>
            <a:ext uri="{FF2B5EF4-FFF2-40B4-BE49-F238E27FC236}">
              <a16:creationId xmlns:a16="http://schemas.microsoft.com/office/drawing/2014/main" id="{06A86119-63C8-4AE7-A08E-4443D4D42FB9}"/>
            </a:ext>
          </a:extLst>
        </xdr:cNvPr>
        <xdr:cNvSpPr/>
      </xdr:nvSpPr>
      <xdr:spPr>
        <a:xfrm>
          <a:off x="14706410" y="1489394"/>
          <a:ext cx="778336" cy="907070"/>
        </a:xfrm>
        <a:prstGeom prst="downArrow">
          <a:avLst>
            <a:gd name="adj1" fmla="val 50000"/>
            <a:gd name="adj2" fmla="val 63433"/>
          </a:avLst>
        </a:prstGeom>
      </xdr:spPr>
      <xdr:style>
        <a:lnRef idx="3">
          <a:schemeClr val="lt1"/>
        </a:lnRef>
        <a:fillRef idx="1">
          <a:schemeClr val="accent5"/>
        </a:fillRef>
        <a:effectRef idx="1">
          <a:schemeClr val="accent5"/>
        </a:effectRef>
        <a:fontRef idx="minor">
          <a:schemeClr val="lt1"/>
        </a:fontRef>
      </xdr:style>
      <xdr:txBody>
        <a:bodyPr vertOverflow="clip" horzOverflow="clip" rtlCol="0" anchor="t"/>
        <a:lstStyle/>
        <a:p>
          <a:pPr algn="l"/>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24</xdr:col>
      <xdr:colOff>0</xdr:colOff>
      <xdr:row>147</xdr:row>
      <xdr:rowOff>202405</xdr:rowOff>
    </xdr:from>
    <xdr:to>
      <xdr:col>26</xdr:col>
      <xdr:colOff>71437</xdr:colOff>
      <xdr:row>176</xdr:row>
      <xdr:rowOff>190499</xdr:rowOff>
    </xdr:to>
    <xdr:graphicFrame macro="">
      <xdr:nvGraphicFramePr>
        <xdr:cNvPr id="4" name="Gráfico 3">
          <a:extLst>
            <a:ext uri="{FF2B5EF4-FFF2-40B4-BE49-F238E27FC236}">
              <a16:creationId xmlns:a16="http://schemas.microsoft.com/office/drawing/2014/main" id="{DD558CE9-E9D7-4323-BCDE-63D1396FC8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3</xdr:col>
      <xdr:colOff>171453</xdr:colOff>
      <xdr:row>10</xdr:row>
      <xdr:rowOff>45243</xdr:rowOff>
    </xdr:from>
    <xdr:to>
      <xdr:col>8</xdr:col>
      <xdr:colOff>1238249</xdr:colOff>
      <xdr:row>19</xdr:row>
      <xdr:rowOff>119062</xdr:rowOff>
    </xdr:to>
    <xdr:graphicFrame macro="">
      <xdr:nvGraphicFramePr>
        <xdr:cNvPr id="2" name="Gráfico 1">
          <a:extLst>
            <a:ext uri="{FF2B5EF4-FFF2-40B4-BE49-F238E27FC236}">
              <a16:creationId xmlns:a16="http://schemas.microsoft.com/office/drawing/2014/main" id="{00000000-0008-0000-07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EZUTE%202023-2024/Aparecida%20do%20Taboado/Planilhas/3-%20EVTE_AT_vers&#227;o_2A0.xlsx" TargetMode="External"/><Relationship Id="rId2" Type="http://schemas.openxmlformats.org/officeDocument/2006/relationships/externalLinkPath" Target="file:///C:\Users\Waldo%20V\Documents\EZUTE%202023-2024\Aparecida%20do%20Taboado\Planilhas\3-%20EVTE_AT_vers&#227;o_2A0.xlsx" TargetMode="External"/><Relationship Id="rId1" Type="http://schemas.openxmlformats.org/officeDocument/2006/relationships/externalLinkPath" Target="/Users/Waldo%20V/Documents/EZUTE%202023-2024/Aparecida%20do%20Taboado/Planilhas/3-%20EVTE_AT_vers&#227;o_2A0.xlsx"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EZUTE%202023-2024/Timb&#243;/Licita&#231;&#227;o%202/Planilhas/3-%20EVTE%20Reajustado%20Licita&#231;&#227;o%202%20-%20V1%20Modelagem.xlsx" TargetMode="External"/><Relationship Id="rId2" Type="http://schemas.openxmlformats.org/officeDocument/2006/relationships/externalLinkPath" Target="file:///C:\Users\Waldo%20V\Documents\EZUTE%202023-2024\Timb&#243;\Licita&#231;&#227;o%202\Planilhas\3-%20EVTE%20Reajustado%20Licita&#231;&#227;o%202%20-%20V1%20Modelagem.xlsx" TargetMode="External"/><Relationship Id="rId1" Type="http://schemas.openxmlformats.org/officeDocument/2006/relationships/externalLinkPath" Target="/Users/Waldo%20V/Documents/EZUTE%202023-2024/Timb&#243;/Licita&#231;&#227;o%202/Planilhas/3-%20EVTE%20Reajustado%20Licita&#231;&#227;o%202%20-%20V1%20Modelage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Resultados"/>
      <sheetName val="Condições de Contrato"/>
      <sheetName val="Premissas"/>
      <sheetName val="FCFF - Projeto"/>
      <sheetName val="FCFE - Acionista"/>
      <sheetName val="DRE - Projeto"/>
      <sheetName val="Base Física"/>
      <sheetName val="BP - Projeto"/>
      <sheetName val="Dados ME"/>
      <sheetName val="Histograma"/>
      <sheetName val="CAPEX"/>
      <sheetName val="Matriz Tarifária"/>
      <sheetName val="Reposição de Ativos"/>
      <sheetName val="Cronograma"/>
      <sheetName val="Depreciação "/>
      <sheetName val="Financiamento "/>
      <sheetName val="Distribuição Custeio"/>
      <sheetName val="Mão de Obra"/>
      <sheetName val="Manut Rede"/>
      <sheetName val="Veículos"/>
      <sheetName val="Energia Eletrica"/>
      <sheetName val="Produto Químico"/>
      <sheetName val="Lodo"/>
      <sheetName val="Legal e Regulação"/>
      <sheetName val="Despesas diversas"/>
      <sheetName val="Recursos Hidricos"/>
      <sheetName val="Seguros e Garantias"/>
    </sheetNames>
    <sheetDataSet>
      <sheetData sheetId="0"/>
      <sheetData sheetId="1"/>
      <sheetData sheetId="2"/>
      <sheetData sheetId="3">
        <row r="12">
          <cell r="G12" t="str">
            <v>Pagamento de Outorga</v>
          </cell>
        </row>
        <row r="13">
          <cell r="G13" t="str">
            <v xml:space="preserve">Pagamento de Indenizações e Bens Reversíveis </v>
          </cell>
        </row>
        <row r="14">
          <cell r="G14" t="str">
            <v>Indenizações e Ressarecimentos de Modelagem</v>
          </cell>
        </row>
      </sheetData>
      <sheetData sheetId="4">
        <row r="14">
          <cell r="F14" t="str">
            <v>Despesas de Licitação</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5">
          <cell r="D5">
            <v>1</v>
          </cell>
        </row>
        <row r="6">
          <cell r="D6">
            <v>7.0000000000000007E-2</v>
          </cell>
        </row>
        <row r="7">
          <cell r="D7">
            <v>0.16</v>
          </cell>
        </row>
        <row r="8">
          <cell r="D8">
            <v>0.01</v>
          </cell>
        </row>
        <row r="9">
          <cell r="D9">
            <v>0.05</v>
          </cell>
        </row>
        <row r="10">
          <cell r="D10">
            <v>0.02</v>
          </cell>
        </row>
        <row r="11">
          <cell r="D11">
            <v>0.03</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Resultados"/>
      <sheetName val="DADOS PARA CONTRATO"/>
      <sheetName val="FCD PROJETO"/>
      <sheetName val="DRE PROJETO"/>
      <sheetName val="FCD Acionista"/>
      <sheetName val="Matriz Tarifária"/>
      <sheetName val="Dados ME"/>
      <sheetName val="Histograma"/>
      <sheetName val="Base Física"/>
      <sheetName val="CAPEX"/>
      <sheetName val="Cronograma"/>
      <sheetName val="Financiamento "/>
      <sheetName val="Distribuição Custeio"/>
      <sheetName val="Mão de Obra"/>
      <sheetName val="Manut Rede"/>
      <sheetName val="Veículos"/>
      <sheetName val="Reposição de Ativos"/>
      <sheetName val="Energia Eletrica"/>
      <sheetName val="Produto Químico"/>
      <sheetName val="Legal e Regulação"/>
      <sheetName val="Despesas Diversas"/>
      <sheetName val="Recursos Hidricos"/>
      <sheetName val="Seguros e Garantias"/>
      <sheetName val="Depreciação "/>
    </sheetNames>
    <sheetDataSet>
      <sheetData sheetId="0" refreshError="1"/>
      <sheetData sheetId="1" refreshError="1"/>
      <sheetData sheetId="2">
        <row r="29">
          <cell r="AK29">
            <v>612219.06720000005</v>
          </cell>
        </row>
      </sheetData>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16"/>
  <sheetViews>
    <sheetView showGridLines="0" topLeftCell="A11" zoomScaleNormal="100" workbookViewId="0">
      <selection activeCell="K19" sqref="K19"/>
    </sheetView>
  </sheetViews>
  <sheetFormatPr defaultRowHeight="15" x14ac:dyDescent="0.25"/>
  <cols>
    <col min="1" max="1" width="20" customWidth="1"/>
    <col min="2" max="2" width="45.42578125" customWidth="1"/>
    <col min="3" max="3" width="7.7109375" customWidth="1"/>
    <col min="4" max="4" width="18.28515625" customWidth="1"/>
    <col min="6" max="6" width="45.42578125" customWidth="1"/>
    <col min="8" max="8" width="16.7109375" customWidth="1"/>
  </cols>
  <sheetData>
    <row r="1" spans="1:8" ht="25.5" x14ac:dyDescent="0.25">
      <c r="B1" s="956" t="s">
        <v>214</v>
      </c>
      <c r="C1" s="956"/>
      <c r="D1" s="956"/>
      <c r="E1" s="956"/>
      <c r="F1" s="956"/>
      <c r="G1" s="956"/>
      <c r="H1" s="956"/>
    </row>
    <row r="2" spans="1:8" ht="24.6" customHeight="1" x14ac:dyDescent="0.25"/>
    <row r="3" spans="1:8" x14ac:dyDescent="0.25">
      <c r="A3" s="309" t="s">
        <v>520</v>
      </c>
      <c r="B3" s="133" t="s">
        <v>230</v>
      </c>
      <c r="C3" s="137" t="s">
        <v>229</v>
      </c>
      <c r="D3" s="141" t="e">
        <f>Histograma!Y89</f>
        <v>#DIV/0!</v>
      </c>
      <c r="F3" s="133" t="s">
        <v>231</v>
      </c>
      <c r="G3" s="137" t="s">
        <v>229</v>
      </c>
      <c r="H3" s="141" t="e">
        <f>Histograma!Z89</f>
        <v>#DIV/0!</v>
      </c>
    </row>
    <row r="4" spans="1:8" x14ac:dyDescent="0.25">
      <c r="A4" s="145" t="s">
        <v>521</v>
      </c>
      <c r="C4" s="66"/>
      <c r="D4" s="69"/>
      <c r="G4" s="66"/>
      <c r="H4" s="69"/>
    </row>
    <row r="5" spans="1:8" x14ac:dyDescent="0.25">
      <c r="A5" s="213" t="s">
        <v>522</v>
      </c>
    </row>
    <row r="6" spans="1:8" x14ac:dyDescent="0.25">
      <c r="B6" s="305" t="s">
        <v>215</v>
      </c>
      <c r="C6" s="306" t="s">
        <v>216</v>
      </c>
      <c r="D6" s="306" t="s">
        <v>217</v>
      </c>
      <c r="F6" s="305" t="s">
        <v>223</v>
      </c>
      <c r="G6" s="306" t="s">
        <v>216</v>
      </c>
      <c r="H6" s="306" t="s">
        <v>217</v>
      </c>
    </row>
    <row r="7" spans="1:8" x14ac:dyDescent="0.25">
      <c r="B7" s="138" t="s">
        <v>218</v>
      </c>
      <c r="C7" s="139" t="s">
        <v>219</v>
      </c>
      <c r="D7" s="142" t="e">
        <f>'FCD PROJETO'!D5</f>
        <v>#VALUE!</v>
      </c>
      <c r="F7" s="138" t="s">
        <v>224</v>
      </c>
      <c r="G7" s="139" t="s">
        <v>219</v>
      </c>
      <c r="H7" s="144" t="e">
        <f ca="1">'FCD Acionista'!D3</f>
        <v>#VALUE!</v>
      </c>
    </row>
    <row r="8" spans="1:8" x14ac:dyDescent="0.25">
      <c r="B8" s="138" t="s">
        <v>263</v>
      </c>
      <c r="C8" s="139" t="s">
        <v>219</v>
      </c>
      <c r="D8" s="142" t="e">
        <f ca="1">'FCD PROJETO'!J10</f>
        <v>#DIV/0!</v>
      </c>
      <c r="F8" s="138" t="s">
        <v>473</v>
      </c>
      <c r="G8" s="139" t="s">
        <v>219</v>
      </c>
      <c r="H8" s="144">
        <f>'FCD Acionista'!H6</f>
        <v>0</v>
      </c>
    </row>
    <row r="9" spans="1:8" x14ac:dyDescent="0.25">
      <c r="B9" s="138" t="s">
        <v>220</v>
      </c>
      <c r="C9" s="140" t="s">
        <v>222</v>
      </c>
      <c r="D9" s="143" t="e">
        <f ca="1">'FCD PROJETO'!D6</f>
        <v>#DIV/0!</v>
      </c>
      <c r="F9" s="138" t="s">
        <v>225</v>
      </c>
      <c r="G9" s="140" t="s">
        <v>222</v>
      </c>
      <c r="H9" s="143" t="e">
        <f ca="1">'FCD Acionista'!D4</f>
        <v>#DIV/0!</v>
      </c>
    </row>
    <row r="10" spans="1:8" x14ac:dyDescent="0.25">
      <c r="B10" s="138" t="s">
        <v>77</v>
      </c>
      <c r="C10" s="137" t="s">
        <v>232</v>
      </c>
      <c r="D10" s="141" t="e">
        <f>'FCD PROJETO'!D7</f>
        <v>#N/A</v>
      </c>
      <c r="F10" s="138" t="s">
        <v>77</v>
      </c>
      <c r="G10" s="137" t="s">
        <v>232</v>
      </c>
      <c r="H10" s="141" t="e">
        <f ca="1">'FCD Acionista'!D5</f>
        <v>#N/A</v>
      </c>
    </row>
    <row r="11" spans="1:8" x14ac:dyDescent="0.25">
      <c r="B11" s="138" t="s">
        <v>234</v>
      </c>
      <c r="C11" s="137" t="s">
        <v>232</v>
      </c>
      <c r="D11" s="141" t="e">
        <f ca="1">'FCD PROJETO'!D8</f>
        <v>#N/A</v>
      </c>
      <c r="F11" s="138" t="s">
        <v>234</v>
      </c>
      <c r="G11" s="137" t="s">
        <v>232</v>
      </c>
      <c r="H11" s="141" t="e">
        <f ca="1">'FCD Acionista'!D6</f>
        <v>#DIV/0!</v>
      </c>
    </row>
    <row r="12" spans="1:8" x14ac:dyDescent="0.25">
      <c r="B12" s="138" t="s">
        <v>221</v>
      </c>
      <c r="C12" s="140" t="s">
        <v>222</v>
      </c>
      <c r="D12" s="143">
        <f>-'FCD PROJETO'!$AO$48</f>
        <v>0</v>
      </c>
      <c r="F12" s="138" t="s">
        <v>226</v>
      </c>
      <c r="G12" s="140" t="s">
        <v>222</v>
      </c>
      <c r="H12" s="143" t="e">
        <f>MIN('FCD PROJETO'!$F$107:$AI$107)</f>
        <v>#DIV/0!</v>
      </c>
    </row>
    <row r="13" spans="1:8" x14ac:dyDescent="0.25">
      <c r="B13" s="138" t="s">
        <v>671</v>
      </c>
      <c r="C13" s="140" t="s">
        <v>222</v>
      </c>
      <c r="D13" s="143">
        <f ca="1">SUM('Financiamento '!D96:AI96)</f>
        <v>0</v>
      </c>
      <c r="F13" s="138" t="s">
        <v>227</v>
      </c>
      <c r="G13" s="140" t="s">
        <v>222</v>
      </c>
      <c r="H13" s="143">
        <v>0</v>
      </c>
    </row>
    <row r="14" spans="1:8" x14ac:dyDescent="0.25">
      <c r="B14" s="138" t="s">
        <v>411</v>
      </c>
      <c r="C14" s="140" t="s">
        <v>222</v>
      </c>
      <c r="D14" s="143">
        <f>IF('FCD PROJETO'!J18=0,0,SUM('Financiamento '!D97:AI97))</f>
        <v>0</v>
      </c>
      <c r="F14" s="138" t="s">
        <v>488</v>
      </c>
      <c r="G14" s="140" t="s">
        <v>222</v>
      </c>
      <c r="H14" s="143">
        <v>0</v>
      </c>
    </row>
    <row r="15" spans="1:8" x14ac:dyDescent="0.25">
      <c r="B15" s="138" t="s">
        <v>228</v>
      </c>
      <c r="C15" s="140" t="s">
        <v>222</v>
      </c>
      <c r="D15" s="143" t="e">
        <f>'FCD PROJETO'!$AO$105</f>
        <v>#DIV/0!</v>
      </c>
      <c r="F15" s="138" t="s">
        <v>503</v>
      </c>
      <c r="G15" s="140" t="s">
        <v>222</v>
      </c>
      <c r="H15" s="143">
        <v>0</v>
      </c>
    </row>
    <row r="16" spans="1:8" x14ac:dyDescent="0.25">
      <c r="B16" s="138" t="s">
        <v>1390</v>
      </c>
      <c r="C16" s="140" t="s">
        <v>222</v>
      </c>
      <c r="D16" s="143" t="e">
        <f>'FCD PROJETO'!$AO$81</f>
        <v>#DIV/0!</v>
      </c>
      <c r="F16" s="138" t="s">
        <v>290</v>
      </c>
      <c r="G16" s="140" t="s">
        <v>222</v>
      </c>
      <c r="H16" s="143">
        <f>-0.07*'FCD PROJETO'!AO48</f>
        <v>0</v>
      </c>
    </row>
  </sheetData>
  <mergeCells count="1">
    <mergeCell ref="B1:H1"/>
  </mergeCells>
  <phoneticPr fontId="2" type="noConversion"/>
  <conditionalFormatting sqref="B1">
    <cfRule type="cellIs" dxfId="5" priority="4" operator="equal">
      <formula>"z"</formula>
    </cfRule>
    <cfRule type="cellIs" dxfId="4" priority="5" operator="equal">
      <formula>"y"</formula>
    </cfRule>
    <cfRule type="cellIs" dxfId="3" priority="6" operator="equal">
      <formula>"x"</formula>
    </cfRule>
  </conditionalFormatting>
  <pageMargins left="0.511811024" right="0.511811024" top="0.78740157499999996" bottom="0.78740157499999996" header="0.31496062000000002" footer="0.31496062000000002"/>
  <pageSetup paperSize="8" scale="79"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410403-DEED-4C5A-8DBE-BB7A2A49E124}">
  <dimension ref="B1:J39"/>
  <sheetViews>
    <sheetView workbookViewId="0">
      <selection activeCell="J17" sqref="J17"/>
    </sheetView>
  </sheetViews>
  <sheetFormatPr defaultRowHeight="15" x14ac:dyDescent="0.25"/>
  <cols>
    <col min="2" max="2" width="60.7109375" customWidth="1"/>
    <col min="3" max="3" width="45.5703125" customWidth="1"/>
    <col min="4" max="4" width="50.85546875" customWidth="1"/>
    <col min="5" max="5" width="9.7109375" customWidth="1"/>
    <col min="6" max="6" width="34.85546875" customWidth="1"/>
    <col min="7" max="7" width="10.5703125" customWidth="1"/>
    <col min="8" max="8" width="20.85546875" customWidth="1"/>
    <col min="10" max="10" width="9.85546875" bestFit="1" customWidth="1"/>
  </cols>
  <sheetData>
    <row r="1" spans="2:10" ht="25.5" x14ac:dyDescent="0.25">
      <c r="B1" s="785" t="s">
        <v>913</v>
      </c>
      <c r="C1" s="785"/>
      <c r="D1" s="785"/>
      <c r="E1" s="785"/>
      <c r="F1" s="785"/>
      <c r="G1" s="785"/>
      <c r="H1" s="785"/>
    </row>
    <row r="3" spans="2:10" x14ac:dyDescent="0.25">
      <c r="B3" s="786" t="s">
        <v>977</v>
      </c>
      <c r="C3" s="786"/>
      <c r="D3" s="786"/>
      <c r="E3" s="788"/>
      <c r="F3" s="796" t="s">
        <v>914</v>
      </c>
      <c r="G3" s="788"/>
      <c r="H3" s="795" t="e">
        <f>'FCD PROJETO'!D10</f>
        <v>#DIV/0!</v>
      </c>
    </row>
    <row r="4" spans="2:10" x14ac:dyDescent="0.25">
      <c r="B4" s="138"/>
      <c r="C4" s="138"/>
    </row>
    <row r="5" spans="2:10" x14ac:dyDescent="0.25">
      <c r="B5" s="787" t="s">
        <v>915</v>
      </c>
      <c r="C5" s="787" t="s">
        <v>916</v>
      </c>
      <c r="D5" s="787" t="s">
        <v>917</v>
      </c>
      <c r="E5" s="306" t="s">
        <v>918</v>
      </c>
      <c r="F5" s="306" t="s">
        <v>239</v>
      </c>
      <c r="G5" s="306" t="s">
        <v>216</v>
      </c>
      <c r="H5" s="306" t="s">
        <v>919</v>
      </c>
    </row>
    <row r="7" spans="2:10" x14ac:dyDescent="0.25">
      <c r="B7" s="138" t="s">
        <v>920</v>
      </c>
      <c r="C7" s="138" t="s">
        <v>921</v>
      </c>
      <c r="D7" s="138" t="s">
        <v>922</v>
      </c>
      <c r="E7" s="789">
        <v>0.01</v>
      </c>
      <c r="F7" s="790" t="s">
        <v>923</v>
      </c>
      <c r="G7" s="140" t="s">
        <v>222</v>
      </c>
      <c r="H7" s="143" t="e">
        <f>H3*E7</f>
        <v>#DIV/0!</v>
      </c>
      <c r="J7" s="862" t="e">
        <f>H7*0.5%</f>
        <v>#DIV/0!</v>
      </c>
    </row>
    <row r="8" spans="2:10" x14ac:dyDescent="0.25">
      <c r="B8" s="138" t="s">
        <v>924</v>
      </c>
      <c r="C8" s="138" t="s">
        <v>921</v>
      </c>
      <c r="D8" s="138" t="s">
        <v>925</v>
      </c>
      <c r="E8" s="789">
        <v>1.6E-2</v>
      </c>
      <c r="F8" s="790" t="s">
        <v>923</v>
      </c>
      <c r="G8" s="140" t="s">
        <v>222</v>
      </c>
      <c r="H8" s="143" t="e">
        <f>H3*E8</f>
        <v>#DIV/0!</v>
      </c>
    </row>
    <row r="9" spans="2:10" x14ac:dyDescent="0.25">
      <c r="B9" s="138" t="s">
        <v>926</v>
      </c>
      <c r="C9" s="138" t="s">
        <v>921</v>
      </c>
      <c r="D9" s="138" t="s">
        <v>927</v>
      </c>
      <c r="E9" s="789">
        <v>0.15</v>
      </c>
      <c r="F9" s="790" t="s">
        <v>928</v>
      </c>
      <c r="G9" s="140" t="s">
        <v>222</v>
      </c>
      <c r="H9" s="143">
        <f>-'FCD PROJETO'!AO48*E9</f>
        <v>0</v>
      </c>
    </row>
    <row r="10" spans="2:10" x14ac:dyDescent="0.25">
      <c r="B10" s="138" t="s">
        <v>929</v>
      </c>
      <c r="C10" s="138" t="s">
        <v>921</v>
      </c>
      <c r="D10" s="138" t="s">
        <v>927</v>
      </c>
      <c r="E10" s="789">
        <v>0.2</v>
      </c>
      <c r="F10" s="790" t="s">
        <v>930</v>
      </c>
      <c r="G10" s="140" t="s">
        <v>222</v>
      </c>
      <c r="H10" s="143">
        <f>E10*H9</f>
        <v>0</v>
      </c>
    </row>
    <row r="11" spans="2:10" x14ac:dyDescent="0.25">
      <c r="B11" s="138" t="str">
        <f>'[1]FCFF - Projeto'!G13</f>
        <v xml:space="preserve">Pagamento de Indenizações e Bens Reversíveis </v>
      </c>
      <c r="C11" s="138" t="s">
        <v>931</v>
      </c>
      <c r="D11" s="138" t="s">
        <v>932</v>
      </c>
      <c r="E11" s="789" t="s">
        <v>901</v>
      </c>
      <c r="F11" s="790" t="s">
        <v>933</v>
      </c>
      <c r="G11" s="140" t="s">
        <v>222</v>
      </c>
      <c r="H11" s="143"/>
    </row>
    <row r="12" spans="2:10" x14ac:dyDescent="0.25">
      <c r="B12" s="922" t="str">
        <f>'[1]FCFF - Projeto'!G14</f>
        <v>Indenizações e Ressarecimentos de Modelagem</v>
      </c>
      <c r="C12" s="922" t="s">
        <v>931</v>
      </c>
      <c r="D12" s="922" t="s">
        <v>932</v>
      </c>
      <c r="E12" s="789" t="s">
        <v>901</v>
      </c>
      <c r="F12" s="923" t="s">
        <v>933</v>
      </c>
      <c r="G12" s="924" t="s">
        <v>222</v>
      </c>
      <c r="H12" s="143">
        <v>3711718.29</v>
      </c>
    </row>
    <row r="13" spans="2:10" x14ac:dyDescent="0.25">
      <c r="B13" s="922" t="str">
        <f>'[1]FCFE - Acionista'!F14</f>
        <v>Despesas de Licitação</v>
      </c>
      <c r="C13" s="922" t="s">
        <v>931</v>
      </c>
      <c r="D13" s="922" t="s">
        <v>932</v>
      </c>
      <c r="E13" s="789" t="s">
        <v>901</v>
      </c>
      <c r="F13" s="923" t="s">
        <v>933</v>
      </c>
      <c r="G13" s="924" t="s">
        <v>222</v>
      </c>
      <c r="H13" s="143">
        <v>752662.36</v>
      </c>
      <c r="I13" s="912" t="s">
        <v>978</v>
      </c>
    </row>
    <row r="14" spans="2:10" x14ac:dyDescent="0.25">
      <c r="B14" s="138" t="s">
        <v>934</v>
      </c>
      <c r="C14" s="138" t="s">
        <v>935</v>
      </c>
      <c r="D14" s="138" t="s">
        <v>932</v>
      </c>
      <c r="E14" s="789" t="s">
        <v>901</v>
      </c>
      <c r="F14" s="790" t="s">
        <v>933</v>
      </c>
      <c r="G14" s="140" t="s">
        <v>222</v>
      </c>
      <c r="H14" s="143">
        <f>Resultados!H16</f>
        <v>0</v>
      </c>
    </row>
    <row r="15" spans="2:10" x14ac:dyDescent="0.25">
      <c r="B15" s="138" t="str">
        <f>'[1]FCFF - Projeto'!G12</f>
        <v>Pagamento de Outorga</v>
      </c>
      <c r="C15" s="138" t="s">
        <v>935</v>
      </c>
      <c r="D15" s="138" t="s">
        <v>932</v>
      </c>
      <c r="E15" s="789" t="s">
        <v>901</v>
      </c>
      <c r="F15" s="790" t="s">
        <v>933</v>
      </c>
      <c r="G15" s="140" t="s">
        <v>222</v>
      </c>
      <c r="H15" s="143"/>
    </row>
    <row r="16" spans="2:10" x14ac:dyDescent="0.25">
      <c r="B16" s="138" t="s">
        <v>936</v>
      </c>
      <c r="C16" s="138" t="s">
        <v>937</v>
      </c>
      <c r="D16" s="138" t="s">
        <v>979</v>
      </c>
      <c r="E16" s="789" t="s">
        <v>901</v>
      </c>
      <c r="F16" s="790" t="s">
        <v>933</v>
      </c>
      <c r="G16" s="140" t="s">
        <v>222</v>
      </c>
      <c r="H16" s="791" t="e">
        <f>-'FCD Acionista'!C27/35</f>
        <v>#DIV/0!</v>
      </c>
    </row>
    <row r="17" spans="2:8" x14ac:dyDescent="0.25">
      <c r="B17" s="138"/>
      <c r="C17" s="138"/>
      <c r="D17" s="792"/>
      <c r="E17" s="792"/>
      <c r="F17" s="793"/>
      <c r="G17" s="140"/>
    </row>
    <row r="18" spans="2:8" x14ac:dyDescent="0.25">
      <c r="B18" s="787" t="s">
        <v>938</v>
      </c>
      <c r="C18" s="787" t="s">
        <v>939</v>
      </c>
      <c r="D18" s="787" t="s">
        <v>940</v>
      </c>
      <c r="E18" s="306" t="s">
        <v>918</v>
      </c>
      <c r="F18" s="306" t="s">
        <v>239</v>
      </c>
      <c r="G18" s="306" t="s">
        <v>216</v>
      </c>
      <c r="H18" s="306" t="str">
        <f>H5</f>
        <v>Valor Dez 2025</v>
      </c>
    </row>
    <row r="20" spans="2:8" x14ac:dyDescent="0.25">
      <c r="B20" s="138" t="s">
        <v>941</v>
      </c>
      <c r="C20" s="138" t="s">
        <v>942</v>
      </c>
      <c r="D20" s="138" t="s">
        <v>943</v>
      </c>
      <c r="E20" s="789" t="s">
        <v>901</v>
      </c>
      <c r="F20" s="790" t="s">
        <v>933</v>
      </c>
      <c r="G20" s="140" t="s">
        <v>222</v>
      </c>
      <c r="H20" s="143">
        <f>Resultados!H16</f>
        <v>0</v>
      </c>
    </row>
    <row r="21" spans="2:8" x14ac:dyDescent="0.25">
      <c r="B21" s="138" t="s">
        <v>941</v>
      </c>
      <c r="C21" s="138" t="s">
        <v>944</v>
      </c>
      <c r="D21" s="138" t="s">
        <v>945</v>
      </c>
      <c r="E21" s="789" t="s">
        <v>901</v>
      </c>
      <c r="F21" s="790" t="s">
        <v>933</v>
      </c>
      <c r="G21" s="140" t="s">
        <v>222</v>
      </c>
      <c r="H21" s="143">
        <f>H20</f>
        <v>0</v>
      </c>
    </row>
    <row r="22" spans="2:8" x14ac:dyDescent="0.25">
      <c r="B22" s="138" t="s">
        <v>941</v>
      </c>
      <c r="C22" s="138" t="s">
        <v>946</v>
      </c>
      <c r="D22" s="138" t="s">
        <v>947</v>
      </c>
      <c r="E22" s="789" t="s">
        <v>901</v>
      </c>
      <c r="F22" s="790" t="s">
        <v>933</v>
      </c>
      <c r="G22" s="140" t="s">
        <v>222</v>
      </c>
      <c r="H22" s="143">
        <f t="shared" ref="H22:H29" si="0">H21</f>
        <v>0</v>
      </c>
    </row>
    <row r="23" spans="2:8" x14ac:dyDescent="0.25">
      <c r="B23" s="138" t="s">
        <v>941</v>
      </c>
      <c r="C23" s="138" t="s">
        <v>948</v>
      </c>
      <c r="D23" s="138" t="s">
        <v>949</v>
      </c>
      <c r="E23" s="789" t="s">
        <v>901</v>
      </c>
      <c r="F23" s="790" t="s">
        <v>933</v>
      </c>
      <c r="G23" s="140" t="s">
        <v>222</v>
      </c>
      <c r="H23" s="143">
        <f t="shared" si="0"/>
        <v>0</v>
      </c>
    </row>
    <row r="24" spans="2:8" x14ac:dyDescent="0.25">
      <c r="B24" s="138" t="s">
        <v>941</v>
      </c>
      <c r="C24" s="138" t="s">
        <v>950</v>
      </c>
      <c r="D24" s="138" t="s">
        <v>951</v>
      </c>
      <c r="E24" s="789" t="s">
        <v>901</v>
      </c>
      <c r="F24" s="790" t="s">
        <v>933</v>
      </c>
      <c r="G24" s="140" t="s">
        <v>222</v>
      </c>
      <c r="H24" s="143">
        <f t="shared" si="0"/>
        <v>0</v>
      </c>
    </row>
    <row r="25" spans="2:8" x14ac:dyDescent="0.25">
      <c r="B25" s="138" t="s">
        <v>941</v>
      </c>
      <c r="C25" s="138" t="s">
        <v>952</v>
      </c>
      <c r="D25" s="138" t="s">
        <v>953</v>
      </c>
      <c r="E25" s="789" t="s">
        <v>901</v>
      </c>
      <c r="F25" s="790" t="s">
        <v>933</v>
      </c>
      <c r="G25" s="140" t="s">
        <v>222</v>
      </c>
      <c r="H25" s="143">
        <f t="shared" si="0"/>
        <v>0</v>
      </c>
    </row>
    <row r="26" spans="2:8" x14ac:dyDescent="0.25">
      <c r="B26" s="138" t="s">
        <v>941</v>
      </c>
      <c r="C26" s="138" t="s">
        <v>954</v>
      </c>
      <c r="D26" s="138" t="s">
        <v>955</v>
      </c>
      <c r="E26" s="789" t="s">
        <v>901</v>
      </c>
      <c r="F26" s="790" t="s">
        <v>933</v>
      </c>
      <c r="G26" s="140" t="s">
        <v>222</v>
      </c>
      <c r="H26" s="143">
        <f t="shared" si="0"/>
        <v>0</v>
      </c>
    </row>
    <row r="27" spans="2:8" x14ac:dyDescent="0.25">
      <c r="B27" s="138" t="s">
        <v>941</v>
      </c>
      <c r="C27" s="138" t="s">
        <v>956</v>
      </c>
      <c r="D27" s="138" t="s">
        <v>957</v>
      </c>
      <c r="E27" s="789" t="s">
        <v>901</v>
      </c>
      <c r="F27" s="790" t="s">
        <v>933</v>
      </c>
      <c r="G27" s="140" t="s">
        <v>222</v>
      </c>
      <c r="H27" s="143">
        <f t="shared" si="0"/>
        <v>0</v>
      </c>
    </row>
    <row r="28" spans="2:8" x14ac:dyDescent="0.25">
      <c r="B28" s="138" t="s">
        <v>941</v>
      </c>
      <c r="C28" s="138" t="s">
        <v>958</v>
      </c>
      <c r="D28" s="138" t="s">
        <v>959</v>
      </c>
      <c r="E28" s="789" t="s">
        <v>901</v>
      </c>
      <c r="F28" s="790" t="s">
        <v>933</v>
      </c>
      <c r="G28" s="140" t="s">
        <v>222</v>
      </c>
      <c r="H28" s="143">
        <f t="shared" si="0"/>
        <v>0</v>
      </c>
    </row>
    <row r="29" spans="2:8" x14ac:dyDescent="0.25">
      <c r="B29" s="138" t="s">
        <v>941</v>
      </c>
      <c r="C29" s="138" t="s">
        <v>960</v>
      </c>
      <c r="D29" s="138" t="s">
        <v>961</v>
      </c>
      <c r="E29" s="789" t="s">
        <v>901</v>
      </c>
      <c r="F29" s="790" t="s">
        <v>933</v>
      </c>
      <c r="G29" s="140" t="s">
        <v>222</v>
      </c>
      <c r="H29" s="143">
        <f t="shared" si="0"/>
        <v>0</v>
      </c>
    </row>
    <row r="30" spans="2:8" x14ac:dyDescent="0.25">
      <c r="B30" s="138"/>
      <c r="C30" s="138"/>
      <c r="D30" s="792"/>
      <c r="G30" s="140"/>
    </row>
    <row r="31" spans="2:8" x14ac:dyDescent="0.25">
      <c r="B31" s="787" t="s">
        <v>962</v>
      </c>
      <c r="C31" s="787" t="s">
        <v>939</v>
      </c>
      <c r="D31" s="787" t="s">
        <v>963</v>
      </c>
      <c r="E31" s="306" t="s">
        <v>918</v>
      </c>
      <c r="F31" s="306" t="s">
        <v>239</v>
      </c>
      <c r="G31" s="306" t="s">
        <v>216</v>
      </c>
      <c r="H31" s="306" t="str">
        <f>H18</f>
        <v>Valor Dez 2025</v>
      </c>
    </row>
    <row r="33" spans="2:8" x14ac:dyDescent="0.25">
      <c r="B33" s="138" t="s">
        <v>964</v>
      </c>
      <c r="C33" s="138" t="s">
        <v>965</v>
      </c>
      <c r="D33" s="138" t="s">
        <v>966</v>
      </c>
      <c r="E33" s="789">
        <f>'[1]Seguros e Garantias'!D5</f>
        <v>1</v>
      </c>
      <c r="F33" s="794" t="s">
        <v>928</v>
      </c>
      <c r="G33" s="140" t="s">
        <v>222</v>
      </c>
      <c r="H33" s="143">
        <f>-'FCD PROJETO'!AO48</f>
        <v>0</v>
      </c>
    </row>
    <row r="34" spans="2:8" x14ac:dyDescent="0.25">
      <c r="B34" s="138" t="s">
        <v>967</v>
      </c>
      <c r="C34" s="138" t="s">
        <v>965</v>
      </c>
      <c r="D34" s="138" t="s">
        <v>966</v>
      </c>
      <c r="E34" s="789">
        <f>'[1]Seguros e Garantias'!D6</f>
        <v>7.0000000000000007E-2</v>
      </c>
      <c r="F34" s="794" t="s">
        <v>928</v>
      </c>
      <c r="G34" s="140" t="s">
        <v>222</v>
      </c>
      <c r="H34" s="143">
        <f>-'FCD PROJETO'!AO48*'DADOS PARA CONTRATO'!E34</f>
        <v>0</v>
      </c>
    </row>
    <row r="35" spans="2:8" x14ac:dyDescent="0.25">
      <c r="B35" s="138" t="s">
        <v>968</v>
      </c>
      <c r="C35" s="138" t="s">
        <v>969</v>
      </c>
      <c r="D35" s="138" t="s">
        <v>966</v>
      </c>
      <c r="E35" s="789">
        <f>'[1]Seguros e Garantias'!D7</f>
        <v>0.16</v>
      </c>
      <c r="F35" s="794" t="s">
        <v>970</v>
      </c>
      <c r="G35" s="140" t="s">
        <v>222</v>
      </c>
      <c r="H35" s="143">
        <f>-'FCD PROJETO'!AO48*E35</f>
        <v>0</v>
      </c>
    </row>
    <row r="36" spans="2:8" x14ac:dyDescent="0.25">
      <c r="B36" s="138" t="s">
        <v>971</v>
      </c>
      <c r="C36" s="138" t="s">
        <v>969</v>
      </c>
      <c r="D36" s="138" t="s">
        <v>966</v>
      </c>
      <c r="E36" s="789">
        <f>'[1]Seguros e Garantias'!D8</f>
        <v>0.01</v>
      </c>
      <c r="F36" s="794" t="s">
        <v>923</v>
      </c>
      <c r="G36" s="140" t="s">
        <v>222</v>
      </c>
      <c r="H36" s="143" t="e">
        <f>E36*H3</f>
        <v>#DIV/0!</v>
      </c>
    </row>
    <row r="37" spans="2:8" x14ac:dyDescent="0.25">
      <c r="B37" s="138" t="s">
        <v>972</v>
      </c>
      <c r="C37" s="138" t="s">
        <v>973</v>
      </c>
      <c r="D37" s="138" t="s">
        <v>966</v>
      </c>
      <c r="E37" s="789">
        <f>'[1]Seguros e Garantias'!D9</f>
        <v>0.05</v>
      </c>
      <c r="F37" s="794" t="s">
        <v>923</v>
      </c>
      <c r="G37" s="140" t="s">
        <v>222</v>
      </c>
      <c r="H37" s="143" t="e">
        <f>E37*H3</f>
        <v>#DIV/0!</v>
      </c>
    </row>
    <row r="38" spans="2:8" x14ac:dyDescent="0.25">
      <c r="B38" s="138" t="s">
        <v>972</v>
      </c>
      <c r="C38" s="138" t="s">
        <v>974</v>
      </c>
      <c r="D38" s="138" t="s">
        <v>975</v>
      </c>
      <c r="E38" s="789">
        <f>'[1]Seguros e Garantias'!D10</f>
        <v>0.02</v>
      </c>
      <c r="F38" s="794" t="s">
        <v>923</v>
      </c>
      <c r="G38" s="140" t="s">
        <v>222</v>
      </c>
      <c r="H38" s="143" t="e">
        <f>E38*H3</f>
        <v>#DIV/0!</v>
      </c>
    </row>
    <row r="39" spans="2:8" x14ac:dyDescent="0.25">
      <c r="B39" s="138" t="s">
        <v>972</v>
      </c>
      <c r="C39" s="138" t="s">
        <v>976</v>
      </c>
      <c r="D39" s="138" t="s">
        <v>975</v>
      </c>
      <c r="E39" s="789">
        <f>'[1]Seguros e Garantias'!D11</f>
        <v>0.03</v>
      </c>
      <c r="F39" s="794" t="s">
        <v>923</v>
      </c>
      <c r="G39" s="140" t="s">
        <v>222</v>
      </c>
      <c r="H39" s="143" t="e">
        <f>E39*H3</f>
        <v>#DIV/0!</v>
      </c>
    </row>
  </sheetData>
  <phoneticPr fontId="2" type="noConversion"/>
  <conditionalFormatting sqref="B1:H1">
    <cfRule type="cellIs" dxfId="2" priority="1" operator="equal">
      <formula>"z"</formula>
    </cfRule>
    <cfRule type="cellIs" dxfId="1" priority="2" operator="equal">
      <formula>"y"</formula>
    </cfRule>
    <cfRule type="cellIs" dxfId="0" priority="3" operator="equal">
      <formula>"x"</formula>
    </cfRule>
  </conditionalFormatting>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X265"/>
  <sheetViews>
    <sheetView showGridLines="0" zoomScaleNormal="100" workbookViewId="0">
      <pane xSplit="2" topLeftCell="C1" activePane="topRight" state="frozen"/>
      <selection pane="topRight" activeCell="K15" sqref="K15"/>
    </sheetView>
  </sheetViews>
  <sheetFormatPr defaultColWidth="9.140625" defaultRowHeight="12" x14ac:dyDescent="0.2"/>
  <cols>
    <col min="1" max="1" width="14.85546875" style="18" customWidth="1"/>
    <col min="2" max="2" width="59.7109375" style="18" customWidth="1"/>
    <col min="3" max="3" width="14.28515625" style="18" customWidth="1"/>
    <col min="4" max="41" width="18.28515625" style="18" customWidth="1"/>
    <col min="42" max="42" width="19.7109375" style="18" customWidth="1"/>
    <col min="43" max="43" width="16.28515625" style="18" customWidth="1"/>
    <col min="44" max="44" width="12.28515625" style="18" bestFit="1" customWidth="1"/>
    <col min="45" max="45" width="17.5703125" style="18" bestFit="1" customWidth="1"/>
    <col min="46" max="46" width="9.140625" style="18"/>
    <col min="47" max="47" width="17" style="18" bestFit="1" customWidth="1"/>
    <col min="48" max="48" width="13.42578125" style="18" customWidth="1"/>
    <col min="49" max="49" width="15" style="18" customWidth="1"/>
    <col min="50" max="50" width="14.7109375" style="18" bestFit="1" customWidth="1"/>
    <col min="51" max="16384" width="9.140625" style="18"/>
  </cols>
  <sheetData>
    <row r="1" spans="1:44" ht="12" customHeight="1" x14ac:dyDescent="0.25">
      <c r="A1" s="309" t="s">
        <v>520</v>
      </c>
      <c r="B1"/>
      <c r="C1"/>
      <c r="D1"/>
      <c r="E1"/>
      <c r="F1"/>
      <c r="G1"/>
      <c r="H1"/>
      <c r="I1"/>
      <c r="J1"/>
      <c r="K1"/>
      <c r="M1"/>
      <c r="N1"/>
      <c r="O1"/>
      <c r="P1"/>
      <c r="Q1"/>
      <c r="R1"/>
      <c r="S1"/>
      <c r="T1"/>
      <c r="U1"/>
      <c r="V1"/>
      <c r="W1"/>
      <c r="X1"/>
      <c r="Y1"/>
      <c r="Z1"/>
      <c r="AA1"/>
      <c r="AB1"/>
      <c r="AC1"/>
      <c r="AD1"/>
      <c r="AE1"/>
      <c r="AF1"/>
      <c r="AG1"/>
      <c r="AH1"/>
      <c r="AI1"/>
      <c r="AJ1"/>
      <c r="AK1"/>
      <c r="AL1"/>
      <c r="AM1"/>
      <c r="AN1"/>
      <c r="AO1"/>
      <c r="AP1" s="71"/>
      <c r="AQ1" s="71"/>
      <c r="AR1" s="23"/>
    </row>
    <row r="2" spans="1:44" ht="12" customHeight="1" x14ac:dyDescent="0.25">
      <c r="A2" s="145" t="s">
        <v>521</v>
      </c>
      <c r="B2"/>
      <c r="C2"/>
      <c r="D2"/>
      <c r="E2" s="71"/>
      <c r="F2"/>
      <c r="G2"/>
      <c r="H2"/>
      <c r="I2"/>
      <c r="J2"/>
      <c r="K2"/>
      <c r="L2"/>
      <c r="M2"/>
      <c r="N2"/>
      <c r="O2"/>
      <c r="P2"/>
      <c r="Q2"/>
      <c r="R2"/>
      <c r="S2"/>
      <c r="T2"/>
      <c r="U2"/>
      <c r="V2"/>
      <c r="W2"/>
      <c r="X2"/>
      <c r="Y2"/>
      <c r="Z2"/>
      <c r="AA2"/>
      <c r="AB2"/>
      <c r="AC2"/>
      <c r="AD2"/>
      <c r="AE2"/>
      <c r="AF2"/>
      <c r="AG2"/>
      <c r="AH2"/>
      <c r="AI2"/>
      <c r="AJ2"/>
      <c r="AK2"/>
      <c r="AL2"/>
      <c r="AM2"/>
      <c r="AN2"/>
      <c r="AO2"/>
      <c r="AP2"/>
      <c r="AQ2"/>
    </row>
    <row r="3" spans="1:44" ht="15" x14ac:dyDescent="0.25">
      <c r="A3" s="213" t="s">
        <v>522</v>
      </c>
      <c r="B3" s="970" t="s">
        <v>480</v>
      </c>
      <c r="C3" s="971"/>
      <c r="D3" s="971"/>
      <c r="E3" s="972"/>
      <c r="F3"/>
      <c r="G3" s="971" t="s">
        <v>105</v>
      </c>
      <c r="H3" s="971"/>
      <c r="I3" s="971"/>
      <c r="J3" s="971"/>
      <c r="K3" s="957" t="s">
        <v>668</v>
      </c>
      <c r="N3"/>
      <c r="O3"/>
      <c r="P3"/>
      <c r="Q3"/>
      <c r="R3"/>
      <c r="S3"/>
      <c r="T3" s="2"/>
      <c r="U3" s="2"/>
      <c r="V3" s="2"/>
      <c r="W3" s="2"/>
      <c r="X3" s="2"/>
      <c r="Y3" s="2"/>
      <c r="Z3" s="2"/>
      <c r="AA3" s="2"/>
      <c r="AB3" s="2"/>
      <c r="AC3" s="2"/>
      <c r="AD3" s="2"/>
      <c r="AE3" s="2"/>
      <c r="AF3" s="2"/>
      <c r="AG3" s="2"/>
      <c r="AH3" s="2"/>
      <c r="AI3" s="2"/>
      <c r="AJ3" s="2"/>
      <c r="AK3" s="2"/>
      <c r="AL3" s="2"/>
      <c r="AM3" s="2"/>
      <c r="AN3" s="2"/>
      <c r="AO3"/>
      <c r="AP3"/>
      <c r="AQ3"/>
    </row>
    <row r="4" spans="1:44" ht="15" customHeight="1" x14ac:dyDescent="0.25">
      <c r="A4"/>
      <c r="B4" s="975" t="s">
        <v>97</v>
      </c>
      <c r="C4" s="976"/>
      <c r="D4" s="980" t="e">
        <f ca="1">H6</f>
        <v>#DIV/0!</v>
      </c>
      <c r="E4" s="980"/>
      <c r="F4"/>
      <c r="G4" s="94" t="s">
        <v>154</v>
      </c>
      <c r="H4" s="463">
        <f>'Dados ME'!D8</f>
        <v>0</v>
      </c>
      <c r="I4" s="94" t="s">
        <v>76</v>
      </c>
      <c r="J4" s="541">
        <f>'Dados ME'!D6</f>
        <v>0</v>
      </c>
      <c r="K4" s="958"/>
      <c r="M4"/>
      <c r="N4"/>
      <c r="O4"/>
      <c r="P4"/>
      <c r="Q4"/>
      <c r="R4"/>
      <c r="S4"/>
      <c r="T4"/>
      <c r="U4"/>
      <c r="V4"/>
      <c r="W4"/>
      <c r="X4"/>
      <c r="Y4" s="2"/>
      <c r="Z4" s="2"/>
      <c r="AA4" s="2"/>
      <c r="AB4" s="2"/>
      <c r="AC4" s="2"/>
      <c r="AD4" s="2"/>
      <c r="AE4" s="2"/>
      <c r="AF4" s="2"/>
      <c r="AG4" s="2"/>
      <c r="AH4" s="2"/>
      <c r="AI4" s="2"/>
      <c r="AJ4" s="2"/>
      <c r="AK4" s="2"/>
      <c r="AL4" s="2"/>
      <c r="AM4" s="2"/>
      <c r="AN4" s="2"/>
      <c r="AO4"/>
      <c r="AP4"/>
      <c r="AQ4"/>
    </row>
    <row r="5" spans="1:44" ht="15" customHeight="1" x14ac:dyDescent="0.25">
      <c r="A5"/>
      <c r="B5" s="963" t="s">
        <v>144</v>
      </c>
      <c r="C5" s="964"/>
      <c r="D5" s="979" t="e">
        <f>IRR(F107:AN107)</f>
        <v>#VALUE!</v>
      </c>
      <c r="E5" s="979"/>
      <c r="F5"/>
      <c r="G5" s="94" t="s">
        <v>104</v>
      </c>
      <c r="H5" s="464">
        <f>(1+H4)/(1+J4)-1</f>
        <v>0</v>
      </c>
      <c r="I5" s="94" t="s">
        <v>84</v>
      </c>
      <c r="J5" s="542">
        <f>'Dados ME'!D12</f>
        <v>0</v>
      </c>
      <c r="K5" s="958"/>
      <c r="M5"/>
      <c r="N5"/>
      <c r="O5"/>
      <c r="P5"/>
      <c r="Q5" s="2"/>
      <c r="R5" s="2"/>
      <c r="S5" s="2"/>
      <c r="T5"/>
      <c r="U5"/>
      <c r="V5"/>
      <c r="W5"/>
      <c r="X5"/>
      <c r="Y5" s="2"/>
      <c r="Z5" s="2"/>
      <c r="AA5" s="2"/>
      <c r="AB5" s="2"/>
      <c r="AC5" s="2"/>
      <c r="AD5" s="2"/>
      <c r="AE5" s="2"/>
      <c r="AF5" s="2"/>
      <c r="AG5" s="2"/>
      <c r="AH5" s="2"/>
      <c r="AI5" s="2"/>
      <c r="AJ5" s="2"/>
      <c r="AK5" s="2"/>
      <c r="AL5" s="2"/>
      <c r="AM5" s="2"/>
      <c r="AN5" s="2"/>
      <c r="AO5"/>
      <c r="AP5"/>
      <c r="AQ5"/>
    </row>
    <row r="6" spans="1:44" ht="15" customHeight="1" x14ac:dyDescent="0.25">
      <c r="A6"/>
      <c r="B6" s="975" t="s">
        <v>145</v>
      </c>
      <c r="C6" s="976"/>
      <c r="D6" s="978" t="e">
        <f ca="1">ROUND(NPV(D4,F107:AN107),2)</f>
        <v>#DIV/0!</v>
      </c>
      <c r="E6" s="978"/>
      <c r="F6"/>
      <c r="G6" s="94" t="s">
        <v>102</v>
      </c>
      <c r="H6" s="462" t="e">
        <f ca="1">J10</f>
        <v>#DIV/0!</v>
      </c>
      <c r="I6" s="94" t="s">
        <v>886</v>
      </c>
      <c r="J6" s="543"/>
      <c r="K6" s="958"/>
      <c r="M6"/>
      <c r="N6"/>
      <c r="O6"/>
      <c r="Q6" s="2"/>
      <c r="R6"/>
      <c r="S6"/>
      <c r="T6"/>
      <c r="U6"/>
      <c r="V6"/>
      <c r="W6"/>
      <c r="X6"/>
      <c r="Y6" s="2"/>
      <c r="Z6" s="2"/>
      <c r="AA6" s="2"/>
      <c r="AB6" s="2"/>
      <c r="AC6" s="2"/>
      <c r="AD6" s="2"/>
      <c r="AE6" s="2"/>
      <c r="AF6" s="2"/>
      <c r="AG6" s="2"/>
      <c r="AH6" s="2"/>
      <c r="AI6" s="2"/>
      <c r="AJ6" s="2"/>
      <c r="AK6" s="2"/>
      <c r="AL6" s="2"/>
      <c r="AM6" s="2"/>
      <c r="AN6" s="2"/>
      <c r="AO6"/>
      <c r="AP6"/>
      <c r="AQ6"/>
    </row>
    <row r="7" spans="1:44" ht="15" customHeight="1" x14ac:dyDescent="0.25">
      <c r="A7"/>
      <c r="B7" s="963" t="s">
        <v>77</v>
      </c>
      <c r="C7" s="964"/>
      <c r="D7" s="977" t="e">
        <f>MATCH(0,F108:AN108,1)</f>
        <v>#N/A</v>
      </c>
      <c r="E7" s="977"/>
      <c r="F7" s="87"/>
      <c r="G7" s="94" t="s">
        <v>19</v>
      </c>
      <c r="H7" s="466">
        <f>H5+J8</f>
        <v>0</v>
      </c>
      <c r="I7" s="94" t="s">
        <v>86</v>
      </c>
      <c r="J7" s="544">
        <f>'Dados ME'!D13</f>
        <v>0</v>
      </c>
      <c r="K7" s="958"/>
      <c r="M7"/>
      <c r="N7"/>
      <c r="O7"/>
      <c r="Q7" s="2"/>
      <c r="R7"/>
      <c r="S7"/>
      <c r="T7"/>
      <c r="U7"/>
      <c r="V7"/>
      <c r="W7"/>
      <c r="X7"/>
      <c r="Y7" s="2"/>
      <c r="Z7" s="2"/>
      <c r="AA7" s="2"/>
      <c r="AB7" s="2"/>
      <c r="AC7" s="2"/>
      <c r="AD7" s="2"/>
      <c r="AE7" s="2"/>
      <c r="AF7" s="2"/>
      <c r="AG7" s="2"/>
      <c r="AH7" s="2"/>
      <c r="AI7" s="2"/>
      <c r="AJ7" s="2"/>
      <c r="AK7" s="2"/>
      <c r="AL7" s="2"/>
      <c r="AM7" s="2"/>
      <c r="AN7" s="2"/>
      <c r="AO7"/>
      <c r="AP7"/>
      <c r="AQ7"/>
    </row>
    <row r="8" spans="1:44" ht="15" customHeight="1" thickBot="1" x14ac:dyDescent="0.3">
      <c r="A8"/>
      <c r="B8" s="963" t="s">
        <v>234</v>
      </c>
      <c r="C8" s="964"/>
      <c r="D8" s="977" t="e">
        <f ca="1">MATCH(0,F110:AN110,1)</f>
        <v>#N/A</v>
      </c>
      <c r="E8" s="977"/>
      <c r="F8" s="71"/>
      <c r="G8" s="94" t="s">
        <v>883</v>
      </c>
      <c r="H8" s="467">
        <f>H5+J6*(J7-J5)+J8</f>
        <v>0</v>
      </c>
      <c r="I8" s="94" t="s">
        <v>87</v>
      </c>
      <c r="J8" s="542">
        <f>'Dados ME'!D14</f>
        <v>0</v>
      </c>
      <c r="K8" s="959"/>
      <c r="N8"/>
      <c r="O8"/>
      <c r="Q8" s="2"/>
      <c r="R8"/>
      <c r="S8"/>
      <c r="T8"/>
      <c r="U8"/>
      <c r="V8"/>
      <c r="W8"/>
      <c r="X8"/>
      <c r="Y8" s="2"/>
      <c r="Z8" s="2"/>
      <c r="AA8" s="2"/>
      <c r="AB8" s="2"/>
      <c r="AC8" s="2"/>
      <c r="AD8" s="2"/>
      <c r="AE8" s="2"/>
      <c r="AF8" s="2"/>
      <c r="AG8" s="2"/>
      <c r="AH8" s="2"/>
      <c r="AI8" s="2"/>
      <c r="AJ8" s="2"/>
      <c r="AK8" s="2"/>
      <c r="AL8" s="2"/>
      <c r="AM8" s="2"/>
      <c r="AN8" s="2"/>
      <c r="AO8"/>
      <c r="AP8"/>
      <c r="AQ8"/>
    </row>
    <row r="9" spans="1:44" ht="15" customHeight="1" x14ac:dyDescent="0.25">
      <c r="A9"/>
      <c r="B9" s="963" t="s">
        <v>89</v>
      </c>
      <c r="C9" s="964"/>
      <c r="D9" s="468" t="s">
        <v>96</v>
      </c>
      <c r="E9" s="469" t="s">
        <v>22</v>
      </c>
      <c r="F9" s="71"/>
      <c r="G9" s="94" t="s">
        <v>882</v>
      </c>
      <c r="H9" s="467">
        <f>'Financiamento '!C29+'Financiamento '!C30+'Financiamento '!C31</f>
        <v>0</v>
      </c>
      <c r="I9" s="94" t="s">
        <v>113</v>
      </c>
      <c r="J9" s="545">
        <v>0.34</v>
      </c>
      <c r="K9" s="550"/>
      <c r="N9"/>
      <c r="O9"/>
      <c r="Q9" s="2"/>
      <c r="R9"/>
      <c r="S9"/>
      <c r="T9"/>
      <c r="U9"/>
      <c r="V9"/>
      <c r="W9"/>
      <c r="X9"/>
      <c r="Y9" s="2"/>
      <c r="Z9" s="2"/>
      <c r="AA9" s="2"/>
      <c r="AB9" s="2"/>
      <c r="AC9" s="2"/>
      <c r="AD9" s="2"/>
      <c r="AE9" s="2"/>
      <c r="AF9" s="2"/>
      <c r="AG9" s="2"/>
      <c r="AH9" s="2"/>
      <c r="AI9" s="2"/>
      <c r="AJ9" s="2"/>
      <c r="AK9" s="2"/>
      <c r="AL9" s="2"/>
      <c r="AM9" s="2"/>
      <c r="AN9" s="2"/>
      <c r="AO9"/>
      <c r="AP9"/>
      <c r="AQ9"/>
    </row>
    <row r="10" spans="1:44" ht="18" x14ac:dyDescent="0.35">
      <c r="A10"/>
      <c r="B10" s="967" t="s">
        <v>98</v>
      </c>
      <c r="C10" s="968"/>
      <c r="D10" s="472" t="e">
        <f>AO42</f>
        <v>#DIV/0!</v>
      </c>
      <c r="E10" s="472" t="e">
        <f ca="1">NPV(D4,F42:AN42)</f>
        <v>#DIV/0!</v>
      </c>
      <c r="F10" s="71"/>
      <c r="G10" s="973" t="s">
        <v>912</v>
      </c>
      <c r="H10" s="973"/>
      <c r="I10" s="973"/>
      <c r="J10" s="782" t="e">
        <f ca="1">(('FCD Acionista'!C53/('FCD Acionista'!C53+'FCD Acionista'!C54))*H8)+(('FCD Acionista'!C54/('FCD Acionista'!C53+'FCD Acionista'!C54))*H9*(1-J9))</f>
        <v>#DIV/0!</v>
      </c>
      <c r="K10" s="550"/>
      <c r="M10"/>
      <c r="N10"/>
      <c r="O10"/>
      <c r="Q10" s="2"/>
      <c r="R10"/>
      <c r="S10"/>
      <c r="T10"/>
      <c r="U10"/>
      <c r="V10"/>
      <c r="W10"/>
      <c r="X10"/>
      <c r="Y10" s="2"/>
      <c r="Z10" s="2"/>
      <c r="AA10" s="2"/>
      <c r="AB10" s="2"/>
      <c r="AC10" s="2"/>
      <c r="AD10" s="2"/>
      <c r="AE10" s="2"/>
      <c r="AF10" s="2"/>
      <c r="AG10" s="2"/>
      <c r="AH10" s="2"/>
      <c r="AI10" s="2"/>
      <c r="AJ10" s="2"/>
      <c r="AK10" s="2"/>
      <c r="AL10" s="2"/>
      <c r="AM10" s="2"/>
      <c r="AN10" s="2"/>
      <c r="AO10"/>
      <c r="AP10"/>
      <c r="AQ10"/>
    </row>
    <row r="11" spans="1:44" ht="14.25" customHeight="1" x14ac:dyDescent="0.25">
      <c r="A11"/>
      <c r="B11" s="967" t="s">
        <v>100</v>
      </c>
      <c r="C11" s="968"/>
      <c r="D11" s="473" t="e">
        <f>AO43</f>
        <v>#DIV/0!</v>
      </c>
      <c r="E11" s="473" t="e">
        <f ca="1">NPV(D4,F43:AN43)</f>
        <v>#DIV/0!</v>
      </c>
      <c r="F11" s="71"/>
      <c r="G11"/>
      <c r="H11"/>
      <c r="I11"/>
      <c r="J11"/>
      <c r="K11" s="550"/>
      <c r="M11"/>
      <c r="N11"/>
      <c r="O11"/>
      <c r="P11"/>
      <c r="Q11"/>
      <c r="R11"/>
      <c r="S11"/>
      <c r="T11"/>
      <c r="U11"/>
      <c r="V11"/>
      <c r="W11"/>
      <c r="X11"/>
      <c r="Y11" s="2"/>
      <c r="Z11" s="2"/>
      <c r="AA11" s="2"/>
      <c r="AB11" s="2"/>
      <c r="AC11" s="2"/>
      <c r="AD11" s="2"/>
      <c r="AE11" s="2"/>
      <c r="AF11" s="2"/>
      <c r="AG11" s="2"/>
      <c r="AH11" s="2"/>
      <c r="AI11" s="2"/>
      <c r="AJ11" s="2"/>
      <c r="AK11" s="2"/>
      <c r="AL11" s="2"/>
      <c r="AM11" s="2"/>
      <c r="AN11" s="2"/>
      <c r="AO11"/>
      <c r="AP11"/>
      <c r="AQ11"/>
    </row>
    <row r="12" spans="1:44" ht="15" x14ac:dyDescent="0.25">
      <c r="A12"/>
      <c r="B12" s="967" t="s">
        <v>107</v>
      </c>
      <c r="C12" s="968"/>
      <c r="D12" s="473">
        <f>-AO48</f>
        <v>0</v>
      </c>
      <c r="E12" s="473" t="e">
        <f ca="1">-NPV(D4,F48:AN48)</f>
        <v>#DIV/0!</v>
      </c>
      <c r="F12" s="71"/>
      <c r="G12" s="973" t="s">
        <v>146</v>
      </c>
      <c r="H12" s="973"/>
      <c r="I12" s="973"/>
      <c r="J12" s="974"/>
      <c r="K12" s="550"/>
      <c r="M12"/>
      <c r="N12"/>
      <c r="O12"/>
      <c r="P12"/>
      <c r="Q12"/>
      <c r="R12"/>
      <c r="S12"/>
      <c r="T12"/>
      <c r="U12"/>
      <c r="V12"/>
      <c r="W12"/>
      <c r="X12"/>
      <c r="Y12" s="2"/>
      <c r="Z12" s="2"/>
      <c r="AA12" s="2"/>
      <c r="AB12" s="2"/>
      <c r="AC12" s="2"/>
      <c r="AD12" s="2"/>
      <c r="AE12" s="2"/>
      <c r="AF12" s="2"/>
      <c r="AG12" s="2"/>
      <c r="AH12" s="2"/>
      <c r="AI12" s="2"/>
      <c r="AJ12" s="2"/>
      <c r="AK12" s="2"/>
      <c r="AL12" s="2"/>
      <c r="AM12" s="2"/>
      <c r="AN12" s="2"/>
      <c r="AO12"/>
      <c r="AP12"/>
      <c r="AQ12"/>
    </row>
    <row r="13" spans="1:44" ht="15.75" thickBot="1" x14ac:dyDescent="0.3">
      <c r="A13"/>
      <c r="B13" s="967" t="s">
        <v>108</v>
      </c>
      <c r="C13" s="968"/>
      <c r="D13" s="473" t="e">
        <f>-AO53</f>
        <v>#DIV/0!</v>
      </c>
      <c r="E13" s="473" t="e">
        <f ca="1">-NPV(D4,F53:AN53)</f>
        <v>#DIV/0!</v>
      </c>
      <c r="F13" s="71"/>
      <c r="G13" s="966" t="s">
        <v>148</v>
      </c>
      <c r="H13" s="966"/>
      <c r="I13" s="966"/>
      <c r="J13" s="546" t="e">
        <f>Histograma!Y89</f>
        <v>#DIV/0!</v>
      </c>
      <c r="K13" s="550"/>
      <c r="M13"/>
      <c r="N13"/>
      <c r="O13"/>
      <c r="P13"/>
      <c r="Q13"/>
      <c r="R13"/>
      <c r="S13"/>
      <c r="T13"/>
      <c r="U13"/>
      <c r="V13"/>
      <c r="W13"/>
      <c r="X13"/>
      <c r="Y13" s="2"/>
      <c r="Z13" s="2"/>
      <c r="AA13" s="2"/>
      <c r="AB13" s="2"/>
      <c r="AC13" s="2"/>
      <c r="AD13" s="2"/>
      <c r="AE13" s="2"/>
      <c r="AF13" s="2"/>
      <c r="AG13" s="2"/>
      <c r="AH13" s="2"/>
      <c r="AI13" s="2"/>
      <c r="AJ13" s="2"/>
      <c r="AK13" s="2"/>
      <c r="AL13" s="2"/>
      <c r="AM13" s="2"/>
      <c r="AN13" s="2"/>
      <c r="AO13"/>
      <c r="AP13"/>
      <c r="AQ13"/>
    </row>
    <row r="14" spans="1:44" ht="12" customHeight="1" x14ac:dyDescent="0.25">
      <c r="A14"/>
      <c r="B14" s="470" t="s">
        <v>93</v>
      </c>
      <c r="C14" s="471"/>
      <c r="D14" s="473" t="e">
        <f>-AO93</f>
        <v>#DIV/0!</v>
      </c>
      <c r="E14" s="473" t="e">
        <f ca="1">-NPV(D4,F93:AN93)</f>
        <v>#DIV/0!</v>
      </c>
      <c r="F14" s="71"/>
      <c r="G14" s="969" t="s">
        <v>149</v>
      </c>
      <c r="H14" s="969"/>
      <c r="I14" s="969"/>
      <c r="J14" s="547" t="e">
        <f>Histograma!Y90</f>
        <v>#DIV/0!</v>
      </c>
      <c r="K14" s="551" t="s">
        <v>669</v>
      </c>
      <c r="M14"/>
      <c r="N14"/>
      <c r="O14"/>
      <c r="P14"/>
      <c r="Q14"/>
      <c r="R14"/>
      <c r="S14"/>
      <c r="T14"/>
      <c r="U14"/>
      <c r="V14"/>
      <c r="W14"/>
      <c r="X14"/>
      <c r="Y14" s="2"/>
      <c r="Z14" s="2"/>
      <c r="AA14" s="2"/>
      <c r="AB14" s="2"/>
      <c r="AC14" s="2"/>
      <c r="AD14" s="2"/>
      <c r="AE14" s="2"/>
      <c r="AF14" s="2"/>
      <c r="AG14" s="2"/>
      <c r="AH14" s="2"/>
      <c r="AI14" s="2"/>
      <c r="AJ14" s="2"/>
      <c r="AK14" s="2"/>
      <c r="AL14" s="2"/>
      <c r="AM14" s="2"/>
      <c r="AN14" s="2"/>
      <c r="AO14"/>
      <c r="AP14"/>
      <c r="AQ14"/>
    </row>
    <row r="15" spans="1:44" ht="15.75" thickBot="1" x14ac:dyDescent="0.3">
      <c r="A15"/>
      <c r="B15" s="470" t="s">
        <v>7</v>
      </c>
      <c r="C15" s="471"/>
      <c r="D15" s="473" t="e">
        <f>AO105</f>
        <v>#DIV/0!</v>
      </c>
      <c r="E15" s="473" t="e">
        <f ca="1">NPV(D4,F105:AN105)</f>
        <v>#DIV/0!</v>
      </c>
      <c r="F15" s="71"/>
      <c r="G15" s="966" t="s">
        <v>147</v>
      </c>
      <c r="H15" s="966"/>
      <c r="I15" s="966"/>
      <c r="J15" s="548">
        <f>Histograma!G85</f>
        <v>1</v>
      </c>
      <c r="K15" s="552"/>
      <c r="M15"/>
      <c r="N15"/>
      <c r="O15"/>
      <c r="P15"/>
      <c r="Q15"/>
      <c r="R15"/>
      <c r="S15"/>
      <c r="T15"/>
      <c r="U15"/>
      <c r="V15"/>
      <c r="W15"/>
      <c r="X15"/>
      <c r="Y15" s="2"/>
      <c r="Z15" s="2"/>
      <c r="AA15" s="2"/>
      <c r="AB15" s="2"/>
      <c r="AC15" s="2"/>
      <c r="AD15" s="2"/>
      <c r="AE15" s="2"/>
      <c r="AF15" s="2"/>
      <c r="AG15" s="2"/>
      <c r="AH15" s="2"/>
      <c r="AI15" s="2"/>
      <c r="AJ15" s="2"/>
      <c r="AK15" s="2"/>
      <c r="AL15" s="2"/>
      <c r="AM15" s="2"/>
      <c r="AN15" s="2"/>
      <c r="AO15"/>
      <c r="AP15"/>
      <c r="AQ15"/>
    </row>
    <row r="16" spans="1:44" ht="12.75" customHeight="1" x14ac:dyDescent="0.25">
      <c r="A16"/>
      <c r="B16" s="965" t="s">
        <v>114</v>
      </c>
      <c r="C16" s="965"/>
      <c r="D16" s="474" t="e">
        <f>(D11-D13)+AO95</f>
        <v>#DIV/0!</v>
      </c>
      <c r="E16" s="474" t="e">
        <f ca="1">(E11-E13)+NPV(D4,F95:AN95)</f>
        <v>#DIV/0!</v>
      </c>
      <c r="F16" s="71"/>
      <c r="G16" s="966" t="s">
        <v>235</v>
      </c>
      <c r="H16" s="966"/>
      <c r="I16" s="966"/>
      <c r="J16" s="549"/>
      <c r="K16" s="960" t="s">
        <v>667</v>
      </c>
      <c r="M16"/>
      <c r="N16"/>
      <c r="O16"/>
      <c r="P16"/>
      <c r="Q16"/>
      <c r="R16"/>
      <c r="S16"/>
      <c r="T16"/>
      <c r="U16"/>
      <c r="V16"/>
      <c r="W16"/>
      <c r="X16"/>
      <c r="Y16" s="2"/>
      <c r="Z16" s="2"/>
      <c r="AA16" s="2"/>
      <c r="AB16" s="2"/>
      <c r="AC16" s="2"/>
      <c r="AD16" s="2"/>
      <c r="AE16" s="2"/>
      <c r="AF16" s="2"/>
      <c r="AG16" s="2"/>
      <c r="AH16" s="2"/>
      <c r="AI16" s="2"/>
      <c r="AJ16" s="2"/>
      <c r="AK16" s="2"/>
      <c r="AL16" s="2"/>
      <c r="AM16" s="2"/>
      <c r="AN16" s="2"/>
      <c r="AO16"/>
      <c r="AP16"/>
      <c r="AQ16"/>
    </row>
    <row r="17" spans="1:45" ht="15" x14ac:dyDescent="0.25">
      <c r="A17"/>
      <c r="B17" s="965" t="s">
        <v>353</v>
      </c>
      <c r="C17" s="965"/>
      <c r="D17" s="475" t="e">
        <f>D16/D11</f>
        <v>#DIV/0!</v>
      </c>
      <c r="E17" s="475" t="e">
        <f ca="1">E16/E11</f>
        <v>#DIV/0!</v>
      </c>
      <c r="F17" s="71"/>
      <c r="G17" s="966" t="s">
        <v>273</v>
      </c>
      <c r="H17" s="966"/>
      <c r="I17" s="966"/>
      <c r="J17" s="549"/>
      <c r="K17" s="961"/>
      <c r="M17"/>
      <c r="N17"/>
      <c r="O17"/>
      <c r="P17"/>
      <c r="Q17"/>
      <c r="R17"/>
      <c r="S17"/>
      <c r="T17"/>
      <c r="U17"/>
      <c r="V17"/>
      <c r="W17"/>
      <c r="X17"/>
      <c r="Y17" s="2"/>
      <c r="Z17" s="2"/>
      <c r="AA17" s="2"/>
      <c r="AB17" s="2"/>
      <c r="AC17" s="2"/>
      <c r="AD17" s="2"/>
      <c r="AE17" s="2"/>
      <c r="AF17" s="2"/>
      <c r="AG17" s="2"/>
      <c r="AH17" s="2"/>
      <c r="AI17" s="2"/>
      <c r="AJ17" s="2"/>
      <c r="AK17" s="2"/>
      <c r="AL17" s="2"/>
      <c r="AM17" s="2"/>
      <c r="AN17" s="2"/>
      <c r="AO17"/>
      <c r="AP17"/>
      <c r="AQ17"/>
    </row>
    <row r="18" spans="1:45" ht="15" x14ac:dyDescent="0.25">
      <c r="A18"/>
      <c r="B18" s="965" t="s">
        <v>350</v>
      </c>
      <c r="C18" s="965"/>
      <c r="D18" s="474" t="e">
        <f>D16+AO88</f>
        <v>#DIV/0!</v>
      </c>
      <c r="E18" s="474" t="e">
        <f ca="1">E16+NPV(D4,F88:AN88)</f>
        <v>#DIV/0!</v>
      </c>
      <c r="F18" s="71"/>
      <c r="G18" s="966" t="s">
        <v>150</v>
      </c>
      <c r="H18" s="966"/>
      <c r="I18" s="966"/>
      <c r="J18" s="549"/>
      <c r="K18" s="962"/>
      <c r="M18"/>
      <c r="N18"/>
      <c r="O18"/>
      <c r="P18"/>
      <c r="Q18"/>
      <c r="R18"/>
      <c r="S18"/>
      <c r="T18"/>
      <c r="U18"/>
      <c r="V18"/>
      <c r="W18"/>
      <c r="X18"/>
      <c r="Y18" s="2"/>
      <c r="Z18" s="2"/>
      <c r="AA18" s="2"/>
      <c r="AB18" s="2"/>
      <c r="AC18" s="2"/>
      <c r="AD18" s="2"/>
      <c r="AE18" s="2"/>
      <c r="AF18" s="2"/>
      <c r="AG18" s="2"/>
      <c r="AH18" s="2"/>
      <c r="AI18" s="2"/>
      <c r="AJ18" s="2"/>
      <c r="AK18" s="2"/>
      <c r="AL18" s="2"/>
      <c r="AM18" s="2"/>
      <c r="AN18" s="2"/>
      <c r="AO18"/>
      <c r="AP18"/>
      <c r="AQ18"/>
    </row>
    <row r="19" spans="1:45" ht="15" x14ac:dyDescent="0.25">
      <c r="A19"/>
      <c r="B19" s="965" t="s">
        <v>354</v>
      </c>
      <c r="C19" s="965"/>
      <c r="D19" s="475" t="e">
        <f>D18/D11</f>
        <v>#DIV/0!</v>
      </c>
      <c r="E19" s="475" t="e">
        <f ca="1">E18/E11</f>
        <v>#DIV/0!</v>
      </c>
      <c r="F19" s="71"/>
      <c r="M19" s="3"/>
      <c r="N19"/>
      <c r="O19"/>
      <c r="P19"/>
      <c r="Q19"/>
      <c r="R19"/>
      <c r="S19"/>
      <c r="T19"/>
      <c r="U19"/>
      <c r="V19"/>
      <c r="W19"/>
      <c r="X19"/>
      <c r="Y19" s="2"/>
      <c r="Z19" s="2"/>
      <c r="AA19" s="2"/>
      <c r="AB19" s="2"/>
      <c r="AC19" s="2"/>
      <c r="AD19" s="2"/>
      <c r="AE19" s="2"/>
      <c r="AF19" s="2"/>
      <c r="AG19" s="2"/>
      <c r="AH19" s="2"/>
      <c r="AI19" s="2"/>
      <c r="AJ19" s="2"/>
      <c r="AK19" s="2"/>
      <c r="AL19" s="2"/>
      <c r="AM19" s="2"/>
      <c r="AN19" s="2"/>
      <c r="AO19"/>
      <c r="AP19"/>
      <c r="AQ19"/>
    </row>
    <row r="20" spans="1:45" ht="15" x14ac:dyDescent="0.25">
      <c r="A20"/>
      <c r="B20"/>
      <c r="C20"/>
      <c r="D20"/>
      <c r="E20" s="71"/>
      <c r="F20"/>
      <c r="G20" s="126" t="s">
        <v>855</v>
      </c>
      <c r="H20" s="783" t="e">
        <f ca="1">D6</f>
        <v>#DIV/0!</v>
      </c>
      <c r="I20" s="126" t="s">
        <v>856</v>
      </c>
      <c r="J20" s="784" t="e">
        <f ca="1">'FCD Acionista'!D4</f>
        <v>#DIV/0!</v>
      </c>
      <c r="L20" s="2"/>
      <c r="M20" s="476"/>
      <c r="N20"/>
      <c r="O20"/>
      <c r="P20"/>
      <c r="Q20"/>
      <c r="R20"/>
      <c r="S20"/>
      <c r="T20"/>
      <c r="U20"/>
      <c r="V20"/>
      <c r="W20"/>
      <c r="X20"/>
      <c r="Y20" s="2"/>
      <c r="Z20" s="2"/>
      <c r="AA20" s="2"/>
      <c r="AB20" s="2"/>
      <c r="AC20" s="2"/>
      <c r="AD20" s="2"/>
      <c r="AE20" s="2"/>
      <c r="AF20" s="2"/>
      <c r="AG20" s="2"/>
      <c r="AH20" s="2"/>
      <c r="AI20" s="2"/>
      <c r="AJ20" s="2"/>
      <c r="AK20" s="2"/>
      <c r="AL20" s="2"/>
      <c r="AM20" s="2"/>
      <c r="AN20" s="2"/>
      <c r="AO20"/>
      <c r="AP20"/>
      <c r="AQ20"/>
    </row>
    <row r="21" spans="1:45" ht="15.75" thickBot="1" x14ac:dyDescent="0.3">
      <c r="A21"/>
      <c r="B21" s="110"/>
      <c r="C21" s="67"/>
      <c r="D21"/>
      <c r="E21"/>
      <c r="F21"/>
      <c r="G21"/>
      <c r="H21"/>
      <c r="I21"/>
      <c r="J21"/>
      <c r="K21"/>
      <c r="L21" s="71"/>
      <c r="M21" s="3"/>
      <c r="N21"/>
      <c r="O21"/>
      <c r="P21"/>
      <c r="Q21" s="2"/>
      <c r="R21" s="2"/>
      <c r="S21" s="2"/>
      <c r="T21" s="2"/>
      <c r="U21" s="2"/>
      <c r="V21" s="2"/>
      <c r="W21" s="2"/>
      <c r="X21" s="2"/>
      <c r="Y21" s="2"/>
      <c r="Z21" s="2"/>
      <c r="AA21" s="2"/>
      <c r="AB21" s="2"/>
      <c r="AC21" s="2"/>
      <c r="AD21" s="2"/>
      <c r="AE21" s="2"/>
      <c r="AF21" s="2"/>
      <c r="AG21" s="2"/>
      <c r="AH21" s="2"/>
      <c r="AI21" s="2"/>
      <c r="AJ21" s="2"/>
      <c r="AK21" s="2"/>
      <c r="AL21" s="2"/>
      <c r="AM21" s="2"/>
      <c r="AN21" s="2"/>
      <c r="AO21"/>
      <c r="AP21"/>
      <c r="AQ21"/>
    </row>
    <row r="22" spans="1:45" ht="15.75" thickBot="1" x14ac:dyDescent="0.3">
      <c r="A22"/>
      <c r="B22" s="477" t="s">
        <v>103</v>
      </c>
      <c r="C22" s="478"/>
      <c r="D22" s="478"/>
      <c r="E22" s="478"/>
      <c r="F22" s="478"/>
      <c r="G22" s="478"/>
      <c r="H22" s="478"/>
      <c r="I22" s="478"/>
      <c r="J22" s="478"/>
      <c r="K22" s="478"/>
      <c r="L22" s="478"/>
      <c r="M22" s="478"/>
      <c r="N22" s="478"/>
      <c r="O22" s="478"/>
      <c r="P22" s="478"/>
      <c r="Q22" s="478"/>
      <c r="R22" s="478"/>
      <c r="S22" s="478"/>
      <c r="T22" s="478"/>
      <c r="U22" s="478"/>
      <c r="V22" s="478"/>
      <c r="W22" s="478"/>
      <c r="X22" s="478"/>
      <c r="Y22" s="478"/>
      <c r="Z22" s="478"/>
      <c r="AA22" s="478"/>
      <c r="AB22" s="478"/>
      <c r="AC22" s="478"/>
      <c r="AD22" s="478"/>
      <c r="AE22" s="478"/>
      <c r="AF22" s="478"/>
      <c r="AG22" s="478"/>
      <c r="AH22" s="478"/>
      <c r="AI22" s="478"/>
      <c r="AJ22" s="478"/>
      <c r="AK22" s="478"/>
      <c r="AL22" s="478"/>
      <c r="AM22" s="478"/>
      <c r="AN22" s="478"/>
      <c r="AO22" s="479"/>
      <c r="AP22" s="68"/>
      <c r="AQ22" s="68"/>
      <c r="AR22" s="22"/>
    </row>
    <row r="23" spans="1:45" ht="15.75" thickBot="1" x14ac:dyDescent="0.3">
      <c r="A23"/>
      <c r="B23" s="480" t="str">
        <f>Cronograma!B1</f>
        <v>ANO</v>
      </c>
      <c r="C23" s="481"/>
      <c r="D23" s="481" t="s">
        <v>664</v>
      </c>
      <c r="E23" s="481">
        <v>0</v>
      </c>
      <c r="F23" s="481">
        <f>Cronograma!C1</f>
        <v>1</v>
      </c>
      <c r="G23" s="481">
        <f>Cronograma!D1</f>
        <v>2</v>
      </c>
      <c r="H23" s="481">
        <f>Cronograma!E1</f>
        <v>3</v>
      </c>
      <c r="I23" s="481">
        <f>Cronograma!F1</f>
        <v>4</v>
      </c>
      <c r="J23" s="481">
        <f>Cronograma!G1</f>
        <v>5</v>
      </c>
      <c r="K23" s="481">
        <f>Cronograma!H1</f>
        <v>6</v>
      </c>
      <c r="L23" s="481">
        <f>Cronograma!I1</f>
        <v>7</v>
      </c>
      <c r="M23" s="481">
        <f>Cronograma!J1</f>
        <v>8</v>
      </c>
      <c r="N23" s="481">
        <f>Cronograma!K1</f>
        <v>9</v>
      </c>
      <c r="O23" s="481">
        <f>Cronograma!L1</f>
        <v>10</v>
      </c>
      <c r="P23" s="481">
        <f>Cronograma!M1</f>
        <v>11</v>
      </c>
      <c r="Q23" s="481">
        <f>Cronograma!N1</f>
        <v>12</v>
      </c>
      <c r="R23" s="481">
        <f>Cronograma!O1</f>
        <v>13</v>
      </c>
      <c r="S23" s="481">
        <f>Cronograma!P1</f>
        <v>14</v>
      </c>
      <c r="T23" s="481">
        <f>Cronograma!Q1</f>
        <v>15</v>
      </c>
      <c r="U23" s="481">
        <f>Cronograma!R1</f>
        <v>16</v>
      </c>
      <c r="V23" s="481">
        <f>Cronograma!S1</f>
        <v>17</v>
      </c>
      <c r="W23" s="481">
        <f>Cronograma!T1</f>
        <v>18</v>
      </c>
      <c r="X23" s="481">
        <f>Cronograma!U1</f>
        <v>19</v>
      </c>
      <c r="Y23" s="481">
        <f>Cronograma!V1</f>
        <v>20</v>
      </c>
      <c r="Z23" s="481">
        <f>Cronograma!W1</f>
        <v>21</v>
      </c>
      <c r="AA23" s="481">
        <f>Cronograma!X1</f>
        <v>22</v>
      </c>
      <c r="AB23" s="481">
        <f>Cronograma!Y1</f>
        <v>23</v>
      </c>
      <c r="AC23" s="481">
        <f>Cronograma!Z1</f>
        <v>24</v>
      </c>
      <c r="AD23" s="481">
        <f>Cronograma!AA1</f>
        <v>25</v>
      </c>
      <c r="AE23" s="481">
        <f>Cronograma!AB1</f>
        <v>26</v>
      </c>
      <c r="AF23" s="481">
        <f>Cronograma!AC1</f>
        <v>27</v>
      </c>
      <c r="AG23" s="481">
        <f>Cronograma!AD1</f>
        <v>28</v>
      </c>
      <c r="AH23" s="481">
        <f>Cronograma!AE1</f>
        <v>29</v>
      </c>
      <c r="AI23" s="481">
        <f>Cronograma!AF1</f>
        <v>30</v>
      </c>
      <c r="AJ23" s="481">
        <f>Cronograma!AG1</f>
        <v>31</v>
      </c>
      <c r="AK23" s="481">
        <f>Cronograma!AH1</f>
        <v>32</v>
      </c>
      <c r="AL23" s="481">
        <f>Cronograma!AI1</f>
        <v>33</v>
      </c>
      <c r="AM23" s="481">
        <f>Cronograma!AJ1</f>
        <v>34</v>
      </c>
      <c r="AN23" s="481">
        <f>Cronograma!AK1</f>
        <v>35</v>
      </c>
      <c r="AO23" s="482"/>
      <c r="AP23" s="68"/>
      <c r="AQ23" s="68"/>
      <c r="AR23" s="22"/>
    </row>
    <row r="24" spans="1:45" ht="15.75" thickBot="1" x14ac:dyDescent="0.3">
      <c r="A24"/>
      <c r="B24" s="483"/>
      <c r="C24" s="484"/>
      <c r="D24" s="481">
        <v>2025</v>
      </c>
      <c r="E24" s="481">
        <v>2026</v>
      </c>
      <c r="F24" s="481">
        <f t="shared" ref="F24:AI24" si="0">E24+1</f>
        <v>2027</v>
      </c>
      <c r="G24" s="481">
        <f t="shared" si="0"/>
        <v>2028</v>
      </c>
      <c r="H24" s="481">
        <f t="shared" si="0"/>
        <v>2029</v>
      </c>
      <c r="I24" s="481">
        <f t="shared" si="0"/>
        <v>2030</v>
      </c>
      <c r="J24" s="481">
        <f t="shared" si="0"/>
        <v>2031</v>
      </c>
      <c r="K24" s="481">
        <f t="shared" si="0"/>
        <v>2032</v>
      </c>
      <c r="L24" s="481">
        <f t="shared" si="0"/>
        <v>2033</v>
      </c>
      <c r="M24" s="481">
        <f t="shared" si="0"/>
        <v>2034</v>
      </c>
      <c r="N24" s="481">
        <f t="shared" si="0"/>
        <v>2035</v>
      </c>
      <c r="O24" s="481">
        <f t="shared" si="0"/>
        <v>2036</v>
      </c>
      <c r="P24" s="481">
        <f t="shared" si="0"/>
        <v>2037</v>
      </c>
      <c r="Q24" s="481">
        <f t="shared" si="0"/>
        <v>2038</v>
      </c>
      <c r="R24" s="481">
        <f t="shared" si="0"/>
        <v>2039</v>
      </c>
      <c r="S24" s="481">
        <f t="shared" si="0"/>
        <v>2040</v>
      </c>
      <c r="T24" s="481">
        <f t="shared" si="0"/>
        <v>2041</v>
      </c>
      <c r="U24" s="481">
        <f t="shared" si="0"/>
        <v>2042</v>
      </c>
      <c r="V24" s="481">
        <f t="shared" si="0"/>
        <v>2043</v>
      </c>
      <c r="W24" s="481">
        <f t="shared" si="0"/>
        <v>2044</v>
      </c>
      <c r="X24" s="481">
        <f t="shared" si="0"/>
        <v>2045</v>
      </c>
      <c r="Y24" s="481">
        <f t="shared" si="0"/>
        <v>2046</v>
      </c>
      <c r="Z24" s="481">
        <f t="shared" si="0"/>
        <v>2047</v>
      </c>
      <c r="AA24" s="481">
        <f t="shared" si="0"/>
        <v>2048</v>
      </c>
      <c r="AB24" s="481">
        <f t="shared" si="0"/>
        <v>2049</v>
      </c>
      <c r="AC24" s="481">
        <f t="shared" si="0"/>
        <v>2050</v>
      </c>
      <c r="AD24" s="481">
        <f t="shared" si="0"/>
        <v>2051</v>
      </c>
      <c r="AE24" s="481">
        <f t="shared" si="0"/>
        <v>2052</v>
      </c>
      <c r="AF24" s="481">
        <f t="shared" si="0"/>
        <v>2053</v>
      </c>
      <c r="AG24" s="481">
        <f t="shared" si="0"/>
        <v>2054</v>
      </c>
      <c r="AH24" s="481">
        <f t="shared" si="0"/>
        <v>2055</v>
      </c>
      <c r="AI24" s="481">
        <f t="shared" si="0"/>
        <v>2056</v>
      </c>
      <c r="AJ24" s="481">
        <f t="shared" ref="AJ24" si="1">AI24+1</f>
        <v>2057</v>
      </c>
      <c r="AK24" s="481">
        <f t="shared" ref="AK24" si="2">AJ24+1</f>
        <v>2058</v>
      </c>
      <c r="AL24" s="481">
        <f t="shared" ref="AL24" si="3">AK24+1</f>
        <v>2059</v>
      </c>
      <c r="AM24" s="481">
        <f t="shared" ref="AM24" si="4">AL24+1</f>
        <v>2060</v>
      </c>
      <c r="AN24" s="481">
        <f t="shared" ref="AN24" si="5">AM24+1</f>
        <v>2061</v>
      </c>
      <c r="AO24" s="482" t="s">
        <v>23</v>
      </c>
      <c r="AP24"/>
      <c r="AQ24"/>
    </row>
    <row r="25" spans="1:45" ht="15" x14ac:dyDescent="0.25">
      <c r="A25"/>
      <c r="B25" s="485" t="s">
        <v>53</v>
      </c>
      <c r="C25" s="486"/>
      <c r="D25" s="486"/>
      <c r="E25" s="487"/>
      <c r="F25" s="487"/>
      <c r="G25" s="487"/>
      <c r="H25" s="487"/>
      <c r="I25" s="487"/>
      <c r="J25" s="487"/>
      <c r="K25" s="487"/>
      <c r="L25" s="487"/>
      <c r="M25" s="487"/>
      <c r="N25" s="487"/>
      <c r="O25" s="487"/>
      <c r="P25" s="487"/>
      <c r="Q25" s="487"/>
      <c r="R25" s="487"/>
      <c r="S25" s="487"/>
      <c r="T25" s="487"/>
      <c r="U25" s="487"/>
      <c r="V25" s="487"/>
      <c r="W25" s="487"/>
      <c r="X25" s="487"/>
      <c r="Y25" s="487"/>
      <c r="Z25" s="487"/>
      <c r="AA25" s="487"/>
      <c r="AB25" s="487"/>
      <c r="AC25" s="487"/>
      <c r="AD25" s="487"/>
      <c r="AE25" s="487"/>
      <c r="AF25" s="487"/>
      <c r="AG25" s="487"/>
      <c r="AH25" s="487"/>
      <c r="AI25" s="487"/>
      <c r="AJ25" s="488"/>
      <c r="AK25" s="488"/>
      <c r="AL25" s="488"/>
      <c r="AM25" s="488"/>
      <c r="AN25" s="488"/>
      <c r="AO25" s="489"/>
      <c r="AP25"/>
      <c r="AQ25"/>
    </row>
    <row r="26" spans="1:45" ht="15" x14ac:dyDescent="0.25">
      <c r="A26"/>
      <c r="B26" s="485"/>
      <c r="C26" s="486"/>
      <c r="D26" s="486"/>
      <c r="E26" s="487"/>
      <c r="F26" s="487"/>
      <c r="G26" s="487"/>
      <c r="H26" s="487"/>
      <c r="I26" s="487"/>
      <c r="J26" s="487"/>
      <c r="K26" s="487"/>
      <c r="L26" s="487"/>
      <c r="M26" s="487"/>
      <c r="N26" s="487"/>
      <c r="O26" s="487"/>
      <c r="P26" s="487"/>
      <c r="Q26" s="487"/>
      <c r="R26" s="487"/>
      <c r="S26" s="487"/>
      <c r="T26" s="487"/>
      <c r="U26" s="487"/>
      <c r="V26" s="487"/>
      <c r="W26" s="487"/>
      <c r="X26" s="487"/>
      <c r="Y26" s="487"/>
      <c r="Z26" s="487"/>
      <c r="AA26" s="487"/>
      <c r="AB26" s="487"/>
      <c r="AC26" s="487"/>
      <c r="AD26" s="487"/>
      <c r="AE26" s="487"/>
      <c r="AF26" s="487"/>
      <c r="AG26" s="487"/>
      <c r="AH26" s="487"/>
      <c r="AI26" s="487"/>
      <c r="AJ26" s="488"/>
      <c r="AK26" s="488"/>
      <c r="AL26" s="488"/>
      <c r="AM26" s="488"/>
      <c r="AN26" s="488"/>
      <c r="AO26" s="489"/>
      <c r="AP26"/>
      <c r="AQ26"/>
    </row>
    <row r="27" spans="1:45" ht="15" x14ac:dyDescent="0.25">
      <c r="A27"/>
      <c r="B27" s="455" t="s">
        <v>54</v>
      </c>
      <c r="C27" s="4"/>
      <c r="D27" s="4"/>
      <c r="E27" s="490"/>
      <c r="F27" s="490"/>
      <c r="G27" s="490"/>
      <c r="H27" s="490"/>
      <c r="I27" s="490"/>
      <c r="J27" s="490"/>
      <c r="K27" s="490"/>
      <c r="L27" s="490"/>
      <c r="M27" s="490"/>
      <c r="N27" s="490"/>
      <c r="O27" s="490"/>
      <c r="P27" s="490"/>
      <c r="Q27" s="490"/>
      <c r="R27" s="490"/>
      <c r="S27" s="490"/>
      <c r="T27" s="490"/>
      <c r="U27" s="490"/>
      <c r="V27" s="490"/>
      <c r="W27" s="490"/>
      <c r="X27" s="490"/>
      <c r="Y27" s="490"/>
      <c r="Z27" s="490"/>
      <c r="AA27" s="490"/>
      <c r="AB27" s="490"/>
      <c r="AC27" s="490"/>
      <c r="AD27" s="490"/>
      <c r="AE27" s="490"/>
      <c r="AF27" s="490"/>
      <c r="AG27" s="490"/>
      <c r="AH27" s="490"/>
      <c r="AI27" s="490"/>
      <c r="AJ27" s="491"/>
      <c r="AK27" s="491"/>
      <c r="AL27" s="491"/>
      <c r="AM27" s="491"/>
      <c r="AN27" s="491"/>
      <c r="AO27" s="492"/>
      <c r="AP27"/>
      <c r="AQ27"/>
    </row>
    <row r="28" spans="1:45" ht="15" x14ac:dyDescent="0.25">
      <c r="A28"/>
      <c r="B28" s="451" t="s">
        <v>55</v>
      </c>
      <c r="C28" s="4"/>
      <c r="D28" s="4"/>
      <c r="E28" s="99"/>
      <c r="F28" s="146" t="e">
        <f>$J$13*'Base Física'!F63</f>
        <v>#DIV/0!</v>
      </c>
      <c r="G28" s="146" t="e">
        <f>$J$13*'Base Física'!G63</f>
        <v>#DIV/0!</v>
      </c>
      <c r="H28" s="146" t="e">
        <f>$J$13*'Base Física'!H63</f>
        <v>#DIV/0!</v>
      </c>
      <c r="I28" s="146" t="e">
        <f>$J$13*'Base Física'!I63</f>
        <v>#DIV/0!</v>
      </c>
      <c r="J28" s="146" t="e">
        <f>$J$13*'Base Física'!J63</f>
        <v>#DIV/0!</v>
      </c>
      <c r="K28" s="146" t="e">
        <f>$J$13*'Base Física'!K63</f>
        <v>#DIV/0!</v>
      </c>
      <c r="L28" s="146" t="e">
        <f>$J$13*'Base Física'!L63</f>
        <v>#DIV/0!</v>
      </c>
      <c r="M28" s="146" t="e">
        <f>$J$13*'Base Física'!M63</f>
        <v>#DIV/0!</v>
      </c>
      <c r="N28" s="146" t="e">
        <f>$J$13*'Base Física'!N63</f>
        <v>#DIV/0!</v>
      </c>
      <c r="O28" s="146" t="e">
        <f>$J$13*'Base Física'!O63</f>
        <v>#DIV/0!</v>
      </c>
      <c r="P28" s="146" t="e">
        <f>$J$13*'Base Física'!P63</f>
        <v>#DIV/0!</v>
      </c>
      <c r="Q28" s="146" t="e">
        <f>$J$13*'Base Física'!Q63</f>
        <v>#DIV/0!</v>
      </c>
      <c r="R28" s="146" t="e">
        <f>$J$13*'Base Física'!R63</f>
        <v>#DIV/0!</v>
      </c>
      <c r="S28" s="146" t="e">
        <f>$J$13*'Base Física'!S63</f>
        <v>#DIV/0!</v>
      </c>
      <c r="T28" s="146" t="e">
        <f>$J$13*'Base Física'!T63</f>
        <v>#DIV/0!</v>
      </c>
      <c r="U28" s="146" t="e">
        <f>$J$13*'Base Física'!U63</f>
        <v>#DIV/0!</v>
      </c>
      <c r="V28" s="146" t="e">
        <f>$J$13*'Base Física'!V63</f>
        <v>#DIV/0!</v>
      </c>
      <c r="W28" s="146" t="e">
        <f>$J$13*'Base Física'!W63</f>
        <v>#DIV/0!</v>
      </c>
      <c r="X28" s="146" t="e">
        <f>$J$13*'Base Física'!X63</f>
        <v>#DIV/0!</v>
      </c>
      <c r="Y28" s="146" t="e">
        <f>$J$13*'Base Física'!Y63</f>
        <v>#DIV/0!</v>
      </c>
      <c r="Z28" s="146" t="e">
        <f>$J$13*'Base Física'!Z63</f>
        <v>#DIV/0!</v>
      </c>
      <c r="AA28" s="146" t="e">
        <f>$J$13*'Base Física'!AA63</f>
        <v>#DIV/0!</v>
      </c>
      <c r="AB28" s="146" t="e">
        <f>$J$13*'Base Física'!AB63</f>
        <v>#DIV/0!</v>
      </c>
      <c r="AC28" s="146" t="e">
        <f>$J$13*'Base Física'!AC63</f>
        <v>#DIV/0!</v>
      </c>
      <c r="AD28" s="146" t="e">
        <f>$J$13*'Base Física'!AD63</f>
        <v>#DIV/0!</v>
      </c>
      <c r="AE28" s="146" t="e">
        <f>$J$13*'Base Física'!AE63</f>
        <v>#DIV/0!</v>
      </c>
      <c r="AF28" s="146" t="e">
        <f>$J$13*'Base Física'!AF63</f>
        <v>#DIV/0!</v>
      </c>
      <c r="AG28" s="146" t="e">
        <f>$J$13*'Base Física'!AG63</f>
        <v>#DIV/0!</v>
      </c>
      <c r="AH28" s="146" t="e">
        <f>$J$13*'Base Física'!AH63</f>
        <v>#DIV/0!</v>
      </c>
      <c r="AI28" s="146" t="e">
        <f>$J$13*'Base Física'!AI63</f>
        <v>#DIV/0!</v>
      </c>
      <c r="AJ28" s="146" t="e">
        <f>$J$13*'Base Física'!AJ63</f>
        <v>#DIV/0!</v>
      </c>
      <c r="AK28" s="146" t="e">
        <f>$J$13*'Base Física'!AK63</f>
        <v>#DIV/0!</v>
      </c>
      <c r="AL28" s="146" t="e">
        <f>$J$13*'Base Física'!AL63</f>
        <v>#DIV/0!</v>
      </c>
      <c r="AM28" s="146" t="e">
        <f>$J$13*'Base Física'!AM63</f>
        <v>#DIV/0!</v>
      </c>
      <c r="AN28" s="146" t="e">
        <f>$J$13*'Base Física'!AN63</f>
        <v>#DIV/0!</v>
      </c>
      <c r="AO28" s="453" t="e">
        <f>+SUM(F28:AN28)</f>
        <v>#DIV/0!</v>
      </c>
      <c r="AP28" s="71"/>
      <c r="AQ28" s="71"/>
      <c r="AR28" s="23"/>
      <c r="AS28" s="23"/>
    </row>
    <row r="29" spans="1:45" ht="15" x14ac:dyDescent="0.25">
      <c r="A29"/>
      <c r="B29" s="451" t="s">
        <v>94</v>
      </c>
      <c r="C29" s="493"/>
      <c r="D29" s="4"/>
      <c r="E29" s="99"/>
      <c r="F29" s="146" t="e">
        <f t="shared" ref="F29" si="6">F28*$C29</f>
        <v>#DIV/0!</v>
      </c>
      <c r="G29" s="146" t="e">
        <f t="shared" ref="G29:AN29" si="7">G28*$C29</f>
        <v>#DIV/0!</v>
      </c>
      <c r="H29" s="146" t="e">
        <f t="shared" si="7"/>
        <v>#DIV/0!</v>
      </c>
      <c r="I29" s="146" t="e">
        <f t="shared" si="7"/>
        <v>#DIV/0!</v>
      </c>
      <c r="J29" s="146" t="e">
        <f t="shared" si="7"/>
        <v>#DIV/0!</v>
      </c>
      <c r="K29" s="146" t="e">
        <f t="shared" si="7"/>
        <v>#DIV/0!</v>
      </c>
      <c r="L29" s="146" t="e">
        <f t="shared" si="7"/>
        <v>#DIV/0!</v>
      </c>
      <c r="M29" s="146" t="e">
        <f t="shared" si="7"/>
        <v>#DIV/0!</v>
      </c>
      <c r="N29" s="146" t="e">
        <f t="shared" si="7"/>
        <v>#DIV/0!</v>
      </c>
      <c r="O29" s="146" t="e">
        <f t="shared" si="7"/>
        <v>#DIV/0!</v>
      </c>
      <c r="P29" s="146" t="e">
        <f t="shared" si="7"/>
        <v>#DIV/0!</v>
      </c>
      <c r="Q29" s="146" t="e">
        <f t="shared" si="7"/>
        <v>#DIV/0!</v>
      </c>
      <c r="R29" s="146" t="e">
        <f t="shared" si="7"/>
        <v>#DIV/0!</v>
      </c>
      <c r="S29" s="146" t="e">
        <f t="shared" si="7"/>
        <v>#DIV/0!</v>
      </c>
      <c r="T29" s="146" t="e">
        <f t="shared" si="7"/>
        <v>#DIV/0!</v>
      </c>
      <c r="U29" s="146" t="e">
        <f t="shared" si="7"/>
        <v>#DIV/0!</v>
      </c>
      <c r="V29" s="146" t="e">
        <f t="shared" si="7"/>
        <v>#DIV/0!</v>
      </c>
      <c r="W29" s="146" t="e">
        <f t="shared" si="7"/>
        <v>#DIV/0!</v>
      </c>
      <c r="X29" s="146" t="e">
        <f t="shared" si="7"/>
        <v>#DIV/0!</v>
      </c>
      <c r="Y29" s="146" t="e">
        <f t="shared" si="7"/>
        <v>#DIV/0!</v>
      </c>
      <c r="Z29" s="146" t="e">
        <f t="shared" si="7"/>
        <v>#DIV/0!</v>
      </c>
      <c r="AA29" s="146" t="e">
        <f t="shared" si="7"/>
        <v>#DIV/0!</v>
      </c>
      <c r="AB29" s="146" t="e">
        <f t="shared" si="7"/>
        <v>#DIV/0!</v>
      </c>
      <c r="AC29" s="146" t="e">
        <f t="shared" si="7"/>
        <v>#DIV/0!</v>
      </c>
      <c r="AD29" s="146" t="e">
        <f t="shared" si="7"/>
        <v>#DIV/0!</v>
      </c>
      <c r="AE29" s="146" t="e">
        <f t="shared" si="7"/>
        <v>#DIV/0!</v>
      </c>
      <c r="AF29" s="146" t="e">
        <f t="shared" si="7"/>
        <v>#DIV/0!</v>
      </c>
      <c r="AG29" s="146" t="e">
        <f t="shared" si="7"/>
        <v>#DIV/0!</v>
      </c>
      <c r="AH29" s="146" t="e">
        <f t="shared" si="7"/>
        <v>#DIV/0!</v>
      </c>
      <c r="AI29" s="146" t="e">
        <f t="shared" si="7"/>
        <v>#DIV/0!</v>
      </c>
      <c r="AJ29" s="146" t="e">
        <f t="shared" si="7"/>
        <v>#DIV/0!</v>
      </c>
      <c r="AK29" s="146" t="e">
        <f t="shared" si="7"/>
        <v>#DIV/0!</v>
      </c>
      <c r="AL29" s="146" t="e">
        <f t="shared" si="7"/>
        <v>#DIV/0!</v>
      </c>
      <c r="AM29" s="146" t="e">
        <f t="shared" si="7"/>
        <v>#DIV/0!</v>
      </c>
      <c r="AN29" s="146" t="e">
        <f t="shared" si="7"/>
        <v>#DIV/0!</v>
      </c>
      <c r="AO29" s="453" t="e">
        <f t="shared" ref="AO29:AO32" si="8">+SUM(F29:AN29)</f>
        <v>#DIV/0!</v>
      </c>
      <c r="AP29" s="71"/>
      <c r="AQ29" s="71"/>
      <c r="AR29" s="23"/>
    </row>
    <row r="30" spans="1:45" ht="15" x14ac:dyDescent="0.25">
      <c r="A30"/>
      <c r="B30" s="451" t="s">
        <v>80</v>
      </c>
      <c r="C30" s="238"/>
      <c r="D30" s="4"/>
      <c r="E30" s="99"/>
      <c r="F30" s="146" t="e">
        <f>(F28+F29)*(1-'Base Física'!F44)</f>
        <v>#DIV/0!</v>
      </c>
      <c r="G30" s="146" t="e">
        <f>(G28+G29)*(1-'Base Física'!G44)</f>
        <v>#DIV/0!</v>
      </c>
      <c r="H30" s="146" t="e">
        <f>(H28+H29)*(1-'Base Física'!H44)</f>
        <v>#DIV/0!</v>
      </c>
      <c r="I30" s="146" t="e">
        <f>(I28+I29)*(1-'Base Física'!I44)</f>
        <v>#DIV/0!</v>
      </c>
      <c r="J30" s="146" t="e">
        <f>(J28+J29)*(1-'Base Física'!J44)</f>
        <v>#DIV/0!</v>
      </c>
      <c r="K30" s="146" t="e">
        <f>(K28+K29)*(1-'Base Física'!K44)</f>
        <v>#DIV/0!</v>
      </c>
      <c r="L30" s="146" t="e">
        <f>(L28+L29)*(1-'Base Física'!L44)</f>
        <v>#DIV/0!</v>
      </c>
      <c r="M30" s="146" t="e">
        <f>(M28+M29)*(1-'Base Física'!M44)</f>
        <v>#DIV/0!</v>
      </c>
      <c r="N30" s="146" t="e">
        <f>(N28+N29)*(1-'Base Física'!N44)</f>
        <v>#DIV/0!</v>
      </c>
      <c r="O30" s="146" t="e">
        <f>(O28+O29)*(1-'Base Física'!O44)</f>
        <v>#DIV/0!</v>
      </c>
      <c r="P30" s="146" t="e">
        <f>(P28+P29)*(1-'Base Física'!P44)</f>
        <v>#DIV/0!</v>
      </c>
      <c r="Q30" s="146" t="e">
        <f>(Q28+Q29)*(1-'Base Física'!Q44)</f>
        <v>#DIV/0!</v>
      </c>
      <c r="R30" s="146" t="e">
        <f>(R28+R29)*(1-'Base Física'!R44)</f>
        <v>#DIV/0!</v>
      </c>
      <c r="S30" s="146" t="e">
        <f>(S28+S29)*(1-'Base Física'!S44)</f>
        <v>#DIV/0!</v>
      </c>
      <c r="T30" s="146" t="e">
        <f>(T28+T29)*(1-'Base Física'!T44)</f>
        <v>#DIV/0!</v>
      </c>
      <c r="U30" s="146" t="e">
        <f>(U28+U29)*(1-'Base Física'!U44)</f>
        <v>#DIV/0!</v>
      </c>
      <c r="V30" s="146" t="e">
        <f>(V28+V29)*(1-'Base Física'!V44)</f>
        <v>#DIV/0!</v>
      </c>
      <c r="W30" s="146" t="e">
        <f>(W28+W29)*(1-'Base Física'!W44)</f>
        <v>#DIV/0!</v>
      </c>
      <c r="X30" s="146" t="e">
        <f>(X28+X29)*(1-'Base Física'!X44)</f>
        <v>#DIV/0!</v>
      </c>
      <c r="Y30" s="146" t="e">
        <f>(Y28+Y29)*(1-'Base Física'!Y44)</f>
        <v>#DIV/0!</v>
      </c>
      <c r="Z30" s="146" t="e">
        <f>(Z28+Z29)*(1-'Base Física'!Z44)</f>
        <v>#DIV/0!</v>
      </c>
      <c r="AA30" s="146" t="e">
        <f>(AA28+AA29)*(1-'Base Física'!AA44)</f>
        <v>#DIV/0!</v>
      </c>
      <c r="AB30" s="146" t="e">
        <f>(AB28+AB29)*(1-'Base Física'!AB44)</f>
        <v>#DIV/0!</v>
      </c>
      <c r="AC30" s="146" t="e">
        <f>(AC28+AC29)*(1-'Base Física'!AC44)</f>
        <v>#DIV/0!</v>
      </c>
      <c r="AD30" s="146" t="e">
        <f>(AD28+AD29)*(1-'Base Física'!AD44)</f>
        <v>#DIV/0!</v>
      </c>
      <c r="AE30" s="146" t="e">
        <f>(AE28+AE29)*(1-'Base Física'!AE44)</f>
        <v>#DIV/0!</v>
      </c>
      <c r="AF30" s="146" t="e">
        <f>(AF28+AF29)*(1-'Base Física'!AF44)</f>
        <v>#DIV/0!</v>
      </c>
      <c r="AG30" s="146" t="e">
        <f>(AG28+AG29)*(1-'Base Física'!AG44)</f>
        <v>#DIV/0!</v>
      </c>
      <c r="AH30" s="146" t="e">
        <f>(AH28+AH29)*(1-'Base Física'!AH44)</f>
        <v>#DIV/0!</v>
      </c>
      <c r="AI30" s="146" t="e">
        <f>(AI28+AI29)*(1-'Base Física'!AI44)</f>
        <v>#DIV/0!</v>
      </c>
      <c r="AJ30" s="146" t="e">
        <f>(AJ28+AJ29)*(1-'Base Física'!AJ44)</f>
        <v>#DIV/0!</v>
      </c>
      <c r="AK30" s="146" t="e">
        <f>(AK28+AK29)*(1-'Base Física'!AK44)</f>
        <v>#DIV/0!</v>
      </c>
      <c r="AL30" s="146" t="e">
        <f>(AL28+AL29)*(1-'Base Física'!AL44)</f>
        <v>#DIV/0!</v>
      </c>
      <c r="AM30" s="146" t="e">
        <f>(AM28+AM29)*(1-'Base Física'!AM44)</f>
        <v>#DIV/0!</v>
      </c>
      <c r="AN30" s="146" t="e">
        <f>(AN28+AN29)*(1-'Base Física'!AN44)</f>
        <v>#DIV/0!</v>
      </c>
      <c r="AO30" s="453" t="e">
        <f t="shared" si="8"/>
        <v>#DIV/0!</v>
      </c>
      <c r="AP30" s="71"/>
      <c r="AQ30" s="71"/>
      <c r="AR30" s="23"/>
      <c r="AS30" s="23"/>
    </row>
    <row r="31" spans="1:45" ht="15" x14ac:dyDescent="0.25">
      <c r="A31"/>
      <c r="B31" s="451" t="s">
        <v>136</v>
      </c>
      <c r="C31" s="493"/>
      <c r="D31" s="4"/>
      <c r="E31" s="99"/>
      <c r="F31" s="146" t="e">
        <f t="shared" ref="F31" si="9">IF(E31&lt;=0,(F28+F29-F30)*$C31,(E28+E29-E30)*(1-$C$31)+(F28+F29-F30)*$C31)</f>
        <v>#DIV/0!</v>
      </c>
      <c r="G31" s="146" t="e">
        <f t="shared" ref="G31" si="10">IF(F31&lt;=0,(G28+G29-G30)*$C31,(F28+F29-F30)*(1-$C$31)+(G28+G29-G30)*$C31)</f>
        <v>#DIV/0!</v>
      </c>
      <c r="H31" s="146" t="e">
        <f t="shared" ref="H31" si="11">IF(G31&lt;=0,(H28+H29-H30)*$C31,(G28+G29-G30)*(1-$C$31)+(H28+H29-H30)*$C31)</f>
        <v>#DIV/0!</v>
      </c>
      <c r="I31" s="146" t="e">
        <f t="shared" ref="I31" si="12">IF(H31&lt;=0,(I28+I29-I30)*$C31,(H28+H29-H30)*(1-$C$31)+(I28+I29-I30)*$C31)</f>
        <v>#DIV/0!</v>
      </c>
      <c r="J31" s="146" t="e">
        <f t="shared" ref="J31" si="13">IF(I31&lt;=0,(J28+J29-J30)*$C31,(I28+I29-I30)*(1-$C$31)+(J28+J29-J30)*$C31)</f>
        <v>#DIV/0!</v>
      </c>
      <c r="K31" s="146" t="e">
        <f t="shared" ref="K31" si="14">IF(J31&lt;=0,(K28+K29-K30)*$C31,(J28+J29-J30)*(1-$C$31)+(K28+K29-K30)*$C31)</f>
        <v>#DIV/0!</v>
      </c>
      <c r="L31" s="146" t="e">
        <f t="shared" ref="L31" si="15">IF(K31&lt;=0,(L28+L29-L30)*$C31,(K28+K29-K30)*(1-$C$31)+(L28+L29-L30)*$C31)</f>
        <v>#DIV/0!</v>
      </c>
      <c r="M31" s="146" t="e">
        <f t="shared" ref="M31" si="16">IF(L31&lt;=0,(M28+M29-M30)*$C31,(L28+L29-L30)*(1-$C$31)+(M28+M29-M30)*$C31)</f>
        <v>#DIV/0!</v>
      </c>
      <c r="N31" s="146" t="e">
        <f t="shared" ref="N31" si="17">IF(M31&lt;=0,(N28+N29-N30)*$C31,(M28+M29-M30)*(1-$C$31)+(N28+N29-N30)*$C31)</f>
        <v>#DIV/0!</v>
      </c>
      <c r="O31" s="146" t="e">
        <f t="shared" ref="O31" si="18">IF(N31&lt;=0,(O28+O29-O30)*$C31,(N28+N29-N30)*(1-$C$31)+(O28+O29-O30)*$C31)</f>
        <v>#DIV/0!</v>
      </c>
      <c r="P31" s="146" t="e">
        <f t="shared" ref="P31" si="19">IF(O31&lt;=0,(P28+P29-P30)*$C31,(O28+O29-O30)*(1-$C$31)+(P28+P29-P30)*$C31)</f>
        <v>#DIV/0!</v>
      </c>
      <c r="Q31" s="146" t="e">
        <f t="shared" ref="Q31" si="20">IF(P31&lt;=0,(Q28+Q29-Q30)*$C31,(P28+P29-P30)*(1-$C$31)+(Q28+Q29-Q30)*$C31)</f>
        <v>#DIV/0!</v>
      </c>
      <c r="R31" s="146" t="e">
        <f t="shared" ref="R31" si="21">IF(Q31&lt;=0,(R28+R29-R30)*$C31,(Q28+Q29-Q30)*(1-$C$31)+(R28+R29-R30)*$C31)</f>
        <v>#DIV/0!</v>
      </c>
      <c r="S31" s="146" t="e">
        <f t="shared" ref="S31" si="22">IF(R31&lt;=0,(S28+S29-S30)*$C31,(R28+R29-R30)*(1-$C$31)+(S28+S29-S30)*$C31)</f>
        <v>#DIV/0!</v>
      </c>
      <c r="T31" s="146" t="e">
        <f t="shared" ref="T31" si="23">IF(S31&lt;=0,(T28+T29-T30)*$C31,(S28+S29-S30)*(1-$C$31)+(T28+T29-T30)*$C31)</f>
        <v>#DIV/0!</v>
      </c>
      <c r="U31" s="146" t="e">
        <f t="shared" ref="U31" si="24">IF(T31&lt;=0,(U28+U29-U30)*$C31,(T28+T29-T30)*(1-$C$31)+(U28+U29-U30)*$C31)</f>
        <v>#DIV/0!</v>
      </c>
      <c r="V31" s="146" t="e">
        <f t="shared" ref="V31" si="25">IF(U31&lt;=0,(V28+V29-V30)*$C31,(U28+U29-U30)*(1-$C$31)+(V28+V29-V30)*$C31)</f>
        <v>#DIV/0!</v>
      </c>
      <c r="W31" s="146" t="e">
        <f t="shared" ref="W31" si="26">IF(V31&lt;=0,(W28+W29-W30)*$C31,(V28+V29-V30)*(1-$C$31)+(W28+W29-W30)*$C31)</f>
        <v>#DIV/0!</v>
      </c>
      <c r="X31" s="146" t="e">
        <f t="shared" ref="X31" si="27">IF(W31&lt;=0,(X28+X29-X30)*$C31,(W28+W29-W30)*(1-$C$31)+(X28+X29-X30)*$C31)</f>
        <v>#DIV/0!</v>
      </c>
      <c r="Y31" s="146" t="e">
        <f t="shared" ref="Y31" si="28">IF(X31&lt;=0,(Y28+Y29-Y30)*$C31,(X28+X29-X30)*(1-$C$31)+(Y28+Y29-Y30)*$C31)</f>
        <v>#DIV/0!</v>
      </c>
      <c r="Z31" s="146" t="e">
        <f t="shared" ref="Z31" si="29">IF(Y31&lt;=0,(Z28+Z29-Z30)*$C31,(Y28+Y29-Y30)*(1-$C$31)+(Z28+Z29-Z30)*$C31)</f>
        <v>#DIV/0!</v>
      </c>
      <c r="AA31" s="146" t="e">
        <f t="shared" ref="AA31" si="30">IF(Z31&lt;=0,(AA28+AA29-AA30)*$C31,(Z28+Z29-Z30)*(1-$C$31)+(AA28+AA29-AA30)*$C31)</f>
        <v>#DIV/0!</v>
      </c>
      <c r="AB31" s="146" t="e">
        <f t="shared" ref="AB31" si="31">IF(AA31&lt;=0,(AB28+AB29-AB30)*$C31,(AA28+AA29-AA30)*(1-$C$31)+(AB28+AB29-AB30)*$C31)</f>
        <v>#DIV/0!</v>
      </c>
      <c r="AC31" s="146" t="e">
        <f t="shared" ref="AC31" si="32">IF(AB31&lt;=0,(AC28+AC29-AC30)*$C31,(AB28+AB29-AB30)*(1-$C$31)+(AC28+AC29-AC30)*$C31)</f>
        <v>#DIV/0!</v>
      </c>
      <c r="AD31" s="146" t="e">
        <f t="shared" ref="AD31" si="33">IF(AC31&lt;=0,(AD28+AD29-AD30)*$C31,(AC28+AC29-AC30)*(1-$C$31)+(AD28+AD29-AD30)*$C31)</f>
        <v>#DIV/0!</v>
      </c>
      <c r="AE31" s="146" t="e">
        <f t="shared" ref="AE31" si="34">IF(AD31&lt;=0,(AE28+AE29-AE30)*$C31,(AD28+AD29-AD30)*(1-$C$31)+(AE28+AE29-AE30)*$C31)</f>
        <v>#DIV/0!</v>
      </c>
      <c r="AF31" s="146" t="e">
        <f t="shared" ref="AF31" si="35">IF(AE31&lt;=0,(AF28+AF29-AF30)*$C31,(AE28+AE29-AE30)*(1-$C$31)+(AF28+AF29-AF30)*$C31)</f>
        <v>#DIV/0!</v>
      </c>
      <c r="AG31" s="146" t="e">
        <f t="shared" ref="AG31" si="36">IF(AF31&lt;=0,(AG28+AG29-AG30)*$C31,(AF28+AF29-AF30)*(1-$C$31)+(AG28+AG29-AG30)*$C31)</f>
        <v>#DIV/0!</v>
      </c>
      <c r="AH31" s="146" t="e">
        <f t="shared" ref="AH31" si="37">IF(AG31&lt;=0,(AH28+AH29-AH30)*$C31,(AG28+AG29-AG30)*(1-$C$31)+(AH28+AH29-AH30)*$C31)</f>
        <v>#DIV/0!</v>
      </c>
      <c r="AI31" s="146" t="e">
        <f t="shared" ref="AI31" si="38">IF(AH31&lt;=0,(AI28+AI29-AI30)*$C31,(AH28+AH29-AH30)*(1-$C$31)+(AI28+AI29-AI30)*$C31)</f>
        <v>#DIV/0!</v>
      </c>
      <c r="AJ31" s="146" t="e">
        <f t="shared" ref="AJ31" si="39">IF(AI31&lt;=0,(AJ28+AJ29-AJ30)*$C31,(AI28+AI29-AI30)*(1-$C$31)+(AJ28+AJ29-AJ30)*$C31)</f>
        <v>#DIV/0!</v>
      </c>
      <c r="AK31" s="146" t="e">
        <f t="shared" ref="AK31" si="40">IF(AJ31&lt;=0,(AK28+AK29-AK30)*$C31,(AJ28+AJ29-AJ30)*(1-$C$31)+(AK28+AK29-AK30)*$C31)</f>
        <v>#DIV/0!</v>
      </c>
      <c r="AL31" s="146" t="e">
        <f t="shared" ref="AL31" si="41">IF(AK31&lt;=0,(AL28+AL29-AL30)*$C31,(AK28+AK29-AK30)*(1-$C$31)+(AL28+AL29-AL30)*$C31)</f>
        <v>#DIV/0!</v>
      </c>
      <c r="AM31" s="146" t="e">
        <f t="shared" ref="AM31" si="42">IF(AL31&lt;=0,(AM28+AM29-AM30)*$C31,(AL28+AL29-AL30)*(1-$C$31)+(AM28+AM29-AM30)*$C31)</f>
        <v>#DIV/0!</v>
      </c>
      <c r="AN31" s="146" t="e">
        <f t="shared" ref="AN31" si="43">IF(AM31&lt;=0,(AN28+AN29-AN30)*$C31,(AM28+AM29-AM30)*(1-$C$31)+(AN28+AN29-AN30)*$C31)</f>
        <v>#DIV/0!</v>
      </c>
      <c r="AO31" s="453" t="e">
        <f t="shared" si="8"/>
        <v>#DIV/0!</v>
      </c>
      <c r="AP31" s="71"/>
      <c r="AQ31" s="71"/>
      <c r="AR31" s="23"/>
      <c r="AS31" s="23"/>
    </row>
    <row r="32" spans="1:45" ht="15" x14ac:dyDescent="0.25">
      <c r="A32"/>
      <c r="B32" s="451" t="s">
        <v>137</v>
      </c>
      <c r="C32" s="238"/>
      <c r="D32" s="4"/>
      <c r="E32" s="99"/>
      <c r="F32" s="146" t="e">
        <f>F31 -(F28+F29-F30)</f>
        <v>#DIV/0!</v>
      </c>
      <c r="G32" s="146" t="e">
        <f t="shared" ref="G32:AN32" si="44">G31 -(G28+G29-G30)</f>
        <v>#DIV/0!</v>
      </c>
      <c r="H32" s="146" t="e">
        <f t="shared" si="44"/>
        <v>#DIV/0!</v>
      </c>
      <c r="I32" s="146" t="e">
        <f t="shared" si="44"/>
        <v>#DIV/0!</v>
      </c>
      <c r="J32" s="146" t="e">
        <f t="shared" si="44"/>
        <v>#DIV/0!</v>
      </c>
      <c r="K32" s="146" t="e">
        <f t="shared" si="44"/>
        <v>#DIV/0!</v>
      </c>
      <c r="L32" s="146" t="e">
        <f t="shared" si="44"/>
        <v>#DIV/0!</v>
      </c>
      <c r="M32" s="146" t="e">
        <f t="shared" si="44"/>
        <v>#DIV/0!</v>
      </c>
      <c r="N32" s="146" t="e">
        <f t="shared" si="44"/>
        <v>#DIV/0!</v>
      </c>
      <c r="O32" s="146" t="e">
        <f t="shared" si="44"/>
        <v>#DIV/0!</v>
      </c>
      <c r="P32" s="146" t="e">
        <f t="shared" si="44"/>
        <v>#DIV/0!</v>
      </c>
      <c r="Q32" s="146" t="e">
        <f t="shared" si="44"/>
        <v>#DIV/0!</v>
      </c>
      <c r="R32" s="146" t="e">
        <f t="shared" si="44"/>
        <v>#DIV/0!</v>
      </c>
      <c r="S32" s="146" t="e">
        <f t="shared" si="44"/>
        <v>#DIV/0!</v>
      </c>
      <c r="T32" s="146" t="e">
        <f t="shared" si="44"/>
        <v>#DIV/0!</v>
      </c>
      <c r="U32" s="146" t="e">
        <f t="shared" si="44"/>
        <v>#DIV/0!</v>
      </c>
      <c r="V32" s="146" t="e">
        <f t="shared" si="44"/>
        <v>#DIV/0!</v>
      </c>
      <c r="W32" s="146" t="e">
        <f t="shared" si="44"/>
        <v>#DIV/0!</v>
      </c>
      <c r="X32" s="146" t="e">
        <f t="shared" si="44"/>
        <v>#DIV/0!</v>
      </c>
      <c r="Y32" s="146" t="e">
        <f t="shared" si="44"/>
        <v>#DIV/0!</v>
      </c>
      <c r="Z32" s="146" t="e">
        <f t="shared" si="44"/>
        <v>#DIV/0!</v>
      </c>
      <c r="AA32" s="146" t="e">
        <f t="shared" si="44"/>
        <v>#DIV/0!</v>
      </c>
      <c r="AB32" s="146" t="e">
        <f t="shared" si="44"/>
        <v>#DIV/0!</v>
      </c>
      <c r="AC32" s="146" t="e">
        <f t="shared" si="44"/>
        <v>#DIV/0!</v>
      </c>
      <c r="AD32" s="146" t="e">
        <f t="shared" si="44"/>
        <v>#DIV/0!</v>
      </c>
      <c r="AE32" s="146" t="e">
        <f t="shared" si="44"/>
        <v>#DIV/0!</v>
      </c>
      <c r="AF32" s="146" t="e">
        <f t="shared" si="44"/>
        <v>#DIV/0!</v>
      </c>
      <c r="AG32" s="146" t="e">
        <f t="shared" si="44"/>
        <v>#DIV/0!</v>
      </c>
      <c r="AH32" s="146" t="e">
        <f t="shared" si="44"/>
        <v>#DIV/0!</v>
      </c>
      <c r="AI32" s="146" t="e">
        <f t="shared" si="44"/>
        <v>#DIV/0!</v>
      </c>
      <c r="AJ32" s="146" t="e">
        <f t="shared" si="44"/>
        <v>#DIV/0!</v>
      </c>
      <c r="AK32" s="146" t="e">
        <f t="shared" si="44"/>
        <v>#DIV/0!</v>
      </c>
      <c r="AL32" s="146" t="e">
        <f t="shared" si="44"/>
        <v>#DIV/0!</v>
      </c>
      <c r="AM32" s="146" t="e">
        <f t="shared" si="44"/>
        <v>#DIV/0!</v>
      </c>
      <c r="AN32" s="146" t="e">
        <f t="shared" si="44"/>
        <v>#DIV/0!</v>
      </c>
      <c r="AO32" s="453" t="e">
        <f t="shared" si="8"/>
        <v>#DIV/0!</v>
      </c>
      <c r="AP32" s="2"/>
      <c r="AQ32" s="71"/>
      <c r="AR32" s="23"/>
      <c r="AS32" s="28"/>
    </row>
    <row r="33" spans="1:45" ht="15" x14ac:dyDescent="0.25">
      <c r="A33"/>
      <c r="B33" s="451"/>
      <c r="C33" s="238"/>
      <c r="D33" s="4"/>
      <c r="E33" s="99"/>
      <c r="F33" s="99"/>
      <c r="G33" s="99"/>
      <c r="H33" s="99"/>
      <c r="I33" s="99"/>
      <c r="J33" s="99"/>
      <c r="K33" s="99"/>
      <c r="L33" s="99"/>
      <c r="M33" s="99"/>
      <c r="N33" s="99"/>
      <c r="O33" s="99"/>
      <c r="P33" s="99"/>
      <c r="Q33" s="99"/>
      <c r="R33" s="99"/>
      <c r="S33" s="99"/>
      <c r="T33" s="99"/>
      <c r="U33" s="99"/>
      <c r="V33" s="99"/>
      <c r="W33" s="99"/>
      <c r="X33" s="99"/>
      <c r="Y33" s="99"/>
      <c r="Z33" s="99"/>
      <c r="AA33" s="99"/>
      <c r="AB33" s="99"/>
      <c r="AC33" s="99"/>
      <c r="AD33" s="99"/>
      <c r="AE33" s="99"/>
      <c r="AF33" s="99"/>
      <c r="AG33" s="99"/>
      <c r="AH33" s="99"/>
      <c r="AI33" s="99"/>
      <c r="AJ33" s="494"/>
      <c r="AK33" s="494"/>
      <c r="AL33" s="494"/>
      <c r="AM33" s="494"/>
      <c r="AN33" s="494"/>
      <c r="AO33" s="492"/>
      <c r="AP33" s="71"/>
      <c r="AQ33" s="71"/>
      <c r="AR33" s="23"/>
    </row>
    <row r="34" spans="1:45" ht="15" x14ac:dyDescent="0.25">
      <c r="A34"/>
      <c r="B34" s="455" t="s">
        <v>56</v>
      </c>
      <c r="C34" s="238"/>
      <c r="D34" s="4"/>
      <c r="E34" s="99"/>
      <c r="F34" s="99"/>
      <c r="G34" s="99"/>
      <c r="H34" s="99"/>
      <c r="I34" s="99"/>
      <c r="J34" s="99"/>
      <c r="K34" s="99"/>
      <c r="L34" s="99"/>
      <c r="M34" s="99"/>
      <c r="N34" s="99"/>
      <c r="O34" s="99"/>
      <c r="P34" s="99"/>
      <c r="Q34" s="99"/>
      <c r="R34" s="99"/>
      <c r="S34" s="99"/>
      <c r="T34" s="99"/>
      <c r="U34" s="99"/>
      <c r="V34" s="99"/>
      <c r="W34" s="99"/>
      <c r="X34" s="99"/>
      <c r="Y34" s="99"/>
      <c r="Z34" s="99"/>
      <c r="AA34" s="99"/>
      <c r="AB34" s="99"/>
      <c r="AC34" s="99"/>
      <c r="AD34" s="99"/>
      <c r="AE34" s="99"/>
      <c r="AF34" s="99"/>
      <c r="AG34" s="99"/>
      <c r="AH34" s="99"/>
      <c r="AI34" s="99"/>
      <c r="AJ34" s="494"/>
      <c r="AK34" s="494"/>
      <c r="AL34" s="494"/>
      <c r="AM34" s="494"/>
      <c r="AN34" s="494"/>
      <c r="AO34" s="492"/>
      <c r="AP34" s="71"/>
      <c r="AQ34" s="71"/>
      <c r="AR34" s="23"/>
    </row>
    <row r="35" spans="1:45" ht="15" x14ac:dyDescent="0.25">
      <c r="A35"/>
      <c r="B35" s="451" t="s">
        <v>57</v>
      </c>
      <c r="C35" s="238"/>
      <c r="D35" s="4"/>
      <c r="E35" s="99"/>
      <c r="F35" s="146" t="e">
        <f>$J$14*'Base Física'!F65</f>
        <v>#DIV/0!</v>
      </c>
      <c r="G35" s="146" t="e">
        <f>$J$14*'Base Física'!G65</f>
        <v>#DIV/0!</v>
      </c>
      <c r="H35" s="146" t="e">
        <f>$J$14*'Base Física'!H65</f>
        <v>#DIV/0!</v>
      </c>
      <c r="I35" s="146" t="e">
        <f>$J$14*'Base Física'!I65</f>
        <v>#DIV/0!</v>
      </c>
      <c r="J35" s="146" t="e">
        <f>$J$14*'Base Física'!J65</f>
        <v>#DIV/0!</v>
      </c>
      <c r="K35" s="146" t="e">
        <f>$J$14*'Base Física'!K65</f>
        <v>#DIV/0!</v>
      </c>
      <c r="L35" s="146" t="e">
        <f>$J$14*'Base Física'!L65</f>
        <v>#DIV/0!</v>
      </c>
      <c r="M35" s="146" t="e">
        <f>$J$14*'Base Física'!M65</f>
        <v>#DIV/0!</v>
      </c>
      <c r="N35" s="146" t="e">
        <f>$J$14*'Base Física'!N65</f>
        <v>#DIV/0!</v>
      </c>
      <c r="O35" s="146" t="e">
        <f>$J$14*'Base Física'!O65</f>
        <v>#DIV/0!</v>
      </c>
      <c r="P35" s="146" t="e">
        <f>$J$14*'Base Física'!P65</f>
        <v>#DIV/0!</v>
      </c>
      <c r="Q35" s="146" t="e">
        <f>$J$14*'Base Física'!Q65</f>
        <v>#DIV/0!</v>
      </c>
      <c r="R35" s="146" t="e">
        <f>$J$14*'Base Física'!R65</f>
        <v>#DIV/0!</v>
      </c>
      <c r="S35" s="146" t="e">
        <f>$J$14*'Base Física'!S65</f>
        <v>#DIV/0!</v>
      </c>
      <c r="T35" s="146" t="e">
        <f>$J$14*'Base Física'!T65</f>
        <v>#DIV/0!</v>
      </c>
      <c r="U35" s="146" t="e">
        <f>$J$14*'Base Física'!U65</f>
        <v>#DIV/0!</v>
      </c>
      <c r="V35" s="146" t="e">
        <f>$J$14*'Base Física'!V65</f>
        <v>#DIV/0!</v>
      </c>
      <c r="W35" s="146" t="e">
        <f>$J$14*'Base Física'!W65</f>
        <v>#DIV/0!</v>
      </c>
      <c r="X35" s="146" t="e">
        <f>$J$14*'Base Física'!X65</f>
        <v>#DIV/0!</v>
      </c>
      <c r="Y35" s="146" t="e">
        <f>$J$14*'Base Física'!Y65</f>
        <v>#DIV/0!</v>
      </c>
      <c r="Z35" s="146" t="e">
        <f>$J$14*'Base Física'!Z65</f>
        <v>#DIV/0!</v>
      </c>
      <c r="AA35" s="146" t="e">
        <f>$J$14*'Base Física'!AA65</f>
        <v>#DIV/0!</v>
      </c>
      <c r="AB35" s="146" t="e">
        <f>$J$14*'Base Física'!AB65</f>
        <v>#DIV/0!</v>
      </c>
      <c r="AC35" s="146" t="e">
        <f>$J$14*'Base Física'!AC65</f>
        <v>#DIV/0!</v>
      </c>
      <c r="AD35" s="146" t="e">
        <f>$J$14*'Base Física'!AD65</f>
        <v>#DIV/0!</v>
      </c>
      <c r="AE35" s="146" t="e">
        <f>$J$14*'Base Física'!AE65</f>
        <v>#DIV/0!</v>
      </c>
      <c r="AF35" s="146" t="e">
        <f>$J$14*'Base Física'!AF65</f>
        <v>#DIV/0!</v>
      </c>
      <c r="AG35" s="146" t="e">
        <f>$J$14*'Base Física'!AG65</f>
        <v>#DIV/0!</v>
      </c>
      <c r="AH35" s="146" t="e">
        <f>$J$14*'Base Física'!AH65</f>
        <v>#DIV/0!</v>
      </c>
      <c r="AI35" s="146" t="e">
        <f>$J$14*'Base Física'!AI65</f>
        <v>#DIV/0!</v>
      </c>
      <c r="AJ35" s="146" t="e">
        <f>$J$14*'Base Física'!AJ65</f>
        <v>#DIV/0!</v>
      </c>
      <c r="AK35" s="146" t="e">
        <f>$J$14*'Base Física'!AK65</f>
        <v>#DIV/0!</v>
      </c>
      <c r="AL35" s="146" t="e">
        <f>$J$14*'Base Física'!AL65</f>
        <v>#DIV/0!</v>
      </c>
      <c r="AM35" s="146" t="e">
        <f>$J$14*'Base Física'!AM65</f>
        <v>#DIV/0!</v>
      </c>
      <c r="AN35" s="146" t="e">
        <f>$J$14*'Base Física'!AN65</f>
        <v>#DIV/0!</v>
      </c>
      <c r="AO35" s="453" t="e">
        <f t="shared" ref="AO35:AO39" si="45">+SUM(F35:AN35)</f>
        <v>#DIV/0!</v>
      </c>
      <c r="AP35" s="71"/>
      <c r="AQ35" s="71"/>
      <c r="AR35" s="23"/>
      <c r="AS35" s="23"/>
    </row>
    <row r="36" spans="1:45" ht="15" x14ac:dyDescent="0.25">
      <c r="A36"/>
      <c r="B36" s="451" t="s">
        <v>95</v>
      </c>
      <c r="C36" s="493"/>
      <c r="D36" s="4"/>
      <c r="E36" s="99"/>
      <c r="F36" s="146" t="e">
        <f t="shared" ref="F36" si="46">F35*$C36</f>
        <v>#DIV/0!</v>
      </c>
      <c r="G36" s="146" t="e">
        <f t="shared" ref="G36:AN36" si="47">G35*$C36</f>
        <v>#DIV/0!</v>
      </c>
      <c r="H36" s="146" t="e">
        <f t="shared" si="47"/>
        <v>#DIV/0!</v>
      </c>
      <c r="I36" s="146" t="e">
        <f t="shared" si="47"/>
        <v>#DIV/0!</v>
      </c>
      <c r="J36" s="146" t="e">
        <f t="shared" si="47"/>
        <v>#DIV/0!</v>
      </c>
      <c r="K36" s="146" t="e">
        <f t="shared" si="47"/>
        <v>#DIV/0!</v>
      </c>
      <c r="L36" s="146" t="e">
        <f t="shared" si="47"/>
        <v>#DIV/0!</v>
      </c>
      <c r="M36" s="146" t="e">
        <f t="shared" si="47"/>
        <v>#DIV/0!</v>
      </c>
      <c r="N36" s="146" t="e">
        <f t="shared" si="47"/>
        <v>#DIV/0!</v>
      </c>
      <c r="O36" s="146" t="e">
        <f t="shared" si="47"/>
        <v>#DIV/0!</v>
      </c>
      <c r="P36" s="146" t="e">
        <f t="shared" si="47"/>
        <v>#DIV/0!</v>
      </c>
      <c r="Q36" s="146" t="e">
        <f t="shared" si="47"/>
        <v>#DIV/0!</v>
      </c>
      <c r="R36" s="146" t="e">
        <f t="shared" si="47"/>
        <v>#DIV/0!</v>
      </c>
      <c r="S36" s="146" t="e">
        <f t="shared" si="47"/>
        <v>#DIV/0!</v>
      </c>
      <c r="T36" s="146" t="e">
        <f t="shared" si="47"/>
        <v>#DIV/0!</v>
      </c>
      <c r="U36" s="146" t="e">
        <f t="shared" si="47"/>
        <v>#DIV/0!</v>
      </c>
      <c r="V36" s="146" t="e">
        <f t="shared" si="47"/>
        <v>#DIV/0!</v>
      </c>
      <c r="W36" s="146" t="e">
        <f t="shared" si="47"/>
        <v>#DIV/0!</v>
      </c>
      <c r="X36" s="146" t="e">
        <f t="shared" si="47"/>
        <v>#DIV/0!</v>
      </c>
      <c r="Y36" s="146" t="e">
        <f t="shared" si="47"/>
        <v>#DIV/0!</v>
      </c>
      <c r="Z36" s="146" t="e">
        <f t="shared" si="47"/>
        <v>#DIV/0!</v>
      </c>
      <c r="AA36" s="146" t="e">
        <f t="shared" si="47"/>
        <v>#DIV/0!</v>
      </c>
      <c r="AB36" s="146" t="e">
        <f t="shared" si="47"/>
        <v>#DIV/0!</v>
      </c>
      <c r="AC36" s="146" t="e">
        <f t="shared" si="47"/>
        <v>#DIV/0!</v>
      </c>
      <c r="AD36" s="146" t="e">
        <f t="shared" si="47"/>
        <v>#DIV/0!</v>
      </c>
      <c r="AE36" s="146" t="e">
        <f t="shared" si="47"/>
        <v>#DIV/0!</v>
      </c>
      <c r="AF36" s="146" t="e">
        <f t="shared" si="47"/>
        <v>#DIV/0!</v>
      </c>
      <c r="AG36" s="146" t="e">
        <f t="shared" si="47"/>
        <v>#DIV/0!</v>
      </c>
      <c r="AH36" s="146" t="e">
        <f t="shared" si="47"/>
        <v>#DIV/0!</v>
      </c>
      <c r="AI36" s="146" t="e">
        <f t="shared" si="47"/>
        <v>#DIV/0!</v>
      </c>
      <c r="AJ36" s="146" t="e">
        <f t="shared" si="47"/>
        <v>#DIV/0!</v>
      </c>
      <c r="AK36" s="146" t="e">
        <f t="shared" si="47"/>
        <v>#DIV/0!</v>
      </c>
      <c r="AL36" s="146" t="e">
        <f t="shared" si="47"/>
        <v>#DIV/0!</v>
      </c>
      <c r="AM36" s="146" t="e">
        <f t="shared" si="47"/>
        <v>#DIV/0!</v>
      </c>
      <c r="AN36" s="146" t="e">
        <f t="shared" si="47"/>
        <v>#DIV/0!</v>
      </c>
      <c r="AO36" s="453" t="e">
        <f t="shared" si="45"/>
        <v>#DIV/0!</v>
      </c>
      <c r="AP36" s="71"/>
      <c r="AQ36" s="71"/>
      <c r="AR36" s="23"/>
    </row>
    <row r="37" spans="1:45" ht="15" x14ac:dyDescent="0.25">
      <c r="A37"/>
      <c r="B37" s="451" t="s">
        <v>81</v>
      </c>
      <c r="C37" s="238"/>
      <c r="D37" s="4"/>
      <c r="E37" s="99"/>
      <c r="F37" s="146" t="e">
        <f>(F35+F36)*(1-'Base Física'!F44)</f>
        <v>#DIV/0!</v>
      </c>
      <c r="G37" s="146" t="e">
        <f>(G35+G36)*(1-'Base Física'!G44)</f>
        <v>#DIV/0!</v>
      </c>
      <c r="H37" s="146" t="e">
        <f>(H35+H36)*(1-'Base Física'!H44)</f>
        <v>#DIV/0!</v>
      </c>
      <c r="I37" s="146" t="e">
        <f>(I35+I36)*(1-'Base Física'!I44)</f>
        <v>#DIV/0!</v>
      </c>
      <c r="J37" s="146" t="e">
        <f>(J35+J36)*(1-'Base Física'!J44)</f>
        <v>#DIV/0!</v>
      </c>
      <c r="K37" s="146" t="e">
        <f>(K35+K36)*(1-'Base Física'!K44)</f>
        <v>#DIV/0!</v>
      </c>
      <c r="L37" s="146" t="e">
        <f>(L35+L36)*(1-'Base Física'!L44)</f>
        <v>#DIV/0!</v>
      </c>
      <c r="M37" s="146" t="e">
        <f>(M35+M36)*(1-'Base Física'!M44)</f>
        <v>#DIV/0!</v>
      </c>
      <c r="N37" s="146" t="e">
        <f>(N35+N36)*(1-'Base Física'!N44)</f>
        <v>#DIV/0!</v>
      </c>
      <c r="O37" s="146" t="e">
        <f>(O35+O36)*(1-'Base Física'!O44)</f>
        <v>#DIV/0!</v>
      </c>
      <c r="P37" s="146" t="e">
        <f>(P35+P36)*(1-'Base Física'!P44)</f>
        <v>#DIV/0!</v>
      </c>
      <c r="Q37" s="146" t="e">
        <f>(Q35+Q36)*(1-'Base Física'!Q44)</f>
        <v>#DIV/0!</v>
      </c>
      <c r="R37" s="146" t="e">
        <f>(R35+R36)*(1-'Base Física'!R44)</f>
        <v>#DIV/0!</v>
      </c>
      <c r="S37" s="146" t="e">
        <f>(S35+S36)*(1-'Base Física'!S44)</f>
        <v>#DIV/0!</v>
      </c>
      <c r="T37" s="146" t="e">
        <f>(T35+T36)*(1-'Base Física'!T44)</f>
        <v>#DIV/0!</v>
      </c>
      <c r="U37" s="146" t="e">
        <f>(U35+U36)*(1-'Base Física'!U44)</f>
        <v>#DIV/0!</v>
      </c>
      <c r="V37" s="146" t="e">
        <f>(V35+V36)*(1-'Base Física'!V44)</f>
        <v>#DIV/0!</v>
      </c>
      <c r="W37" s="146" t="e">
        <f>(W35+W36)*(1-'Base Física'!W44)</f>
        <v>#DIV/0!</v>
      </c>
      <c r="X37" s="146" t="e">
        <f>(X35+X36)*(1-'Base Física'!X44)</f>
        <v>#DIV/0!</v>
      </c>
      <c r="Y37" s="146" t="e">
        <f>(Y35+Y36)*(1-'Base Física'!Y44)</f>
        <v>#DIV/0!</v>
      </c>
      <c r="Z37" s="146" t="e">
        <f>(Z35+Z36)*(1-'Base Física'!Z44)</f>
        <v>#DIV/0!</v>
      </c>
      <c r="AA37" s="146" t="e">
        <f>(AA35+AA36)*(1-'Base Física'!AA44)</f>
        <v>#DIV/0!</v>
      </c>
      <c r="AB37" s="146" t="e">
        <f>(AB35+AB36)*(1-'Base Física'!AB44)</f>
        <v>#DIV/0!</v>
      </c>
      <c r="AC37" s="146" t="e">
        <f>(AC35+AC36)*(1-'Base Física'!AC44)</f>
        <v>#DIV/0!</v>
      </c>
      <c r="AD37" s="146" t="e">
        <f>(AD35+AD36)*(1-'Base Física'!AD44)</f>
        <v>#DIV/0!</v>
      </c>
      <c r="AE37" s="146" t="e">
        <f>(AE35+AE36)*(1-'Base Física'!AE44)</f>
        <v>#DIV/0!</v>
      </c>
      <c r="AF37" s="146" t="e">
        <f>(AF35+AF36)*(1-'Base Física'!AF44)</f>
        <v>#DIV/0!</v>
      </c>
      <c r="AG37" s="146" t="e">
        <f>(AG35+AG36)*(1-'Base Física'!AG44)</f>
        <v>#DIV/0!</v>
      </c>
      <c r="AH37" s="146" t="e">
        <f>(AH35+AH36)*(1-'Base Física'!AH44)</f>
        <v>#DIV/0!</v>
      </c>
      <c r="AI37" s="146" t="e">
        <f>(AI35+AI36)*(1-'Base Física'!AI44)</f>
        <v>#DIV/0!</v>
      </c>
      <c r="AJ37" s="146" t="e">
        <f>(AJ35+AJ36)*(1-'Base Física'!AJ44)</f>
        <v>#DIV/0!</v>
      </c>
      <c r="AK37" s="146" t="e">
        <f>(AK35+AK36)*(1-'Base Física'!AK44)</f>
        <v>#DIV/0!</v>
      </c>
      <c r="AL37" s="146" t="e">
        <f>(AL35+AL36)*(1-'Base Física'!AL44)</f>
        <v>#DIV/0!</v>
      </c>
      <c r="AM37" s="146" t="e">
        <f>(AM35+AM36)*(1-'Base Física'!AM44)</f>
        <v>#DIV/0!</v>
      </c>
      <c r="AN37" s="146" t="e">
        <f>(AN35+AN36)*(1-'Base Física'!AN44)</f>
        <v>#DIV/0!</v>
      </c>
      <c r="AO37" s="453" t="e">
        <f t="shared" si="45"/>
        <v>#DIV/0!</v>
      </c>
      <c r="AP37" s="71"/>
      <c r="AQ37" s="71"/>
      <c r="AR37" s="23"/>
      <c r="AS37" s="23"/>
    </row>
    <row r="38" spans="1:45" ht="15" x14ac:dyDescent="0.25">
      <c r="A38"/>
      <c r="B38" s="451" t="s">
        <v>82</v>
      </c>
      <c r="C38" s="493"/>
      <c r="D38" s="4"/>
      <c r="E38" s="99"/>
      <c r="F38" s="146" t="e">
        <f t="shared" ref="F38" si="48">IF(E38&lt;=0,(F35+F36-F37)*$C38,(E35+E36-E37)*(1-$C$31)+(F35+F36-F37)*$C38)</f>
        <v>#DIV/0!</v>
      </c>
      <c r="G38" s="146" t="e">
        <f t="shared" ref="G38" si="49">IF(F38&lt;=0,(G35+G36-G37)*$C38,(F35+F36-F37)*(1-$C$31)+(G35+G36-G37)*$C38)</f>
        <v>#DIV/0!</v>
      </c>
      <c r="H38" s="146" t="e">
        <f t="shared" ref="H38" si="50">IF(G38&lt;=0,(H35+H36-H37)*$C38,(G35+G36-G37)*(1-$C$31)+(H35+H36-H37)*$C38)</f>
        <v>#DIV/0!</v>
      </c>
      <c r="I38" s="146" t="e">
        <f t="shared" ref="I38" si="51">IF(H38&lt;=0,(I35+I36-I37)*$C38,(H35+H36-H37)*(1-$C$31)+(I35+I36-I37)*$C38)</f>
        <v>#DIV/0!</v>
      </c>
      <c r="J38" s="146" t="e">
        <f t="shared" ref="J38" si="52">IF(I38&lt;=0,(J35+J36-J37)*$C38,(I35+I36-I37)*(1-$C$31)+(J35+J36-J37)*$C38)</f>
        <v>#DIV/0!</v>
      </c>
      <c r="K38" s="146" t="e">
        <f t="shared" ref="K38" si="53">IF(J38&lt;=0,(K35+K36-K37)*$C38,(J35+J36-J37)*(1-$C$31)+(K35+K36-K37)*$C38)</f>
        <v>#DIV/0!</v>
      </c>
      <c r="L38" s="146" t="e">
        <f t="shared" ref="L38" si="54">IF(K38&lt;=0,(L35+L36-L37)*$C38,(K35+K36-K37)*(1-$C$31)+(L35+L36-L37)*$C38)</f>
        <v>#DIV/0!</v>
      </c>
      <c r="M38" s="146" t="e">
        <f t="shared" ref="M38" si="55">IF(L38&lt;=0,(M35+M36-M37)*$C38,(L35+L36-L37)*(1-$C$31)+(M35+M36-M37)*$C38)</f>
        <v>#DIV/0!</v>
      </c>
      <c r="N38" s="146" t="e">
        <f t="shared" ref="N38" si="56">IF(M38&lt;=0,(N35+N36-N37)*$C38,(M35+M36-M37)*(1-$C$31)+(N35+N36-N37)*$C38)</f>
        <v>#DIV/0!</v>
      </c>
      <c r="O38" s="146" t="e">
        <f t="shared" ref="O38" si="57">IF(N38&lt;=0,(O35+O36-O37)*$C38,(N35+N36-N37)*(1-$C$31)+(O35+O36-O37)*$C38)</f>
        <v>#DIV/0!</v>
      </c>
      <c r="P38" s="146" t="e">
        <f t="shared" ref="P38" si="58">IF(O38&lt;=0,(P35+P36-P37)*$C38,(O35+O36-O37)*(1-$C$31)+(P35+P36-P37)*$C38)</f>
        <v>#DIV/0!</v>
      </c>
      <c r="Q38" s="146" t="e">
        <f t="shared" ref="Q38" si="59">IF(P38&lt;=0,(Q35+Q36-Q37)*$C38,(P35+P36-P37)*(1-$C$31)+(Q35+Q36-Q37)*$C38)</f>
        <v>#DIV/0!</v>
      </c>
      <c r="R38" s="146" t="e">
        <f t="shared" ref="R38" si="60">IF(Q38&lt;=0,(R35+R36-R37)*$C38,(Q35+Q36-Q37)*(1-$C$31)+(R35+R36-R37)*$C38)</f>
        <v>#DIV/0!</v>
      </c>
      <c r="S38" s="146" t="e">
        <f t="shared" ref="S38" si="61">IF(R38&lt;=0,(S35+S36-S37)*$C38,(R35+R36-R37)*(1-$C$31)+(S35+S36-S37)*$C38)</f>
        <v>#DIV/0!</v>
      </c>
      <c r="T38" s="146" t="e">
        <f t="shared" ref="T38" si="62">IF(S38&lt;=0,(T35+T36-T37)*$C38,(S35+S36-S37)*(1-$C$31)+(T35+T36-T37)*$C38)</f>
        <v>#DIV/0!</v>
      </c>
      <c r="U38" s="146" t="e">
        <f t="shared" ref="U38" si="63">IF(T38&lt;=0,(U35+U36-U37)*$C38,(T35+T36-T37)*(1-$C$31)+(U35+U36-U37)*$C38)</f>
        <v>#DIV/0!</v>
      </c>
      <c r="V38" s="146" t="e">
        <f t="shared" ref="V38" si="64">IF(U38&lt;=0,(V35+V36-V37)*$C38,(U35+U36-U37)*(1-$C$31)+(V35+V36-V37)*$C38)</f>
        <v>#DIV/0!</v>
      </c>
      <c r="W38" s="146" t="e">
        <f t="shared" ref="W38" si="65">IF(V38&lt;=0,(W35+W36-W37)*$C38,(V35+V36-V37)*(1-$C$31)+(W35+W36-W37)*$C38)</f>
        <v>#DIV/0!</v>
      </c>
      <c r="X38" s="146" t="e">
        <f t="shared" ref="X38" si="66">IF(W38&lt;=0,(X35+X36-X37)*$C38,(W35+W36-W37)*(1-$C$31)+(X35+X36-X37)*$C38)</f>
        <v>#DIV/0!</v>
      </c>
      <c r="Y38" s="146" t="e">
        <f t="shared" ref="Y38" si="67">IF(X38&lt;=0,(Y35+Y36-Y37)*$C38,(X35+X36-X37)*(1-$C$31)+(Y35+Y36-Y37)*$C38)</f>
        <v>#DIV/0!</v>
      </c>
      <c r="Z38" s="146" t="e">
        <f t="shared" ref="Z38" si="68">IF(Y38&lt;=0,(Z35+Z36-Z37)*$C38,(Y35+Y36-Y37)*(1-$C$31)+(Z35+Z36-Z37)*$C38)</f>
        <v>#DIV/0!</v>
      </c>
      <c r="AA38" s="146" t="e">
        <f t="shared" ref="AA38" si="69">IF(Z38&lt;=0,(AA35+AA36-AA37)*$C38,(Z35+Z36-Z37)*(1-$C$31)+(AA35+AA36-AA37)*$C38)</f>
        <v>#DIV/0!</v>
      </c>
      <c r="AB38" s="146" t="e">
        <f t="shared" ref="AB38" si="70">IF(AA38&lt;=0,(AB35+AB36-AB37)*$C38,(AA35+AA36-AA37)*(1-$C$31)+(AB35+AB36-AB37)*$C38)</f>
        <v>#DIV/0!</v>
      </c>
      <c r="AC38" s="146" t="e">
        <f t="shared" ref="AC38" si="71">IF(AB38&lt;=0,(AC35+AC36-AC37)*$C38,(AB35+AB36-AB37)*(1-$C$31)+(AC35+AC36-AC37)*$C38)</f>
        <v>#DIV/0!</v>
      </c>
      <c r="AD38" s="146" t="e">
        <f t="shared" ref="AD38" si="72">IF(AC38&lt;=0,(AD35+AD36-AD37)*$C38,(AC35+AC36-AC37)*(1-$C$31)+(AD35+AD36-AD37)*$C38)</f>
        <v>#DIV/0!</v>
      </c>
      <c r="AE38" s="146" t="e">
        <f t="shared" ref="AE38" si="73">IF(AD38&lt;=0,(AE35+AE36-AE37)*$C38,(AD35+AD36-AD37)*(1-$C$31)+(AE35+AE36-AE37)*$C38)</f>
        <v>#DIV/0!</v>
      </c>
      <c r="AF38" s="146" t="e">
        <f t="shared" ref="AF38" si="74">IF(AE38&lt;=0,(AF35+AF36-AF37)*$C38,(AE35+AE36-AE37)*(1-$C$31)+(AF35+AF36-AF37)*$C38)</f>
        <v>#DIV/0!</v>
      </c>
      <c r="AG38" s="146" t="e">
        <f t="shared" ref="AG38" si="75">IF(AF38&lt;=0,(AG35+AG36-AG37)*$C38,(AF35+AF36-AF37)*(1-$C$31)+(AG35+AG36-AG37)*$C38)</f>
        <v>#DIV/0!</v>
      </c>
      <c r="AH38" s="146" t="e">
        <f t="shared" ref="AH38" si="76">IF(AG38&lt;=0,(AH35+AH36-AH37)*$C38,(AG35+AG36-AG37)*(1-$C$31)+(AH35+AH36-AH37)*$C38)</f>
        <v>#DIV/0!</v>
      </c>
      <c r="AI38" s="146" t="e">
        <f t="shared" ref="AI38" si="77">IF(AH38&lt;=0,(AI35+AI36-AI37)*$C38,(AH35+AH36-AH37)*(1-$C$31)+(AI35+AI36-AI37)*$C38)</f>
        <v>#DIV/0!</v>
      </c>
      <c r="AJ38" s="146" t="e">
        <f t="shared" ref="AJ38" si="78">IF(AI38&lt;=0,(AJ35+AJ36-AJ37)*$C38,(AI35+AI36-AI37)*(1-$C$31)+(AJ35+AJ36-AJ37)*$C38)</f>
        <v>#DIV/0!</v>
      </c>
      <c r="AK38" s="146" t="e">
        <f t="shared" ref="AK38" si="79">IF(AJ38&lt;=0,(AK35+AK36-AK37)*$C38,(AJ35+AJ36-AJ37)*(1-$C$31)+(AK35+AK36-AK37)*$C38)</f>
        <v>#DIV/0!</v>
      </c>
      <c r="AL38" s="146" t="e">
        <f t="shared" ref="AL38" si="80">IF(AK38&lt;=0,(AL35+AL36-AL37)*$C38,(AK35+AK36-AK37)*(1-$C$31)+(AL35+AL36-AL37)*$C38)</f>
        <v>#DIV/0!</v>
      </c>
      <c r="AM38" s="146" t="e">
        <f t="shared" ref="AM38" si="81">IF(AL38&lt;=0,(AM35+AM36-AM37)*$C38,(AL35+AL36-AL37)*(1-$C$31)+(AM35+AM36-AM37)*$C38)</f>
        <v>#DIV/0!</v>
      </c>
      <c r="AN38" s="146" t="e">
        <f t="shared" ref="AN38" si="82">IF(AM38&lt;=0,(AN35+AN36-AN37)*$C38,(AM35+AM36-AM37)*(1-$C$31)+(AN35+AN36-AN37)*$C38)</f>
        <v>#DIV/0!</v>
      </c>
      <c r="AO38" s="453" t="e">
        <f t="shared" si="45"/>
        <v>#DIV/0!</v>
      </c>
      <c r="AP38" s="71"/>
      <c r="AQ38" s="71"/>
      <c r="AR38" s="23"/>
      <c r="AS38" s="23"/>
    </row>
    <row r="39" spans="1:45" ht="15" x14ac:dyDescent="0.25">
      <c r="A39" s="66"/>
      <c r="B39" s="451" t="s">
        <v>138</v>
      </c>
      <c r="C39" s="4"/>
      <c r="D39" s="4"/>
      <c r="E39" s="99"/>
      <c r="F39" s="146" t="e">
        <f t="shared" ref="F39" si="83">F38 -(F35+F36-F37)</f>
        <v>#DIV/0!</v>
      </c>
      <c r="G39" s="146" t="e">
        <f t="shared" ref="G39:AN39" si="84">G38 -(G35+G36-G37)</f>
        <v>#DIV/0!</v>
      </c>
      <c r="H39" s="146" t="e">
        <f t="shared" si="84"/>
        <v>#DIV/0!</v>
      </c>
      <c r="I39" s="146" t="e">
        <f t="shared" si="84"/>
        <v>#DIV/0!</v>
      </c>
      <c r="J39" s="146" t="e">
        <f t="shared" si="84"/>
        <v>#DIV/0!</v>
      </c>
      <c r="K39" s="146" t="e">
        <f t="shared" si="84"/>
        <v>#DIV/0!</v>
      </c>
      <c r="L39" s="146" t="e">
        <f t="shared" si="84"/>
        <v>#DIV/0!</v>
      </c>
      <c r="M39" s="146" t="e">
        <f t="shared" si="84"/>
        <v>#DIV/0!</v>
      </c>
      <c r="N39" s="146" t="e">
        <f t="shared" si="84"/>
        <v>#DIV/0!</v>
      </c>
      <c r="O39" s="146" t="e">
        <f t="shared" si="84"/>
        <v>#DIV/0!</v>
      </c>
      <c r="P39" s="146" t="e">
        <f t="shared" si="84"/>
        <v>#DIV/0!</v>
      </c>
      <c r="Q39" s="146" t="e">
        <f t="shared" si="84"/>
        <v>#DIV/0!</v>
      </c>
      <c r="R39" s="146" t="e">
        <f t="shared" si="84"/>
        <v>#DIV/0!</v>
      </c>
      <c r="S39" s="146" t="e">
        <f t="shared" si="84"/>
        <v>#DIV/0!</v>
      </c>
      <c r="T39" s="146" t="e">
        <f t="shared" si="84"/>
        <v>#DIV/0!</v>
      </c>
      <c r="U39" s="146" t="e">
        <f t="shared" si="84"/>
        <v>#DIV/0!</v>
      </c>
      <c r="V39" s="146" t="e">
        <f t="shared" si="84"/>
        <v>#DIV/0!</v>
      </c>
      <c r="W39" s="146" t="e">
        <f t="shared" si="84"/>
        <v>#DIV/0!</v>
      </c>
      <c r="X39" s="146" t="e">
        <f t="shared" si="84"/>
        <v>#DIV/0!</v>
      </c>
      <c r="Y39" s="146" t="e">
        <f t="shared" si="84"/>
        <v>#DIV/0!</v>
      </c>
      <c r="Z39" s="146" t="e">
        <f t="shared" si="84"/>
        <v>#DIV/0!</v>
      </c>
      <c r="AA39" s="146" t="e">
        <f t="shared" si="84"/>
        <v>#DIV/0!</v>
      </c>
      <c r="AB39" s="146" t="e">
        <f t="shared" si="84"/>
        <v>#DIV/0!</v>
      </c>
      <c r="AC39" s="146" t="e">
        <f t="shared" si="84"/>
        <v>#DIV/0!</v>
      </c>
      <c r="AD39" s="146" t="e">
        <f t="shared" si="84"/>
        <v>#DIV/0!</v>
      </c>
      <c r="AE39" s="146" t="e">
        <f t="shared" si="84"/>
        <v>#DIV/0!</v>
      </c>
      <c r="AF39" s="146" t="e">
        <f t="shared" si="84"/>
        <v>#DIV/0!</v>
      </c>
      <c r="AG39" s="146" t="e">
        <f t="shared" si="84"/>
        <v>#DIV/0!</v>
      </c>
      <c r="AH39" s="146" t="e">
        <f t="shared" si="84"/>
        <v>#DIV/0!</v>
      </c>
      <c r="AI39" s="146" t="e">
        <f t="shared" si="84"/>
        <v>#DIV/0!</v>
      </c>
      <c r="AJ39" s="146" t="e">
        <f t="shared" si="84"/>
        <v>#DIV/0!</v>
      </c>
      <c r="AK39" s="146" t="e">
        <f t="shared" si="84"/>
        <v>#DIV/0!</v>
      </c>
      <c r="AL39" s="146" t="e">
        <f t="shared" si="84"/>
        <v>#DIV/0!</v>
      </c>
      <c r="AM39" s="146" t="e">
        <f t="shared" si="84"/>
        <v>#DIV/0!</v>
      </c>
      <c r="AN39" s="146" t="e">
        <f t="shared" si="84"/>
        <v>#DIV/0!</v>
      </c>
      <c r="AO39" s="453" t="e">
        <f t="shared" si="45"/>
        <v>#DIV/0!</v>
      </c>
      <c r="AP39" s="71"/>
      <c r="AQ39" s="71"/>
      <c r="AR39" s="23"/>
      <c r="AS39" s="28"/>
    </row>
    <row r="40" spans="1:45" ht="15" x14ac:dyDescent="0.25">
      <c r="A40" s="66"/>
      <c r="B40" s="451"/>
      <c r="C40" s="4"/>
      <c r="D40" s="4"/>
      <c r="E40" s="99"/>
      <c r="F40" s="99"/>
      <c r="G40" s="99"/>
      <c r="H40" s="99"/>
      <c r="I40" s="99"/>
      <c r="J40" s="99"/>
      <c r="K40" s="99"/>
      <c r="L40" s="99"/>
      <c r="M40" s="99"/>
      <c r="N40" s="99"/>
      <c r="O40" s="99"/>
      <c r="P40" s="99"/>
      <c r="Q40" s="99"/>
      <c r="R40" s="99"/>
      <c r="S40" s="99"/>
      <c r="T40" s="99"/>
      <c r="U40" s="99"/>
      <c r="V40" s="99"/>
      <c r="W40" s="99"/>
      <c r="X40" s="99"/>
      <c r="Y40" s="99"/>
      <c r="Z40" s="99"/>
      <c r="AA40" s="99"/>
      <c r="AB40" s="99"/>
      <c r="AC40" s="99"/>
      <c r="AD40" s="99"/>
      <c r="AE40" s="99"/>
      <c r="AF40" s="99"/>
      <c r="AG40" s="99"/>
      <c r="AH40" s="99"/>
      <c r="AI40" s="99"/>
      <c r="AJ40" s="494"/>
      <c r="AK40" s="494"/>
      <c r="AL40" s="494"/>
      <c r="AM40" s="494"/>
      <c r="AN40" s="494"/>
      <c r="AO40" s="492"/>
      <c r="AP40" s="71"/>
      <c r="AQ40" s="71"/>
      <c r="AR40" s="23"/>
    </row>
    <row r="41" spans="1:45" ht="15" x14ac:dyDescent="0.25">
      <c r="A41" s="66"/>
      <c r="B41" s="451"/>
      <c r="C41" s="4"/>
      <c r="D41" s="4"/>
      <c r="E41" s="99"/>
      <c r="F41" s="99"/>
      <c r="G41" s="99"/>
      <c r="H41" s="99"/>
      <c r="I41" s="99"/>
      <c r="J41" s="99"/>
      <c r="K41" s="99"/>
      <c r="L41" s="99"/>
      <c r="M41" s="99"/>
      <c r="N41" s="99"/>
      <c r="O41" s="99"/>
      <c r="P41" s="99"/>
      <c r="Q41" s="99"/>
      <c r="R41" s="99"/>
      <c r="S41" s="99"/>
      <c r="T41" s="99"/>
      <c r="U41" s="99"/>
      <c r="V41" s="99"/>
      <c r="W41" s="99"/>
      <c r="X41" s="99"/>
      <c r="Y41" s="99"/>
      <c r="Z41" s="99"/>
      <c r="AA41" s="99"/>
      <c r="AB41" s="99"/>
      <c r="AC41" s="99"/>
      <c r="AD41" s="99"/>
      <c r="AE41" s="99"/>
      <c r="AF41" s="99"/>
      <c r="AG41" s="99"/>
      <c r="AH41" s="99"/>
      <c r="AI41" s="99"/>
      <c r="AJ41" s="494"/>
      <c r="AK41" s="494"/>
      <c r="AL41" s="494"/>
      <c r="AM41" s="494"/>
      <c r="AN41" s="494"/>
      <c r="AO41" s="492"/>
      <c r="AP41" s="71"/>
      <c r="AQ41" s="71"/>
      <c r="AR41" s="23"/>
    </row>
    <row r="42" spans="1:45" ht="15" x14ac:dyDescent="0.25">
      <c r="A42" s="66"/>
      <c r="B42" s="455" t="s">
        <v>139</v>
      </c>
      <c r="C42" s="495"/>
      <c r="D42" s="4"/>
      <c r="E42" s="99"/>
      <c r="F42" s="146" t="e">
        <f>F28+F29+F35+F36</f>
        <v>#DIV/0!</v>
      </c>
      <c r="G42" s="146" t="e">
        <f t="shared" ref="G42:AI42" si="85">G28+G29+G35+G36</f>
        <v>#DIV/0!</v>
      </c>
      <c r="H42" s="146" t="e">
        <f t="shared" si="85"/>
        <v>#DIV/0!</v>
      </c>
      <c r="I42" s="146" t="e">
        <f t="shared" si="85"/>
        <v>#DIV/0!</v>
      </c>
      <c r="J42" s="146" t="e">
        <f t="shared" si="85"/>
        <v>#DIV/0!</v>
      </c>
      <c r="K42" s="146" t="e">
        <f t="shared" si="85"/>
        <v>#DIV/0!</v>
      </c>
      <c r="L42" s="146" t="e">
        <f t="shared" si="85"/>
        <v>#DIV/0!</v>
      </c>
      <c r="M42" s="146" t="e">
        <f t="shared" si="85"/>
        <v>#DIV/0!</v>
      </c>
      <c r="N42" s="146" t="e">
        <f t="shared" si="85"/>
        <v>#DIV/0!</v>
      </c>
      <c r="O42" s="146" t="e">
        <f t="shared" si="85"/>
        <v>#DIV/0!</v>
      </c>
      <c r="P42" s="146" t="e">
        <f t="shared" si="85"/>
        <v>#DIV/0!</v>
      </c>
      <c r="Q42" s="146" t="e">
        <f t="shared" si="85"/>
        <v>#DIV/0!</v>
      </c>
      <c r="R42" s="146" t="e">
        <f t="shared" si="85"/>
        <v>#DIV/0!</v>
      </c>
      <c r="S42" s="146" t="e">
        <f t="shared" si="85"/>
        <v>#DIV/0!</v>
      </c>
      <c r="T42" s="146" t="e">
        <f t="shared" si="85"/>
        <v>#DIV/0!</v>
      </c>
      <c r="U42" s="146" t="e">
        <f t="shared" si="85"/>
        <v>#DIV/0!</v>
      </c>
      <c r="V42" s="146" t="e">
        <f t="shared" si="85"/>
        <v>#DIV/0!</v>
      </c>
      <c r="W42" s="146" t="e">
        <f t="shared" si="85"/>
        <v>#DIV/0!</v>
      </c>
      <c r="X42" s="146" t="e">
        <f t="shared" si="85"/>
        <v>#DIV/0!</v>
      </c>
      <c r="Y42" s="146" t="e">
        <f t="shared" si="85"/>
        <v>#DIV/0!</v>
      </c>
      <c r="Z42" s="146" t="e">
        <f t="shared" si="85"/>
        <v>#DIV/0!</v>
      </c>
      <c r="AA42" s="146" t="e">
        <f t="shared" si="85"/>
        <v>#DIV/0!</v>
      </c>
      <c r="AB42" s="146" t="e">
        <f t="shared" si="85"/>
        <v>#DIV/0!</v>
      </c>
      <c r="AC42" s="146" t="e">
        <f t="shared" si="85"/>
        <v>#DIV/0!</v>
      </c>
      <c r="AD42" s="146" t="e">
        <f t="shared" si="85"/>
        <v>#DIV/0!</v>
      </c>
      <c r="AE42" s="146" t="e">
        <f t="shared" si="85"/>
        <v>#DIV/0!</v>
      </c>
      <c r="AF42" s="146" t="e">
        <f t="shared" si="85"/>
        <v>#DIV/0!</v>
      </c>
      <c r="AG42" s="146" t="e">
        <f t="shared" si="85"/>
        <v>#DIV/0!</v>
      </c>
      <c r="AH42" s="146" t="e">
        <f t="shared" si="85"/>
        <v>#DIV/0!</v>
      </c>
      <c r="AI42" s="146" t="e">
        <f t="shared" si="85"/>
        <v>#DIV/0!</v>
      </c>
      <c r="AJ42" s="146" t="e">
        <f t="shared" ref="AJ42:AN42" si="86">AJ28+AJ29+AJ35+AJ36</f>
        <v>#DIV/0!</v>
      </c>
      <c r="AK42" s="146" t="e">
        <f t="shared" si="86"/>
        <v>#DIV/0!</v>
      </c>
      <c r="AL42" s="146" t="e">
        <f t="shared" si="86"/>
        <v>#DIV/0!</v>
      </c>
      <c r="AM42" s="146" t="e">
        <f t="shared" si="86"/>
        <v>#DIV/0!</v>
      </c>
      <c r="AN42" s="146" t="e">
        <f t="shared" si="86"/>
        <v>#DIV/0!</v>
      </c>
      <c r="AO42" s="453" t="e">
        <f t="shared" ref="AO42:AO44" si="87">+SUM(F42:AN42)</f>
        <v>#DIV/0!</v>
      </c>
      <c r="AP42" s="71"/>
      <c r="AQ42" s="71"/>
      <c r="AR42" s="23"/>
    </row>
    <row r="43" spans="1:45" ht="15" x14ac:dyDescent="0.25">
      <c r="A43" s="66"/>
      <c r="B43" s="455" t="s">
        <v>140</v>
      </c>
      <c r="C43" s="495"/>
      <c r="D43" s="4"/>
      <c r="E43" s="99"/>
      <c r="F43" s="146" t="e">
        <f>F30+F31+F37+F38</f>
        <v>#DIV/0!</v>
      </c>
      <c r="G43" s="146" t="e">
        <f t="shared" ref="G43:AI43" si="88">G30+G31+G37+G38</f>
        <v>#DIV/0!</v>
      </c>
      <c r="H43" s="146" t="e">
        <f t="shared" si="88"/>
        <v>#DIV/0!</v>
      </c>
      <c r="I43" s="146" t="e">
        <f t="shared" si="88"/>
        <v>#DIV/0!</v>
      </c>
      <c r="J43" s="146" t="e">
        <f t="shared" si="88"/>
        <v>#DIV/0!</v>
      </c>
      <c r="K43" s="146" t="e">
        <f t="shared" si="88"/>
        <v>#DIV/0!</v>
      </c>
      <c r="L43" s="146" t="e">
        <f t="shared" si="88"/>
        <v>#DIV/0!</v>
      </c>
      <c r="M43" s="146" t="e">
        <f t="shared" si="88"/>
        <v>#DIV/0!</v>
      </c>
      <c r="N43" s="146" t="e">
        <f t="shared" si="88"/>
        <v>#DIV/0!</v>
      </c>
      <c r="O43" s="146" t="e">
        <f t="shared" si="88"/>
        <v>#DIV/0!</v>
      </c>
      <c r="P43" s="146" t="e">
        <f t="shared" si="88"/>
        <v>#DIV/0!</v>
      </c>
      <c r="Q43" s="146" t="e">
        <f t="shared" si="88"/>
        <v>#DIV/0!</v>
      </c>
      <c r="R43" s="146" t="e">
        <f t="shared" si="88"/>
        <v>#DIV/0!</v>
      </c>
      <c r="S43" s="146" t="e">
        <f t="shared" si="88"/>
        <v>#DIV/0!</v>
      </c>
      <c r="T43" s="146" t="e">
        <f t="shared" si="88"/>
        <v>#DIV/0!</v>
      </c>
      <c r="U43" s="146" t="e">
        <f t="shared" si="88"/>
        <v>#DIV/0!</v>
      </c>
      <c r="V43" s="146" t="e">
        <f t="shared" si="88"/>
        <v>#DIV/0!</v>
      </c>
      <c r="W43" s="146" t="e">
        <f t="shared" si="88"/>
        <v>#DIV/0!</v>
      </c>
      <c r="X43" s="146" t="e">
        <f t="shared" si="88"/>
        <v>#DIV/0!</v>
      </c>
      <c r="Y43" s="146" t="e">
        <f t="shared" si="88"/>
        <v>#DIV/0!</v>
      </c>
      <c r="Z43" s="146" t="e">
        <f t="shared" si="88"/>
        <v>#DIV/0!</v>
      </c>
      <c r="AA43" s="146" t="e">
        <f t="shared" si="88"/>
        <v>#DIV/0!</v>
      </c>
      <c r="AB43" s="146" t="e">
        <f t="shared" si="88"/>
        <v>#DIV/0!</v>
      </c>
      <c r="AC43" s="146" t="e">
        <f t="shared" si="88"/>
        <v>#DIV/0!</v>
      </c>
      <c r="AD43" s="146" t="e">
        <f t="shared" si="88"/>
        <v>#DIV/0!</v>
      </c>
      <c r="AE43" s="146" t="e">
        <f t="shared" si="88"/>
        <v>#DIV/0!</v>
      </c>
      <c r="AF43" s="146" t="e">
        <f t="shared" si="88"/>
        <v>#DIV/0!</v>
      </c>
      <c r="AG43" s="146" t="e">
        <f t="shared" si="88"/>
        <v>#DIV/0!</v>
      </c>
      <c r="AH43" s="146" t="e">
        <f t="shared" si="88"/>
        <v>#DIV/0!</v>
      </c>
      <c r="AI43" s="146" t="e">
        <f t="shared" si="88"/>
        <v>#DIV/0!</v>
      </c>
      <c r="AJ43" s="146" t="e">
        <f t="shared" ref="AJ43:AN43" si="89">AJ30+AJ31+AJ37+AJ38</f>
        <v>#DIV/0!</v>
      </c>
      <c r="AK43" s="146" t="e">
        <f t="shared" si="89"/>
        <v>#DIV/0!</v>
      </c>
      <c r="AL43" s="146" t="e">
        <f t="shared" si="89"/>
        <v>#DIV/0!</v>
      </c>
      <c r="AM43" s="146" t="e">
        <f t="shared" si="89"/>
        <v>#DIV/0!</v>
      </c>
      <c r="AN43" s="146" t="e">
        <f t="shared" si="89"/>
        <v>#DIV/0!</v>
      </c>
      <c r="AO43" s="453" t="e">
        <f t="shared" si="87"/>
        <v>#DIV/0!</v>
      </c>
      <c r="AP43" s="71"/>
      <c r="AQ43" s="71"/>
      <c r="AR43" s="23"/>
    </row>
    <row r="44" spans="1:45" ht="15" x14ac:dyDescent="0.25">
      <c r="A44" s="66"/>
      <c r="B44" s="455" t="s">
        <v>99</v>
      </c>
      <c r="C44" s="495"/>
      <c r="D44" s="4"/>
      <c r="E44" s="99"/>
      <c r="F44" s="146" t="e">
        <f>F43-(F28+F29+F35+F36)</f>
        <v>#DIV/0!</v>
      </c>
      <c r="G44" s="146" t="e">
        <f t="shared" ref="G44:AI44" si="90">G43-(G28+G29+G35+G36)</f>
        <v>#DIV/0!</v>
      </c>
      <c r="H44" s="146" t="e">
        <f t="shared" si="90"/>
        <v>#DIV/0!</v>
      </c>
      <c r="I44" s="146" t="e">
        <f t="shared" si="90"/>
        <v>#DIV/0!</v>
      </c>
      <c r="J44" s="146" t="e">
        <f t="shared" si="90"/>
        <v>#DIV/0!</v>
      </c>
      <c r="K44" s="146" t="e">
        <f t="shared" si="90"/>
        <v>#DIV/0!</v>
      </c>
      <c r="L44" s="146" t="e">
        <f t="shared" si="90"/>
        <v>#DIV/0!</v>
      </c>
      <c r="M44" s="146" t="e">
        <f t="shared" si="90"/>
        <v>#DIV/0!</v>
      </c>
      <c r="N44" s="146" t="e">
        <f t="shared" si="90"/>
        <v>#DIV/0!</v>
      </c>
      <c r="O44" s="146" t="e">
        <f t="shared" si="90"/>
        <v>#DIV/0!</v>
      </c>
      <c r="P44" s="146" t="e">
        <f t="shared" si="90"/>
        <v>#DIV/0!</v>
      </c>
      <c r="Q44" s="146" t="e">
        <f t="shared" si="90"/>
        <v>#DIV/0!</v>
      </c>
      <c r="R44" s="146" t="e">
        <f t="shared" si="90"/>
        <v>#DIV/0!</v>
      </c>
      <c r="S44" s="146" t="e">
        <f t="shared" si="90"/>
        <v>#DIV/0!</v>
      </c>
      <c r="T44" s="146" t="e">
        <f t="shared" si="90"/>
        <v>#DIV/0!</v>
      </c>
      <c r="U44" s="146" t="e">
        <f t="shared" si="90"/>
        <v>#DIV/0!</v>
      </c>
      <c r="V44" s="146" t="e">
        <f t="shared" si="90"/>
        <v>#DIV/0!</v>
      </c>
      <c r="W44" s="146" t="e">
        <f t="shared" si="90"/>
        <v>#DIV/0!</v>
      </c>
      <c r="X44" s="146" t="e">
        <f t="shared" si="90"/>
        <v>#DIV/0!</v>
      </c>
      <c r="Y44" s="146" t="e">
        <f t="shared" si="90"/>
        <v>#DIV/0!</v>
      </c>
      <c r="Z44" s="146" t="e">
        <f t="shared" si="90"/>
        <v>#DIV/0!</v>
      </c>
      <c r="AA44" s="146" t="e">
        <f t="shared" si="90"/>
        <v>#DIV/0!</v>
      </c>
      <c r="AB44" s="146" t="e">
        <f t="shared" si="90"/>
        <v>#DIV/0!</v>
      </c>
      <c r="AC44" s="146" t="e">
        <f t="shared" si="90"/>
        <v>#DIV/0!</v>
      </c>
      <c r="AD44" s="146" t="e">
        <f t="shared" si="90"/>
        <v>#DIV/0!</v>
      </c>
      <c r="AE44" s="146" t="e">
        <f t="shared" si="90"/>
        <v>#DIV/0!</v>
      </c>
      <c r="AF44" s="146" t="e">
        <f t="shared" si="90"/>
        <v>#DIV/0!</v>
      </c>
      <c r="AG44" s="146" t="e">
        <f t="shared" si="90"/>
        <v>#DIV/0!</v>
      </c>
      <c r="AH44" s="146" t="e">
        <f t="shared" si="90"/>
        <v>#DIV/0!</v>
      </c>
      <c r="AI44" s="146" t="e">
        <f t="shared" si="90"/>
        <v>#DIV/0!</v>
      </c>
      <c r="AJ44" s="146" t="e">
        <f t="shared" ref="AJ44:AN44" si="91">AJ43-(AJ28+AJ29+AJ35+AJ36)</f>
        <v>#DIV/0!</v>
      </c>
      <c r="AK44" s="146" t="e">
        <f t="shared" si="91"/>
        <v>#DIV/0!</v>
      </c>
      <c r="AL44" s="146" t="e">
        <f t="shared" si="91"/>
        <v>#DIV/0!</v>
      </c>
      <c r="AM44" s="146" t="e">
        <f t="shared" si="91"/>
        <v>#DIV/0!</v>
      </c>
      <c r="AN44" s="146" t="e">
        <f t="shared" si="91"/>
        <v>#DIV/0!</v>
      </c>
      <c r="AO44" s="453" t="e">
        <f t="shared" si="87"/>
        <v>#DIV/0!</v>
      </c>
      <c r="AP44" s="71"/>
      <c r="AQ44" s="71"/>
      <c r="AR44" s="23"/>
      <c r="AS44" s="28"/>
    </row>
    <row r="45" spans="1:45" ht="15" x14ac:dyDescent="0.25">
      <c r="A45" s="66"/>
      <c r="B45" s="451"/>
      <c r="C45" s="4"/>
      <c r="D45" s="4"/>
      <c r="E45" s="99"/>
      <c r="F45" s="99"/>
      <c r="G45" s="99"/>
      <c r="H45" s="99"/>
      <c r="I45" s="99"/>
      <c r="J45" s="99"/>
      <c r="K45" s="99"/>
      <c r="L45" s="99"/>
      <c r="M45" s="99"/>
      <c r="N45" s="99"/>
      <c r="O45" s="99"/>
      <c r="P45" s="99"/>
      <c r="Q45" s="99"/>
      <c r="R45" s="99"/>
      <c r="S45" s="99"/>
      <c r="T45" s="99"/>
      <c r="U45" s="99"/>
      <c r="V45" s="99"/>
      <c r="W45" s="99"/>
      <c r="X45" s="99"/>
      <c r="Y45" s="99"/>
      <c r="Z45" s="99"/>
      <c r="AA45" s="99"/>
      <c r="AB45" s="99"/>
      <c r="AC45" s="99"/>
      <c r="AD45" s="99"/>
      <c r="AE45" s="99"/>
      <c r="AF45" s="99"/>
      <c r="AG45" s="99"/>
      <c r="AH45" s="99"/>
      <c r="AI45" s="99"/>
      <c r="AJ45" s="494"/>
      <c r="AK45" s="494"/>
      <c r="AL45" s="494"/>
      <c r="AM45" s="494"/>
      <c r="AN45" s="494"/>
      <c r="AO45" s="492"/>
      <c r="AP45" s="71"/>
      <c r="AQ45" s="71"/>
      <c r="AR45" s="23"/>
      <c r="AS45" s="28"/>
    </row>
    <row r="46" spans="1:45" ht="15" x14ac:dyDescent="0.25">
      <c r="A46" s="66"/>
      <c r="B46" s="455" t="s">
        <v>58</v>
      </c>
      <c r="C46" s="495"/>
      <c r="D46" s="4"/>
      <c r="E46" s="99"/>
      <c r="F46" s="99"/>
      <c r="G46" s="99"/>
      <c r="H46" s="99"/>
      <c r="I46" s="99"/>
      <c r="J46" s="99"/>
      <c r="K46" s="99"/>
      <c r="L46" s="99"/>
      <c r="M46" s="99"/>
      <c r="N46" s="99"/>
      <c r="O46" s="99"/>
      <c r="P46" s="99"/>
      <c r="Q46" s="99"/>
      <c r="R46" s="99"/>
      <c r="S46" s="99"/>
      <c r="T46" s="99"/>
      <c r="U46" s="99"/>
      <c r="V46" s="99"/>
      <c r="W46" s="99"/>
      <c r="X46" s="99"/>
      <c r="Y46" s="99"/>
      <c r="Z46" s="99"/>
      <c r="AA46" s="99"/>
      <c r="AB46" s="99"/>
      <c r="AC46" s="99"/>
      <c r="AD46" s="99"/>
      <c r="AE46" s="99"/>
      <c r="AF46" s="99"/>
      <c r="AG46" s="99"/>
      <c r="AH46" s="99"/>
      <c r="AI46" s="99"/>
      <c r="AJ46" s="494"/>
      <c r="AK46" s="494"/>
      <c r="AL46" s="494"/>
      <c r="AM46" s="494"/>
      <c r="AN46" s="494"/>
      <c r="AO46" s="492"/>
      <c r="AP46" s="71"/>
      <c r="AQ46" s="71"/>
      <c r="AR46" s="23"/>
      <c r="AS46" s="28"/>
    </row>
    <row r="47" spans="1:45" ht="15" x14ac:dyDescent="0.25">
      <c r="A47" s="66"/>
      <c r="B47" s="455"/>
      <c r="C47" s="4"/>
      <c r="D47" s="99"/>
      <c r="E47" s="99"/>
      <c r="F47" s="99"/>
      <c r="G47" s="99"/>
      <c r="H47" s="99"/>
      <c r="I47" s="99"/>
      <c r="J47" s="99"/>
      <c r="K47" s="99"/>
      <c r="L47" s="99"/>
      <c r="M47" s="99"/>
      <c r="N47" s="99"/>
      <c r="O47" s="99"/>
      <c r="P47" s="99"/>
      <c r="Q47" s="99"/>
      <c r="R47" s="99"/>
      <c r="S47" s="99"/>
      <c r="T47" s="99"/>
      <c r="U47" s="99"/>
      <c r="V47" s="99"/>
      <c r="W47" s="99"/>
      <c r="X47" s="99"/>
      <c r="Y47" s="99"/>
      <c r="Z47" s="99"/>
      <c r="AA47" s="99"/>
      <c r="AB47" s="99"/>
      <c r="AC47" s="99"/>
      <c r="AD47" s="99"/>
      <c r="AE47" s="99"/>
      <c r="AF47" s="99"/>
      <c r="AG47" s="99"/>
      <c r="AH47" s="99"/>
      <c r="AI47" s="99"/>
      <c r="AJ47" s="494"/>
      <c r="AK47" s="494"/>
      <c r="AL47" s="494"/>
      <c r="AM47" s="494"/>
      <c r="AN47" s="494"/>
      <c r="AO47" s="492"/>
      <c r="AP47" s="71"/>
      <c r="AQ47" s="71"/>
      <c r="AR47" s="23"/>
      <c r="AS47" s="28"/>
    </row>
    <row r="48" spans="1:45" ht="15" x14ac:dyDescent="0.25">
      <c r="A48" s="66"/>
      <c r="B48" s="455" t="s">
        <v>74</v>
      </c>
      <c r="C48" s="495"/>
      <c r="D48" s="99"/>
      <c r="E48" s="99"/>
      <c r="F48" s="146">
        <f>F50+F51</f>
        <v>0</v>
      </c>
      <c r="G48" s="146">
        <f>G50+G51</f>
        <v>0</v>
      </c>
      <c r="H48" s="146">
        <f t="shared" ref="H48:AN48" si="92">H50+H51</f>
        <v>0</v>
      </c>
      <c r="I48" s="146">
        <f t="shared" si="92"/>
        <v>0</v>
      </c>
      <c r="J48" s="146">
        <f t="shared" si="92"/>
        <v>0</v>
      </c>
      <c r="K48" s="146">
        <f t="shared" si="92"/>
        <v>0</v>
      </c>
      <c r="L48" s="146">
        <f t="shared" si="92"/>
        <v>0</v>
      </c>
      <c r="M48" s="146">
        <f t="shared" si="92"/>
        <v>0</v>
      </c>
      <c r="N48" s="146">
        <f t="shared" si="92"/>
        <v>0</v>
      </c>
      <c r="O48" s="146">
        <f t="shared" si="92"/>
        <v>0</v>
      </c>
      <c r="P48" s="146">
        <f t="shared" si="92"/>
        <v>0</v>
      </c>
      <c r="Q48" s="146">
        <f t="shared" si="92"/>
        <v>0</v>
      </c>
      <c r="R48" s="146">
        <f t="shared" si="92"/>
        <v>0</v>
      </c>
      <c r="S48" s="146">
        <f t="shared" si="92"/>
        <v>0</v>
      </c>
      <c r="T48" s="146">
        <f t="shared" si="92"/>
        <v>0</v>
      </c>
      <c r="U48" s="146">
        <f t="shared" si="92"/>
        <v>0</v>
      </c>
      <c r="V48" s="146">
        <f t="shared" si="92"/>
        <v>0</v>
      </c>
      <c r="W48" s="146">
        <f t="shared" si="92"/>
        <v>0</v>
      </c>
      <c r="X48" s="146">
        <f t="shared" si="92"/>
        <v>0</v>
      </c>
      <c r="Y48" s="146">
        <f t="shared" si="92"/>
        <v>0</v>
      </c>
      <c r="Z48" s="146">
        <f t="shared" si="92"/>
        <v>0</v>
      </c>
      <c r="AA48" s="146">
        <f t="shared" si="92"/>
        <v>0</v>
      </c>
      <c r="AB48" s="146">
        <f t="shared" si="92"/>
        <v>0</v>
      </c>
      <c r="AC48" s="146">
        <f t="shared" si="92"/>
        <v>0</v>
      </c>
      <c r="AD48" s="146">
        <f t="shared" si="92"/>
        <v>0</v>
      </c>
      <c r="AE48" s="146">
        <f t="shared" si="92"/>
        <v>0</v>
      </c>
      <c r="AF48" s="146">
        <f t="shared" si="92"/>
        <v>0</v>
      </c>
      <c r="AG48" s="146">
        <f t="shared" si="92"/>
        <v>0</v>
      </c>
      <c r="AH48" s="146">
        <f t="shared" si="92"/>
        <v>0</v>
      </c>
      <c r="AI48" s="146">
        <f t="shared" si="92"/>
        <v>0</v>
      </c>
      <c r="AJ48" s="146">
        <f t="shared" si="92"/>
        <v>0</v>
      </c>
      <c r="AK48" s="146">
        <f t="shared" si="92"/>
        <v>0</v>
      </c>
      <c r="AL48" s="146">
        <f t="shared" si="92"/>
        <v>0</v>
      </c>
      <c r="AM48" s="146">
        <f t="shared" si="92"/>
        <v>0</v>
      </c>
      <c r="AN48" s="146">
        <f t="shared" si="92"/>
        <v>0</v>
      </c>
      <c r="AO48" s="453">
        <f t="shared" ref="AO48:AO76" si="93">+SUM(F48:AN48)</f>
        <v>0</v>
      </c>
      <c r="AP48" s="71"/>
      <c r="AQ48" s="71"/>
      <c r="AR48" s="23"/>
      <c r="AS48" s="28"/>
    </row>
    <row r="49" spans="1:50" ht="15" x14ac:dyDescent="0.25">
      <c r="A49" s="66"/>
      <c r="B49" s="455"/>
      <c r="C49" s="4"/>
      <c r="D49" s="4"/>
      <c r="E49" s="99"/>
      <c r="F49" s="99"/>
      <c r="G49" s="99"/>
      <c r="H49" s="99"/>
      <c r="I49" s="99"/>
      <c r="J49" s="99"/>
      <c r="K49" s="99"/>
      <c r="L49" s="99"/>
      <c r="M49" s="99"/>
      <c r="N49" s="99"/>
      <c r="O49" s="99"/>
      <c r="P49" s="99"/>
      <c r="Q49" s="99"/>
      <c r="R49" s="99"/>
      <c r="S49" s="99"/>
      <c r="T49" s="99"/>
      <c r="U49" s="99"/>
      <c r="V49" s="99"/>
      <c r="W49" s="99"/>
      <c r="X49" s="99"/>
      <c r="Y49" s="99"/>
      <c r="Z49" s="99"/>
      <c r="AA49" s="99"/>
      <c r="AB49" s="99"/>
      <c r="AC49" s="99"/>
      <c r="AD49" s="99"/>
      <c r="AE49" s="99"/>
      <c r="AF49" s="99"/>
      <c r="AG49" s="99"/>
      <c r="AH49" s="99"/>
      <c r="AI49" s="99"/>
      <c r="AJ49" s="494"/>
      <c r="AK49" s="494"/>
      <c r="AL49" s="494"/>
      <c r="AM49" s="494"/>
      <c r="AN49" s="494"/>
      <c r="AO49" s="492"/>
      <c r="AP49" s="71"/>
      <c r="AQ49" s="71"/>
      <c r="AR49" s="23"/>
      <c r="AS49" s="28"/>
    </row>
    <row r="50" spans="1:50" ht="15" x14ac:dyDescent="0.25">
      <c r="A50" s="66"/>
      <c r="B50" s="451" t="s">
        <v>59</v>
      </c>
      <c r="C50" s="4"/>
      <c r="D50" s="4"/>
      <c r="E50" s="99"/>
      <c r="F50" s="146">
        <f>-Cronograma!C44</f>
        <v>0</v>
      </c>
      <c r="G50" s="146">
        <f>-Cronograma!D44</f>
        <v>0</v>
      </c>
      <c r="H50" s="146">
        <f>-Cronograma!E44</f>
        <v>0</v>
      </c>
      <c r="I50" s="146">
        <f>-Cronograma!F44</f>
        <v>0</v>
      </c>
      <c r="J50" s="146">
        <f>-Cronograma!G44</f>
        <v>0</v>
      </c>
      <c r="K50" s="146">
        <f>-Cronograma!H44</f>
        <v>0</v>
      </c>
      <c r="L50" s="146">
        <f>-Cronograma!I44</f>
        <v>0</v>
      </c>
      <c r="M50" s="146">
        <f>-Cronograma!J44</f>
        <v>0</v>
      </c>
      <c r="N50" s="146">
        <f>-Cronograma!K44</f>
        <v>0</v>
      </c>
      <c r="O50" s="146">
        <f>-Cronograma!L44</f>
        <v>0</v>
      </c>
      <c r="P50" s="146">
        <f>-Cronograma!M44</f>
        <v>0</v>
      </c>
      <c r="Q50" s="146">
        <f>-Cronograma!N44</f>
        <v>0</v>
      </c>
      <c r="R50" s="146">
        <f>-Cronograma!O44</f>
        <v>0</v>
      </c>
      <c r="S50" s="146">
        <f>-Cronograma!P44</f>
        <v>0</v>
      </c>
      <c r="T50" s="146">
        <f>-Cronograma!Q44</f>
        <v>0</v>
      </c>
      <c r="U50" s="146">
        <f>-Cronograma!R44</f>
        <v>0</v>
      </c>
      <c r="V50" s="146">
        <f>-Cronograma!S44</f>
        <v>0</v>
      </c>
      <c r="W50" s="146">
        <f>-Cronograma!T44</f>
        <v>0</v>
      </c>
      <c r="X50" s="146">
        <f>-Cronograma!U44</f>
        <v>0</v>
      </c>
      <c r="Y50" s="146">
        <f>-Cronograma!V44</f>
        <v>0</v>
      </c>
      <c r="Z50" s="146">
        <f>-Cronograma!W44</f>
        <v>0</v>
      </c>
      <c r="AA50" s="146">
        <f>-Cronograma!X44</f>
        <v>0</v>
      </c>
      <c r="AB50" s="146">
        <f>-Cronograma!Y44</f>
        <v>0</v>
      </c>
      <c r="AC50" s="146">
        <f>-Cronograma!Z44</f>
        <v>0</v>
      </c>
      <c r="AD50" s="146">
        <f>-Cronograma!AA44</f>
        <v>0</v>
      </c>
      <c r="AE50" s="146">
        <f>-Cronograma!AB44</f>
        <v>0</v>
      </c>
      <c r="AF50" s="146">
        <f>-Cronograma!AC44</f>
        <v>0</v>
      </c>
      <c r="AG50" s="146">
        <f>-Cronograma!AD44</f>
        <v>0</v>
      </c>
      <c r="AH50" s="146">
        <f>-Cronograma!AE44</f>
        <v>0</v>
      </c>
      <c r="AI50" s="146">
        <f>-Cronograma!AF44</f>
        <v>0</v>
      </c>
      <c r="AJ50" s="146">
        <f>-Cronograma!AG44</f>
        <v>0</v>
      </c>
      <c r="AK50" s="146">
        <f>-Cronograma!AH44</f>
        <v>0</v>
      </c>
      <c r="AL50" s="146">
        <f>-Cronograma!AI44</f>
        <v>0</v>
      </c>
      <c r="AM50" s="146">
        <f>-Cronograma!AJ44</f>
        <v>0</v>
      </c>
      <c r="AN50" s="146">
        <f>-Cronograma!AK44</f>
        <v>0</v>
      </c>
      <c r="AO50" s="453">
        <f t="shared" si="93"/>
        <v>0</v>
      </c>
      <c r="AP50" s="71"/>
      <c r="AQ50" s="71"/>
      <c r="AR50" s="23"/>
      <c r="AS50" s="28"/>
    </row>
    <row r="51" spans="1:50" ht="15" x14ac:dyDescent="0.25">
      <c r="A51" s="66"/>
      <c r="B51" s="451" t="s">
        <v>60</v>
      </c>
      <c r="C51" s="4"/>
      <c r="D51" s="4"/>
      <c r="E51" s="99"/>
      <c r="F51" s="146">
        <f>-Cronograma!C45</f>
        <v>0</v>
      </c>
      <c r="G51" s="146">
        <f>-Cronograma!D45</f>
        <v>0</v>
      </c>
      <c r="H51" s="146">
        <f>-Cronograma!E45</f>
        <v>0</v>
      </c>
      <c r="I51" s="146">
        <f>-Cronograma!F45</f>
        <v>0</v>
      </c>
      <c r="J51" s="146">
        <f>-Cronograma!G45</f>
        <v>0</v>
      </c>
      <c r="K51" s="146">
        <f>-Cronograma!H45</f>
        <v>0</v>
      </c>
      <c r="L51" s="146">
        <f>-Cronograma!I45</f>
        <v>0</v>
      </c>
      <c r="M51" s="146">
        <f>-Cronograma!J45</f>
        <v>0</v>
      </c>
      <c r="N51" s="146">
        <f>-Cronograma!K45</f>
        <v>0</v>
      </c>
      <c r="O51" s="146">
        <f>-Cronograma!L45</f>
        <v>0</v>
      </c>
      <c r="P51" s="146">
        <f>-Cronograma!M45</f>
        <v>0</v>
      </c>
      <c r="Q51" s="146">
        <f>-Cronograma!N45</f>
        <v>0</v>
      </c>
      <c r="R51" s="146">
        <f>-Cronograma!O45</f>
        <v>0</v>
      </c>
      <c r="S51" s="146">
        <f>-Cronograma!P45</f>
        <v>0</v>
      </c>
      <c r="T51" s="146">
        <f>-Cronograma!Q45</f>
        <v>0</v>
      </c>
      <c r="U51" s="146">
        <f>-Cronograma!R45</f>
        <v>0</v>
      </c>
      <c r="V51" s="146">
        <f>-Cronograma!S45</f>
        <v>0</v>
      </c>
      <c r="W51" s="146">
        <f>-Cronograma!T45</f>
        <v>0</v>
      </c>
      <c r="X51" s="146">
        <f>-Cronograma!U45</f>
        <v>0</v>
      </c>
      <c r="Y51" s="146">
        <f>-Cronograma!V45</f>
        <v>0</v>
      </c>
      <c r="Z51" s="146">
        <f>-Cronograma!W45</f>
        <v>0</v>
      </c>
      <c r="AA51" s="146">
        <f>-Cronograma!X45</f>
        <v>0</v>
      </c>
      <c r="AB51" s="146">
        <f>-Cronograma!Y45</f>
        <v>0</v>
      </c>
      <c r="AC51" s="146">
        <f>-Cronograma!Z45</f>
        <v>0</v>
      </c>
      <c r="AD51" s="146">
        <f>-Cronograma!AA45</f>
        <v>0</v>
      </c>
      <c r="AE51" s="146">
        <f>-Cronograma!AB45</f>
        <v>0</v>
      </c>
      <c r="AF51" s="146">
        <f>-Cronograma!AC45</f>
        <v>0</v>
      </c>
      <c r="AG51" s="146">
        <f>-Cronograma!AD45</f>
        <v>0</v>
      </c>
      <c r="AH51" s="146">
        <f>-Cronograma!AE45</f>
        <v>0</v>
      </c>
      <c r="AI51" s="146">
        <f>-Cronograma!AF45</f>
        <v>0</v>
      </c>
      <c r="AJ51" s="146">
        <f>-Cronograma!AG45</f>
        <v>0</v>
      </c>
      <c r="AK51" s="146">
        <f>-Cronograma!AH45</f>
        <v>0</v>
      </c>
      <c r="AL51" s="146">
        <f>-Cronograma!AI45</f>
        <v>0</v>
      </c>
      <c r="AM51" s="146">
        <f>-Cronograma!AJ45</f>
        <v>0</v>
      </c>
      <c r="AN51" s="146">
        <f>-Cronograma!AK45</f>
        <v>0</v>
      </c>
      <c r="AO51" s="453">
        <f t="shared" si="93"/>
        <v>0</v>
      </c>
      <c r="AP51" s="71"/>
      <c r="AQ51" s="71"/>
      <c r="AR51" s="23"/>
      <c r="AS51" s="28"/>
    </row>
    <row r="52" spans="1:50" ht="15" x14ac:dyDescent="0.25">
      <c r="A52" s="66"/>
      <c r="B52" s="455"/>
      <c r="C52" s="4"/>
      <c r="D52" s="4"/>
      <c r="E52" s="99"/>
      <c r="F52" s="496"/>
      <c r="G52" s="496"/>
      <c r="H52" s="496"/>
      <c r="I52" s="496"/>
      <c r="J52" s="496"/>
      <c r="K52" s="496"/>
      <c r="L52" s="496"/>
      <c r="M52" s="496"/>
      <c r="N52" s="496"/>
      <c r="O52" s="496"/>
      <c r="P52" s="496"/>
      <c r="Q52" s="496"/>
      <c r="R52" s="496"/>
      <c r="S52" s="496"/>
      <c r="T52" s="496"/>
      <c r="U52" s="496"/>
      <c r="V52" s="496"/>
      <c r="W52" s="496"/>
      <c r="X52" s="496"/>
      <c r="Y52" s="496"/>
      <c r="Z52" s="496"/>
      <c r="AA52" s="496"/>
      <c r="AB52" s="496"/>
      <c r="AC52" s="496"/>
      <c r="AD52" s="496"/>
      <c r="AE52" s="496"/>
      <c r="AF52" s="496"/>
      <c r="AG52" s="496"/>
      <c r="AH52" s="496"/>
      <c r="AI52" s="496"/>
      <c r="AJ52" s="496"/>
      <c r="AK52" s="496"/>
      <c r="AL52" s="496"/>
      <c r="AM52" s="496"/>
      <c r="AN52" s="496"/>
      <c r="AO52" s="492"/>
      <c r="AP52" s="71"/>
      <c r="AQ52" s="71"/>
      <c r="AR52" s="23"/>
      <c r="AS52" s="28"/>
    </row>
    <row r="53" spans="1:50" ht="15" x14ac:dyDescent="0.25">
      <c r="A53" s="66"/>
      <c r="B53" s="455" t="s">
        <v>75</v>
      </c>
      <c r="C53" s="495"/>
      <c r="D53" s="4"/>
      <c r="E53" s="99"/>
      <c r="F53" s="146" t="e">
        <f t="shared" ref="F53:AN53" si="94">SUM(F55:F67)+F69+F76</f>
        <v>#DIV/0!</v>
      </c>
      <c r="G53" s="146" t="e">
        <f t="shared" si="94"/>
        <v>#DIV/0!</v>
      </c>
      <c r="H53" s="146" t="e">
        <f t="shared" si="94"/>
        <v>#DIV/0!</v>
      </c>
      <c r="I53" s="146" t="e">
        <f t="shared" si="94"/>
        <v>#DIV/0!</v>
      </c>
      <c r="J53" s="146" t="e">
        <f t="shared" si="94"/>
        <v>#DIV/0!</v>
      </c>
      <c r="K53" s="146" t="e">
        <f t="shared" si="94"/>
        <v>#DIV/0!</v>
      </c>
      <c r="L53" s="146" t="e">
        <f t="shared" si="94"/>
        <v>#DIV/0!</v>
      </c>
      <c r="M53" s="146" t="e">
        <f t="shared" si="94"/>
        <v>#DIV/0!</v>
      </c>
      <c r="N53" s="146" t="e">
        <f t="shared" si="94"/>
        <v>#DIV/0!</v>
      </c>
      <c r="O53" s="146" t="e">
        <f t="shared" si="94"/>
        <v>#DIV/0!</v>
      </c>
      <c r="P53" s="146" t="e">
        <f t="shared" si="94"/>
        <v>#DIV/0!</v>
      </c>
      <c r="Q53" s="146" t="e">
        <f t="shared" si="94"/>
        <v>#DIV/0!</v>
      </c>
      <c r="R53" s="146" t="e">
        <f t="shared" si="94"/>
        <v>#DIV/0!</v>
      </c>
      <c r="S53" s="146" t="e">
        <f t="shared" si="94"/>
        <v>#DIV/0!</v>
      </c>
      <c r="T53" s="146" t="e">
        <f t="shared" si="94"/>
        <v>#DIV/0!</v>
      </c>
      <c r="U53" s="146" t="e">
        <f t="shared" si="94"/>
        <v>#DIV/0!</v>
      </c>
      <c r="V53" s="146" t="e">
        <f t="shared" si="94"/>
        <v>#DIV/0!</v>
      </c>
      <c r="W53" s="146" t="e">
        <f t="shared" si="94"/>
        <v>#DIV/0!</v>
      </c>
      <c r="X53" s="146" t="e">
        <f t="shared" si="94"/>
        <v>#DIV/0!</v>
      </c>
      <c r="Y53" s="146" t="e">
        <f t="shared" si="94"/>
        <v>#DIV/0!</v>
      </c>
      <c r="Z53" s="146" t="e">
        <f t="shared" si="94"/>
        <v>#DIV/0!</v>
      </c>
      <c r="AA53" s="146" t="e">
        <f t="shared" si="94"/>
        <v>#DIV/0!</v>
      </c>
      <c r="AB53" s="146" t="e">
        <f t="shared" si="94"/>
        <v>#DIV/0!</v>
      </c>
      <c r="AC53" s="146" t="e">
        <f t="shared" si="94"/>
        <v>#DIV/0!</v>
      </c>
      <c r="AD53" s="146" t="e">
        <f t="shared" si="94"/>
        <v>#DIV/0!</v>
      </c>
      <c r="AE53" s="146" t="e">
        <f t="shared" si="94"/>
        <v>#DIV/0!</v>
      </c>
      <c r="AF53" s="146" t="e">
        <f t="shared" si="94"/>
        <v>#DIV/0!</v>
      </c>
      <c r="AG53" s="146" t="e">
        <f t="shared" si="94"/>
        <v>#DIV/0!</v>
      </c>
      <c r="AH53" s="146" t="e">
        <f t="shared" si="94"/>
        <v>#DIV/0!</v>
      </c>
      <c r="AI53" s="146" t="e">
        <f t="shared" si="94"/>
        <v>#DIV/0!</v>
      </c>
      <c r="AJ53" s="146" t="e">
        <f t="shared" si="94"/>
        <v>#DIV/0!</v>
      </c>
      <c r="AK53" s="146" t="e">
        <f t="shared" si="94"/>
        <v>#DIV/0!</v>
      </c>
      <c r="AL53" s="146" t="e">
        <f t="shared" si="94"/>
        <v>#DIV/0!</v>
      </c>
      <c r="AM53" s="146" t="e">
        <f t="shared" si="94"/>
        <v>#DIV/0!</v>
      </c>
      <c r="AN53" s="146" t="e">
        <f t="shared" si="94"/>
        <v>#DIV/0!</v>
      </c>
      <c r="AO53" s="453" t="e">
        <f t="shared" si="93"/>
        <v>#DIV/0!</v>
      </c>
      <c r="AP53" s="71"/>
      <c r="AQ53" s="71"/>
      <c r="AR53" s="23"/>
      <c r="AS53" s="28"/>
      <c r="AU53" s="23"/>
    </row>
    <row r="54" spans="1:50" ht="15" x14ac:dyDescent="0.25">
      <c r="A54" s="66"/>
      <c r="B54" s="455"/>
      <c r="C54" s="497"/>
      <c r="D54" s="99"/>
      <c r="E54" s="99"/>
      <c r="F54" s="99"/>
      <c r="G54" s="99"/>
      <c r="H54" s="99"/>
      <c r="I54" s="99"/>
      <c r="J54" s="99"/>
      <c r="K54" s="99"/>
      <c r="L54" s="99"/>
      <c r="M54" s="99"/>
      <c r="N54" s="99"/>
      <c r="O54" s="99"/>
      <c r="P54" s="99"/>
      <c r="Q54" s="99"/>
      <c r="R54" s="99"/>
      <c r="S54" s="99"/>
      <c r="T54" s="99"/>
      <c r="U54" s="99"/>
      <c r="V54" s="99"/>
      <c r="W54" s="99"/>
      <c r="X54" s="99"/>
      <c r="Y54" s="99"/>
      <c r="Z54" s="99"/>
      <c r="AA54" s="99"/>
      <c r="AB54" s="99"/>
      <c r="AC54" s="99"/>
      <c r="AD54" s="99"/>
      <c r="AE54" s="99"/>
      <c r="AF54" s="99"/>
      <c r="AG54" s="99"/>
      <c r="AH54" s="99"/>
      <c r="AI54" s="99"/>
      <c r="AJ54" s="494"/>
      <c r="AK54" s="494"/>
      <c r="AL54" s="494"/>
      <c r="AM54" s="494"/>
      <c r="AN54" s="494"/>
      <c r="AO54" s="498"/>
      <c r="AP54" s="71"/>
      <c r="AQ54" s="71"/>
      <c r="AR54" s="23"/>
      <c r="AS54" s="28"/>
    </row>
    <row r="55" spans="1:50" ht="15" x14ac:dyDescent="0.25">
      <c r="A55" s="66"/>
      <c r="B55" s="451" t="s">
        <v>88</v>
      </c>
      <c r="C55" s="495"/>
      <c r="D55" s="4"/>
      <c r="E55" s="99"/>
      <c r="F55" s="146">
        <f>-'Mão de Obra'!D17</f>
        <v>0</v>
      </c>
      <c r="G55" s="146">
        <f>-'Mão de Obra'!E17</f>
        <v>0</v>
      </c>
      <c r="H55" s="146">
        <f>-'Mão de Obra'!F17</f>
        <v>0</v>
      </c>
      <c r="I55" s="146">
        <f>-'Mão de Obra'!G17</f>
        <v>0</v>
      </c>
      <c r="J55" s="146">
        <f>-'Mão de Obra'!H17</f>
        <v>0</v>
      </c>
      <c r="K55" s="146">
        <f>-'Mão de Obra'!I17</f>
        <v>0</v>
      </c>
      <c r="L55" s="146">
        <f>-'Mão de Obra'!J17</f>
        <v>0</v>
      </c>
      <c r="M55" s="146">
        <f>-'Mão de Obra'!K17</f>
        <v>0</v>
      </c>
      <c r="N55" s="146">
        <f>-'Mão de Obra'!L17</f>
        <v>0</v>
      </c>
      <c r="O55" s="146">
        <f>-'Mão de Obra'!M17</f>
        <v>0</v>
      </c>
      <c r="P55" s="146">
        <f>-'Mão de Obra'!N17</f>
        <v>0</v>
      </c>
      <c r="Q55" s="146">
        <f>-'Mão de Obra'!O17</f>
        <v>0</v>
      </c>
      <c r="R55" s="146">
        <f>-'Mão de Obra'!P17</f>
        <v>0</v>
      </c>
      <c r="S55" s="146">
        <f>-'Mão de Obra'!Q17</f>
        <v>0</v>
      </c>
      <c r="T55" s="146">
        <f>-'Mão de Obra'!R17</f>
        <v>0</v>
      </c>
      <c r="U55" s="146">
        <f>-'Mão de Obra'!S17</f>
        <v>0</v>
      </c>
      <c r="V55" s="146">
        <f>-'Mão de Obra'!T17</f>
        <v>0</v>
      </c>
      <c r="W55" s="146">
        <f>-'Mão de Obra'!U17</f>
        <v>0</v>
      </c>
      <c r="X55" s="146">
        <f>-'Mão de Obra'!V17</f>
        <v>0</v>
      </c>
      <c r="Y55" s="146">
        <f>-'Mão de Obra'!W17</f>
        <v>0</v>
      </c>
      <c r="Z55" s="146">
        <f>-'Mão de Obra'!X17</f>
        <v>0</v>
      </c>
      <c r="AA55" s="146">
        <f>-'Mão de Obra'!Y17</f>
        <v>0</v>
      </c>
      <c r="AB55" s="146">
        <f>-'Mão de Obra'!Z17</f>
        <v>0</v>
      </c>
      <c r="AC55" s="146">
        <f>-'Mão de Obra'!AA17</f>
        <v>0</v>
      </c>
      <c r="AD55" s="146">
        <f>-'Mão de Obra'!AB17</f>
        <v>0</v>
      </c>
      <c r="AE55" s="146">
        <f>-'Mão de Obra'!AC17</f>
        <v>0</v>
      </c>
      <c r="AF55" s="146">
        <f>-'Mão de Obra'!AD17</f>
        <v>0</v>
      </c>
      <c r="AG55" s="146">
        <f>-'Mão de Obra'!AE17</f>
        <v>0</v>
      </c>
      <c r="AH55" s="146">
        <f>-'Mão de Obra'!AF17</f>
        <v>0</v>
      </c>
      <c r="AI55" s="146">
        <f>-'Mão de Obra'!AG17</f>
        <v>0</v>
      </c>
      <c r="AJ55" s="146">
        <f>-'Mão de Obra'!AH17</f>
        <v>0</v>
      </c>
      <c r="AK55" s="146">
        <f>-'Mão de Obra'!AI17</f>
        <v>0</v>
      </c>
      <c r="AL55" s="146">
        <f>-'Mão de Obra'!AJ17</f>
        <v>0</v>
      </c>
      <c r="AM55" s="146">
        <f>-'Mão de Obra'!AK17</f>
        <v>0</v>
      </c>
      <c r="AN55" s="146">
        <f>-'Mão de Obra'!AL17</f>
        <v>0</v>
      </c>
      <c r="AO55" s="453">
        <f t="shared" si="93"/>
        <v>0</v>
      </c>
      <c r="AP55" s="71"/>
      <c r="AQ55" s="71"/>
      <c r="AR55" s="23"/>
      <c r="AS55" s="28"/>
      <c r="AU55" s="23"/>
      <c r="AW55" s="23"/>
      <c r="AX55" s="23"/>
    </row>
    <row r="56" spans="1:50" ht="15" x14ac:dyDescent="0.25">
      <c r="A56" s="66"/>
      <c r="B56" s="451" t="s">
        <v>79</v>
      </c>
      <c r="C56" s="495"/>
      <c r="D56" s="4"/>
      <c r="E56" s="99"/>
      <c r="F56" s="146">
        <f>-'Manut Rede'!D63</f>
        <v>0</v>
      </c>
      <c r="G56" s="146">
        <f>-'Manut Rede'!E63</f>
        <v>0</v>
      </c>
      <c r="H56" s="146">
        <f>-'Manut Rede'!F63</f>
        <v>0</v>
      </c>
      <c r="I56" s="146">
        <f>-'Manut Rede'!G63</f>
        <v>0</v>
      </c>
      <c r="J56" s="146">
        <f>-'Manut Rede'!H63</f>
        <v>0</v>
      </c>
      <c r="K56" s="146">
        <f>-'Manut Rede'!I63</f>
        <v>0</v>
      </c>
      <c r="L56" s="146">
        <f>-'Manut Rede'!J63</f>
        <v>0</v>
      </c>
      <c r="M56" s="146">
        <f>-'Manut Rede'!K63</f>
        <v>0</v>
      </c>
      <c r="N56" s="146">
        <f>-'Manut Rede'!L63</f>
        <v>0</v>
      </c>
      <c r="O56" s="146">
        <f>-'Manut Rede'!M63</f>
        <v>0</v>
      </c>
      <c r="P56" s="146">
        <f>-'Manut Rede'!N63</f>
        <v>0</v>
      </c>
      <c r="Q56" s="146">
        <f>-'Manut Rede'!O63</f>
        <v>0</v>
      </c>
      <c r="R56" s="146">
        <f>-'Manut Rede'!P63</f>
        <v>0</v>
      </c>
      <c r="S56" s="146">
        <f>-'Manut Rede'!Q63</f>
        <v>0</v>
      </c>
      <c r="T56" s="146">
        <f>-'Manut Rede'!R63</f>
        <v>0</v>
      </c>
      <c r="U56" s="146">
        <f>-'Manut Rede'!S63</f>
        <v>0</v>
      </c>
      <c r="V56" s="146">
        <f>-'Manut Rede'!T63</f>
        <v>0</v>
      </c>
      <c r="W56" s="146">
        <f>-'Manut Rede'!U63</f>
        <v>0</v>
      </c>
      <c r="X56" s="146">
        <f>-'Manut Rede'!V63</f>
        <v>0</v>
      </c>
      <c r="Y56" s="146">
        <f>-'Manut Rede'!W63</f>
        <v>0</v>
      </c>
      <c r="Z56" s="146">
        <f>-'Manut Rede'!X63</f>
        <v>0</v>
      </c>
      <c r="AA56" s="146">
        <f>-'Manut Rede'!Y63</f>
        <v>0</v>
      </c>
      <c r="AB56" s="146">
        <f>-'Manut Rede'!Z63</f>
        <v>0</v>
      </c>
      <c r="AC56" s="146">
        <f>-'Manut Rede'!AA63</f>
        <v>0</v>
      </c>
      <c r="AD56" s="146">
        <f>-'Manut Rede'!AB63</f>
        <v>0</v>
      </c>
      <c r="AE56" s="146">
        <f>-'Manut Rede'!AC63</f>
        <v>0</v>
      </c>
      <c r="AF56" s="146">
        <f>-'Manut Rede'!AD63</f>
        <v>0</v>
      </c>
      <c r="AG56" s="146">
        <f>-'Manut Rede'!AE63</f>
        <v>0</v>
      </c>
      <c r="AH56" s="146">
        <f>-'Manut Rede'!AF63</f>
        <v>0</v>
      </c>
      <c r="AI56" s="146">
        <f>-'Manut Rede'!AG63</f>
        <v>0</v>
      </c>
      <c r="AJ56" s="146">
        <f>-'Manut Rede'!AH63</f>
        <v>0</v>
      </c>
      <c r="AK56" s="146">
        <f>-'Manut Rede'!AI63</f>
        <v>0</v>
      </c>
      <c r="AL56" s="146">
        <f>-'Manut Rede'!AJ63</f>
        <v>0</v>
      </c>
      <c r="AM56" s="146">
        <f>-'Manut Rede'!AK63</f>
        <v>0</v>
      </c>
      <c r="AN56" s="146">
        <f>-'Manut Rede'!AL63</f>
        <v>0</v>
      </c>
      <c r="AO56" s="453">
        <f t="shared" si="93"/>
        <v>0</v>
      </c>
      <c r="AP56" s="71"/>
      <c r="AQ56" s="71"/>
      <c r="AR56" s="23"/>
      <c r="AS56" s="28"/>
      <c r="AU56" s="23"/>
      <c r="AW56" s="23"/>
      <c r="AX56" s="23"/>
    </row>
    <row r="57" spans="1:50" ht="15" x14ac:dyDescent="0.25">
      <c r="A57" s="66"/>
      <c r="B57" s="451" t="s">
        <v>78</v>
      </c>
      <c r="C57" s="495"/>
      <c r="D57" s="4"/>
      <c r="E57" s="99"/>
      <c r="F57" s="146">
        <f>-Veículos!D16</f>
        <v>0</v>
      </c>
      <c r="G57" s="146">
        <f>-Veículos!E16</f>
        <v>0</v>
      </c>
      <c r="H57" s="146">
        <f>-Veículos!F16</f>
        <v>0</v>
      </c>
      <c r="I57" s="146">
        <f>-Veículos!G16</f>
        <v>0</v>
      </c>
      <c r="J57" s="146">
        <f>-Veículos!H16</f>
        <v>0</v>
      </c>
      <c r="K57" s="146">
        <f>-Veículos!I16</f>
        <v>0</v>
      </c>
      <c r="L57" s="146">
        <f>-Veículos!J16</f>
        <v>0</v>
      </c>
      <c r="M57" s="146">
        <f>-Veículos!K16</f>
        <v>0</v>
      </c>
      <c r="N57" s="146">
        <f>-Veículos!L16</f>
        <v>0</v>
      </c>
      <c r="O57" s="146">
        <f>-Veículos!M16</f>
        <v>0</v>
      </c>
      <c r="P57" s="146">
        <f>-Veículos!N16</f>
        <v>0</v>
      </c>
      <c r="Q57" s="146">
        <f>-Veículos!O16</f>
        <v>0</v>
      </c>
      <c r="R57" s="146">
        <f>-Veículos!P16</f>
        <v>0</v>
      </c>
      <c r="S57" s="146">
        <f>-Veículos!Q16</f>
        <v>0</v>
      </c>
      <c r="T57" s="146">
        <f>-Veículos!R16</f>
        <v>0</v>
      </c>
      <c r="U57" s="146">
        <f>-Veículos!S16</f>
        <v>0</v>
      </c>
      <c r="V57" s="146">
        <f>-Veículos!T16</f>
        <v>0</v>
      </c>
      <c r="W57" s="146">
        <f>-Veículos!U16</f>
        <v>0</v>
      </c>
      <c r="X57" s="146">
        <f>-Veículos!V16</f>
        <v>0</v>
      </c>
      <c r="Y57" s="146">
        <f>-Veículos!W16</f>
        <v>0</v>
      </c>
      <c r="Z57" s="146">
        <f>-Veículos!X16</f>
        <v>0</v>
      </c>
      <c r="AA57" s="146">
        <f>-Veículos!Y16</f>
        <v>0</v>
      </c>
      <c r="AB57" s="146">
        <f>-Veículos!Z16</f>
        <v>0</v>
      </c>
      <c r="AC57" s="146">
        <f>-Veículos!AA16</f>
        <v>0</v>
      </c>
      <c r="AD57" s="146">
        <f>-Veículos!AB16</f>
        <v>0</v>
      </c>
      <c r="AE57" s="146">
        <f>-Veículos!AC16</f>
        <v>0</v>
      </c>
      <c r="AF57" s="146">
        <f>-Veículos!AD16</f>
        <v>0</v>
      </c>
      <c r="AG57" s="146">
        <f>-Veículos!AE16</f>
        <v>0</v>
      </c>
      <c r="AH57" s="146">
        <f>-Veículos!AF16</f>
        <v>0</v>
      </c>
      <c r="AI57" s="146">
        <f>-Veículos!AG16</f>
        <v>0</v>
      </c>
      <c r="AJ57" s="146">
        <f>-Veículos!AH16</f>
        <v>0</v>
      </c>
      <c r="AK57" s="146">
        <f>-Veículos!AI16</f>
        <v>0</v>
      </c>
      <c r="AL57" s="146">
        <f>-Veículos!AJ16</f>
        <v>0</v>
      </c>
      <c r="AM57" s="146">
        <f>-Veículos!AK16</f>
        <v>0</v>
      </c>
      <c r="AN57" s="146">
        <f>-Veículos!AL16</f>
        <v>0</v>
      </c>
      <c r="AO57" s="453">
        <f t="shared" si="93"/>
        <v>0</v>
      </c>
      <c r="AP57" s="71"/>
      <c r="AQ57" s="71"/>
      <c r="AR57" s="23"/>
      <c r="AS57" s="28"/>
    </row>
    <row r="58" spans="1:50" ht="15" x14ac:dyDescent="0.25">
      <c r="A58" s="66"/>
      <c r="B58" s="451" t="s">
        <v>474</v>
      </c>
      <c r="C58" s="495"/>
      <c r="D58" s="4"/>
      <c r="E58" s="99"/>
      <c r="F58" s="146" t="e">
        <f>-'Energia Eletrica'!E35</f>
        <v>#DIV/0!</v>
      </c>
      <c r="G58" s="146" t="e">
        <f>-'Energia Eletrica'!F35</f>
        <v>#DIV/0!</v>
      </c>
      <c r="H58" s="146" t="e">
        <f>-'Energia Eletrica'!G35</f>
        <v>#DIV/0!</v>
      </c>
      <c r="I58" s="146" t="e">
        <f>-'Energia Eletrica'!H35</f>
        <v>#DIV/0!</v>
      </c>
      <c r="J58" s="146" t="e">
        <f>-'Energia Eletrica'!I35</f>
        <v>#DIV/0!</v>
      </c>
      <c r="K58" s="146" t="e">
        <f>-'Energia Eletrica'!J35</f>
        <v>#DIV/0!</v>
      </c>
      <c r="L58" s="146" t="e">
        <f>-'Energia Eletrica'!K35</f>
        <v>#DIV/0!</v>
      </c>
      <c r="M58" s="146" t="e">
        <f>-'Energia Eletrica'!L35</f>
        <v>#DIV/0!</v>
      </c>
      <c r="N58" s="146" t="e">
        <f>-'Energia Eletrica'!M35</f>
        <v>#DIV/0!</v>
      </c>
      <c r="O58" s="146" t="e">
        <f>-'Energia Eletrica'!N35</f>
        <v>#DIV/0!</v>
      </c>
      <c r="P58" s="146" t="e">
        <f>-'Energia Eletrica'!O35</f>
        <v>#DIV/0!</v>
      </c>
      <c r="Q58" s="146" t="e">
        <f>-'Energia Eletrica'!P35</f>
        <v>#DIV/0!</v>
      </c>
      <c r="R58" s="146" t="e">
        <f>-'Energia Eletrica'!Q35</f>
        <v>#DIV/0!</v>
      </c>
      <c r="S58" s="146" t="e">
        <f>-'Energia Eletrica'!R35</f>
        <v>#DIV/0!</v>
      </c>
      <c r="T58" s="146" t="e">
        <f>-'Energia Eletrica'!S35</f>
        <v>#DIV/0!</v>
      </c>
      <c r="U58" s="146" t="e">
        <f>-'Energia Eletrica'!T35</f>
        <v>#DIV/0!</v>
      </c>
      <c r="V58" s="146" t="e">
        <f>-'Energia Eletrica'!U35</f>
        <v>#DIV/0!</v>
      </c>
      <c r="W58" s="146" t="e">
        <f>-'Energia Eletrica'!V35</f>
        <v>#DIV/0!</v>
      </c>
      <c r="X58" s="146" t="e">
        <f>-'Energia Eletrica'!W35</f>
        <v>#DIV/0!</v>
      </c>
      <c r="Y58" s="146" t="e">
        <f>-'Energia Eletrica'!X35</f>
        <v>#DIV/0!</v>
      </c>
      <c r="Z58" s="146" t="e">
        <f>-'Energia Eletrica'!Y35</f>
        <v>#DIV/0!</v>
      </c>
      <c r="AA58" s="146" t="e">
        <f>-'Energia Eletrica'!Z35</f>
        <v>#DIV/0!</v>
      </c>
      <c r="AB58" s="146" t="e">
        <f>-'Energia Eletrica'!AA35</f>
        <v>#DIV/0!</v>
      </c>
      <c r="AC58" s="146" t="e">
        <f>-'Energia Eletrica'!AB35</f>
        <v>#DIV/0!</v>
      </c>
      <c r="AD58" s="146" t="e">
        <f>-'Energia Eletrica'!AC35</f>
        <v>#DIV/0!</v>
      </c>
      <c r="AE58" s="146" t="e">
        <f>-'Energia Eletrica'!AD35</f>
        <v>#DIV/0!</v>
      </c>
      <c r="AF58" s="146" t="e">
        <f>-'Energia Eletrica'!AE35</f>
        <v>#DIV/0!</v>
      </c>
      <c r="AG58" s="146" t="e">
        <f>-'Energia Eletrica'!AF35</f>
        <v>#DIV/0!</v>
      </c>
      <c r="AH58" s="146" t="e">
        <f>-'Energia Eletrica'!AG35</f>
        <v>#DIV/0!</v>
      </c>
      <c r="AI58" s="146" t="e">
        <f>-'Energia Eletrica'!AH35</f>
        <v>#DIV/0!</v>
      </c>
      <c r="AJ58" s="146" t="e">
        <f>-'Energia Eletrica'!AI35</f>
        <v>#DIV/0!</v>
      </c>
      <c r="AK58" s="146" t="e">
        <f>-'Energia Eletrica'!AJ35</f>
        <v>#DIV/0!</v>
      </c>
      <c r="AL58" s="146" t="e">
        <f>-'Energia Eletrica'!AK35</f>
        <v>#DIV/0!</v>
      </c>
      <c r="AM58" s="146" t="e">
        <f>-'Energia Eletrica'!AL35</f>
        <v>#DIV/0!</v>
      </c>
      <c r="AN58" s="146" t="e">
        <f>-'Energia Eletrica'!AM35</f>
        <v>#DIV/0!</v>
      </c>
      <c r="AO58" s="453" t="e">
        <f t="shared" si="93"/>
        <v>#DIV/0!</v>
      </c>
      <c r="AP58" s="71"/>
      <c r="AQ58" s="71"/>
      <c r="AR58" s="23"/>
      <c r="AS58" s="28"/>
    </row>
    <row r="59" spans="1:50" ht="15" x14ac:dyDescent="0.25">
      <c r="A59" s="66"/>
      <c r="B59" s="451" t="s">
        <v>340</v>
      </c>
      <c r="C59" s="495"/>
      <c r="D59" s="4"/>
      <c r="E59" s="99"/>
      <c r="F59" s="146" t="e">
        <f>-'Reposição de Ativos'!D17</f>
        <v>#DIV/0!</v>
      </c>
      <c r="G59" s="146" t="e">
        <f>-'Reposição de Ativos'!E17</f>
        <v>#DIV/0!</v>
      </c>
      <c r="H59" s="146" t="e">
        <f>-'Reposição de Ativos'!F17</f>
        <v>#DIV/0!</v>
      </c>
      <c r="I59" s="146" t="e">
        <f>-'Reposição de Ativos'!G17</f>
        <v>#DIV/0!</v>
      </c>
      <c r="J59" s="146" t="e">
        <f>-'Reposição de Ativos'!H17</f>
        <v>#DIV/0!</v>
      </c>
      <c r="K59" s="146" t="e">
        <f>-'Reposição de Ativos'!I17</f>
        <v>#DIV/0!</v>
      </c>
      <c r="L59" s="146" t="e">
        <f>-'Reposição de Ativos'!J17</f>
        <v>#DIV/0!</v>
      </c>
      <c r="M59" s="146" t="e">
        <f>-'Reposição de Ativos'!K17</f>
        <v>#DIV/0!</v>
      </c>
      <c r="N59" s="146" t="e">
        <f>-'Reposição de Ativos'!L17</f>
        <v>#DIV/0!</v>
      </c>
      <c r="O59" s="146" t="e">
        <f>-'Reposição de Ativos'!M17</f>
        <v>#DIV/0!</v>
      </c>
      <c r="P59" s="146" t="e">
        <f>-'Reposição de Ativos'!N17</f>
        <v>#DIV/0!</v>
      </c>
      <c r="Q59" s="146" t="e">
        <f>-'Reposição de Ativos'!O17</f>
        <v>#DIV/0!</v>
      </c>
      <c r="R59" s="146" t="e">
        <f>-'Reposição de Ativos'!P17</f>
        <v>#DIV/0!</v>
      </c>
      <c r="S59" s="146" t="e">
        <f>-'Reposição de Ativos'!Q17</f>
        <v>#DIV/0!</v>
      </c>
      <c r="T59" s="146" t="e">
        <f>-'Reposição de Ativos'!R17</f>
        <v>#DIV/0!</v>
      </c>
      <c r="U59" s="146" t="e">
        <f>-'Reposição de Ativos'!S17</f>
        <v>#DIV/0!</v>
      </c>
      <c r="V59" s="146" t="e">
        <f>-'Reposição de Ativos'!T17</f>
        <v>#DIV/0!</v>
      </c>
      <c r="W59" s="146" t="e">
        <f>-'Reposição de Ativos'!U17</f>
        <v>#DIV/0!</v>
      </c>
      <c r="X59" s="146" t="e">
        <f>-'Reposição de Ativos'!V17</f>
        <v>#DIV/0!</v>
      </c>
      <c r="Y59" s="146" t="e">
        <f>-'Reposição de Ativos'!W17</f>
        <v>#DIV/0!</v>
      </c>
      <c r="Z59" s="146" t="e">
        <f>-'Reposição de Ativos'!X17</f>
        <v>#DIV/0!</v>
      </c>
      <c r="AA59" s="146" t="e">
        <f>-'Reposição de Ativos'!Y17</f>
        <v>#DIV/0!</v>
      </c>
      <c r="AB59" s="146" t="e">
        <f>-'Reposição de Ativos'!Z17</f>
        <v>#DIV/0!</v>
      </c>
      <c r="AC59" s="146" t="e">
        <f>-'Reposição de Ativos'!AA17</f>
        <v>#DIV/0!</v>
      </c>
      <c r="AD59" s="146" t="e">
        <f>-'Reposição de Ativos'!AB17</f>
        <v>#DIV/0!</v>
      </c>
      <c r="AE59" s="146" t="e">
        <f>-'Reposição de Ativos'!AC17</f>
        <v>#DIV/0!</v>
      </c>
      <c r="AF59" s="146" t="e">
        <f>-'Reposição de Ativos'!AD17</f>
        <v>#DIV/0!</v>
      </c>
      <c r="AG59" s="146" t="e">
        <f>-'Reposição de Ativos'!AE17</f>
        <v>#DIV/0!</v>
      </c>
      <c r="AH59" s="146" t="e">
        <f>-'Reposição de Ativos'!AF17</f>
        <v>#DIV/0!</v>
      </c>
      <c r="AI59" s="146" t="e">
        <f>-'Reposição de Ativos'!AG17</f>
        <v>#DIV/0!</v>
      </c>
      <c r="AJ59" s="146" t="e">
        <f>-'Reposição de Ativos'!AH17</f>
        <v>#DIV/0!</v>
      </c>
      <c r="AK59" s="146" t="e">
        <f>-'Reposição de Ativos'!AI17</f>
        <v>#DIV/0!</v>
      </c>
      <c r="AL59" s="146" t="e">
        <f>-'Reposição de Ativos'!AJ17</f>
        <v>#DIV/0!</v>
      </c>
      <c r="AM59" s="146" t="e">
        <f>-'Reposição de Ativos'!AK17</f>
        <v>#DIV/0!</v>
      </c>
      <c r="AN59" s="146" t="e">
        <f>-'Reposição de Ativos'!AL17</f>
        <v>#DIV/0!</v>
      </c>
      <c r="AO59" s="453" t="e">
        <f t="shared" si="93"/>
        <v>#DIV/0!</v>
      </c>
      <c r="AP59" s="71"/>
      <c r="AQ59" s="71"/>
      <c r="AR59" s="23"/>
      <c r="AS59" s="28"/>
    </row>
    <row r="60" spans="1:50" ht="15" x14ac:dyDescent="0.25">
      <c r="A60" s="66"/>
      <c r="B60" s="451" t="s">
        <v>341</v>
      </c>
      <c r="C60" s="495"/>
      <c r="D60" s="4"/>
      <c r="E60" s="99"/>
      <c r="F60" s="146">
        <f>-Veículos!D17</f>
        <v>0</v>
      </c>
      <c r="G60" s="146">
        <f>-Veículos!E17</f>
        <v>0</v>
      </c>
      <c r="H60" s="146">
        <f>-Veículos!F17</f>
        <v>0</v>
      </c>
      <c r="I60" s="146">
        <f>-Veículos!G17</f>
        <v>0</v>
      </c>
      <c r="J60" s="146">
        <f>-Veículos!H17</f>
        <v>0</v>
      </c>
      <c r="K60" s="146">
        <f>-Veículos!I17</f>
        <v>0</v>
      </c>
      <c r="L60" s="146">
        <f>-Veículos!J17</f>
        <v>0</v>
      </c>
      <c r="M60" s="146">
        <f>-Veículos!K17</f>
        <v>0</v>
      </c>
      <c r="N60" s="146">
        <f>-Veículos!L17</f>
        <v>0</v>
      </c>
      <c r="O60" s="146">
        <f>-Veículos!M17</f>
        <v>0</v>
      </c>
      <c r="P60" s="146">
        <f>-Veículos!N17</f>
        <v>0</v>
      </c>
      <c r="Q60" s="146">
        <f>-Veículos!O17</f>
        <v>0</v>
      </c>
      <c r="R60" s="146">
        <f>-Veículos!P17</f>
        <v>0</v>
      </c>
      <c r="S60" s="146">
        <f>-Veículos!Q17</f>
        <v>0</v>
      </c>
      <c r="T60" s="146">
        <f>-Veículos!R17</f>
        <v>0</v>
      </c>
      <c r="U60" s="146">
        <f>-Veículos!S17</f>
        <v>0</v>
      </c>
      <c r="V60" s="146">
        <f>-Veículos!T17</f>
        <v>0</v>
      </c>
      <c r="W60" s="146">
        <f>-Veículos!U17</f>
        <v>0</v>
      </c>
      <c r="X60" s="146">
        <f>-Veículos!V17</f>
        <v>0</v>
      </c>
      <c r="Y60" s="146">
        <f>-Veículos!W17</f>
        <v>0</v>
      </c>
      <c r="Z60" s="146">
        <f>-Veículos!X17</f>
        <v>0</v>
      </c>
      <c r="AA60" s="146">
        <f>-Veículos!Y17</f>
        <v>0</v>
      </c>
      <c r="AB60" s="146">
        <f>-Veículos!Z17</f>
        <v>0</v>
      </c>
      <c r="AC60" s="146">
        <f>-Veículos!AA17</f>
        <v>0</v>
      </c>
      <c r="AD60" s="146">
        <f>-Veículos!AB17</f>
        <v>0</v>
      </c>
      <c r="AE60" s="146">
        <f>-Veículos!AC17</f>
        <v>0</v>
      </c>
      <c r="AF60" s="146">
        <f>-Veículos!AD17</f>
        <v>0</v>
      </c>
      <c r="AG60" s="146">
        <f>-Veículos!AE17</f>
        <v>0</v>
      </c>
      <c r="AH60" s="146">
        <f>-Veículos!AF17</f>
        <v>0</v>
      </c>
      <c r="AI60" s="146">
        <f>-Veículos!AG17</f>
        <v>0</v>
      </c>
      <c r="AJ60" s="146">
        <f>-Veículos!AH17</f>
        <v>0</v>
      </c>
      <c r="AK60" s="146">
        <f>-Veículos!AI17</f>
        <v>0</v>
      </c>
      <c r="AL60" s="146">
        <f>-Veículos!AJ17</f>
        <v>0</v>
      </c>
      <c r="AM60" s="146">
        <f>-Veículos!AK17</f>
        <v>0</v>
      </c>
      <c r="AN60" s="146">
        <f>-Veículos!AL17</f>
        <v>0</v>
      </c>
      <c r="AO60" s="453">
        <f t="shared" si="93"/>
        <v>0</v>
      </c>
      <c r="AP60" s="71"/>
      <c r="AQ60" s="71"/>
      <c r="AR60" s="23"/>
      <c r="AS60" s="28"/>
    </row>
    <row r="61" spans="1:50" ht="15" x14ac:dyDescent="0.25">
      <c r="A61" s="66"/>
      <c r="B61" s="451" t="s">
        <v>342</v>
      </c>
      <c r="C61" s="495"/>
      <c r="D61" s="4"/>
      <c r="E61" s="99"/>
      <c r="F61" s="146">
        <f>-'Energia Eletrica'!E22</f>
        <v>0</v>
      </c>
      <c r="G61" s="146">
        <f>-'Energia Eletrica'!F22</f>
        <v>0</v>
      </c>
      <c r="H61" s="146">
        <f>-'Energia Eletrica'!G22</f>
        <v>0</v>
      </c>
      <c r="I61" s="146">
        <f>-'Energia Eletrica'!H22</f>
        <v>0</v>
      </c>
      <c r="J61" s="146">
        <f>-'Energia Eletrica'!I22</f>
        <v>0</v>
      </c>
      <c r="K61" s="146">
        <f>-'Energia Eletrica'!J22</f>
        <v>0</v>
      </c>
      <c r="L61" s="146">
        <f>-'Energia Eletrica'!K22</f>
        <v>0</v>
      </c>
      <c r="M61" s="146">
        <f>-'Energia Eletrica'!L22</f>
        <v>0</v>
      </c>
      <c r="N61" s="146">
        <f>-'Energia Eletrica'!M22</f>
        <v>0</v>
      </c>
      <c r="O61" s="146">
        <f>-'Energia Eletrica'!N22</f>
        <v>0</v>
      </c>
      <c r="P61" s="146">
        <f>-'Energia Eletrica'!O22</f>
        <v>0</v>
      </c>
      <c r="Q61" s="146">
        <f>-'Energia Eletrica'!P22</f>
        <v>0</v>
      </c>
      <c r="R61" s="146">
        <f>-'Energia Eletrica'!Q22</f>
        <v>0</v>
      </c>
      <c r="S61" s="146">
        <f>-'Energia Eletrica'!R22</f>
        <v>0</v>
      </c>
      <c r="T61" s="146">
        <f>-'Energia Eletrica'!S22</f>
        <v>0</v>
      </c>
      <c r="U61" s="146">
        <f>-'Energia Eletrica'!T22</f>
        <v>0</v>
      </c>
      <c r="V61" s="146">
        <f>-'Energia Eletrica'!U22</f>
        <v>0</v>
      </c>
      <c r="W61" s="146">
        <f>-'Energia Eletrica'!V22</f>
        <v>0</v>
      </c>
      <c r="X61" s="146">
        <f>-'Energia Eletrica'!W22</f>
        <v>0</v>
      </c>
      <c r="Y61" s="146">
        <f>-'Energia Eletrica'!X22</f>
        <v>0</v>
      </c>
      <c r="Z61" s="146">
        <f>-'Energia Eletrica'!Y22</f>
        <v>0</v>
      </c>
      <c r="AA61" s="146">
        <f>-'Energia Eletrica'!Z22</f>
        <v>0</v>
      </c>
      <c r="AB61" s="146">
        <f>-'Energia Eletrica'!AA22</f>
        <v>0</v>
      </c>
      <c r="AC61" s="146">
        <f>-'Energia Eletrica'!AB22</f>
        <v>0</v>
      </c>
      <c r="AD61" s="146">
        <f>-'Energia Eletrica'!AC22</f>
        <v>0</v>
      </c>
      <c r="AE61" s="146">
        <f>-'Energia Eletrica'!AD22</f>
        <v>0</v>
      </c>
      <c r="AF61" s="146">
        <f>-'Energia Eletrica'!AE22</f>
        <v>0</v>
      </c>
      <c r="AG61" s="146">
        <f>-'Energia Eletrica'!AF22</f>
        <v>0</v>
      </c>
      <c r="AH61" s="146">
        <f>-'Energia Eletrica'!AG22</f>
        <v>0</v>
      </c>
      <c r="AI61" s="146">
        <f>-'Energia Eletrica'!AH22</f>
        <v>0</v>
      </c>
      <c r="AJ61" s="146">
        <f>-'Energia Eletrica'!AI22</f>
        <v>0</v>
      </c>
      <c r="AK61" s="146">
        <f>-'Energia Eletrica'!AJ22</f>
        <v>0</v>
      </c>
      <c r="AL61" s="146">
        <f>-'Energia Eletrica'!AK22</f>
        <v>0</v>
      </c>
      <c r="AM61" s="146">
        <f>-'Energia Eletrica'!AL22</f>
        <v>0</v>
      </c>
      <c r="AN61" s="146">
        <f>-'Energia Eletrica'!AM22</f>
        <v>0</v>
      </c>
      <c r="AO61" s="453">
        <f t="shared" si="93"/>
        <v>0</v>
      </c>
      <c r="AP61" s="71"/>
      <c r="AQ61" s="71"/>
      <c r="AR61" s="23"/>
      <c r="AS61" s="28"/>
      <c r="AU61" s="23"/>
      <c r="AW61" s="23"/>
      <c r="AX61" s="23"/>
    </row>
    <row r="62" spans="1:50" ht="15" x14ac:dyDescent="0.25">
      <c r="A62" s="66"/>
      <c r="B62" s="451" t="s">
        <v>343</v>
      </c>
      <c r="C62" s="495"/>
      <c r="D62" s="4"/>
      <c r="E62" s="99"/>
      <c r="F62" s="146">
        <f>-'Produto Químico'!E27</f>
        <v>0</v>
      </c>
      <c r="G62" s="146">
        <f>-'Produto Químico'!F27</f>
        <v>0</v>
      </c>
      <c r="H62" s="146">
        <f>-'Produto Químico'!G27</f>
        <v>0</v>
      </c>
      <c r="I62" s="146">
        <f>-'Produto Químico'!H27</f>
        <v>0</v>
      </c>
      <c r="J62" s="146">
        <f>-'Produto Químico'!I27</f>
        <v>0</v>
      </c>
      <c r="K62" s="146">
        <f>-'Produto Químico'!J27</f>
        <v>0</v>
      </c>
      <c r="L62" s="146">
        <f>-'Produto Químico'!K27</f>
        <v>0</v>
      </c>
      <c r="M62" s="146">
        <f>-'Produto Químico'!L27</f>
        <v>0</v>
      </c>
      <c r="N62" s="146">
        <f>-'Produto Químico'!M27</f>
        <v>0</v>
      </c>
      <c r="O62" s="146">
        <f>-'Produto Químico'!N27</f>
        <v>0</v>
      </c>
      <c r="P62" s="146">
        <f>-'Produto Químico'!O27</f>
        <v>0</v>
      </c>
      <c r="Q62" s="146">
        <f>-'Produto Químico'!P27</f>
        <v>0</v>
      </c>
      <c r="R62" s="146">
        <f>-'Produto Químico'!Q27</f>
        <v>0</v>
      </c>
      <c r="S62" s="146">
        <f>-'Produto Químico'!R27</f>
        <v>0</v>
      </c>
      <c r="T62" s="146">
        <f>-'Produto Químico'!S27</f>
        <v>0</v>
      </c>
      <c r="U62" s="146">
        <f>-'Produto Químico'!T27</f>
        <v>0</v>
      </c>
      <c r="V62" s="146">
        <f>-'Produto Químico'!U27</f>
        <v>0</v>
      </c>
      <c r="W62" s="146">
        <f>-'Produto Químico'!V27</f>
        <v>0</v>
      </c>
      <c r="X62" s="146">
        <f>-'Produto Químico'!W27</f>
        <v>0</v>
      </c>
      <c r="Y62" s="146">
        <f>-'Produto Químico'!X27</f>
        <v>0</v>
      </c>
      <c r="Z62" s="146">
        <f>-'Produto Químico'!Y27</f>
        <v>0</v>
      </c>
      <c r="AA62" s="146">
        <f>-'Produto Químico'!Z27</f>
        <v>0</v>
      </c>
      <c r="AB62" s="146">
        <f>-'Produto Químico'!AA27</f>
        <v>0</v>
      </c>
      <c r="AC62" s="146">
        <f>-'Produto Químico'!AB27</f>
        <v>0</v>
      </c>
      <c r="AD62" s="146">
        <f>-'Produto Químico'!AC27</f>
        <v>0</v>
      </c>
      <c r="AE62" s="146">
        <f>-'Produto Químico'!AD27</f>
        <v>0</v>
      </c>
      <c r="AF62" s="146">
        <f>-'Produto Químico'!AE27</f>
        <v>0</v>
      </c>
      <c r="AG62" s="146">
        <f>-'Produto Químico'!AF27</f>
        <v>0</v>
      </c>
      <c r="AH62" s="146">
        <f>-'Produto Químico'!AG27</f>
        <v>0</v>
      </c>
      <c r="AI62" s="146">
        <f>-'Produto Químico'!AH27</f>
        <v>0</v>
      </c>
      <c r="AJ62" s="146">
        <f>-'Produto Químico'!AI27</f>
        <v>0</v>
      </c>
      <c r="AK62" s="146">
        <f>-'Produto Químico'!AJ27</f>
        <v>0</v>
      </c>
      <c r="AL62" s="146">
        <f>-'Produto Químico'!AK27</f>
        <v>0</v>
      </c>
      <c r="AM62" s="146">
        <f>-'Produto Químico'!AL27</f>
        <v>0</v>
      </c>
      <c r="AN62" s="146">
        <f>-'Produto Químico'!AM27</f>
        <v>0</v>
      </c>
      <c r="AO62" s="453">
        <f t="shared" si="93"/>
        <v>0</v>
      </c>
      <c r="AP62" s="71"/>
      <c r="AQ62" s="71"/>
      <c r="AR62" s="23"/>
      <c r="AS62" s="28"/>
      <c r="AU62" s="44"/>
      <c r="AW62" s="23"/>
      <c r="AX62" s="23"/>
    </row>
    <row r="63" spans="1:50" ht="15" x14ac:dyDescent="0.25">
      <c r="A63" s="66"/>
      <c r="B63" s="451" t="s">
        <v>344</v>
      </c>
      <c r="C63" s="495"/>
      <c r="D63" s="4"/>
      <c r="E63" s="99"/>
      <c r="F63" s="146" t="e">
        <f>-F42*0.0300343386711128</f>
        <v>#DIV/0!</v>
      </c>
      <c r="G63" s="146" t="e">
        <f>-G42*0.0300343386711128</f>
        <v>#DIV/0!</v>
      </c>
      <c r="H63" s="146" t="e">
        <f t="shared" ref="H63:AN63" si="95">-H42*0.0300343386711128</f>
        <v>#DIV/0!</v>
      </c>
      <c r="I63" s="146" t="e">
        <f t="shared" si="95"/>
        <v>#DIV/0!</v>
      </c>
      <c r="J63" s="146" t="e">
        <f t="shared" si="95"/>
        <v>#DIV/0!</v>
      </c>
      <c r="K63" s="146" t="e">
        <f t="shared" si="95"/>
        <v>#DIV/0!</v>
      </c>
      <c r="L63" s="146" t="e">
        <f t="shared" si="95"/>
        <v>#DIV/0!</v>
      </c>
      <c r="M63" s="146" t="e">
        <f t="shared" si="95"/>
        <v>#DIV/0!</v>
      </c>
      <c r="N63" s="146" t="e">
        <f t="shared" si="95"/>
        <v>#DIV/0!</v>
      </c>
      <c r="O63" s="146" t="e">
        <f t="shared" si="95"/>
        <v>#DIV/0!</v>
      </c>
      <c r="P63" s="146" t="e">
        <f t="shared" si="95"/>
        <v>#DIV/0!</v>
      </c>
      <c r="Q63" s="146" t="e">
        <f t="shared" si="95"/>
        <v>#DIV/0!</v>
      </c>
      <c r="R63" s="146" t="e">
        <f t="shared" si="95"/>
        <v>#DIV/0!</v>
      </c>
      <c r="S63" s="146" t="e">
        <f t="shared" si="95"/>
        <v>#DIV/0!</v>
      </c>
      <c r="T63" s="146" t="e">
        <f t="shared" si="95"/>
        <v>#DIV/0!</v>
      </c>
      <c r="U63" s="146" t="e">
        <f t="shared" si="95"/>
        <v>#DIV/0!</v>
      </c>
      <c r="V63" s="146" t="e">
        <f t="shared" si="95"/>
        <v>#DIV/0!</v>
      </c>
      <c r="W63" s="146" t="e">
        <f t="shared" si="95"/>
        <v>#DIV/0!</v>
      </c>
      <c r="X63" s="146" t="e">
        <f t="shared" si="95"/>
        <v>#DIV/0!</v>
      </c>
      <c r="Y63" s="146" t="e">
        <f t="shared" si="95"/>
        <v>#DIV/0!</v>
      </c>
      <c r="Z63" s="146" t="e">
        <f t="shared" si="95"/>
        <v>#DIV/0!</v>
      </c>
      <c r="AA63" s="146" t="e">
        <f t="shared" si="95"/>
        <v>#DIV/0!</v>
      </c>
      <c r="AB63" s="146" t="e">
        <f t="shared" si="95"/>
        <v>#DIV/0!</v>
      </c>
      <c r="AC63" s="146" t="e">
        <f t="shared" si="95"/>
        <v>#DIV/0!</v>
      </c>
      <c r="AD63" s="146" t="e">
        <f t="shared" si="95"/>
        <v>#DIV/0!</v>
      </c>
      <c r="AE63" s="146" t="e">
        <f t="shared" si="95"/>
        <v>#DIV/0!</v>
      </c>
      <c r="AF63" s="146" t="e">
        <f t="shared" si="95"/>
        <v>#DIV/0!</v>
      </c>
      <c r="AG63" s="146" t="e">
        <f t="shared" si="95"/>
        <v>#DIV/0!</v>
      </c>
      <c r="AH63" s="146" t="e">
        <f t="shared" si="95"/>
        <v>#DIV/0!</v>
      </c>
      <c r="AI63" s="146" t="e">
        <f t="shared" si="95"/>
        <v>#DIV/0!</v>
      </c>
      <c r="AJ63" s="146" t="e">
        <f t="shared" si="95"/>
        <v>#DIV/0!</v>
      </c>
      <c r="AK63" s="146" t="e">
        <f t="shared" si="95"/>
        <v>#DIV/0!</v>
      </c>
      <c r="AL63" s="146" t="e">
        <f t="shared" si="95"/>
        <v>#DIV/0!</v>
      </c>
      <c r="AM63" s="146" t="e">
        <f t="shared" si="95"/>
        <v>#DIV/0!</v>
      </c>
      <c r="AN63" s="146" t="e">
        <f t="shared" si="95"/>
        <v>#DIV/0!</v>
      </c>
      <c r="AO63" s="453" t="e">
        <f t="shared" si="93"/>
        <v>#DIV/0!</v>
      </c>
      <c r="AP63" s="71"/>
      <c r="AQ63" s="71"/>
      <c r="AR63" s="23"/>
      <c r="AS63" s="28"/>
    </row>
    <row r="64" spans="1:50" ht="15" x14ac:dyDescent="0.25">
      <c r="A64" s="66"/>
      <c r="B64" s="451" t="s">
        <v>345</v>
      </c>
      <c r="C64" s="495"/>
      <c r="D64" s="4"/>
      <c r="E64" s="99"/>
      <c r="F64" s="146" t="e">
        <f>-'Legal e Regulação'!E10</f>
        <v>#DIV/0!</v>
      </c>
      <c r="G64" s="146" t="e">
        <f>-'Legal e Regulação'!F10</f>
        <v>#DIV/0!</v>
      </c>
      <c r="H64" s="146" t="e">
        <f>-'Legal e Regulação'!G10</f>
        <v>#DIV/0!</v>
      </c>
      <c r="I64" s="146" t="e">
        <f>-'Legal e Regulação'!H10</f>
        <v>#DIV/0!</v>
      </c>
      <c r="J64" s="146" t="e">
        <f>-'Legal e Regulação'!I10</f>
        <v>#DIV/0!</v>
      </c>
      <c r="K64" s="146" t="e">
        <f>-'Legal e Regulação'!J10</f>
        <v>#DIV/0!</v>
      </c>
      <c r="L64" s="146" t="e">
        <f>-'Legal e Regulação'!K10</f>
        <v>#DIV/0!</v>
      </c>
      <c r="M64" s="146" t="e">
        <f>-'Legal e Regulação'!L10</f>
        <v>#DIV/0!</v>
      </c>
      <c r="N64" s="146" t="e">
        <f>-'Legal e Regulação'!M10</f>
        <v>#DIV/0!</v>
      </c>
      <c r="O64" s="146" t="e">
        <f>-'Legal e Regulação'!N10</f>
        <v>#DIV/0!</v>
      </c>
      <c r="P64" s="146" t="e">
        <f>-'Legal e Regulação'!O10</f>
        <v>#DIV/0!</v>
      </c>
      <c r="Q64" s="146" t="e">
        <f>-'Legal e Regulação'!P10</f>
        <v>#DIV/0!</v>
      </c>
      <c r="R64" s="146" t="e">
        <f>-'Legal e Regulação'!Q10</f>
        <v>#DIV/0!</v>
      </c>
      <c r="S64" s="146" t="e">
        <f>-'Legal e Regulação'!R10</f>
        <v>#DIV/0!</v>
      </c>
      <c r="T64" s="146" t="e">
        <f>-'Legal e Regulação'!S10</f>
        <v>#DIV/0!</v>
      </c>
      <c r="U64" s="146" t="e">
        <f>-'Legal e Regulação'!T10</f>
        <v>#DIV/0!</v>
      </c>
      <c r="V64" s="146" t="e">
        <f>-'Legal e Regulação'!U10</f>
        <v>#DIV/0!</v>
      </c>
      <c r="W64" s="146" t="e">
        <f>-'Legal e Regulação'!V10</f>
        <v>#DIV/0!</v>
      </c>
      <c r="X64" s="146" t="e">
        <f>-'Legal e Regulação'!W10</f>
        <v>#DIV/0!</v>
      </c>
      <c r="Y64" s="146" t="e">
        <f>-'Legal e Regulação'!X10</f>
        <v>#DIV/0!</v>
      </c>
      <c r="Z64" s="146" t="e">
        <f>-'Legal e Regulação'!Y10</f>
        <v>#DIV/0!</v>
      </c>
      <c r="AA64" s="146" t="e">
        <f>-'Legal e Regulação'!Z10</f>
        <v>#DIV/0!</v>
      </c>
      <c r="AB64" s="146" t="e">
        <f>-'Legal e Regulação'!AA10</f>
        <v>#DIV/0!</v>
      </c>
      <c r="AC64" s="146" t="e">
        <f>-'Legal e Regulação'!AB10</f>
        <v>#DIV/0!</v>
      </c>
      <c r="AD64" s="146" t="e">
        <f>-'Legal e Regulação'!AC10</f>
        <v>#DIV/0!</v>
      </c>
      <c r="AE64" s="146" t="e">
        <f>-'Legal e Regulação'!AD10</f>
        <v>#DIV/0!</v>
      </c>
      <c r="AF64" s="146" t="e">
        <f>-'Legal e Regulação'!AE10</f>
        <v>#DIV/0!</v>
      </c>
      <c r="AG64" s="146" t="e">
        <f>-'Legal e Regulação'!AF10</f>
        <v>#DIV/0!</v>
      </c>
      <c r="AH64" s="146" t="e">
        <f>-'Legal e Regulação'!AG10</f>
        <v>#DIV/0!</v>
      </c>
      <c r="AI64" s="146" t="e">
        <f>-'Legal e Regulação'!AH10</f>
        <v>#DIV/0!</v>
      </c>
      <c r="AJ64" s="146" t="e">
        <f>-'Legal e Regulação'!AI10</f>
        <v>#DIV/0!</v>
      </c>
      <c r="AK64" s="146" t="e">
        <f>-'Legal e Regulação'!AJ10</f>
        <v>#DIV/0!</v>
      </c>
      <c r="AL64" s="146" t="e">
        <f>-'Legal e Regulação'!AK10</f>
        <v>#DIV/0!</v>
      </c>
      <c r="AM64" s="146" t="e">
        <f>-'Legal e Regulação'!AL10</f>
        <v>#DIV/0!</v>
      </c>
      <c r="AN64" s="146" t="e">
        <f>-'Legal e Regulação'!AM10</f>
        <v>#DIV/0!</v>
      </c>
      <c r="AO64" s="453" t="e">
        <f t="shared" si="93"/>
        <v>#DIV/0!</v>
      </c>
      <c r="AP64" s="71"/>
      <c r="AQ64" s="71"/>
      <c r="AR64" s="23"/>
      <c r="AS64" s="28"/>
    </row>
    <row r="65" spans="1:45" ht="15" x14ac:dyDescent="0.25">
      <c r="A65" s="66"/>
      <c r="B65" s="451" t="s">
        <v>346</v>
      </c>
      <c r="C65" s="493"/>
      <c r="D65" s="4"/>
      <c r="E65"/>
      <c r="F65" s="146" t="e">
        <f t="shared" ref="F65:AN65" si="96">(F55+F56+F57+F58+F59+F60+F61+F62+F63+F64+F66)*$C$65</f>
        <v>#DIV/0!</v>
      </c>
      <c r="G65" s="146" t="e">
        <f t="shared" si="96"/>
        <v>#DIV/0!</v>
      </c>
      <c r="H65" s="146" t="e">
        <f t="shared" si="96"/>
        <v>#DIV/0!</v>
      </c>
      <c r="I65" s="146" t="e">
        <f t="shared" si="96"/>
        <v>#DIV/0!</v>
      </c>
      <c r="J65" s="146" t="e">
        <f t="shared" si="96"/>
        <v>#DIV/0!</v>
      </c>
      <c r="K65" s="146" t="e">
        <f t="shared" si="96"/>
        <v>#DIV/0!</v>
      </c>
      <c r="L65" s="146" t="e">
        <f t="shared" si="96"/>
        <v>#DIV/0!</v>
      </c>
      <c r="M65" s="146" t="e">
        <f t="shared" si="96"/>
        <v>#DIV/0!</v>
      </c>
      <c r="N65" s="146" t="e">
        <f t="shared" si="96"/>
        <v>#DIV/0!</v>
      </c>
      <c r="O65" s="146" t="e">
        <f t="shared" si="96"/>
        <v>#DIV/0!</v>
      </c>
      <c r="P65" s="146" t="e">
        <f t="shared" si="96"/>
        <v>#DIV/0!</v>
      </c>
      <c r="Q65" s="146" t="e">
        <f t="shared" si="96"/>
        <v>#DIV/0!</v>
      </c>
      <c r="R65" s="146" t="e">
        <f t="shared" si="96"/>
        <v>#DIV/0!</v>
      </c>
      <c r="S65" s="146" t="e">
        <f t="shared" si="96"/>
        <v>#DIV/0!</v>
      </c>
      <c r="T65" s="146" t="e">
        <f t="shared" si="96"/>
        <v>#DIV/0!</v>
      </c>
      <c r="U65" s="146" t="e">
        <f t="shared" si="96"/>
        <v>#DIV/0!</v>
      </c>
      <c r="V65" s="146" t="e">
        <f t="shared" si="96"/>
        <v>#DIV/0!</v>
      </c>
      <c r="W65" s="146" t="e">
        <f t="shared" si="96"/>
        <v>#DIV/0!</v>
      </c>
      <c r="X65" s="146" t="e">
        <f t="shared" si="96"/>
        <v>#DIV/0!</v>
      </c>
      <c r="Y65" s="146" t="e">
        <f t="shared" si="96"/>
        <v>#DIV/0!</v>
      </c>
      <c r="Z65" s="146" t="e">
        <f t="shared" si="96"/>
        <v>#DIV/0!</v>
      </c>
      <c r="AA65" s="146" t="e">
        <f t="shared" si="96"/>
        <v>#DIV/0!</v>
      </c>
      <c r="AB65" s="146" t="e">
        <f t="shared" si="96"/>
        <v>#DIV/0!</v>
      </c>
      <c r="AC65" s="146" t="e">
        <f t="shared" si="96"/>
        <v>#DIV/0!</v>
      </c>
      <c r="AD65" s="146" t="e">
        <f t="shared" si="96"/>
        <v>#DIV/0!</v>
      </c>
      <c r="AE65" s="146" t="e">
        <f t="shared" si="96"/>
        <v>#DIV/0!</v>
      </c>
      <c r="AF65" s="146" t="e">
        <f t="shared" si="96"/>
        <v>#DIV/0!</v>
      </c>
      <c r="AG65" s="146" t="e">
        <f t="shared" si="96"/>
        <v>#DIV/0!</v>
      </c>
      <c r="AH65" s="146" t="e">
        <f t="shared" si="96"/>
        <v>#DIV/0!</v>
      </c>
      <c r="AI65" s="146" t="e">
        <f t="shared" si="96"/>
        <v>#DIV/0!</v>
      </c>
      <c r="AJ65" s="146" t="e">
        <f t="shared" si="96"/>
        <v>#DIV/0!</v>
      </c>
      <c r="AK65" s="146" t="e">
        <f t="shared" si="96"/>
        <v>#DIV/0!</v>
      </c>
      <c r="AL65" s="146" t="e">
        <f t="shared" si="96"/>
        <v>#DIV/0!</v>
      </c>
      <c r="AM65" s="146" t="e">
        <f t="shared" si="96"/>
        <v>#DIV/0!</v>
      </c>
      <c r="AN65" s="146" t="e">
        <f t="shared" si="96"/>
        <v>#DIV/0!</v>
      </c>
      <c r="AO65" s="453" t="e">
        <f t="shared" si="93"/>
        <v>#DIV/0!</v>
      </c>
      <c r="AP65" s="71"/>
      <c r="AQ65" s="71"/>
      <c r="AR65" s="23"/>
      <c r="AS65" s="28"/>
    </row>
    <row r="66" spans="1:45" ht="15" x14ac:dyDescent="0.25">
      <c r="A66" s="66"/>
      <c r="B66" s="451" t="s">
        <v>347</v>
      </c>
      <c r="C66" s="495"/>
      <c r="D66" s="4"/>
      <c r="E66" s="99"/>
      <c r="F66" s="146">
        <f>-'Recursos Hidricos'!E10</f>
        <v>0</v>
      </c>
      <c r="G66" s="146">
        <f>-'Recursos Hidricos'!F10</f>
        <v>0</v>
      </c>
      <c r="H66" s="146">
        <f>-'Recursos Hidricos'!G10</f>
        <v>0</v>
      </c>
      <c r="I66" s="146">
        <f>-'Recursos Hidricos'!H10</f>
        <v>0</v>
      </c>
      <c r="J66" s="146">
        <f>-'Recursos Hidricos'!I10</f>
        <v>0</v>
      </c>
      <c r="K66" s="146">
        <f>-'Recursos Hidricos'!J10</f>
        <v>0</v>
      </c>
      <c r="L66" s="146">
        <f>-'Recursos Hidricos'!K10</f>
        <v>0</v>
      </c>
      <c r="M66" s="146">
        <f>-'Recursos Hidricos'!L10</f>
        <v>0</v>
      </c>
      <c r="N66" s="146">
        <f>-'Recursos Hidricos'!M10</f>
        <v>0</v>
      </c>
      <c r="O66" s="146">
        <f>-'Recursos Hidricos'!N10</f>
        <v>0</v>
      </c>
      <c r="P66" s="146">
        <f>-'Recursos Hidricos'!O10</f>
        <v>0</v>
      </c>
      <c r="Q66" s="146">
        <f>-'Recursos Hidricos'!P10</f>
        <v>0</v>
      </c>
      <c r="R66" s="146">
        <f>-'Recursos Hidricos'!Q10</f>
        <v>0</v>
      </c>
      <c r="S66" s="146">
        <f>-'Recursos Hidricos'!R10</f>
        <v>0</v>
      </c>
      <c r="T66" s="146">
        <f>-'Recursos Hidricos'!S10</f>
        <v>0</v>
      </c>
      <c r="U66" s="146">
        <f>-'Recursos Hidricos'!T10</f>
        <v>0</v>
      </c>
      <c r="V66" s="146">
        <f>-'Recursos Hidricos'!U10</f>
        <v>0</v>
      </c>
      <c r="W66" s="146">
        <f>-'Recursos Hidricos'!V10</f>
        <v>0</v>
      </c>
      <c r="X66" s="146">
        <f>-'Recursos Hidricos'!W10</f>
        <v>0</v>
      </c>
      <c r="Y66" s="146">
        <f>-'Recursos Hidricos'!X10</f>
        <v>0</v>
      </c>
      <c r="Z66" s="146">
        <f>-'Recursos Hidricos'!Y10</f>
        <v>0</v>
      </c>
      <c r="AA66" s="146">
        <f>-'Recursos Hidricos'!Z10</f>
        <v>0</v>
      </c>
      <c r="AB66" s="146">
        <f>-'Recursos Hidricos'!AA10</f>
        <v>0</v>
      </c>
      <c r="AC66" s="146">
        <f>-'Recursos Hidricos'!AB10</f>
        <v>0</v>
      </c>
      <c r="AD66" s="146">
        <f>-'Recursos Hidricos'!AC10</f>
        <v>0</v>
      </c>
      <c r="AE66" s="146">
        <f>-'Recursos Hidricos'!AD10</f>
        <v>0</v>
      </c>
      <c r="AF66" s="146">
        <f>-'Recursos Hidricos'!AE10</f>
        <v>0</v>
      </c>
      <c r="AG66" s="146">
        <f>-'Recursos Hidricos'!AF10</f>
        <v>0</v>
      </c>
      <c r="AH66" s="146">
        <f>-'Recursos Hidricos'!AG10</f>
        <v>0</v>
      </c>
      <c r="AI66" s="146">
        <f>-'Recursos Hidricos'!AH10</f>
        <v>0</v>
      </c>
      <c r="AJ66" s="146">
        <f>-'Recursos Hidricos'!AI10</f>
        <v>0</v>
      </c>
      <c r="AK66" s="146">
        <f>-'Recursos Hidricos'!AJ10</f>
        <v>0</v>
      </c>
      <c r="AL66" s="146">
        <f>-'Recursos Hidricos'!AK10</f>
        <v>0</v>
      </c>
      <c r="AM66" s="146">
        <f>-'Recursos Hidricos'!AL10</f>
        <v>0</v>
      </c>
      <c r="AN66" s="146">
        <f>-'Recursos Hidricos'!AM10</f>
        <v>0</v>
      </c>
      <c r="AO66" s="453">
        <f t="shared" si="93"/>
        <v>0</v>
      </c>
      <c r="AP66" s="71"/>
      <c r="AQ66" s="71"/>
      <c r="AR66" s="23"/>
      <c r="AS66" s="28"/>
    </row>
    <row r="67" spans="1:45" ht="15" x14ac:dyDescent="0.25">
      <c r="A67" s="66"/>
      <c r="B67" s="451" t="s">
        <v>348</v>
      </c>
      <c r="C67" s="495"/>
      <c r="D67" s="4"/>
      <c r="E67" s="99"/>
      <c r="F67" s="146" t="e" cm="1">
        <f t="array" ref="F67">SUM(F55:F66*2%)</f>
        <v>#DIV/0!</v>
      </c>
      <c r="G67" s="146" t="e" cm="1">
        <f t="array" ref="G67">SUM(G55:G66*2%)</f>
        <v>#DIV/0!</v>
      </c>
      <c r="H67" s="146" t="e" cm="1">
        <f t="array" ref="H67">SUM(H55:H66*2%)</f>
        <v>#DIV/0!</v>
      </c>
      <c r="I67" s="146" t="e" cm="1">
        <f t="array" ref="I67">SUM(I55:I66*2%)</f>
        <v>#DIV/0!</v>
      </c>
      <c r="J67" s="146" t="e" cm="1">
        <f t="array" ref="J67">SUM(J55:J66*2%)</f>
        <v>#DIV/0!</v>
      </c>
      <c r="K67" s="146" t="e" cm="1">
        <f t="array" ref="K67">SUM(K55:K66*2%)</f>
        <v>#DIV/0!</v>
      </c>
      <c r="L67" s="146" t="e" cm="1">
        <f t="array" ref="L67">SUM(L55:L66*2%)</f>
        <v>#DIV/0!</v>
      </c>
      <c r="M67" s="146" t="e" cm="1">
        <f t="array" ref="M67">SUM(M55:M66*2%)</f>
        <v>#DIV/0!</v>
      </c>
      <c r="N67" s="146" t="e" cm="1">
        <f t="array" ref="N67">SUM(N55:N66*2%)</f>
        <v>#DIV/0!</v>
      </c>
      <c r="O67" s="146" t="e" cm="1">
        <f t="array" ref="O67">SUM(O55:O66*2%)</f>
        <v>#DIV/0!</v>
      </c>
      <c r="P67" s="146" t="e" cm="1">
        <f t="array" ref="P67">SUM(P55:P66*2%)</f>
        <v>#DIV/0!</v>
      </c>
      <c r="Q67" s="146" t="e" cm="1">
        <f t="array" ref="Q67">SUM(Q55:Q66*2%)</f>
        <v>#DIV/0!</v>
      </c>
      <c r="R67" s="146" t="e" cm="1">
        <f t="array" ref="R67">SUM(R55:R66*2%)</f>
        <v>#DIV/0!</v>
      </c>
      <c r="S67" s="146" t="e" cm="1">
        <f t="array" ref="S67">SUM(S55:S66*2%)</f>
        <v>#DIV/0!</v>
      </c>
      <c r="T67" s="146" t="e" cm="1">
        <f t="array" ref="T67">SUM(T55:T66*2%)</f>
        <v>#DIV/0!</v>
      </c>
      <c r="U67" s="146" t="e" cm="1">
        <f t="array" ref="U67">SUM(U55:U66*2%)</f>
        <v>#DIV/0!</v>
      </c>
      <c r="V67" s="146" t="e" cm="1">
        <f t="array" ref="V67">SUM(V55:V66*2%)</f>
        <v>#DIV/0!</v>
      </c>
      <c r="W67" s="146" t="e" cm="1">
        <f t="array" ref="W67">SUM(W55:W66*2%)</f>
        <v>#DIV/0!</v>
      </c>
      <c r="X67" s="146" t="e" cm="1">
        <f t="array" ref="X67">SUM(X55:X66*2%)</f>
        <v>#DIV/0!</v>
      </c>
      <c r="Y67" s="146" t="e" cm="1">
        <f t="array" ref="Y67">SUM(Y55:Y66*2%)</f>
        <v>#DIV/0!</v>
      </c>
      <c r="Z67" s="146" t="e" cm="1">
        <f t="array" ref="Z67">SUM(Z55:Z66*2%)</f>
        <v>#DIV/0!</v>
      </c>
      <c r="AA67" s="146" t="e" cm="1">
        <f t="array" ref="AA67">SUM(AA55:AA66*2%)</f>
        <v>#DIV/0!</v>
      </c>
      <c r="AB67" s="146" t="e" cm="1">
        <f t="array" ref="AB67">SUM(AB55:AB66*2%)</f>
        <v>#DIV/0!</v>
      </c>
      <c r="AC67" s="146" t="e" cm="1">
        <f t="array" ref="AC67">SUM(AC55:AC66*2%)</f>
        <v>#DIV/0!</v>
      </c>
      <c r="AD67" s="146" t="e" cm="1">
        <f t="array" ref="AD67">SUM(AD55:AD66*2%)</f>
        <v>#DIV/0!</v>
      </c>
      <c r="AE67" s="146" t="e" cm="1">
        <f t="array" ref="AE67">SUM(AE55:AE66*2%)</f>
        <v>#DIV/0!</v>
      </c>
      <c r="AF67" s="146" t="e" cm="1">
        <f t="array" ref="AF67">SUM(AF55:AF66*2%)</f>
        <v>#DIV/0!</v>
      </c>
      <c r="AG67" s="146" t="e" cm="1">
        <f t="array" ref="AG67">SUM(AG55:AG66*2%)</f>
        <v>#DIV/0!</v>
      </c>
      <c r="AH67" s="146" t="e" cm="1">
        <f t="array" ref="AH67">SUM(AH55:AH66*2%)</f>
        <v>#DIV/0!</v>
      </c>
      <c r="AI67" s="146" t="e" cm="1">
        <f t="array" ref="AI67">SUM(AI55:AI66*2%)</f>
        <v>#DIV/0!</v>
      </c>
      <c r="AJ67" s="146" t="e" cm="1">
        <f t="array" ref="AJ67">SUM(AJ55:AJ66*2%)</f>
        <v>#DIV/0!</v>
      </c>
      <c r="AK67" s="146" t="e" cm="1">
        <f t="array" ref="AK67">SUM(AK55:AK66*2%)</f>
        <v>#DIV/0!</v>
      </c>
      <c r="AL67" s="146" t="e" cm="1">
        <f t="array" ref="AL67">SUM(AL55:AL66*2%)</f>
        <v>#DIV/0!</v>
      </c>
      <c r="AM67" s="146" t="e" cm="1">
        <f t="array" ref="AM67">SUM(AM55:AM66*2%)</f>
        <v>#DIV/0!</v>
      </c>
      <c r="AN67" s="146" t="e" cm="1">
        <f t="array" ref="AN67">SUM(AN55:AN66*2%)</f>
        <v>#DIV/0!</v>
      </c>
      <c r="AO67" s="453" t="e">
        <f t="shared" si="93"/>
        <v>#DIV/0!</v>
      </c>
      <c r="AP67" s="71"/>
      <c r="AQ67" s="71"/>
      <c r="AR67" s="23"/>
      <c r="AS67" s="28"/>
    </row>
    <row r="68" spans="1:45" ht="15" x14ac:dyDescent="0.25">
      <c r="A68" s="66"/>
      <c r="B68" s="451"/>
      <c r="C68" s="4"/>
      <c r="D68" s="4"/>
      <c r="E68" s="99"/>
      <c r="F68" s="99"/>
      <c r="G68" s="99"/>
      <c r="H68" s="99"/>
      <c r="I68" s="99"/>
      <c r="J68" s="99"/>
      <c r="K68" s="99"/>
      <c r="L68" s="99"/>
      <c r="M68" s="99"/>
      <c r="N68" s="99"/>
      <c r="O68" s="99"/>
      <c r="P68" s="99"/>
      <c r="Q68" s="99"/>
      <c r="R68" s="99"/>
      <c r="S68" s="99"/>
      <c r="T68" s="99"/>
      <c r="U68" s="99"/>
      <c r="V68" s="99"/>
      <c r="W68" s="99"/>
      <c r="X68" s="99"/>
      <c r="Y68" s="99"/>
      <c r="Z68" s="99"/>
      <c r="AA68" s="99"/>
      <c r="AB68" s="99"/>
      <c r="AC68" s="99"/>
      <c r="AD68" s="99"/>
      <c r="AE68" s="99"/>
      <c r="AF68" s="99"/>
      <c r="AG68" s="99"/>
      <c r="AH68" s="99"/>
      <c r="AI68" s="99"/>
      <c r="AJ68" s="494"/>
      <c r="AK68" s="494"/>
      <c r="AL68" s="494"/>
      <c r="AM68" s="494"/>
      <c r="AN68" s="494"/>
      <c r="AO68" s="492"/>
      <c r="AP68" s="71"/>
      <c r="AQ68" s="71"/>
      <c r="AR68" s="23"/>
      <c r="AS68" s="28"/>
    </row>
    <row r="69" spans="1:45" ht="15" x14ac:dyDescent="0.25">
      <c r="A69" s="66"/>
      <c r="B69" s="451" t="s">
        <v>349</v>
      </c>
      <c r="C69" s="495"/>
      <c r="D69" s="4"/>
      <c r="E69" s="99"/>
      <c r="F69" s="146" t="e">
        <f>F71+F72+F73+F74</f>
        <v>#DIV/0!</v>
      </c>
      <c r="G69" s="146" t="e">
        <f t="shared" ref="G69:AI69" si="97">G71+G72+G73+G74</f>
        <v>#DIV/0!</v>
      </c>
      <c r="H69" s="146" t="e">
        <f t="shared" si="97"/>
        <v>#DIV/0!</v>
      </c>
      <c r="I69" s="146" t="e">
        <f t="shared" si="97"/>
        <v>#DIV/0!</v>
      </c>
      <c r="J69" s="146" t="e">
        <f t="shared" si="97"/>
        <v>#DIV/0!</v>
      </c>
      <c r="K69" s="146" t="e">
        <f t="shared" si="97"/>
        <v>#DIV/0!</v>
      </c>
      <c r="L69" s="146" t="e">
        <f t="shared" si="97"/>
        <v>#DIV/0!</v>
      </c>
      <c r="M69" s="146" t="e">
        <f t="shared" si="97"/>
        <v>#DIV/0!</v>
      </c>
      <c r="N69" s="146" t="e">
        <f t="shared" si="97"/>
        <v>#DIV/0!</v>
      </c>
      <c r="O69" s="146" t="e">
        <f t="shared" si="97"/>
        <v>#DIV/0!</v>
      </c>
      <c r="P69" s="146" t="e">
        <f t="shared" si="97"/>
        <v>#DIV/0!</v>
      </c>
      <c r="Q69" s="146" t="e">
        <f t="shared" si="97"/>
        <v>#DIV/0!</v>
      </c>
      <c r="R69" s="146" t="e">
        <f t="shared" si="97"/>
        <v>#DIV/0!</v>
      </c>
      <c r="S69" s="146" t="e">
        <f t="shared" si="97"/>
        <v>#DIV/0!</v>
      </c>
      <c r="T69" s="146" t="e">
        <f t="shared" si="97"/>
        <v>#DIV/0!</v>
      </c>
      <c r="U69" s="146" t="e">
        <f t="shared" si="97"/>
        <v>#DIV/0!</v>
      </c>
      <c r="V69" s="146" t="e">
        <f t="shared" si="97"/>
        <v>#DIV/0!</v>
      </c>
      <c r="W69" s="146" t="e">
        <f t="shared" si="97"/>
        <v>#DIV/0!</v>
      </c>
      <c r="X69" s="146" t="e">
        <f t="shared" si="97"/>
        <v>#DIV/0!</v>
      </c>
      <c r="Y69" s="146" t="e">
        <f t="shared" si="97"/>
        <v>#DIV/0!</v>
      </c>
      <c r="Z69" s="146" t="e">
        <f t="shared" si="97"/>
        <v>#DIV/0!</v>
      </c>
      <c r="AA69" s="146" t="e">
        <f t="shared" si="97"/>
        <v>#DIV/0!</v>
      </c>
      <c r="AB69" s="146" t="e">
        <f t="shared" si="97"/>
        <v>#DIV/0!</v>
      </c>
      <c r="AC69" s="146" t="e">
        <f t="shared" si="97"/>
        <v>#DIV/0!</v>
      </c>
      <c r="AD69" s="146" t="e">
        <f t="shared" si="97"/>
        <v>#DIV/0!</v>
      </c>
      <c r="AE69" s="146" t="e">
        <f t="shared" si="97"/>
        <v>#DIV/0!</v>
      </c>
      <c r="AF69" s="146" t="e">
        <f t="shared" si="97"/>
        <v>#DIV/0!</v>
      </c>
      <c r="AG69" s="146" t="e">
        <f t="shared" si="97"/>
        <v>#DIV/0!</v>
      </c>
      <c r="AH69" s="146" t="e">
        <f t="shared" si="97"/>
        <v>#DIV/0!</v>
      </c>
      <c r="AI69" s="146" t="e">
        <f t="shared" si="97"/>
        <v>#DIV/0!</v>
      </c>
      <c r="AJ69" s="146" t="e">
        <f t="shared" ref="AJ69:AN69" si="98">AJ71+AJ72+AJ73+AJ74</f>
        <v>#DIV/0!</v>
      </c>
      <c r="AK69" s="146" t="e">
        <f t="shared" si="98"/>
        <v>#DIV/0!</v>
      </c>
      <c r="AL69" s="146" t="e">
        <f t="shared" si="98"/>
        <v>#DIV/0!</v>
      </c>
      <c r="AM69" s="146" t="e">
        <f t="shared" si="98"/>
        <v>#DIV/0!</v>
      </c>
      <c r="AN69" s="146" t="e">
        <f t="shared" si="98"/>
        <v>#DIV/0!</v>
      </c>
      <c r="AO69" s="453" t="e">
        <f t="shared" si="93"/>
        <v>#DIV/0!</v>
      </c>
      <c r="AP69" s="71"/>
      <c r="AQ69" s="71"/>
      <c r="AR69" s="23"/>
      <c r="AS69" s="28"/>
    </row>
    <row r="70" spans="1:45" ht="15" x14ac:dyDescent="0.25">
      <c r="A70" s="66"/>
      <c r="B70" s="451"/>
      <c r="C70" s="4"/>
      <c r="D70" s="4"/>
      <c r="E70" s="99"/>
      <c r="F70" s="99"/>
      <c r="G70" s="99"/>
      <c r="H70" s="99"/>
      <c r="I70" s="99"/>
      <c r="J70" s="99"/>
      <c r="K70" s="99"/>
      <c r="L70" s="99"/>
      <c r="M70" s="99"/>
      <c r="N70" s="99"/>
      <c r="O70" s="99"/>
      <c r="P70" s="99"/>
      <c r="Q70" s="99"/>
      <c r="R70" s="99"/>
      <c r="S70" s="99"/>
      <c r="T70" s="99"/>
      <c r="U70" s="99"/>
      <c r="V70" s="99"/>
      <c r="W70" s="99"/>
      <c r="X70" s="99"/>
      <c r="Y70" s="99"/>
      <c r="Z70" s="99"/>
      <c r="AA70" s="99"/>
      <c r="AB70" s="99"/>
      <c r="AC70" s="99"/>
      <c r="AD70" s="99"/>
      <c r="AE70" s="99"/>
      <c r="AF70" s="99"/>
      <c r="AG70" s="99"/>
      <c r="AH70" s="99"/>
      <c r="AI70" s="99"/>
      <c r="AJ70" s="99"/>
      <c r="AK70" s="99"/>
      <c r="AL70" s="99"/>
      <c r="AM70" s="99"/>
      <c r="AN70" s="99"/>
      <c r="AO70" s="492"/>
      <c r="AP70" s="71"/>
      <c r="AQ70" s="71"/>
      <c r="AR70" s="23"/>
      <c r="AS70" s="28"/>
    </row>
    <row r="71" spans="1:45" ht="15" x14ac:dyDescent="0.25">
      <c r="A71" s="66"/>
      <c r="B71" s="451" t="s">
        <v>475</v>
      </c>
      <c r="C71" s="500"/>
      <c r="D71"/>
      <c r="E71" s="99"/>
      <c r="F71" s="146">
        <f>'Seguros e Garantias'!$I$4*F48</f>
        <v>0</v>
      </c>
      <c r="G71" s="146">
        <f>'Seguros e Garantias'!$I$4*G48</f>
        <v>0</v>
      </c>
      <c r="H71" s="146">
        <f>'Seguros e Garantias'!$I$4*H48</f>
        <v>0</v>
      </c>
      <c r="I71" s="146">
        <f>'Seguros e Garantias'!$I$4*I48</f>
        <v>0</v>
      </c>
      <c r="J71" s="146">
        <f>'Seguros e Garantias'!$I$4*J48</f>
        <v>0</v>
      </c>
      <c r="K71" s="146">
        <f>'Seguros e Garantias'!$I$4*K48</f>
        <v>0</v>
      </c>
      <c r="L71" s="146">
        <f>'Seguros e Garantias'!$I$4*L48</f>
        <v>0</v>
      </c>
      <c r="M71" s="146">
        <f>'Seguros e Garantias'!$I$4*M48</f>
        <v>0</v>
      </c>
      <c r="N71" s="146">
        <f>'Seguros e Garantias'!$I$4*N48</f>
        <v>0</v>
      </c>
      <c r="O71" s="146">
        <f>'Seguros e Garantias'!$I$4*O48</f>
        <v>0</v>
      </c>
      <c r="P71" s="146">
        <f>'Seguros e Garantias'!$I$4*P48</f>
        <v>0</v>
      </c>
      <c r="Q71" s="146">
        <f>'Seguros e Garantias'!$I$4*Q48</f>
        <v>0</v>
      </c>
      <c r="R71" s="146">
        <f>'Seguros e Garantias'!$I$4*R48</f>
        <v>0</v>
      </c>
      <c r="S71" s="146">
        <f>'Seguros e Garantias'!$I$4*S48</f>
        <v>0</v>
      </c>
      <c r="T71" s="146">
        <f>'Seguros e Garantias'!$I$4*T48</f>
        <v>0</v>
      </c>
      <c r="U71" s="146">
        <f>'Seguros e Garantias'!$I$4*U48</f>
        <v>0</v>
      </c>
      <c r="V71" s="146">
        <f>'Seguros e Garantias'!$I$4*V48</f>
        <v>0</v>
      </c>
      <c r="W71" s="146">
        <f>'Seguros e Garantias'!$I$4*W48</f>
        <v>0</v>
      </c>
      <c r="X71" s="146">
        <f>'Seguros e Garantias'!$I$4*X48</f>
        <v>0</v>
      </c>
      <c r="Y71" s="146">
        <f>'Seguros e Garantias'!$I$4*Y48</f>
        <v>0</v>
      </c>
      <c r="Z71" s="146">
        <f>'Seguros e Garantias'!$I$4*Z48</f>
        <v>0</v>
      </c>
      <c r="AA71" s="146">
        <f>'Seguros e Garantias'!$I$4*AA48</f>
        <v>0</v>
      </c>
      <c r="AB71" s="146">
        <f>'Seguros e Garantias'!$I$4*AB48</f>
        <v>0</v>
      </c>
      <c r="AC71" s="146">
        <f>'Seguros e Garantias'!$I$4*AC48</f>
        <v>0</v>
      </c>
      <c r="AD71" s="146">
        <f>'Seguros e Garantias'!$I$4*AD48</f>
        <v>0</v>
      </c>
      <c r="AE71" s="146">
        <f>'Seguros e Garantias'!$I$4*AE48</f>
        <v>0</v>
      </c>
      <c r="AF71" s="146">
        <f>'Seguros e Garantias'!$I$4*AF48</f>
        <v>0</v>
      </c>
      <c r="AG71" s="146">
        <f>'Seguros e Garantias'!$I$4*AG48</f>
        <v>0</v>
      </c>
      <c r="AH71" s="146">
        <f>'Seguros e Garantias'!$I$4*AH48</f>
        <v>0</v>
      </c>
      <c r="AI71" s="146">
        <f>'Seguros e Garantias'!$I$4*AI48</f>
        <v>0</v>
      </c>
      <c r="AJ71" s="146">
        <f>'Seguros e Garantias'!$I$4*AJ48</f>
        <v>0</v>
      </c>
      <c r="AK71" s="146">
        <f>'Seguros e Garantias'!$I$4*AK48</f>
        <v>0</v>
      </c>
      <c r="AL71" s="146">
        <f>'Seguros e Garantias'!$I$4*AL48</f>
        <v>0</v>
      </c>
      <c r="AM71" s="146">
        <f>'Seguros e Garantias'!$I$4*AM48</f>
        <v>0</v>
      </c>
      <c r="AN71" s="146">
        <f>'Seguros e Garantias'!$I$4*AN48</f>
        <v>0</v>
      </c>
      <c r="AO71" s="453">
        <f>+SUM(F71:AN71)</f>
        <v>0</v>
      </c>
      <c r="AP71" s="71"/>
      <c r="AQ71" s="71"/>
      <c r="AR71" s="23"/>
      <c r="AS71" s="28"/>
    </row>
    <row r="72" spans="1:45" ht="15" x14ac:dyDescent="0.25">
      <c r="A72" s="66"/>
      <c r="B72" s="451" t="s">
        <v>476</v>
      </c>
      <c r="C72" s="500"/>
      <c r="D72" s="4"/>
      <c r="E72" s="99"/>
      <c r="F72" s="146" t="e">
        <f>-'Seguros e Garantias'!D32</f>
        <v>#DIV/0!</v>
      </c>
      <c r="G72" s="146" t="e">
        <f>-'Seguros e Garantias'!E32</f>
        <v>#DIV/0!</v>
      </c>
      <c r="H72" s="146" t="e">
        <f>-'Seguros e Garantias'!F32</f>
        <v>#DIV/0!</v>
      </c>
      <c r="I72" s="146" t="e">
        <f>-'Seguros e Garantias'!G32</f>
        <v>#DIV/0!</v>
      </c>
      <c r="J72" s="146" t="e">
        <f>-'Seguros e Garantias'!H32</f>
        <v>#DIV/0!</v>
      </c>
      <c r="K72" s="146" t="e">
        <f>-'Seguros e Garantias'!I32</f>
        <v>#DIV/0!</v>
      </c>
      <c r="L72" s="146" t="e">
        <f>-'Seguros e Garantias'!J32</f>
        <v>#DIV/0!</v>
      </c>
      <c r="M72" s="146" t="e">
        <f>-'Seguros e Garantias'!K32</f>
        <v>#DIV/0!</v>
      </c>
      <c r="N72" s="146" t="e">
        <f>-'Seguros e Garantias'!L32</f>
        <v>#DIV/0!</v>
      </c>
      <c r="O72" s="146" t="e">
        <f>-'Seguros e Garantias'!M32</f>
        <v>#DIV/0!</v>
      </c>
      <c r="P72" s="146" t="e">
        <f>-'Seguros e Garantias'!N32</f>
        <v>#DIV/0!</v>
      </c>
      <c r="Q72" s="146" t="e">
        <f>-'Seguros e Garantias'!O32</f>
        <v>#DIV/0!</v>
      </c>
      <c r="R72" s="146" t="e">
        <f>-'Seguros e Garantias'!P32</f>
        <v>#DIV/0!</v>
      </c>
      <c r="S72" s="146" t="e">
        <f>-'Seguros e Garantias'!Q32</f>
        <v>#DIV/0!</v>
      </c>
      <c r="T72" s="146" t="e">
        <f>-'Seguros e Garantias'!R32</f>
        <v>#DIV/0!</v>
      </c>
      <c r="U72" s="146" t="e">
        <f>-'Seguros e Garantias'!S32</f>
        <v>#DIV/0!</v>
      </c>
      <c r="V72" s="146" t="e">
        <f>-'Seguros e Garantias'!T32</f>
        <v>#DIV/0!</v>
      </c>
      <c r="W72" s="146" t="e">
        <f>-'Seguros e Garantias'!U32</f>
        <v>#DIV/0!</v>
      </c>
      <c r="X72" s="146" t="e">
        <f>-'Seguros e Garantias'!V32</f>
        <v>#DIV/0!</v>
      </c>
      <c r="Y72" s="146" t="e">
        <f>-'Seguros e Garantias'!W32</f>
        <v>#DIV/0!</v>
      </c>
      <c r="Z72" s="146" t="e">
        <f>-'Seguros e Garantias'!X32</f>
        <v>#DIV/0!</v>
      </c>
      <c r="AA72" s="146" t="e">
        <f>-'Seguros e Garantias'!Y32</f>
        <v>#DIV/0!</v>
      </c>
      <c r="AB72" s="146" t="e">
        <f>-'Seguros e Garantias'!Z32</f>
        <v>#DIV/0!</v>
      </c>
      <c r="AC72" s="146" t="e">
        <f>-'Seguros e Garantias'!AA32</f>
        <v>#DIV/0!</v>
      </c>
      <c r="AD72" s="146" t="e">
        <f>-'Seguros e Garantias'!AB32</f>
        <v>#DIV/0!</v>
      </c>
      <c r="AE72" s="146" t="e">
        <f>-'Seguros e Garantias'!AC32</f>
        <v>#DIV/0!</v>
      </c>
      <c r="AF72" s="146" t="e">
        <f>-'Seguros e Garantias'!AD32</f>
        <v>#DIV/0!</v>
      </c>
      <c r="AG72" s="146" t="e">
        <f>-'Seguros e Garantias'!AE32</f>
        <v>#DIV/0!</v>
      </c>
      <c r="AH72" s="146" t="e">
        <f>-'Seguros e Garantias'!AF32</f>
        <v>#DIV/0!</v>
      </c>
      <c r="AI72" s="146" t="e">
        <f>-'Seguros e Garantias'!AG32</f>
        <v>#DIV/0!</v>
      </c>
      <c r="AJ72" s="146" t="e">
        <f>-'Seguros e Garantias'!AH32</f>
        <v>#DIV/0!</v>
      </c>
      <c r="AK72" s="146" t="e">
        <f>-'Seguros e Garantias'!AI32</f>
        <v>#DIV/0!</v>
      </c>
      <c r="AL72" s="146" t="e">
        <f>-'Seguros e Garantias'!AJ32</f>
        <v>#DIV/0!</v>
      </c>
      <c r="AM72" s="146" t="e">
        <f>-'Seguros e Garantias'!AK32</f>
        <v>#DIV/0!</v>
      </c>
      <c r="AN72" s="146" t="e">
        <f>-'Seguros e Garantias'!AL32</f>
        <v>#DIV/0!</v>
      </c>
      <c r="AO72" s="453" t="e">
        <f t="shared" si="93"/>
        <v>#DIV/0!</v>
      </c>
      <c r="AP72" s="71"/>
      <c r="AQ72" s="71"/>
      <c r="AR72" s="23"/>
      <c r="AS72" s="28"/>
    </row>
    <row r="73" spans="1:45" ht="15" x14ac:dyDescent="0.25">
      <c r="A73" s="66"/>
      <c r="B73" s="451" t="s">
        <v>477</v>
      </c>
      <c r="C73" s="500"/>
      <c r="D73" s="4"/>
      <c r="E73" s="99"/>
      <c r="F73" s="146" t="e">
        <f>-'Seguros e Garantias'!D26</f>
        <v>#DIV/0!</v>
      </c>
      <c r="G73" s="146" t="e">
        <f>-'Seguros e Garantias'!E26</f>
        <v>#DIV/0!</v>
      </c>
      <c r="H73" s="146" t="e">
        <f>-'Seguros e Garantias'!F26</f>
        <v>#DIV/0!</v>
      </c>
      <c r="I73" s="146" t="e">
        <f>-'Seguros e Garantias'!G26</f>
        <v>#DIV/0!</v>
      </c>
      <c r="J73" s="146" t="e">
        <f>-'Seguros e Garantias'!H26</f>
        <v>#DIV/0!</v>
      </c>
      <c r="K73" s="146" t="e">
        <f>-'Seguros e Garantias'!I26</f>
        <v>#DIV/0!</v>
      </c>
      <c r="L73" s="146" t="e">
        <f>-'Seguros e Garantias'!J26</f>
        <v>#DIV/0!</v>
      </c>
      <c r="M73" s="146" t="e">
        <f>-'Seguros e Garantias'!K26</f>
        <v>#DIV/0!</v>
      </c>
      <c r="N73" s="146" t="e">
        <f>-'Seguros e Garantias'!L26</f>
        <v>#DIV/0!</v>
      </c>
      <c r="O73" s="146" t="e">
        <f>-'Seguros e Garantias'!M26</f>
        <v>#DIV/0!</v>
      </c>
      <c r="P73" s="146" t="e">
        <f>-'Seguros e Garantias'!N26</f>
        <v>#DIV/0!</v>
      </c>
      <c r="Q73" s="146" t="e">
        <f>-'Seguros e Garantias'!O26</f>
        <v>#DIV/0!</v>
      </c>
      <c r="R73" s="146" t="e">
        <f>-'Seguros e Garantias'!P26</f>
        <v>#DIV/0!</v>
      </c>
      <c r="S73" s="146" t="e">
        <f>-'Seguros e Garantias'!Q26</f>
        <v>#DIV/0!</v>
      </c>
      <c r="T73" s="146" t="e">
        <f>-'Seguros e Garantias'!R26</f>
        <v>#DIV/0!</v>
      </c>
      <c r="U73" s="146" t="e">
        <f>-'Seguros e Garantias'!S26</f>
        <v>#DIV/0!</v>
      </c>
      <c r="V73" s="146" t="e">
        <f>-'Seguros e Garantias'!T26</f>
        <v>#DIV/0!</v>
      </c>
      <c r="W73" s="146" t="e">
        <f>-'Seguros e Garantias'!U26</f>
        <v>#DIV/0!</v>
      </c>
      <c r="X73" s="146" t="e">
        <f>-'Seguros e Garantias'!V26</f>
        <v>#DIV/0!</v>
      </c>
      <c r="Y73" s="146" t="e">
        <f>-'Seguros e Garantias'!W26</f>
        <v>#DIV/0!</v>
      </c>
      <c r="Z73" s="146" t="e">
        <f>-'Seguros e Garantias'!X26</f>
        <v>#DIV/0!</v>
      </c>
      <c r="AA73" s="146" t="e">
        <f>-'Seguros e Garantias'!Y26</f>
        <v>#DIV/0!</v>
      </c>
      <c r="AB73" s="146" t="e">
        <f>-'Seguros e Garantias'!Z26</f>
        <v>#DIV/0!</v>
      </c>
      <c r="AC73" s="146" t="e">
        <f>-'Seguros e Garantias'!AA26</f>
        <v>#DIV/0!</v>
      </c>
      <c r="AD73" s="146" t="e">
        <f>-'Seguros e Garantias'!AB26</f>
        <v>#DIV/0!</v>
      </c>
      <c r="AE73" s="146" t="e">
        <f>-'Seguros e Garantias'!AC26</f>
        <v>#DIV/0!</v>
      </c>
      <c r="AF73" s="146" t="e">
        <f>-'Seguros e Garantias'!AD26</f>
        <v>#DIV/0!</v>
      </c>
      <c r="AG73" s="146" t="e">
        <f>-'Seguros e Garantias'!AE26</f>
        <v>#DIV/0!</v>
      </c>
      <c r="AH73" s="146" t="e">
        <f>-'Seguros e Garantias'!AF26</f>
        <v>#DIV/0!</v>
      </c>
      <c r="AI73" s="146" t="e">
        <f>-'Seguros e Garantias'!AG26</f>
        <v>#DIV/0!</v>
      </c>
      <c r="AJ73" s="146" t="e">
        <f>-'Seguros e Garantias'!AH26</f>
        <v>#DIV/0!</v>
      </c>
      <c r="AK73" s="146" t="e">
        <f>-'Seguros e Garantias'!AI26</f>
        <v>#DIV/0!</v>
      </c>
      <c r="AL73" s="146" t="e">
        <f>-'Seguros e Garantias'!AJ26</f>
        <v>#DIV/0!</v>
      </c>
      <c r="AM73" s="146" t="e">
        <f>-'Seguros e Garantias'!AK26</f>
        <v>#DIV/0!</v>
      </c>
      <c r="AN73" s="146" t="e">
        <f>-'Seguros e Garantias'!AL26</f>
        <v>#DIV/0!</v>
      </c>
      <c r="AO73" s="453" t="e">
        <f t="shared" si="93"/>
        <v>#DIV/0!</v>
      </c>
      <c r="AP73" s="71"/>
      <c r="AQ73" s="71"/>
      <c r="AR73" s="23"/>
      <c r="AS73" s="28"/>
    </row>
    <row r="74" spans="1:45" ht="15" x14ac:dyDescent="0.25">
      <c r="A74" s="66"/>
      <c r="B74" s="451" t="s">
        <v>478</v>
      </c>
      <c r="C74" s="500"/>
      <c r="D74" s="4"/>
      <c r="E74" s="99"/>
      <c r="F74" s="146" t="e">
        <f>(F55+F56+F57+F58+F59+F60+F61+F62+F63+F64+F65+F66+F67)*'Seguros e Garantias'!$I$6</f>
        <v>#DIV/0!</v>
      </c>
      <c r="G74" s="146" t="e">
        <f>(G55+G56+G57+G58+G59+G60+G61+G62+G63+G64+G65+G66+G67)*'Seguros e Garantias'!$I$6</f>
        <v>#DIV/0!</v>
      </c>
      <c r="H74" s="146" t="e">
        <f>(H55+H56+H57+H58+H59+H60+H61+H62+H63+H64+H65+H66+H67)*'Seguros e Garantias'!$I$6</f>
        <v>#DIV/0!</v>
      </c>
      <c r="I74" s="146" t="e">
        <f>(I55+I56+I57+I58+I59+I60+I61+I62+I63+I64+I65+I66+I67)*'Seguros e Garantias'!$I$6</f>
        <v>#DIV/0!</v>
      </c>
      <c r="J74" s="146" t="e">
        <f>(J55+J56+J57+J58+J59+J60+J61+J62+J63+J64+J65+J66+J67)*'Seguros e Garantias'!$I$6</f>
        <v>#DIV/0!</v>
      </c>
      <c r="K74" s="146" t="e">
        <f>(K55+K56+K57+K58+K59+K60+K61+K62+K63+K64+K65+K66+K67)*'Seguros e Garantias'!$I$6</f>
        <v>#DIV/0!</v>
      </c>
      <c r="L74" s="146" t="e">
        <f>(L55+L56+L57+L58+L59+L60+L61+L62+L63+L64+L65+L66+L67)*'Seguros e Garantias'!$I$6</f>
        <v>#DIV/0!</v>
      </c>
      <c r="M74" s="146" t="e">
        <f>(M55+M56+M57+M58+M59+M60+M61+M62+M63+M64+M65+M66+M67)*'Seguros e Garantias'!$I$6</f>
        <v>#DIV/0!</v>
      </c>
      <c r="N74" s="146" t="e">
        <f>(N55+N56+N57+N58+N59+N60+N61+N62+N63+N64+N65+N66+N67)*'Seguros e Garantias'!$I$6</f>
        <v>#DIV/0!</v>
      </c>
      <c r="O74" s="146" t="e">
        <f>(O55+O56+O57+O58+O59+O60+O61+O62+O63+O64+O65+O66+O67)*'Seguros e Garantias'!$I$6</f>
        <v>#DIV/0!</v>
      </c>
      <c r="P74" s="146" t="e">
        <f>(P55+P56+P57+P58+P59+P60+P61+P62+P63+P64+P65+P66+P67)*'Seguros e Garantias'!$I$6</f>
        <v>#DIV/0!</v>
      </c>
      <c r="Q74" s="146" t="e">
        <f>(Q55+Q56+Q57+Q58+Q59+Q60+Q61+Q62+Q63+Q64+Q65+Q66+Q67)*'Seguros e Garantias'!$I$6</f>
        <v>#DIV/0!</v>
      </c>
      <c r="R74" s="146" t="e">
        <f>(R55+R56+R57+R58+R59+R60+R61+R62+R63+R64+R65+R66+R67)*'Seguros e Garantias'!$I$6</f>
        <v>#DIV/0!</v>
      </c>
      <c r="S74" s="146" t="e">
        <f>(S55+S56+S57+S58+S59+S60+S61+S62+S63+S64+S65+S66+S67)*'Seguros e Garantias'!$I$6</f>
        <v>#DIV/0!</v>
      </c>
      <c r="T74" s="146" t="e">
        <f>(T55+T56+T57+T58+T59+T60+T61+T62+T63+T64+T65+T66+T67)*'Seguros e Garantias'!$I$6</f>
        <v>#DIV/0!</v>
      </c>
      <c r="U74" s="146" t="e">
        <f>(U55+U56+U57+U58+U59+U60+U61+U62+U63+U64+U65+U66+U67)*'Seguros e Garantias'!$I$6</f>
        <v>#DIV/0!</v>
      </c>
      <c r="V74" s="146" t="e">
        <f>(V55+V56+V57+V58+V59+V60+V61+V62+V63+V64+V65+V66+V67)*'Seguros e Garantias'!$I$6</f>
        <v>#DIV/0!</v>
      </c>
      <c r="W74" s="146" t="e">
        <f>(W55+W56+W57+W58+W59+W60+W61+W62+W63+W64+W65+W66+W67)*'Seguros e Garantias'!$I$6</f>
        <v>#DIV/0!</v>
      </c>
      <c r="X74" s="146" t="e">
        <f>(X55+X56+X57+X58+X59+X60+X61+X62+X63+X64+X65+X66+X67)*'Seguros e Garantias'!$I$6</f>
        <v>#DIV/0!</v>
      </c>
      <c r="Y74" s="146" t="e">
        <f>(Y55+Y56+Y57+Y58+Y59+Y60+Y61+Y62+Y63+Y64+Y65+Y66+Y67)*'Seguros e Garantias'!$I$6</f>
        <v>#DIV/0!</v>
      </c>
      <c r="Z74" s="146" t="e">
        <f>(Z55+Z56+Z57+Z58+Z59+Z60+Z61+Z62+Z63+Z64+Z65+Z66+Z67)*'Seguros e Garantias'!$I$6</f>
        <v>#DIV/0!</v>
      </c>
      <c r="AA74" s="146" t="e">
        <f>(AA55+AA56+AA57+AA58+AA59+AA60+AA61+AA62+AA63+AA64+AA65+AA66+AA67)*'Seguros e Garantias'!$I$6</f>
        <v>#DIV/0!</v>
      </c>
      <c r="AB74" s="146" t="e">
        <f>(AB55+AB56+AB57+AB58+AB59+AB60+AB61+AB62+AB63+AB64+AB65+AB66+AB67)*'Seguros e Garantias'!$I$6</f>
        <v>#DIV/0!</v>
      </c>
      <c r="AC74" s="146" t="e">
        <f>(AC55+AC56+AC57+AC58+AC59+AC60+AC61+AC62+AC63+AC64+AC65+AC66+AC67)*'Seguros e Garantias'!$I$6</f>
        <v>#DIV/0!</v>
      </c>
      <c r="AD74" s="146" t="e">
        <f>(AD55+AD56+AD57+AD58+AD59+AD60+AD61+AD62+AD63+AD64+AD65+AD66+AD67)*'Seguros e Garantias'!$I$6</f>
        <v>#DIV/0!</v>
      </c>
      <c r="AE74" s="146" t="e">
        <f>(AE55+AE56+AE57+AE58+AE59+AE60+AE61+AE62+AE63+AE64+AE65+AE66+AE67)*'Seguros e Garantias'!$I$6</f>
        <v>#DIV/0!</v>
      </c>
      <c r="AF74" s="146" t="e">
        <f>(AF55+AF56+AF57+AF58+AF59+AF60+AF61+AF62+AF63+AF64+AF65+AF66+AF67)*'Seguros e Garantias'!$I$6</f>
        <v>#DIV/0!</v>
      </c>
      <c r="AG74" s="146" t="e">
        <f>(AG55+AG56+AG57+AG58+AG59+AG60+AG61+AG62+AG63+AG64+AG65+AG66+AG67)*'Seguros e Garantias'!$I$6</f>
        <v>#DIV/0!</v>
      </c>
      <c r="AH74" s="146" t="e">
        <f>(AH55+AH56+AH57+AH58+AH59+AH60+AH61+AH62+AH63+AH64+AH65+AH66+AH67)*'Seguros e Garantias'!$I$6</f>
        <v>#DIV/0!</v>
      </c>
      <c r="AI74" s="146" t="e">
        <f>(AI55+AI56+AI57+AI58+AI59+AI60+AI61+AI62+AI63+AI64+AI65+AI66+AI67)*'Seguros e Garantias'!$I$6</f>
        <v>#DIV/0!</v>
      </c>
      <c r="AJ74" s="146" t="e">
        <f>(AJ55+AJ56+AJ57+AJ58+AJ59+AJ60+AJ61+AJ62+AJ63+AJ64+AJ65+AJ66+AJ67)*'Seguros e Garantias'!$I$6</f>
        <v>#DIV/0!</v>
      </c>
      <c r="AK74" s="146" t="e">
        <f>(AK55+AK56+AK57+AK58+AK59+AK60+AK61+AK62+AK63+AK64+AK65+AK66+AK67)*'Seguros e Garantias'!$I$6</f>
        <v>#DIV/0!</v>
      </c>
      <c r="AL74" s="146" t="e">
        <f>(AL55+AL56+AL57+AL58+AL59+AL60+AL61+AL62+AL63+AL64+AL65+AL66+AL67)*'Seguros e Garantias'!$I$6</f>
        <v>#DIV/0!</v>
      </c>
      <c r="AM74" s="146" t="e">
        <f>(AM55+AM56+AM57+AM58+AM59+AM60+AM61+AM62+AM63+AM64+AM65+AM66+AM67)*'Seguros e Garantias'!$I$6</f>
        <v>#DIV/0!</v>
      </c>
      <c r="AN74" s="146" t="e">
        <f>(AN55+AN56+AN57+AN58+AN59+AN60+AN61+AN62+AN63+AN64+AN65+AN66+AN67)*'Seguros e Garantias'!$I$6</f>
        <v>#DIV/0!</v>
      </c>
      <c r="AO74" s="453" t="e">
        <f t="shared" si="93"/>
        <v>#DIV/0!</v>
      </c>
      <c r="AP74" s="71"/>
      <c r="AQ74" s="71"/>
      <c r="AR74" s="23"/>
      <c r="AS74" s="28"/>
    </row>
    <row r="75" spans="1:45" ht="15" x14ac:dyDescent="0.25">
      <c r="A75" s="66"/>
      <c r="B75" s="451"/>
      <c r="C75" s="4"/>
      <c r="D75" s="4"/>
      <c r="E75" s="99"/>
      <c r="F75" s="99"/>
      <c r="G75" s="99"/>
      <c r="H75" s="99"/>
      <c r="I75" s="99"/>
      <c r="J75" s="99"/>
      <c r="K75" s="99"/>
      <c r="L75" s="99"/>
      <c r="M75" s="99"/>
      <c r="N75" s="99"/>
      <c r="O75" s="99"/>
      <c r="P75" s="99"/>
      <c r="Q75" s="99"/>
      <c r="R75" s="99"/>
      <c r="S75" s="99"/>
      <c r="T75" s="99"/>
      <c r="U75" s="99"/>
      <c r="V75" s="99"/>
      <c r="W75" s="99"/>
      <c r="X75" s="99"/>
      <c r="Y75" s="99"/>
      <c r="Z75" s="99"/>
      <c r="AA75" s="99"/>
      <c r="AB75" s="99"/>
      <c r="AC75" s="99"/>
      <c r="AD75" s="99"/>
      <c r="AE75" s="99"/>
      <c r="AF75" s="99"/>
      <c r="AG75" s="99"/>
      <c r="AH75" s="99"/>
      <c r="AI75" s="99"/>
      <c r="AJ75" s="99"/>
      <c r="AK75" s="99"/>
      <c r="AL75" s="99"/>
      <c r="AM75" s="99"/>
      <c r="AN75" s="99"/>
      <c r="AO75" s="492"/>
      <c r="AP75" s="71"/>
      <c r="AQ75" s="71"/>
      <c r="AR75" s="23"/>
      <c r="AS75" s="28"/>
    </row>
    <row r="76" spans="1:45" ht="15" x14ac:dyDescent="0.25">
      <c r="A76" s="66"/>
      <c r="B76" s="451" t="s">
        <v>479</v>
      </c>
      <c r="C76" s="495"/>
      <c r="D76" s="4"/>
      <c r="E76" s="99"/>
      <c r="F76" s="146" t="e">
        <f>-F43*$J$16</f>
        <v>#DIV/0!</v>
      </c>
      <c r="G76" s="146" t="e">
        <f t="shared" ref="G76:AN76" si="99">-G43*$J$16</f>
        <v>#DIV/0!</v>
      </c>
      <c r="H76" s="146" t="e">
        <f t="shared" si="99"/>
        <v>#DIV/0!</v>
      </c>
      <c r="I76" s="146" t="e">
        <f t="shared" si="99"/>
        <v>#DIV/0!</v>
      </c>
      <c r="J76" s="146" t="e">
        <f t="shared" si="99"/>
        <v>#DIV/0!</v>
      </c>
      <c r="K76" s="146" t="e">
        <f t="shared" si="99"/>
        <v>#DIV/0!</v>
      </c>
      <c r="L76" s="146" t="e">
        <f t="shared" si="99"/>
        <v>#DIV/0!</v>
      </c>
      <c r="M76" s="146" t="e">
        <f t="shared" si="99"/>
        <v>#DIV/0!</v>
      </c>
      <c r="N76" s="146" t="e">
        <f t="shared" si="99"/>
        <v>#DIV/0!</v>
      </c>
      <c r="O76" s="146" t="e">
        <f t="shared" si="99"/>
        <v>#DIV/0!</v>
      </c>
      <c r="P76" s="146" t="e">
        <f t="shared" si="99"/>
        <v>#DIV/0!</v>
      </c>
      <c r="Q76" s="146" t="e">
        <f t="shared" si="99"/>
        <v>#DIV/0!</v>
      </c>
      <c r="R76" s="146" t="e">
        <f t="shared" si="99"/>
        <v>#DIV/0!</v>
      </c>
      <c r="S76" s="146" t="e">
        <f t="shared" si="99"/>
        <v>#DIV/0!</v>
      </c>
      <c r="T76" s="146" t="e">
        <f t="shared" si="99"/>
        <v>#DIV/0!</v>
      </c>
      <c r="U76" s="146" t="e">
        <f t="shared" si="99"/>
        <v>#DIV/0!</v>
      </c>
      <c r="V76" s="146" t="e">
        <f t="shared" si="99"/>
        <v>#DIV/0!</v>
      </c>
      <c r="W76" s="146" t="e">
        <f t="shared" si="99"/>
        <v>#DIV/0!</v>
      </c>
      <c r="X76" s="146" t="e">
        <f t="shared" si="99"/>
        <v>#DIV/0!</v>
      </c>
      <c r="Y76" s="146" t="e">
        <f t="shared" si="99"/>
        <v>#DIV/0!</v>
      </c>
      <c r="Z76" s="146" t="e">
        <f t="shared" si="99"/>
        <v>#DIV/0!</v>
      </c>
      <c r="AA76" s="146" t="e">
        <f t="shared" si="99"/>
        <v>#DIV/0!</v>
      </c>
      <c r="AB76" s="146" t="e">
        <f t="shared" si="99"/>
        <v>#DIV/0!</v>
      </c>
      <c r="AC76" s="146" t="e">
        <f t="shared" si="99"/>
        <v>#DIV/0!</v>
      </c>
      <c r="AD76" s="146" t="e">
        <f t="shared" si="99"/>
        <v>#DIV/0!</v>
      </c>
      <c r="AE76" s="146" t="e">
        <f t="shared" si="99"/>
        <v>#DIV/0!</v>
      </c>
      <c r="AF76" s="146" t="e">
        <f t="shared" si="99"/>
        <v>#DIV/0!</v>
      </c>
      <c r="AG76" s="146" t="e">
        <f t="shared" si="99"/>
        <v>#DIV/0!</v>
      </c>
      <c r="AH76" s="146" t="e">
        <f t="shared" si="99"/>
        <v>#DIV/0!</v>
      </c>
      <c r="AI76" s="146" t="e">
        <f t="shared" si="99"/>
        <v>#DIV/0!</v>
      </c>
      <c r="AJ76" s="146" t="e">
        <f t="shared" si="99"/>
        <v>#DIV/0!</v>
      </c>
      <c r="AK76" s="146" t="e">
        <f t="shared" si="99"/>
        <v>#DIV/0!</v>
      </c>
      <c r="AL76" s="146" t="e">
        <f t="shared" si="99"/>
        <v>#DIV/0!</v>
      </c>
      <c r="AM76" s="146" t="e">
        <f t="shared" si="99"/>
        <v>#DIV/0!</v>
      </c>
      <c r="AN76" s="146" t="e">
        <f t="shared" si="99"/>
        <v>#DIV/0!</v>
      </c>
      <c r="AO76" s="453" t="e">
        <f t="shared" si="93"/>
        <v>#DIV/0!</v>
      </c>
      <c r="AP76" s="71"/>
      <c r="AQ76" s="71"/>
      <c r="AR76" s="23"/>
      <c r="AS76" s="28"/>
    </row>
    <row r="77" spans="1:45" ht="15" x14ac:dyDescent="0.25">
      <c r="A77" s="499"/>
      <c r="B77" s="451"/>
      <c r="C77" s="4"/>
      <c r="D77" s="4"/>
      <c r="E77" s="99"/>
      <c r="F77" s="146" t="e">
        <f t="shared" ref="F77:AN77" si="100">F48+F53</f>
        <v>#DIV/0!</v>
      </c>
      <c r="G77" s="146" t="e">
        <f t="shared" si="100"/>
        <v>#DIV/0!</v>
      </c>
      <c r="H77" s="146" t="e">
        <f t="shared" si="100"/>
        <v>#DIV/0!</v>
      </c>
      <c r="I77" s="146" t="e">
        <f t="shared" si="100"/>
        <v>#DIV/0!</v>
      </c>
      <c r="J77" s="146" t="e">
        <f t="shared" si="100"/>
        <v>#DIV/0!</v>
      </c>
      <c r="K77" s="146" t="e">
        <f t="shared" si="100"/>
        <v>#DIV/0!</v>
      </c>
      <c r="L77" s="146" t="e">
        <f t="shared" si="100"/>
        <v>#DIV/0!</v>
      </c>
      <c r="M77" s="146" t="e">
        <f t="shared" si="100"/>
        <v>#DIV/0!</v>
      </c>
      <c r="N77" s="146" t="e">
        <f t="shared" si="100"/>
        <v>#DIV/0!</v>
      </c>
      <c r="O77" s="146" t="e">
        <f t="shared" si="100"/>
        <v>#DIV/0!</v>
      </c>
      <c r="P77" s="146" t="e">
        <f t="shared" si="100"/>
        <v>#DIV/0!</v>
      </c>
      <c r="Q77" s="146" t="e">
        <f t="shared" si="100"/>
        <v>#DIV/0!</v>
      </c>
      <c r="R77" s="146" t="e">
        <f t="shared" si="100"/>
        <v>#DIV/0!</v>
      </c>
      <c r="S77" s="146" t="e">
        <f t="shared" si="100"/>
        <v>#DIV/0!</v>
      </c>
      <c r="T77" s="146" t="e">
        <f t="shared" si="100"/>
        <v>#DIV/0!</v>
      </c>
      <c r="U77" s="146" t="e">
        <f t="shared" si="100"/>
        <v>#DIV/0!</v>
      </c>
      <c r="V77" s="146" t="e">
        <f t="shared" si="100"/>
        <v>#DIV/0!</v>
      </c>
      <c r="W77" s="146" t="e">
        <f t="shared" si="100"/>
        <v>#DIV/0!</v>
      </c>
      <c r="X77" s="146" t="e">
        <f t="shared" si="100"/>
        <v>#DIV/0!</v>
      </c>
      <c r="Y77" s="146" t="e">
        <f t="shared" si="100"/>
        <v>#DIV/0!</v>
      </c>
      <c r="Z77" s="146" t="e">
        <f t="shared" si="100"/>
        <v>#DIV/0!</v>
      </c>
      <c r="AA77" s="146" t="e">
        <f t="shared" si="100"/>
        <v>#DIV/0!</v>
      </c>
      <c r="AB77" s="146" t="e">
        <f t="shared" si="100"/>
        <v>#DIV/0!</v>
      </c>
      <c r="AC77" s="146" t="e">
        <f t="shared" si="100"/>
        <v>#DIV/0!</v>
      </c>
      <c r="AD77" s="146" t="e">
        <f t="shared" si="100"/>
        <v>#DIV/0!</v>
      </c>
      <c r="AE77" s="146" t="e">
        <f t="shared" si="100"/>
        <v>#DIV/0!</v>
      </c>
      <c r="AF77" s="146" t="e">
        <f t="shared" si="100"/>
        <v>#DIV/0!</v>
      </c>
      <c r="AG77" s="146" t="e">
        <f t="shared" si="100"/>
        <v>#DIV/0!</v>
      </c>
      <c r="AH77" s="146" t="e">
        <f t="shared" si="100"/>
        <v>#DIV/0!</v>
      </c>
      <c r="AI77" s="146" t="e">
        <f t="shared" si="100"/>
        <v>#DIV/0!</v>
      </c>
      <c r="AJ77" s="146" t="e">
        <f t="shared" si="100"/>
        <v>#DIV/0!</v>
      </c>
      <c r="AK77" s="146" t="e">
        <f t="shared" si="100"/>
        <v>#DIV/0!</v>
      </c>
      <c r="AL77" s="146" t="e">
        <f t="shared" si="100"/>
        <v>#DIV/0!</v>
      </c>
      <c r="AM77" s="146" t="e">
        <f t="shared" si="100"/>
        <v>#DIV/0!</v>
      </c>
      <c r="AN77" s="146" t="e">
        <f t="shared" si="100"/>
        <v>#DIV/0!</v>
      </c>
      <c r="AO77" s="453" t="e">
        <f>+SUM(F77:AN77)</f>
        <v>#DIV/0!</v>
      </c>
      <c r="AP77" s="71"/>
      <c r="AQ77" s="71"/>
      <c r="AR77" s="23"/>
      <c r="AS77" s="28"/>
    </row>
    <row r="78" spans="1:45" ht="15" x14ac:dyDescent="0.25">
      <c r="A78" s="66"/>
      <c r="B78" s="455" t="s">
        <v>61</v>
      </c>
      <c r="C78" s="4"/>
      <c r="D78" s="4"/>
      <c r="E78" s="99"/>
      <c r="F78"/>
      <c r="G78"/>
      <c r="H78"/>
      <c r="I78"/>
      <c r="J78"/>
      <c r="K78"/>
      <c r="L78"/>
      <c r="M78"/>
      <c r="N78"/>
      <c r="O78"/>
      <c r="P78"/>
      <c r="Q78"/>
      <c r="R78"/>
      <c r="S78"/>
      <c r="T78"/>
      <c r="U78"/>
      <c r="V78"/>
      <c r="W78"/>
      <c r="X78"/>
      <c r="Y78"/>
      <c r="Z78"/>
      <c r="AA78"/>
      <c r="AB78"/>
      <c r="AC78"/>
      <c r="AD78"/>
      <c r="AE78"/>
      <c r="AF78"/>
      <c r="AG78"/>
      <c r="AH78"/>
      <c r="AI78"/>
      <c r="AJ78"/>
      <c r="AK78"/>
      <c r="AL78"/>
      <c r="AM78"/>
      <c r="AN78"/>
      <c r="AO78"/>
      <c r="AP78" s="71"/>
      <c r="AQ78" s="71"/>
      <c r="AR78" s="23"/>
      <c r="AS78" s="28"/>
    </row>
    <row r="79" spans="1:45" ht="15" x14ac:dyDescent="0.25">
      <c r="A79" s="66"/>
      <c r="B79" s="455"/>
      <c r="C79" s="500"/>
      <c r="D79" s="4"/>
      <c r="E79" s="99"/>
      <c r="F79" s="99"/>
      <c r="G79" s="99"/>
      <c r="H79" s="99"/>
      <c r="I79" s="99"/>
      <c r="J79" s="99"/>
      <c r="K79" s="99"/>
      <c r="L79" s="99"/>
      <c r="M79" s="99"/>
      <c r="N79" s="99"/>
      <c r="O79" s="99"/>
      <c r="P79" s="99"/>
      <c r="Q79" s="99"/>
      <c r="R79" s="99"/>
      <c r="S79" s="99"/>
      <c r="T79" s="99"/>
      <c r="U79" s="99"/>
      <c r="V79" s="99"/>
      <c r="W79" s="99"/>
      <c r="X79" s="99"/>
      <c r="Y79" s="99"/>
      <c r="Z79" s="99"/>
      <c r="AA79" s="99"/>
      <c r="AB79" s="99"/>
      <c r="AC79" s="99"/>
      <c r="AD79" s="99"/>
      <c r="AE79" s="99"/>
      <c r="AF79" s="99"/>
      <c r="AG79" s="99"/>
      <c r="AH79" s="99"/>
      <c r="AI79" s="99"/>
      <c r="AJ79" s="494"/>
      <c r="AK79" s="494"/>
      <c r="AL79" s="494"/>
      <c r="AM79" s="494"/>
      <c r="AN79" s="494"/>
      <c r="AO79" s="492"/>
      <c r="AP79"/>
      <c r="AQ79"/>
      <c r="AR79" s="23"/>
      <c r="AS79" s="28"/>
    </row>
    <row r="80" spans="1:45" ht="15" x14ac:dyDescent="0.25">
      <c r="A80" s="66"/>
      <c r="B80" s="455" t="s">
        <v>62</v>
      </c>
      <c r="C80" s="495"/>
      <c r="D80" s="4"/>
      <c r="E80" s="99"/>
      <c r="F80" s="99"/>
      <c r="G80" s="99"/>
      <c r="H80" s="99"/>
      <c r="I80" s="99"/>
      <c r="J80" s="99"/>
      <c r="K80" s="99"/>
      <c r="L80" s="99"/>
      <c r="M80" s="99"/>
      <c r="N80" s="99"/>
      <c r="O80" s="99"/>
      <c r="P80" s="99"/>
      <c r="Q80" s="99"/>
      <c r="R80" s="99"/>
      <c r="S80" s="99"/>
      <c r="T80" s="99"/>
      <c r="U80" s="99"/>
      <c r="V80" s="99"/>
      <c r="W80" s="99"/>
      <c r="X80" s="99"/>
      <c r="Y80" s="99"/>
      <c r="Z80" s="99"/>
      <c r="AA80" s="99"/>
      <c r="AB80" s="99"/>
      <c r="AC80" s="99"/>
      <c r="AD80" s="99"/>
      <c r="AE80" s="99"/>
      <c r="AF80" s="99"/>
      <c r="AG80" s="99"/>
      <c r="AH80" s="99"/>
      <c r="AI80" s="99"/>
      <c r="AJ80" s="494"/>
      <c r="AK80" s="494"/>
      <c r="AL80" s="494"/>
      <c r="AM80" s="494"/>
      <c r="AN80" s="494"/>
      <c r="AO80" s="492"/>
      <c r="AP80"/>
      <c r="AQ80"/>
      <c r="AR80" s="23"/>
      <c r="AS80" s="28"/>
    </row>
    <row r="81" spans="1:45" ht="15" x14ac:dyDescent="0.25">
      <c r="A81" s="66"/>
      <c r="B81" s="451" t="s">
        <v>141</v>
      </c>
      <c r="C81" s="497"/>
      <c r="D81" s="4"/>
      <c r="E81" s="99"/>
      <c r="F81" s="146" t="e">
        <f t="shared" ref="F81:AI81" si="101">F42</f>
        <v>#DIV/0!</v>
      </c>
      <c r="G81" s="146" t="e">
        <f t="shared" si="101"/>
        <v>#DIV/0!</v>
      </c>
      <c r="H81" s="146" t="e">
        <f t="shared" si="101"/>
        <v>#DIV/0!</v>
      </c>
      <c r="I81" s="146" t="e">
        <f t="shared" si="101"/>
        <v>#DIV/0!</v>
      </c>
      <c r="J81" s="146" t="e">
        <f t="shared" si="101"/>
        <v>#DIV/0!</v>
      </c>
      <c r="K81" s="146" t="e">
        <f t="shared" si="101"/>
        <v>#DIV/0!</v>
      </c>
      <c r="L81" s="146" t="e">
        <f t="shared" si="101"/>
        <v>#DIV/0!</v>
      </c>
      <c r="M81" s="146" t="e">
        <f t="shared" si="101"/>
        <v>#DIV/0!</v>
      </c>
      <c r="N81" s="146" t="e">
        <f t="shared" si="101"/>
        <v>#DIV/0!</v>
      </c>
      <c r="O81" s="146" t="e">
        <f t="shared" si="101"/>
        <v>#DIV/0!</v>
      </c>
      <c r="P81" s="146" t="e">
        <f t="shared" si="101"/>
        <v>#DIV/0!</v>
      </c>
      <c r="Q81" s="146" t="e">
        <f t="shared" si="101"/>
        <v>#DIV/0!</v>
      </c>
      <c r="R81" s="146" t="e">
        <f t="shared" si="101"/>
        <v>#DIV/0!</v>
      </c>
      <c r="S81" s="146" t="e">
        <f t="shared" si="101"/>
        <v>#DIV/0!</v>
      </c>
      <c r="T81" s="146" t="e">
        <f t="shared" si="101"/>
        <v>#DIV/0!</v>
      </c>
      <c r="U81" s="146" t="e">
        <f t="shared" si="101"/>
        <v>#DIV/0!</v>
      </c>
      <c r="V81" s="146" t="e">
        <f t="shared" si="101"/>
        <v>#DIV/0!</v>
      </c>
      <c r="W81" s="146" t="e">
        <f t="shared" si="101"/>
        <v>#DIV/0!</v>
      </c>
      <c r="X81" s="146" t="e">
        <f t="shared" si="101"/>
        <v>#DIV/0!</v>
      </c>
      <c r="Y81" s="146" t="e">
        <f t="shared" si="101"/>
        <v>#DIV/0!</v>
      </c>
      <c r="Z81" s="146" t="e">
        <f t="shared" si="101"/>
        <v>#DIV/0!</v>
      </c>
      <c r="AA81" s="146" t="e">
        <f t="shared" si="101"/>
        <v>#DIV/0!</v>
      </c>
      <c r="AB81" s="146" t="e">
        <f t="shared" si="101"/>
        <v>#DIV/0!</v>
      </c>
      <c r="AC81" s="146" t="e">
        <f t="shared" si="101"/>
        <v>#DIV/0!</v>
      </c>
      <c r="AD81" s="146" t="e">
        <f t="shared" si="101"/>
        <v>#DIV/0!</v>
      </c>
      <c r="AE81" s="146" t="e">
        <f t="shared" si="101"/>
        <v>#DIV/0!</v>
      </c>
      <c r="AF81" s="146" t="e">
        <f t="shared" si="101"/>
        <v>#DIV/0!</v>
      </c>
      <c r="AG81" s="146" t="e">
        <f t="shared" si="101"/>
        <v>#DIV/0!</v>
      </c>
      <c r="AH81" s="146" t="e">
        <f t="shared" si="101"/>
        <v>#DIV/0!</v>
      </c>
      <c r="AI81" s="146" t="e">
        <f t="shared" si="101"/>
        <v>#DIV/0!</v>
      </c>
      <c r="AJ81" s="146" t="e">
        <f t="shared" ref="AJ81:AN81" si="102">AJ42</f>
        <v>#DIV/0!</v>
      </c>
      <c r="AK81" s="146" t="e">
        <f t="shared" si="102"/>
        <v>#DIV/0!</v>
      </c>
      <c r="AL81" s="146" t="e">
        <f t="shared" si="102"/>
        <v>#DIV/0!</v>
      </c>
      <c r="AM81" s="146" t="e">
        <f t="shared" si="102"/>
        <v>#DIV/0!</v>
      </c>
      <c r="AN81" s="146" t="e">
        <f t="shared" si="102"/>
        <v>#DIV/0!</v>
      </c>
      <c r="AO81" s="453" t="e">
        <f t="shared" ref="AO81:AO83" si="103">+SUM(F81:AN81)</f>
        <v>#DIV/0!</v>
      </c>
      <c r="AP81"/>
      <c r="AQ81"/>
      <c r="AR81" s="23"/>
      <c r="AS81" s="28"/>
    </row>
    <row r="82" spans="1:45" ht="15" x14ac:dyDescent="0.25">
      <c r="A82" s="66"/>
      <c r="B82" s="451" t="s">
        <v>142</v>
      </c>
      <c r="C82" s="497"/>
      <c r="D82" s="4"/>
      <c r="E82" s="99"/>
      <c r="F82" s="146" t="e">
        <f t="shared" ref="F82:AI82" si="104">F43</f>
        <v>#DIV/0!</v>
      </c>
      <c r="G82" s="146" t="e">
        <f t="shared" si="104"/>
        <v>#DIV/0!</v>
      </c>
      <c r="H82" s="146" t="e">
        <f t="shared" si="104"/>
        <v>#DIV/0!</v>
      </c>
      <c r="I82" s="146" t="e">
        <f t="shared" si="104"/>
        <v>#DIV/0!</v>
      </c>
      <c r="J82" s="146" t="e">
        <f t="shared" si="104"/>
        <v>#DIV/0!</v>
      </c>
      <c r="K82" s="146" t="e">
        <f t="shared" si="104"/>
        <v>#DIV/0!</v>
      </c>
      <c r="L82" s="146" t="e">
        <f t="shared" si="104"/>
        <v>#DIV/0!</v>
      </c>
      <c r="M82" s="146" t="e">
        <f t="shared" si="104"/>
        <v>#DIV/0!</v>
      </c>
      <c r="N82" s="146" t="e">
        <f t="shared" si="104"/>
        <v>#DIV/0!</v>
      </c>
      <c r="O82" s="146" t="e">
        <f t="shared" si="104"/>
        <v>#DIV/0!</v>
      </c>
      <c r="P82" s="146" t="e">
        <f t="shared" si="104"/>
        <v>#DIV/0!</v>
      </c>
      <c r="Q82" s="146" t="e">
        <f t="shared" si="104"/>
        <v>#DIV/0!</v>
      </c>
      <c r="R82" s="146" t="e">
        <f t="shared" si="104"/>
        <v>#DIV/0!</v>
      </c>
      <c r="S82" s="146" t="e">
        <f t="shared" si="104"/>
        <v>#DIV/0!</v>
      </c>
      <c r="T82" s="146" t="e">
        <f t="shared" si="104"/>
        <v>#DIV/0!</v>
      </c>
      <c r="U82" s="146" t="e">
        <f t="shared" si="104"/>
        <v>#DIV/0!</v>
      </c>
      <c r="V82" s="146" t="e">
        <f t="shared" si="104"/>
        <v>#DIV/0!</v>
      </c>
      <c r="W82" s="146" t="e">
        <f t="shared" si="104"/>
        <v>#DIV/0!</v>
      </c>
      <c r="X82" s="146" t="e">
        <f t="shared" si="104"/>
        <v>#DIV/0!</v>
      </c>
      <c r="Y82" s="146" t="e">
        <f t="shared" si="104"/>
        <v>#DIV/0!</v>
      </c>
      <c r="Z82" s="146" t="e">
        <f t="shared" si="104"/>
        <v>#DIV/0!</v>
      </c>
      <c r="AA82" s="146" t="e">
        <f t="shared" si="104"/>
        <v>#DIV/0!</v>
      </c>
      <c r="AB82" s="146" t="e">
        <f t="shared" si="104"/>
        <v>#DIV/0!</v>
      </c>
      <c r="AC82" s="146" t="e">
        <f t="shared" si="104"/>
        <v>#DIV/0!</v>
      </c>
      <c r="AD82" s="146" t="e">
        <f t="shared" si="104"/>
        <v>#DIV/0!</v>
      </c>
      <c r="AE82" s="146" t="e">
        <f t="shared" si="104"/>
        <v>#DIV/0!</v>
      </c>
      <c r="AF82" s="146" t="e">
        <f t="shared" si="104"/>
        <v>#DIV/0!</v>
      </c>
      <c r="AG82" s="146" t="e">
        <f t="shared" si="104"/>
        <v>#DIV/0!</v>
      </c>
      <c r="AH82" s="146" t="e">
        <f t="shared" si="104"/>
        <v>#DIV/0!</v>
      </c>
      <c r="AI82" s="146" t="e">
        <f t="shared" si="104"/>
        <v>#DIV/0!</v>
      </c>
      <c r="AJ82" s="146" t="e">
        <f t="shared" ref="AJ82:AN82" si="105">AJ43</f>
        <v>#DIV/0!</v>
      </c>
      <c r="AK82" s="146" t="e">
        <f t="shared" si="105"/>
        <v>#DIV/0!</v>
      </c>
      <c r="AL82" s="146" t="e">
        <f t="shared" si="105"/>
        <v>#DIV/0!</v>
      </c>
      <c r="AM82" s="146" t="e">
        <f t="shared" si="105"/>
        <v>#DIV/0!</v>
      </c>
      <c r="AN82" s="146" t="e">
        <f t="shared" si="105"/>
        <v>#DIV/0!</v>
      </c>
      <c r="AO82" s="453" t="e">
        <f t="shared" si="103"/>
        <v>#DIV/0!</v>
      </c>
      <c r="AP82" s="501"/>
      <c r="AQ82"/>
      <c r="AR82" s="23"/>
      <c r="AS82" s="28"/>
    </row>
    <row r="83" spans="1:45" ht="15" x14ac:dyDescent="0.25">
      <c r="A83" s="66"/>
      <c r="B83" s="451" t="s">
        <v>143</v>
      </c>
      <c r="C83" s="502"/>
      <c r="D83" s="4"/>
      <c r="E83" s="99"/>
      <c r="F83" s="146" t="e">
        <f>F82-F81</f>
        <v>#DIV/0!</v>
      </c>
      <c r="G83" s="146" t="e">
        <f>G82-G81</f>
        <v>#DIV/0!</v>
      </c>
      <c r="H83" s="146" t="e">
        <f t="shared" ref="H83:AI83" si="106">H82-H81</f>
        <v>#DIV/0!</v>
      </c>
      <c r="I83" s="146" t="e">
        <f t="shared" si="106"/>
        <v>#DIV/0!</v>
      </c>
      <c r="J83" s="146" t="e">
        <f t="shared" si="106"/>
        <v>#DIV/0!</v>
      </c>
      <c r="K83" s="146" t="e">
        <f t="shared" si="106"/>
        <v>#DIV/0!</v>
      </c>
      <c r="L83" s="146" t="e">
        <f t="shared" si="106"/>
        <v>#DIV/0!</v>
      </c>
      <c r="M83" s="146" t="e">
        <f t="shared" si="106"/>
        <v>#DIV/0!</v>
      </c>
      <c r="N83" s="146" t="e">
        <f t="shared" si="106"/>
        <v>#DIV/0!</v>
      </c>
      <c r="O83" s="146" t="e">
        <f t="shared" si="106"/>
        <v>#DIV/0!</v>
      </c>
      <c r="P83" s="146" t="e">
        <f t="shared" si="106"/>
        <v>#DIV/0!</v>
      </c>
      <c r="Q83" s="146" t="e">
        <f t="shared" si="106"/>
        <v>#DIV/0!</v>
      </c>
      <c r="R83" s="146" t="e">
        <f t="shared" si="106"/>
        <v>#DIV/0!</v>
      </c>
      <c r="S83" s="146" t="e">
        <f t="shared" si="106"/>
        <v>#DIV/0!</v>
      </c>
      <c r="T83" s="146" t="e">
        <f t="shared" si="106"/>
        <v>#DIV/0!</v>
      </c>
      <c r="U83" s="146" t="e">
        <f t="shared" si="106"/>
        <v>#DIV/0!</v>
      </c>
      <c r="V83" s="146" t="e">
        <f t="shared" si="106"/>
        <v>#DIV/0!</v>
      </c>
      <c r="W83" s="146" t="e">
        <f t="shared" si="106"/>
        <v>#DIV/0!</v>
      </c>
      <c r="X83" s="146" t="e">
        <f t="shared" si="106"/>
        <v>#DIV/0!</v>
      </c>
      <c r="Y83" s="146" t="e">
        <f t="shared" si="106"/>
        <v>#DIV/0!</v>
      </c>
      <c r="Z83" s="146" t="e">
        <f t="shared" si="106"/>
        <v>#DIV/0!</v>
      </c>
      <c r="AA83" s="146" t="e">
        <f t="shared" si="106"/>
        <v>#DIV/0!</v>
      </c>
      <c r="AB83" s="146" t="e">
        <f t="shared" si="106"/>
        <v>#DIV/0!</v>
      </c>
      <c r="AC83" s="146" t="e">
        <f t="shared" si="106"/>
        <v>#DIV/0!</v>
      </c>
      <c r="AD83" s="146" t="e">
        <f t="shared" si="106"/>
        <v>#DIV/0!</v>
      </c>
      <c r="AE83" s="146" t="e">
        <f t="shared" si="106"/>
        <v>#DIV/0!</v>
      </c>
      <c r="AF83" s="146" t="e">
        <f t="shared" si="106"/>
        <v>#DIV/0!</v>
      </c>
      <c r="AG83" s="146" t="e">
        <f t="shared" si="106"/>
        <v>#DIV/0!</v>
      </c>
      <c r="AH83" s="146" t="e">
        <f t="shared" si="106"/>
        <v>#DIV/0!</v>
      </c>
      <c r="AI83" s="146" t="e">
        <f t="shared" si="106"/>
        <v>#DIV/0!</v>
      </c>
      <c r="AJ83" s="146" t="e">
        <f t="shared" ref="AJ83:AN83" si="107">AJ82-AJ81</f>
        <v>#DIV/0!</v>
      </c>
      <c r="AK83" s="146" t="e">
        <f t="shared" si="107"/>
        <v>#DIV/0!</v>
      </c>
      <c r="AL83" s="146" t="e">
        <f t="shared" si="107"/>
        <v>#DIV/0!</v>
      </c>
      <c r="AM83" s="146" t="e">
        <f t="shared" si="107"/>
        <v>#DIV/0!</v>
      </c>
      <c r="AN83" s="146" t="e">
        <f t="shared" si="107"/>
        <v>#DIV/0!</v>
      </c>
      <c r="AO83" s="453" t="e">
        <f t="shared" si="103"/>
        <v>#DIV/0!</v>
      </c>
      <c r="AP83" s="501"/>
      <c r="AQ83"/>
      <c r="AR83" s="23"/>
      <c r="AS83" s="28"/>
    </row>
    <row r="84" spans="1:45" ht="15" x14ac:dyDescent="0.25">
      <c r="A84" s="66"/>
      <c r="B84" s="451"/>
      <c r="C84" s="497"/>
      <c r="D84" s="4"/>
      <c r="E84" s="99"/>
      <c r="F84" s="99"/>
      <c r="G84" s="99"/>
      <c r="H84" s="99"/>
      <c r="I84" s="99"/>
      <c r="J84" s="99"/>
      <c r="K84" s="99"/>
      <c r="L84" s="99"/>
      <c r="M84" s="99"/>
      <c r="N84" s="99"/>
      <c r="O84" s="99"/>
      <c r="P84" s="99"/>
      <c r="Q84" s="99"/>
      <c r="R84" s="99"/>
      <c r="S84" s="99"/>
      <c r="T84" s="99"/>
      <c r="U84" s="99"/>
      <c r="V84" s="99"/>
      <c r="W84" s="99"/>
      <c r="X84" s="99"/>
      <c r="Y84" s="99"/>
      <c r="Z84" s="99"/>
      <c r="AA84" s="99"/>
      <c r="AB84" s="99"/>
      <c r="AC84" s="99"/>
      <c r="AD84" s="99"/>
      <c r="AE84" s="99"/>
      <c r="AF84" s="99"/>
      <c r="AG84" s="99"/>
      <c r="AH84" s="99"/>
      <c r="AI84" s="99"/>
      <c r="AJ84" s="99"/>
      <c r="AK84" s="99"/>
      <c r="AL84" s="99"/>
      <c r="AM84" s="99"/>
      <c r="AN84" s="99"/>
      <c r="AO84" s="492"/>
      <c r="AP84" s="503"/>
      <c r="AQ84"/>
      <c r="AR84" s="23"/>
      <c r="AS84" s="28"/>
    </row>
    <row r="85" spans="1:45" ht="15" x14ac:dyDescent="0.25">
      <c r="A85" s="66"/>
      <c r="B85" s="451" t="s">
        <v>212</v>
      </c>
      <c r="C85" s="502"/>
      <c r="D85" s="504"/>
      <c r="E85" s="99"/>
      <c r="F85" s="146" t="e">
        <f>F82+F96+F97+F98</f>
        <v>#DIV/0!</v>
      </c>
      <c r="G85" s="146" t="e">
        <f>G82+G96+G97+G98</f>
        <v>#DIV/0!</v>
      </c>
      <c r="H85" s="146" t="e">
        <f t="shared" ref="H85:AH85" si="108">H82+H96+H97+H98</f>
        <v>#DIV/0!</v>
      </c>
      <c r="I85" s="146" t="e">
        <f t="shared" si="108"/>
        <v>#DIV/0!</v>
      </c>
      <c r="J85" s="146" t="e">
        <f t="shared" si="108"/>
        <v>#DIV/0!</v>
      </c>
      <c r="K85" s="146" t="e">
        <f t="shared" si="108"/>
        <v>#DIV/0!</v>
      </c>
      <c r="L85" s="146" t="e">
        <f t="shared" si="108"/>
        <v>#DIV/0!</v>
      </c>
      <c r="M85" s="146" t="e">
        <f t="shared" si="108"/>
        <v>#DIV/0!</v>
      </c>
      <c r="N85" s="146" t="e">
        <f t="shared" si="108"/>
        <v>#DIV/0!</v>
      </c>
      <c r="O85" s="146" t="e">
        <f t="shared" si="108"/>
        <v>#DIV/0!</v>
      </c>
      <c r="P85" s="146" t="e">
        <f t="shared" si="108"/>
        <v>#DIV/0!</v>
      </c>
      <c r="Q85" s="146" t="e">
        <f t="shared" si="108"/>
        <v>#DIV/0!</v>
      </c>
      <c r="R85" s="146" t="e">
        <f t="shared" si="108"/>
        <v>#DIV/0!</v>
      </c>
      <c r="S85" s="146" t="e">
        <f t="shared" si="108"/>
        <v>#DIV/0!</v>
      </c>
      <c r="T85" s="146" t="e">
        <f t="shared" si="108"/>
        <v>#DIV/0!</v>
      </c>
      <c r="U85" s="146" t="e">
        <f t="shared" si="108"/>
        <v>#DIV/0!</v>
      </c>
      <c r="V85" s="146" t="e">
        <f t="shared" si="108"/>
        <v>#DIV/0!</v>
      </c>
      <c r="W85" s="146" t="e">
        <f t="shared" si="108"/>
        <v>#DIV/0!</v>
      </c>
      <c r="X85" s="146" t="e">
        <f t="shared" si="108"/>
        <v>#DIV/0!</v>
      </c>
      <c r="Y85" s="146" t="e">
        <f t="shared" si="108"/>
        <v>#DIV/0!</v>
      </c>
      <c r="Z85" s="146" t="e">
        <f t="shared" si="108"/>
        <v>#DIV/0!</v>
      </c>
      <c r="AA85" s="146" t="e">
        <f t="shared" si="108"/>
        <v>#DIV/0!</v>
      </c>
      <c r="AB85" s="146" t="e">
        <f t="shared" si="108"/>
        <v>#DIV/0!</v>
      </c>
      <c r="AC85" s="146" t="e">
        <f t="shared" si="108"/>
        <v>#DIV/0!</v>
      </c>
      <c r="AD85" s="146" t="e">
        <f t="shared" si="108"/>
        <v>#DIV/0!</v>
      </c>
      <c r="AE85" s="146" t="e">
        <f t="shared" si="108"/>
        <v>#DIV/0!</v>
      </c>
      <c r="AF85" s="146" t="e">
        <f t="shared" si="108"/>
        <v>#DIV/0!</v>
      </c>
      <c r="AG85" s="146" t="e">
        <f t="shared" si="108"/>
        <v>#DIV/0!</v>
      </c>
      <c r="AH85" s="146" t="e">
        <f t="shared" si="108"/>
        <v>#DIV/0!</v>
      </c>
      <c r="AI85" s="146" t="e">
        <f>AI82+AI96+AI97+AI98</f>
        <v>#DIV/0!</v>
      </c>
      <c r="AJ85" s="146" t="e">
        <f t="shared" ref="AJ85:AN85" si="109">AJ82+AJ96+AJ97+AJ98</f>
        <v>#DIV/0!</v>
      </c>
      <c r="AK85" s="146" t="e">
        <f t="shared" si="109"/>
        <v>#DIV/0!</v>
      </c>
      <c r="AL85" s="146" t="e">
        <f t="shared" si="109"/>
        <v>#DIV/0!</v>
      </c>
      <c r="AM85" s="146" t="e">
        <f t="shared" si="109"/>
        <v>#DIV/0!</v>
      </c>
      <c r="AN85" s="146" t="e">
        <f t="shared" si="109"/>
        <v>#DIV/0!</v>
      </c>
      <c r="AO85" s="453" t="e">
        <f t="shared" ref="AO85:AO88" si="110">+SUM(F85:AN85)</f>
        <v>#DIV/0!</v>
      </c>
      <c r="AP85" s="503"/>
      <c r="AQ85"/>
      <c r="AR85" s="23"/>
      <c r="AS85" s="28"/>
    </row>
    <row r="86" spans="1:45" ht="15" x14ac:dyDescent="0.25">
      <c r="A86" s="66"/>
      <c r="B86" s="451" t="s">
        <v>274</v>
      </c>
      <c r="C86" s="502"/>
      <c r="D86" s="4"/>
      <c r="E86" s="99"/>
      <c r="F86" s="146" t="e">
        <f t="shared" ref="F86:AI86" si="111">F53</f>
        <v>#DIV/0!</v>
      </c>
      <c r="G86" s="146" t="e">
        <f t="shared" si="111"/>
        <v>#DIV/0!</v>
      </c>
      <c r="H86" s="146" t="e">
        <f t="shared" si="111"/>
        <v>#DIV/0!</v>
      </c>
      <c r="I86" s="146" t="e">
        <f t="shared" si="111"/>
        <v>#DIV/0!</v>
      </c>
      <c r="J86" s="146" t="e">
        <f t="shared" si="111"/>
        <v>#DIV/0!</v>
      </c>
      <c r="K86" s="146" t="e">
        <f t="shared" si="111"/>
        <v>#DIV/0!</v>
      </c>
      <c r="L86" s="146" t="e">
        <f t="shared" si="111"/>
        <v>#DIV/0!</v>
      </c>
      <c r="M86" s="146" t="e">
        <f t="shared" si="111"/>
        <v>#DIV/0!</v>
      </c>
      <c r="N86" s="146" t="e">
        <f t="shared" si="111"/>
        <v>#DIV/0!</v>
      </c>
      <c r="O86" s="146" t="e">
        <f t="shared" si="111"/>
        <v>#DIV/0!</v>
      </c>
      <c r="P86" s="146" t="e">
        <f t="shared" si="111"/>
        <v>#DIV/0!</v>
      </c>
      <c r="Q86" s="146" t="e">
        <f t="shared" si="111"/>
        <v>#DIV/0!</v>
      </c>
      <c r="R86" s="146" t="e">
        <f t="shared" si="111"/>
        <v>#DIV/0!</v>
      </c>
      <c r="S86" s="146" t="e">
        <f t="shared" si="111"/>
        <v>#DIV/0!</v>
      </c>
      <c r="T86" s="146" t="e">
        <f t="shared" si="111"/>
        <v>#DIV/0!</v>
      </c>
      <c r="U86" s="146" t="e">
        <f t="shared" si="111"/>
        <v>#DIV/0!</v>
      </c>
      <c r="V86" s="146" t="e">
        <f t="shared" si="111"/>
        <v>#DIV/0!</v>
      </c>
      <c r="W86" s="146" t="e">
        <f t="shared" si="111"/>
        <v>#DIV/0!</v>
      </c>
      <c r="X86" s="146" t="e">
        <f t="shared" si="111"/>
        <v>#DIV/0!</v>
      </c>
      <c r="Y86" s="146" t="e">
        <f t="shared" si="111"/>
        <v>#DIV/0!</v>
      </c>
      <c r="Z86" s="146" t="e">
        <f t="shared" si="111"/>
        <v>#DIV/0!</v>
      </c>
      <c r="AA86" s="146" t="e">
        <f t="shared" si="111"/>
        <v>#DIV/0!</v>
      </c>
      <c r="AB86" s="146" t="e">
        <f t="shared" si="111"/>
        <v>#DIV/0!</v>
      </c>
      <c r="AC86" s="146" t="e">
        <f t="shared" si="111"/>
        <v>#DIV/0!</v>
      </c>
      <c r="AD86" s="146" t="e">
        <f t="shared" si="111"/>
        <v>#DIV/0!</v>
      </c>
      <c r="AE86" s="146" t="e">
        <f t="shared" si="111"/>
        <v>#DIV/0!</v>
      </c>
      <c r="AF86" s="146" t="e">
        <f t="shared" si="111"/>
        <v>#DIV/0!</v>
      </c>
      <c r="AG86" s="146" t="e">
        <f t="shared" si="111"/>
        <v>#DIV/0!</v>
      </c>
      <c r="AH86" s="146" t="e">
        <f t="shared" si="111"/>
        <v>#DIV/0!</v>
      </c>
      <c r="AI86" s="146" t="e">
        <f t="shared" si="111"/>
        <v>#DIV/0!</v>
      </c>
      <c r="AJ86" s="146" t="e">
        <f t="shared" ref="AJ86:AN86" si="112">AJ53</f>
        <v>#DIV/0!</v>
      </c>
      <c r="AK86" s="146" t="e">
        <f t="shared" si="112"/>
        <v>#DIV/0!</v>
      </c>
      <c r="AL86" s="146" t="e">
        <f t="shared" si="112"/>
        <v>#DIV/0!</v>
      </c>
      <c r="AM86" s="146" t="e">
        <f t="shared" si="112"/>
        <v>#DIV/0!</v>
      </c>
      <c r="AN86" s="146" t="e">
        <f t="shared" si="112"/>
        <v>#DIV/0!</v>
      </c>
      <c r="AO86" s="453" t="e">
        <f t="shared" si="110"/>
        <v>#DIV/0!</v>
      </c>
      <c r="AP86" s="501"/>
      <c r="AQ86"/>
      <c r="AR86" s="23"/>
      <c r="AS86" s="28"/>
    </row>
    <row r="87" spans="1:45" ht="15" x14ac:dyDescent="0.25">
      <c r="A87" s="66"/>
      <c r="B87" s="451" t="s">
        <v>275</v>
      </c>
      <c r="C87" s="502"/>
      <c r="D87" s="4"/>
      <c r="E87" s="99"/>
      <c r="F87" s="146">
        <f t="shared" ref="F87:AI87" si="113">F48</f>
        <v>0</v>
      </c>
      <c r="G87" s="146">
        <f t="shared" si="113"/>
        <v>0</v>
      </c>
      <c r="H87" s="146">
        <f t="shared" si="113"/>
        <v>0</v>
      </c>
      <c r="I87" s="146">
        <f t="shared" si="113"/>
        <v>0</v>
      </c>
      <c r="J87" s="146">
        <f t="shared" si="113"/>
        <v>0</v>
      </c>
      <c r="K87" s="146">
        <f t="shared" si="113"/>
        <v>0</v>
      </c>
      <c r="L87" s="146">
        <f t="shared" si="113"/>
        <v>0</v>
      </c>
      <c r="M87" s="146">
        <f t="shared" si="113"/>
        <v>0</v>
      </c>
      <c r="N87" s="146">
        <f t="shared" si="113"/>
        <v>0</v>
      </c>
      <c r="O87" s="146">
        <f t="shared" si="113"/>
        <v>0</v>
      </c>
      <c r="P87" s="146">
        <f t="shared" si="113"/>
        <v>0</v>
      </c>
      <c r="Q87" s="146">
        <f t="shared" si="113"/>
        <v>0</v>
      </c>
      <c r="R87" s="146">
        <f t="shared" si="113"/>
        <v>0</v>
      </c>
      <c r="S87" s="146">
        <f t="shared" si="113"/>
        <v>0</v>
      </c>
      <c r="T87" s="146">
        <f t="shared" si="113"/>
        <v>0</v>
      </c>
      <c r="U87" s="146">
        <f t="shared" si="113"/>
        <v>0</v>
      </c>
      <c r="V87" s="146">
        <f t="shared" si="113"/>
        <v>0</v>
      </c>
      <c r="W87" s="146">
        <f t="shared" si="113"/>
        <v>0</v>
      </c>
      <c r="X87" s="146">
        <f t="shared" si="113"/>
        <v>0</v>
      </c>
      <c r="Y87" s="146">
        <f t="shared" si="113"/>
        <v>0</v>
      </c>
      <c r="Z87" s="146">
        <f t="shared" si="113"/>
        <v>0</v>
      </c>
      <c r="AA87" s="146">
        <f t="shared" si="113"/>
        <v>0</v>
      </c>
      <c r="AB87" s="146">
        <f t="shared" si="113"/>
        <v>0</v>
      </c>
      <c r="AC87" s="146">
        <f t="shared" si="113"/>
        <v>0</v>
      </c>
      <c r="AD87" s="146">
        <f t="shared" si="113"/>
        <v>0</v>
      </c>
      <c r="AE87" s="146">
        <f t="shared" si="113"/>
        <v>0</v>
      </c>
      <c r="AF87" s="146">
        <f t="shared" si="113"/>
        <v>0</v>
      </c>
      <c r="AG87" s="146">
        <f t="shared" si="113"/>
        <v>0</v>
      </c>
      <c r="AH87" s="146">
        <f t="shared" si="113"/>
        <v>0</v>
      </c>
      <c r="AI87" s="146">
        <f t="shared" si="113"/>
        <v>0</v>
      </c>
      <c r="AJ87" s="146">
        <f t="shared" ref="AJ87:AN87" si="114">AJ48</f>
        <v>0</v>
      </c>
      <c r="AK87" s="146">
        <f t="shared" si="114"/>
        <v>0</v>
      </c>
      <c r="AL87" s="146">
        <f t="shared" si="114"/>
        <v>0</v>
      </c>
      <c r="AM87" s="146">
        <f t="shared" si="114"/>
        <v>0</v>
      </c>
      <c r="AN87" s="146">
        <f t="shared" si="114"/>
        <v>0</v>
      </c>
      <c r="AO87" s="453">
        <f t="shared" si="110"/>
        <v>0</v>
      </c>
      <c r="AP87" s="501"/>
      <c r="AQ87"/>
      <c r="AR87" s="23"/>
      <c r="AS87" s="28"/>
    </row>
    <row r="88" spans="1:45" ht="15" x14ac:dyDescent="0.25">
      <c r="A88"/>
      <c r="B88" s="505" t="s">
        <v>276</v>
      </c>
      <c r="C88" s="502"/>
      <c r="D88" s="506"/>
      <c r="E88" s="507"/>
      <c r="F88" s="249">
        <f>-'Depreciação '!H79</f>
        <v>0</v>
      </c>
      <c r="G88" s="249">
        <f>-'Depreciação '!I79</f>
        <v>0</v>
      </c>
      <c r="H88" s="249">
        <f>-'Depreciação '!J79</f>
        <v>0</v>
      </c>
      <c r="I88" s="249">
        <f>-'Depreciação '!K79</f>
        <v>0</v>
      </c>
      <c r="J88" s="249">
        <f>-'Depreciação '!L79</f>
        <v>0</v>
      </c>
      <c r="K88" s="249">
        <f>-'Depreciação '!M79</f>
        <v>0</v>
      </c>
      <c r="L88" s="249">
        <f>-'Depreciação '!N79</f>
        <v>0</v>
      </c>
      <c r="M88" s="249">
        <f>-'Depreciação '!O79</f>
        <v>0</v>
      </c>
      <c r="N88" s="249">
        <f>-'Depreciação '!P79</f>
        <v>0</v>
      </c>
      <c r="O88" s="249">
        <f>-'Depreciação '!Q79</f>
        <v>0</v>
      </c>
      <c r="P88" s="249">
        <f>-'Depreciação '!R79</f>
        <v>0</v>
      </c>
      <c r="Q88" s="249">
        <f>-'Depreciação '!S79</f>
        <v>0</v>
      </c>
      <c r="R88" s="249">
        <f>-'Depreciação '!T79</f>
        <v>0</v>
      </c>
      <c r="S88" s="249">
        <f>-'Depreciação '!U79</f>
        <v>0</v>
      </c>
      <c r="T88" s="249">
        <f>-'Depreciação '!V79</f>
        <v>0</v>
      </c>
      <c r="U88" s="249">
        <f>-'Depreciação '!W79</f>
        <v>0</v>
      </c>
      <c r="V88" s="249">
        <f>-'Depreciação '!X79</f>
        <v>0</v>
      </c>
      <c r="W88" s="249">
        <f>-'Depreciação '!Y79</f>
        <v>0</v>
      </c>
      <c r="X88" s="249">
        <f>-'Depreciação '!Z79</f>
        <v>0</v>
      </c>
      <c r="Y88" s="249">
        <f>-'Depreciação '!AA79</f>
        <v>0</v>
      </c>
      <c r="Z88" s="249">
        <f>-'Depreciação '!AB79</f>
        <v>0</v>
      </c>
      <c r="AA88" s="249">
        <f>-'Depreciação '!AC79</f>
        <v>0</v>
      </c>
      <c r="AB88" s="249">
        <f>-'Depreciação '!AD79</f>
        <v>0</v>
      </c>
      <c r="AC88" s="249">
        <f>-'Depreciação '!AE79</f>
        <v>0</v>
      </c>
      <c r="AD88" s="249">
        <f>-'Depreciação '!AF79</f>
        <v>0</v>
      </c>
      <c r="AE88" s="249">
        <f>-'Depreciação '!AG79</f>
        <v>0</v>
      </c>
      <c r="AF88" s="249">
        <f>-'Depreciação '!AH79</f>
        <v>0</v>
      </c>
      <c r="AG88" s="249">
        <f>-'Depreciação '!AI79</f>
        <v>0</v>
      </c>
      <c r="AH88" s="249">
        <f>-'Depreciação '!AJ79</f>
        <v>0</v>
      </c>
      <c r="AI88" s="249">
        <f>-'Depreciação '!AK79</f>
        <v>0</v>
      </c>
      <c r="AJ88" s="249">
        <f>-'Depreciação '!AL79</f>
        <v>0</v>
      </c>
      <c r="AK88" s="249">
        <f>-'Depreciação '!AM79</f>
        <v>0</v>
      </c>
      <c r="AL88" s="249">
        <f>-'Depreciação '!AN79</f>
        <v>0</v>
      </c>
      <c r="AM88" s="249">
        <f>-'Depreciação '!AO79</f>
        <v>0</v>
      </c>
      <c r="AN88" s="249">
        <f>-'Depreciação '!AP79</f>
        <v>0</v>
      </c>
      <c r="AO88" s="453">
        <f t="shared" si="110"/>
        <v>0</v>
      </c>
      <c r="AP88" s="503"/>
      <c r="AQ88"/>
      <c r="AR88" s="23"/>
      <c r="AS88" s="28"/>
    </row>
    <row r="89" spans="1:45" ht="15" x14ac:dyDescent="0.25">
      <c r="A89" s="66"/>
      <c r="B89" s="451"/>
      <c r="C89" s="508"/>
      <c r="D89" s="4"/>
      <c r="E89" s="99"/>
      <c r="F89" s="99"/>
      <c r="G89" s="99"/>
      <c r="H89" s="99"/>
      <c r="I89" s="99"/>
      <c r="J89" s="99"/>
      <c r="K89" s="99"/>
      <c r="L89" s="99"/>
      <c r="M89" s="99"/>
      <c r="N89" s="99"/>
      <c r="O89" s="99"/>
      <c r="P89" s="99"/>
      <c r="Q89" s="99"/>
      <c r="R89" s="99"/>
      <c r="S89" s="99"/>
      <c r="T89" s="99"/>
      <c r="U89" s="99"/>
      <c r="V89" s="99"/>
      <c r="W89" s="99"/>
      <c r="X89" s="99"/>
      <c r="Y89" s="99"/>
      <c r="Z89" s="99"/>
      <c r="AA89" s="99"/>
      <c r="AB89" s="99"/>
      <c r="AC89" s="99"/>
      <c r="AD89" s="99"/>
      <c r="AE89" s="99"/>
      <c r="AF89" s="99"/>
      <c r="AG89" s="99"/>
      <c r="AH89" s="99"/>
      <c r="AI89" s="99"/>
      <c r="AJ89" s="99"/>
      <c r="AK89" s="99"/>
      <c r="AL89" s="99"/>
      <c r="AM89" s="99"/>
      <c r="AN89" s="99"/>
      <c r="AO89" s="492"/>
      <c r="AP89" s="503"/>
      <c r="AQ89"/>
      <c r="AR89" s="23"/>
      <c r="AS89" s="28"/>
    </row>
    <row r="90" spans="1:45" ht="15" x14ac:dyDescent="0.25">
      <c r="A90" s="66"/>
      <c r="B90" s="505" t="s">
        <v>277</v>
      </c>
      <c r="C90" s="502"/>
      <c r="D90" s="4"/>
      <c r="E90" s="99"/>
      <c r="F90" s="146" t="e">
        <f>SUM(F82,F86:F87)</f>
        <v>#DIV/0!</v>
      </c>
      <c r="G90" s="146" t="e">
        <f t="shared" ref="G90:AH90" si="115">SUM(G82,G86:G87)</f>
        <v>#DIV/0!</v>
      </c>
      <c r="H90" s="146" t="e">
        <f t="shared" si="115"/>
        <v>#DIV/0!</v>
      </c>
      <c r="I90" s="146" t="e">
        <f t="shared" si="115"/>
        <v>#DIV/0!</v>
      </c>
      <c r="J90" s="146" t="e">
        <f t="shared" si="115"/>
        <v>#DIV/0!</v>
      </c>
      <c r="K90" s="146" t="e">
        <f t="shared" si="115"/>
        <v>#DIV/0!</v>
      </c>
      <c r="L90" s="146" t="e">
        <f t="shared" si="115"/>
        <v>#DIV/0!</v>
      </c>
      <c r="M90" s="146" t="e">
        <f t="shared" si="115"/>
        <v>#DIV/0!</v>
      </c>
      <c r="N90" s="146" t="e">
        <f t="shared" si="115"/>
        <v>#DIV/0!</v>
      </c>
      <c r="O90" s="146" t="e">
        <f t="shared" si="115"/>
        <v>#DIV/0!</v>
      </c>
      <c r="P90" s="146" t="e">
        <f t="shared" si="115"/>
        <v>#DIV/0!</v>
      </c>
      <c r="Q90" s="146" t="e">
        <f t="shared" si="115"/>
        <v>#DIV/0!</v>
      </c>
      <c r="R90" s="146" t="e">
        <f t="shared" si="115"/>
        <v>#DIV/0!</v>
      </c>
      <c r="S90" s="146" t="e">
        <f t="shared" si="115"/>
        <v>#DIV/0!</v>
      </c>
      <c r="T90" s="146" t="e">
        <f t="shared" si="115"/>
        <v>#DIV/0!</v>
      </c>
      <c r="U90" s="146" t="e">
        <f t="shared" si="115"/>
        <v>#DIV/0!</v>
      </c>
      <c r="V90" s="146" t="e">
        <f t="shared" si="115"/>
        <v>#DIV/0!</v>
      </c>
      <c r="W90" s="146" t="e">
        <f t="shared" si="115"/>
        <v>#DIV/0!</v>
      </c>
      <c r="X90" s="146" t="e">
        <f t="shared" si="115"/>
        <v>#DIV/0!</v>
      </c>
      <c r="Y90" s="146" t="e">
        <f t="shared" si="115"/>
        <v>#DIV/0!</v>
      </c>
      <c r="Z90" s="146" t="e">
        <f t="shared" si="115"/>
        <v>#DIV/0!</v>
      </c>
      <c r="AA90" s="146" t="e">
        <f t="shared" si="115"/>
        <v>#DIV/0!</v>
      </c>
      <c r="AB90" s="146" t="e">
        <f t="shared" si="115"/>
        <v>#DIV/0!</v>
      </c>
      <c r="AC90" s="146" t="e">
        <f t="shared" si="115"/>
        <v>#DIV/0!</v>
      </c>
      <c r="AD90" s="146" t="e">
        <f t="shared" si="115"/>
        <v>#DIV/0!</v>
      </c>
      <c r="AE90" s="146" t="e">
        <f t="shared" si="115"/>
        <v>#DIV/0!</v>
      </c>
      <c r="AF90" s="146" t="e">
        <f t="shared" si="115"/>
        <v>#DIV/0!</v>
      </c>
      <c r="AG90" s="146" t="e">
        <f t="shared" si="115"/>
        <v>#DIV/0!</v>
      </c>
      <c r="AH90" s="146" t="e">
        <f t="shared" si="115"/>
        <v>#DIV/0!</v>
      </c>
      <c r="AI90" s="146" t="e">
        <f>SUM(AI82,AI86:AI87)</f>
        <v>#DIV/0!</v>
      </c>
      <c r="AJ90" s="146" t="e">
        <f t="shared" ref="AJ90:AN90" si="116">SUM(AJ82,AJ86:AJ87)</f>
        <v>#DIV/0!</v>
      </c>
      <c r="AK90" s="146" t="e">
        <f t="shared" si="116"/>
        <v>#DIV/0!</v>
      </c>
      <c r="AL90" s="146" t="e">
        <f t="shared" si="116"/>
        <v>#DIV/0!</v>
      </c>
      <c r="AM90" s="146" t="e">
        <f t="shared" si="116"/>
        <v>#DIV/0!</v>
      </c>
      <c r="AN90" s="146" t="e">
        <f t="shared" si="116"/>
        <v>#DIV/0!</v>
      </c>
      <c r="AO90" s="453" t="e">
        <f t="shared" ref="AO90:AO91" si="117">+SUM(F90:AN90)</f>
        <v>#DIV/0!</v>
      </c>
      <c r="AP90" s="503"/>
      <c r="AQ90"/>
      <c r="AR90" s="23"/>
      <c r="AS90" s="28"/>
    </row>
    <row r="91" spans="1:45" ht="15" x14ac:dyDescent="0.25">
      <c r="A91" s="66"/>
      <c r="B91" s="451" t="s">
        <v>278</v>
      </c>
      <c r="C91" s="502"/>
      <c r="D91" s="4"/>
      <c r="E91" s="99"/>
      <c r="F91" s="146" t="e">
        <f>F90+F95</f>
        <v>#DIV/0!</v>
      </c>
      <c r="G91" s="146" t="e">
        <f t="shared" ref="G91:AH91" si="118">G90+G95</f>
        <v>#DIV/0!</v>
      </c>
      <c r="H91" s="146" t="e">
        <f t="shared" si="118"/>
        <v>#DIV/0!</v>
      </c>
      <c r="I91" s="146" t="e">
        <f t="shared" si="118"/>
        <v>#DIV/0!</v>
      </c>
      <c r="J91" s="146" t="e">
        <f t="shared" si="118"/>
        <v>#DIV/0!</v>
      </c>
      <c r="K91" s="146" t="e">
        <f t="shared" si="118"/>
        <v>#DIV/0!</v>
      </c>
      <c r="L91" s="146" t="e">
        <f t="shared" si="118"/>
        <v>#DIV/0!</v>
      </c>
      <c r="M91" s="146" t="e">
        <f t="shared" si="118"/>
        <v>#DIV/0!</v>
      </c>
      <c r="N91" s="146" t="e">
        <f t="shared" si="118"/>
        <v>#DIV/0!</v>
      </c>
      <c r="O91" s="146" t="e">
        <f t="shared" si="118"/>
        <v>#DIV/0!</v>
      </c>
      <c r="P91" s="146" t="e">
        <f t="shared" si="118"/>
        <v>#DIV/0!</v>
      </c>
      <c r="Q91" s="146" t="e">
        <f t="shared" si="118"/>
        <v>#DIV/0!</v>
      </c>
      <c r="R91" s="146" t="e">
        <f t="shared" si="118"/>
        <v>#DIV/0!</v>
      </c>
      <c r="S91" s="146" t="e">
        <f t="shared" si="118"/>
        <v>#DIV/0!</v>
      </c>
      <c r="T91" s="146" t="e">
        <f t="shared" si="118"/>
        <v>#DIV/0!</v>
      </c>
      <c r="U91" s="146" t="e">
        <f t="shared" si="118"/>
        <v>#DIV/0!</v>
      </c>
      <c r="V91" s="146" t="e">
        <f t="shared" si="118"/>
        <v>#DIV/0!</v>
      </c>
      <c r="W91" s="146" t="e">
        <f t="shared" si="118"/>
        <v>#DIV/0!</v>
      </c>
      <c r="X91" s="146" t="e">
        <f t="shared" si="118"/>
        <v>#DIV/0!</v>
      </c>
      <c r="Y91" s="146" t="e">
        <f t="shared" si="118"/>
        <v>#DIV/0!</v>
      </c>
      <c r="Z91" s="146" t="e">
        <f t="shared" si="118"/>
        <v>#DIV/0!</v>
      </c>
      <c r="AA91" s="146" t="e">
        <f t="shared" si="118"/>
        <v>#DIV/0!</v>
      </c>
      <c r="AB91" s="146" t="e">
        <f t="shared" si="118"/>
        <v>#DIV/0!</v>
      </c>
      <c r="AC91" s="146" t="e">
        <f t="shared" si="118"/>
        <v>#DIV/0!</v>
      </c>
      <c r="AD91" s="146" t="e">
        <f t="shared" si="118"/>
        <v>#DIV/0!</v>
      </c>
      <c r="AE91" s="146" t="e">
        <f t="shared" si="118"/>
        <v>#DIV/0!</v>
      </c>
      <c r="AF91" s="146" t="e">
        <f t="shared" si="118"/>
        <v>#DIV/0!</v>
      </c>
      <c r="AG91" s="146" t="e">
        <f t="shared" si="118"/>
        <v>#DIV/0!</v>
      </c>
      <c r="AH91" s="146" t="e">
        <f t="shared" si="118"/>
        <v>#DIV/0!</v>
      </c>
      <c r="AI91" s="146" t="e">
        <f>AI90+AI95</f>
        <v>#DIV/0!</v>
      </c>
      <c r="AJ91" s="146" t="e">
        <f t="shared" ref="AJ91:AN91" si="119">AJ90+AJ95</f>
        <v>#DIV/0!</v>
      </c>
      <c r="AK91" s="146" t="e">
        <f t="shared" si="119"/>
        <v>#DIV/0!</v>
      </c>
      <c r="AL91" s="146" t="e">
        <f t="shared" si="119"/>
        <v>#DIV/0!</v>
      </c>
      <c r="AM91" s="146" t="e">
        <f t="shared" si="119"/>
        <v>#DIV/0!</v>
      </c>
      <c r="AN91" s="146" t="e">
        <f t="shared" si="119"/>
        <v>#DIV/0!</v>
      </c>
      <c r="AO91" s="453" t="e">
        <f t="shared" si="117"/>
        <v>#DIV/0!</v>
      </c>
      <c r="AP91" s="503"/>
      <c r="AQ91"/>
      <c r="AR91" s="23"/>
      <c r="AS91" s="28"/>
    </row>
    <row r="92" spans="1:45" ht="15" x14ac:dyDescent="0.25">
      <c r="A92" s="66"/>
      <c r="B92" s="451"/>
      <c r="C92" s="508"/>
      <c r="D92" s="4"/>
      <c r="E92" s="99"/>
      <c r="F92" s="99"/>
      <c r="G92" s="99"/>
      <c r="H92" s="99"/>
      <c r="I92" s="99"/>
      <c r="J92" s="99"/>
      <c r="K92" s="99"/>
      <c r="L92" s="99"/>
      <c r="M92" s="99"/>
      <c r="N92" s="99"/>
      <c r="O92" s="99"/>
      <c r="P92" s="99"/>
      <c r="Q92" s="99"/>
      <c r="R92" s="99"/>
      <c r="S92" s="99"/>
      <c r="T92" s="99"/>
      <c r="U92" s="99"/>
      <c r="V92" s="99"/>
      <c r="W92" s="99"/>
      <c r="X92" s="99"/>
      <c r="Y92" s="99"/>
      <c r="Z92" s="99"/>
      <c r="AA92" s="99"/>
      <c r="AB92" s="99"/>
      <c r="AC92" s="99"/>
      <c r="AD92" s="99"/>
      <c r="AE92" s="99"/>
      <c r="AF92" s="99"/>
      <c r="AG92" s="99"/>
      <c r="AH92" s="99"/>
      <c r="AI92" s="99"/>
      <c r="AJ92" s="99"/>
      <c r="AK92" s="99"/>
      <c r="AL92" s="99"/>
      <c r="AM92" s="99"/>
      <c r="AN92" s="99"/>
      <c r="AO92" s="492"/>
      <c r="AP92" s="503"/>
      <c r="AQ92"/>
      <c r="AR92" s="23"/>
      <c r="AS92" s="28"/>
    </row>
    <row r="93" spans="1:45" ht="15" x14ac:dyDescent="0.25">
      <c r="A93" s="66"/>
      <c r="B93" s="451" t="s">
        <v>279</v>
      </c>
      <c r="C93" s="502"/>
      <c r="D93" s="4"/>
      <c r="E93" s="99"/>
      <c r="F93" s="146" t="e">
        <f>F95+F100</f>
        <v>#DIV/0!</v>
      </c>
      <c r="G93" s="146" t="e">
        <f t="shared" ref="G93:AI93" si="120">G95+G100</f>
        <v>#DIV/0!</v>
      </c>
      <c r="H93" s="146" t="e">
        <f t="shared" si="120"/>
        <v>#DIV/0!</v>
      </c>
      <c r="I93" s="146" t="e">
        <f t="shared" si="120"/>
        <v>#DIV/0!</v>
      </c>
      <c r="J93" s="146" t="e">
        <f t="shared" si="120"/>
        <v>#DIV/0!</v>
      </c>
      <c r="K93" s="146" t="e">
        <f t="shared" si="120"/>
        <v>#DIV/0!</v>
      </c>
      <c r="L93" s="146" t="e">
        <f t="shared" si="120"/>
        <v>#DIV/0!</v>
      </c>
      <c r="M93" s="146" t="e">
        <f t="shared" si="120"/>
        <v>#DIV/0!</v>
      </c>
      <c r="N93" s="146" t="e">
        <f t="shared" si="120"/>
        <v>#DIV/0!</v>
      </c>
      <c r="O93" s="146" t="e">
        <f t="shared" si="120"/>
        <v>#DIV/0!</v>
      </c>
      <c r="P93" s="146" t="e">
        <f t="shared" si="120"/>
        <v>#DIV/0!</v>
      </c>
      <c r="Q93" s="146" t="e">
        <f t="shared" si="120"/>
        <v>#DIV/0!</v>
      </c>
      <c r="R93" s="146" t="e">
        <f t="shared" si="120"/>
        <v>#DIV/0!</v>
      </c>
      <c r="S93" s="146" t="e">
        <f t="shared" si="120"/>
        <v>#DIV/0!</v>
      </c>
      <c r="T93" s="146" t="e">
        <f t="shared" si="120"/>
        <v>#DIV/0!</v>
      </c>
      <c r="U93" s="146" t="e">
        <f t="shared" si="120"/>
        <v>#DIV/0!</v>
      </c>
      <c r="V93" s="146" t="e">
        <f t="shared" si="120"/>
        <v>#DIV/0!</v>
      </c>
      <c r="W93" s="146" t="e">
        <f t="shared" si="120"/>
        <v>#DIV/0!</v>
      </c>
      <c r="X93" s="146" t="e">
        <f t="shared" si="120"/>
        <v>#DIV/0!</v>
      </c>
      <c r="Y93" s="146" t="e">
        <f t="shared" si="120"/>
        <v>#DIV/0!</v>
      </c>
      <c r="Z93" s="146" t="e">
        <f t="shared" si="120"/>
        <v>#DIV/0!</v>
      </c>
      <c r="AA93" s="146" t="e">
        <f t="shared" si="120"/>
        <v>#DIV/0!</v>
      </c>
      <c r="AB93" s="146" t="e">
        <f t="shared" si="120"/>
        <v>#DIV/0!</v>
      </c>
      <c r="AC93" s="146" t="e">
        <f t="shared" si="120"/>
        <v>#DIV/0!</v>
      </c>
      <c r="AD93" s="146" t="e">
        <f t="shared" si="120"/>
        <v>#DIV/0!</v>
      </c>
      <c r="AE93" s="146" t="e">
        <f t="shared" si="120"/>
        <v>#DIV/0!</v>
      </c>
      <c r="AF93" s="146" t="e">
        <f t="shared" si="120"/>
        <v>#DIV/0!</v>
      </c>
      <c r="AG93" s="146" t="e">
        <f t="shared" si="120"/>
        <v>#DIV/0!</v>
      </c>
      <c r="AH93" s="146" t="e">
        <f t="shared" si="120"/>
        <v>#DIV/0!</v>
      </c>
      <c r="AI93" s="146" t="e">
        <f t="shared" si="120"/>
        <v>#DIV/0!</v>
      </c>
      <c r="AJ93" s="146" t="e">
        <f t="shared" ref="AJ93:AN93" si="121">AJ95+AJ100</f>
        <v>#DIV/0!</v>
      </c>
      <c r="AK93" s="146" t="e">
        <f t="shared" si="121"/>
        <v>#DIV/0!</v>
      </c>
      <c r="AL93" s="146" t="e">
        <f t="shared" si="121"/>
        <v>#DIV/0!</v>
      </c>
      <c r="AM93" s="146" t="e">
        <f t="shared" si="121"/>
        <v>#DIV/0!</v>
      </c>
      <c r="AN93" s="146" t="e">
        <f t="shared" si="121"/>
        <v>#DIV/0!</v>
      </c>
      <c r="AO93" s="453" t="e">
        <f t="shared" ref="AO93" si="122">+SUM(F93:AN93)</f>
        <v>#DIV/0!</v>
      </c>
      <c r="AP93" s="501"/>
      <c r="AQ93"/>
      <c r="AS93" s="28"/>
    </row>
    <row r="94" spans="1:45" ht="15" x14ac:dyDescent="0.25">
      <c r="A94" s="66"/>
      <c r="B94" s="451"/>
      <c r="C94" s="502"/>
      <c r="D94" s="4"/>
      <c r="E94" s="99"/>
      <c r="F94" s="99"/>
      <c r="G94" s="99"/>
      <c r="H94" s="99"/>
      <c r="I94" s="99"/>
      <c r="J94" s="99"/>
      <c r="K94" s="99"/>
      <c r="L94" s="99"/>
      <c r="M94" s="99"/>
      <c r="N94" s="99"/>
      <c r="O94" s="99"/>
      <c r="P94" s="99"/>
      <c r="Q94" s="99"/>
      <c r="R94" s="99"/>
      <c r="S94" s="99"/>
      <c r="T94" s="99"/>
      <c r="U94" s="99"/>
      <c r="V94" s="99"/>
      <c r="W94" s="99"/>
      <c r="X94" s="99"/>
      <c r="Y94" s="99"/>
      <c r="Z94" s="99"/>
      <c r="AA94" s="99"/>
      <c r="AB94" s="99"/>
      <c r="AC94" s="99"/>
      <c r="AD94" s="99"/>
      <c r="AE94" s="99"/>
      <c r="AF94" s="99"/>
      <c r="AG94" s="99"/>
      <c r="AH94" s="99"/>
      <c r="AI94" s="99"/>
      <c r="AJ94" s="99"/>
      <c r="AK94" s="99"/>
      <c r="AL94" s="99"/>
      <c r="AM94" s="99"/>
      <c r="AN94" s="99"/>
      <c r="AO94" s="492"/>
      <c r="AP94" s="14"/>
      <c r="AQ94"/>
      <c r="AS94" s="28"/>
    </row>
    <row r="95" spans="1:45" ht="15" x14ac:dyDescent="0.25">
      <c r="A95" s="66"/>
      <c r="B95" s="451" t="s">
        <v>280</v>
      </c>
      <c r="C95" s="508"/>
      <c r="D95" s="4"/>
      <c r="E95" s="99"/>
      <c r="F95" s="146" t="e">
        <f>SUM(F96:F98)</f>
        <v>#DIV/0!</v>
      </c>
      <c r="G95" s="146" t="e">
        <f t="shared" ref="G95:AI95" si="123">SUM(G96:G98)</f>
        <v>#DIV/0!</v>
      </c>
      <c r="H95" s="146" t="e">
        <f t="shared" si="123"/>
        <v>#DIV/0!</v>
      </c>
      <c r="I95" s="146" t="e">
        <f t="shared" si="123"/>
        <v>#DIV/0!</v>
      </c>
      <c r="J95" s="146" t="e">
        <f t="shared" si="123"/>
        <v>#DIV/0!</v>
      </c>
      <c r="K95" s="146" t="e">
        <f t="shared" si="123"/>
        <v>#DIV/0!</v>
      </c>
      <c r="L95" s="146" t="e">
        <f t="shared" si="123"/>
        <v>#DIV/0!</v>
      </c>
      <c r="M95" s="146" t="e">
        <f t="shared" si="123"/>
        <v>#DIV/0!</v>
      </c>
      <c r="N95" s="146" t="e">
        <f t="shared" si="123"/>
        <v>#DIV/0!</v>
      </c>
      <c r="O95" s="146" t="e">
        <f t="shared" si="123"/>
        <v>#DIV/0!</v>
      </c>
      <c r="P95" s="146" t="e">
        <f t="shared" si="123"/>
        <v>#DIV/0!</v>
      </c>
      <c r="Q95" s="146" t="e">
        <f t="shared" si="123"/>
        <v>#DIV/0!</v>
      </c>
      <c r="R95" s="146" t="e">
        <f t="shared" si="123"/>
        <v>#DIV/0!</v>
      </c>
      <c r="S95" s="146" t="e">
        <f t="shared" si="123"/>
        <v>#DIV/0!</v>
      </c>
      <c r="T95" s="146" t="e">
        <f t="shared" si="123"/>
        <v>#DIV/0!</v>
      </c>
      <c r="U95" s="146" t="e">
        <f t="shared" si="123"/>
        <v>#DIV/0!</v>
      </c>
      <c r="V95" s="146" t="e">
        <f t="shared" si="123"/>
        <v>#DIV/0!</v>
      </c>
      <c r="W95" s="146" t="e">
        <f t="shared" si="123"/>
        <v>#DIV/0!</v>
      </c>
      <c r="X95" s="146" t="e">
        <f t="shared" si="123"/>
        <v>#DIV/0!</v>
      </c>
      <c r="Y95" s="146" t="e">
        <f t="shared" si="123"/>
        <v>#DIV/0!</v>
      </c>
      <c r="Z95" s="146" t="e">
        <f t="shared" si="123"/>
        <v>#DIV/0!</v>
      </c>
      <c r="AA95" s="146" t="e">
        <f t="shared" si="123"/>
        <v>#DIV/0!</v>
      </c>
      <c r="AB95" s="146" t="e">
        <f t="shared" si="123"/>
        <v>#DIV/0!</v>
      </c>
      <c r="AC95" s="146" t="e">
        <f t="shared" si="123"/>
        <v>#DIV/0!</v>
      </c>
      <c r="AD95" s="146" t="e">
        <f t="shared" si="123"/>
        <v>#DIV/0!</v>
      </c>
      <c r="AE95" s="146" t="e">
        <f t="shared" si="123"/>
        <v>#DIV/0!</v>
      </c>
      <c r="AF95" s="146" t="e">
        <f t="shared" si="123"/>
        <v>#DIV/0!</v>
      </c>
      <c r="AG95" s="146" t="e">
        <f t="shared" si="123"/>
        <v>#DIV/0!</v>
      </c>
      <c r="AH95" s="146" t="e">
        <f t="shared" si="123"/>
        <v>#DIV/0!</v>
      </c>
      <c r="AI95" s="146" t="e">
        <f t="shared" si="123"/>
        <v>#DIV/0!</v>
      </c>
      <c r="AJ95" s="146" t="e">
        <f t="shared" ref="AJ95:AN95" si="124">SUM(AJ96:AJ98)</f>
        <v>#DIV/0!</v>
      </c>
      <c r="AK95" s="146" t="e">
        <f t="shared" si="124"/>
        <v>#DIV/0!</v>
      </c>
      <c r="AL95" s="146" t="e">
        <f t="shared" si="124"/>
        <v>#DIV/0!</v>
      </c>
      <c r="AM95" s="146" t="e">
        <f t="shared" si="124"/>
        <v>#DIV/0!</v>
      </c>
      <c r="AN95" s="146" t="e">
        <f t="shared" si="124"/>
        <v>#DIV/0!</v>
      </c>
      <c r="AO95" s="453" t="e">
        <f t="shared" ref="AO95:AO98" si="125">+SUM(F95:AN95)</f>
        <v>#DIV/0!</v>
      </c>
      <c r="AP95" s="501"/>
      <c r="AQ95"/>
      <c r="AS95" s="28"/>
    </row>
    <row r="96" spans="1:45" ht="15" x14ac:dyDescent="0.25">
      <c r="A96"/>
      <c r="B96" s="451" t="s">
        <v>281</v>
      </c>
      <c r="C96" s="509"/>
      <c r="D96" s="4"/>
      <c r="E96" s="99"/>
      <c r="F96" s="146" t="e">
        <f t="shared" ref="F96:AN96" si="126">(F55+F56+F57+F58)*$C$96*0.4</f>
        <v>#DIV/0!</v>
      </c>
      <c r="G96" s="146" t="e">
        <f t="shared" si="126"/>
        <v>#DIV/0!</v>
      </c>
      <c r="H96" s="146" t="e">
        <f t="shared" si="126"/>
        <v>#DIV/0!</v>
      </c>
      <c r="I96" s="146" t="e">
        <f t="shared" si="126"/>
        <v>#DIV/0!</v>
      </c>
      <c r="J96" s="146" t="e">
        <f t="shared" si="126"/>
        <v>#DIV/0!</v>
      </c>
      <c r="K96" s="146" t="e">
        <f t="shared" si="126"/>
        <v>#DIV/0!</v>
      </c>
      <c r="L96" s="146" t="e">
        <f t="shared" si="126"/>
        <v>#DIV/0!</v>
      </c>
      <c r="M96" s="146" t="e">
        <f t="shared" si="126"/>
        <v>#DIV/0!</v>
      </c>
      <c r="N96" s="146" t="e">
        <f t="shared" si="126"/>
        <v>#DIV/0!</v>
      </c>
      <c r="O96" s="146" t="e">
        <f t="shared" si="126"/>
        <v>#DIV/0!</v>
      </c>
      <c r="P96" s="146" t="e">
        <f t="shared" si="126"/>
        <v>#DIV/0!</v>
      </c>
      <c r="Q96" s="146" t="e">
        <f t="shared" si="126"/>
        <v>#DIV/0!</v>
      </c>
      <c r="R96" s="146" t="e">
        <f t="shared" si="126"/>
        <v>#DIV/0!</v>
      </c>
      <c r="S96" s="146" t="e">
        <f t="shared" si="126"/>
        <v>#DIV/0!</v>
      </c>
      <c r="T96" s="146" t="e">
        <f t="shared" si="126"/>
        <v>#DIV/0!</v>
      </c>
      <c r="U96" s="146" t="e">
        <f t="shared" si="126"/>
        <v>#DIV/0!</v>
      </c>
      <c r="V96" s="146" t="e">
        <f t="shared" si="126"/>
        <v>#DIV/0!</v>
      </c>
      <c r="W96" s="146" t="e">
        <f t="shared" si="126"/>
        <v>#DIV/0!</v>
      </c>
      <c r="X96" s="146" t="e">
        <f t="shared" si="126"/>
        <v>#DIV/0!</v>
      </c>
      <c r="Y96" s="146" t="e">
        <f t="shared" si="126"/>
        <v>#DIV/0!</v>
      </c>
      <c r="Z96" s="146" t="e">
        <f t="shared" si="126"/>
        <v>#DIV/0!</v>
      </c>
      <c r="AA96" s="146" t="e">
        <f t="shared" si="126"/>
        <v>#DIV/0!</v>
      </c>
      <c r="AB96" s="146" t="e">
        <f t="shared" si="126"/>
        <v>#DIV/0!</v>
      </c>
      <c r="AC96" s="146" t="e">
        <f t="shared" si="126"/>
        <v>#DIV/0!</v>
      </c>
      <c r="AD96" s="146" t="e">
        <f t="shared" si="126"/>
        <v>#DIV/0!</v>
      </c>
      <c r="AE96" s="146" t="e">
        <f t="shared" si="126"/>
        <v>#DIV/0!</v>
      </c>
      <c r="AF96" s="146" t="e">
        <f t="shared" si="126"/>
        <v>#DIV/0!</v>
      </c>
      <c r="AG96" s="146" t="e">
        <f t="shared" si="126"/>
        <v>#DIV/0!</v>
      </c>
      <c r="AH96" s="146" t="e">
        <f t="shared" si="126"/>
        <v>#DIV/0!</v>
      </c>
      <c r="AI96" s="146" t="e">
        <f t="shared" si="126"/>
        <v>#DIV/0!</v>
      </c>
      <c r="AJ96" s="146" t="e">
        <f t="shared" si="126"/>
        <v>#DIV/0!</v>
      </c>
      <c r="AK96" s="146" t="e">
        <f t="shared" si="126"/>
        <v>#DIV/0!</v>
      </c>
      <c r="AL96" s="146" t="e">
        <f t="shared" si="126"/>
        <v>#DIV/0!</v>
      </c>
      <c r="AM96" s="146" t="e">
        <f t="shared" si="126"/>
        <v>#DIV/0!</v>
      </c>
      <c r="AN96" s="146" t="e">
        <f t="shared" si="126"/>
        <v>#DIV/0!</v>
      </c>
      <c r="AO96" s="453" t="e">
        <f t="shared" si="125"/>
        <v>#DIV/0!</v>
      </c>
      <c r="AP96" s="503"/>
      <c r="AQ96"/>
      <c r="AR96" s="23"/>
      <c r="AS96" s="28"/>
    </row>
    <row r="97" spans="1:45" ht="15" x14ac:dyDescent="0.25">
      <c r="A97"/>
      <c r="B97" s="451" t="s">
        <v>282</v>
      </c>
      <c r="C97" s="509"/>
      <c r="D97" s="4"/>
      <c r="E97" s="99"/>
      <c r="F97" s="146" t="e">
        <f t="shared" ref="F97:AN97" si="127">-(F42+F61+F88)*$C$97</f>
        <v>#DIV/0!</v>
      </c>
      <c r="G97" s="146" t="e">
        <f t="shared" si="127"/>
        <v>#DIV/0!</v>
      </c>
      <c r="H97" s="146" t="e">
        <f t="shared" si="127"/>
        <v>#DIV/0!</v>
      </c>
      <c r="I97" s="146" t="e">
        <f t="shared" si="127"/>
        <v>#DIV/0!</v>
      </c>
      <c r="J97" s="146" t="e">
        <f t="shared" si="127"/>
        <v>#DIV/0!</v>
      </c>
      <c r="K97" s="146" t="e">
        <f t="shared" si="127"/>
        <v>#DIV/0!</v>
      </c>
      <c r="L97" s="146" t="e">
        <f t="shared" si="127"/>
        <v>#DIV/0!</v>
      </c>
      <c r="M97" s="146" t="e">
        <f t="shared" si="127"/>
        <v>#DIV/0!</v>
      </c>
      <c r="N97" s="146" t="e">
        <f t="shared" si="127"/>
        <v>#DIV/0!</v>
      </c>
      <c r="O97" s="146" t="e">
        <f t="shared" si="127"/>
        <v>#DIV/0!</v>
      </c>
      <c r="P97" s="146" t="e">
        <f t="shared" si="127"/>
        <v>#DIV/0!</v>
      </c>
      <c r="Q97" s="146" t="e">
        <f t="shared" si="127"/>
        <v>#DIV/0!</v>
      </c>
      <c r="R97" s="146" t="e">
        <f t="shared" si="127"/>
        <v>#DIV/0!</v>
      </c>
      <c r="S97" s="146" t="e">
        <f t="shared" si="127"/>
        <v>#DIV/0!</v>
      </c>
      <c r="T97" s="146" t="e">
        <f t="shared" si="127"/>
        <v>#DIV/0!</v>
      </c>
      <c r="U97" s="146" t="e">
        <f t="shared" si="127"/>
        <v>#DIV/0!</v>
      </c>
      <c r="V97" s="146" t="e">
        <f t="shared" si="127"/>
        <v>#DIV/0!</v>
      </c>
      <c r="W97" s="146" t="e">
        <f t="shared" si="127"/>
        <v>#DIV/0!</v>
      </c>
      <c r="X97" s="146" t="e">
        <f t="shared" si="127"/>
        <v>#DIV/0!</v>
      </c>
      <c r="Y97" s="146" t="e">
        <f t="shared" si="127"/>
        <v>#DIV/0!</v>
      </c>
      <c r="Z97" s="146" t="e">
        <f t="shared" si="127"/>
        <v>#DIV/0!</v>
      </c>
      <c r="AA97" s="146" t="e">
        <f t="shared" si="127"/>
        <v>#DIV/0!</v>
      </c>
      <c r="AB97" s="146" t="e">
        <f t="shared" si="127"/>
        <v>#DIV/0!</v>
      </c>
      <c r="AC97" s="146" t="e">
        <f t="shared" si="127"/>
        <v>#DIV/0!</v>
      </c>
      <c r="AD97" s="146" t="e">
        <f t="shared" si="127"/>
        <v>#DIV/0!</v>
      </c>
      <c r="AE97" s="146" t="e">
        <f t="shared" si="127"/>
        <v>#DIV/0!</v>
      </c>
      <c r="AF97" s="146" t="e">
        <f t="shared" si="127"/>
        <v>#DIV/0!</v>
      </c>
      <c r="AG97" s="146" t="e">
        <f t="shared" si="127"/>
        <v>#DIV/0!</v>
      </c>
      <c r="AH97" s="146" t="e">
        <f t="shared" si="127"/>
        <v>#DIV/0!</v>
      </c>
      <c r="AI97" s="146" t="e">
        <f t="shared" si="127"/>
        <v>#DIV/0!</v>
      </c>
      <c r="AJ97" s="146" t="e">
        <f t="shared" si="127"/>
        <v>#DIV/0!</v>
      </c>
      <c r="AK97" s="146" t="e">
        <f t="shared" si="127"/>
        <v>#DIV/0!</v>
      </c>
      <c r="AL97" s="146" t="e">
        <f t="shared" si="127"/>
        <v>#DIV/0!</v>
      </c>
      <c r="AM97" s="146" t="e">
        <f t="shared" si="127"/>
        <v>#DIV/0!</v>
      </c>
      <c r="AN97" s="146" t="e">
        <f t="shared" si="127"/>
        <v>#DIV/0!</v>
      </c>
      <c r="AO97" s="453" t="e">
        <f t="shared" si="125"/>
        <v>#DIV/0!</v>
      </c>
      <c r="AP97" s="503"/>
      <c r="AQ97"/>
      <c r="AR97" s="23"/>
      <c r="AS97" s="28"/>
    </row>
    <row r="98" spans="1:45" ht="15" x14ac:dyDescent="0.25">
      <c r="A98"/>
      <c r="B98" s="451" t="s">
        <v>283</v>
      </c>
      <c r="C98" s="509"/>
      <c r="D98" s="4"/>
      <c r="E98" s="99"/>
      <c r="F98" s="146" t="e">
        <f t="shared" ref="F98:AN98" si="128">-(F42+F61+F88)*$C$98</f>
        <v>#DIV/0!</v>
      </c>
      <c r="G98" s="146" t="e">
        <f t="shared" si="128"/>
        <v>#DIV/0!</v>
      </c>
      <c r="H98" s="146" t="e">
        <f t="shared" si="128"/>
        <v>#DIV/0!</v>
      </c>
      <c r="I98" s="146" t="e">
        <f t="shared" si="128"/>
        <v>#DIV/0!</v>
      </c>
      <c r="J98" s="146" t="e">
        <f t="shared" si="128"/>
        <v>#DIV/0!</v>
      </c>
      <c r="K98" s="146" t="e">
        <f t="shared" si="128"/>
        <v>#DIV/0!</v>
      </c>
      <c r="L98" s="146" t="e">
        <f t="shared" si="128"/>
        <v>#DIV/0!</v>
      </c>
      <c r="M98" s="146" t="e">
        <f t="shared" si="128"/>
        <v>#DIV/0!</v>
      </c>
      <c r="N98" s="146" t="e">
        <f t="shared" si="128"/>
        <v>#DIV/0!</v>
      </c>
      <c r="O98" s="146" t="e">
        <f t="shared" si="128"/>
        <v>#DIV/0!</v>
      </c>
      <c r="P98" s="146" t="e">
        <f t="shared" si="128"/>
        <v>#DIV/0!</v>
      </c>
      <c r="Q98" s="146" t="e">
        <f t="shared" si="128"/>
        <v>#DIV/0!</v>
      </c>
      <c r="R98" s="146" t="e">
        <f t="shared" si="128"/>
        <v>#DIV/0!</v>
      </c>
      <c r="S98" s="146" t="e">
        <f t="shared" si="128"/>
        <v>#DIV/0!</v>
      </c>
      <c r="T98" s="146" t="e">
        <f t="shared" si="128"/>
        <v>#DIV/0!</v>
      </c>
      <c r="U98" s="146" t="e">
        <f t="shared" si="128"/>
        <v>#DIV/0!</v>
      </c>
      <c r="V98" s="146" t="e">
        <f t="shared" si="128"/>
        <v>#DIV/0!</v>
      </c>
      <c r="W98" s="146" t="e">
        <f t="shared" si="128"/>
        <v>#DIV/0!</v>
      </c>
      <c r="X98" s="146" t="e">
        <f t="shared" si="128"/>
        <v>#DIV/0!</v>
      </c>
      <c r="Y98" s="146" t="e">
        <f t="shared" si="128"/>
        <v>#DIV/0!</v>
      </c>
      <c r="Z98" s="146" t="e">
        <f t="shared" si="128"/>
        <v>#DIV/0!</v>
      </c>
      <c r="AA98" s="146" t="e">
        <f t="shared" si="128"/>
        <v>#DIV/0!</v>
      </c>
      <c r="AB98" s="146" t="e">
        <f t="shared" si="128"/>
        <v>#DIV/0!</v>
      </c>
      <c r="AC98" s="146" t="e">
        <f t="shared" si="128"/>
        <v>#DIV/0!</v>
      </c>
      <c r="AD98" s="146" t="e">
        <f t="shared" si="128"/>
        <v>#DIV/0!</v>
      </c>
      <c r="AE98" s="146" t="e">
        <f t="shared" si="128"/>
        <v>#DIV/0!</v>
      </c>
      <c r="AF98" s="146" t="e">
        <f t="shared" si="128"/>
        <v>#DIV/0!</v>
      </c>
      <c r="AG98" s="146" t="e">
        <f t="shared" si="128"/>
        <v>#DIV/0!</v>
      </c>
      <c r="AH98" s="146" t="e">
        <f t="shared" si="128"/>
        <v>#DIV/0!</v>
      </c>
      <c r="AI98" s="146" t="e">
        <f t="shared" si="128"/>
        <v>#DIV/0!</v>
      </c>
      <c r="AJ98" s="146" t="e">
        <f t="shared" si="128"/>
        <v>#DIV/0!</v>
      </c>
      <c r="AK98" s="146" t="e">
        <f t="shared" si="128"/>
        <v>#DIV/0!</v>
      </c>
      <c r="AL98" s="146" t="e">
        <f t="shared" si="128"/>
        <v>#DIV/0!</v>
      </c>
      <c r="AM98" s="146" t="e">
        <f t="shared" si="128"/>
        <v>#DIV/0!</v>
      </c>
      <c r="AN98" s="146" t="e">
        <f t="shared" si="128"/>
        <v>#DIV/0!</v>
      </c>
      <c r="AO98" s="453" t="e">
        <f t="shared" si="125"/>
        <v>#DIV/0!</v>
      </c>
      <c r="AP98" s="503"/>
      <c r="AQ98"/>
      <c r="AR98" s="23"/>
      <c r="AS98" s="28"/>
    </row>
    <row r="99" spans="1:45" ht="15" x14ac:dyDescent="0.25">
      <c r="A99" s="66"/>
      <c r="B99" s="451"/>
      <c r="C99" s="508"/>
      <c r="D99" s="4"/>
      <c r="E99" s="99"/>
      <c r="F99" s="99"/>
      <c r="G99" s="99"/>
      <c r="H99" s="99"/>
      <c r="I99" s="99"/>
      <c r="J99" s="99"/>
      <c r="K99" s="99"/>
      <c r="L99" s="99"/>
      <c r="M99" s="99"/>
      <c r="N99" s="99"/>
      <c r="O99" s="99"/>
      <c r="P99" s="99"/>
      <c r="Q99" s="99"/>
      <c r="R99" s="99"/>
      <c r="S99" s="99"/>
      <c r="T99" s="99"/>
      <c r="U99" s="99"/>
      <c r="V99" s="99"/>
      <c r="W99" s="99"/>
      <c r="X99" s="99"/>
      <c r="Y99" s="99"/>
      <c r="Z99" s="99"/>
      <c r="AA99" s="99"/>
      <c r="AB99" s="99"/>
      <c r="AC99" s="99"/>
      <c r="AD99" s="99"/>
      <c r="AE99" s="99"/>
      <c r="AF99" s="99"/>
      <c r="AG99" s="99"/>
      <c r="AH99" s="99"/>
      <c r="AI99" s="99"/>
      <c r="AJ99" s="99"/>
      <c r="AK99" s="99"/>
      <c r="AL99" s="99"/>
      <c r="AM99" s="99"/>
      <c r="AN99" s="99"/>
      <c r="AO99" s="492"/>
      <c r="AP99" s="503"/>
      <c r="AQ99"/>
      <c r="AR99" s="23"/>
      <c r="AS99" s="28"/>
    </row>
    <row r="100" spans="1:45" ht="15" x14ac:dyDescent="0.25">
      <c r="A100" s="66"/>
      <c r="B100" s="451" t="s">
        <v>284</v>
      </c>
      <c r="C100" s="508"/>
      <c r="D100" s="4"/>
      <c r="E100" s="99"/>
      <c r="F100" s="146" t="e">
        <f>SUM(F102:F103)</f>
        <v>#DIV/0!</v>
      </c>
      <c r="G100" s="146" t="e">
        <f t="shared" ref="G100:AI100" si="129">SUM(G102:G103)</f>
        <v>#DIV/0!</v>
      </c>
      <c r="H100" s="146" t="e">
        <f t="shared" si="129"/>
        <v>#DIV/0!</v>
      </c>
      <c r="I100" s="146" t="e">
        <f t="shared" si="129"/>
        <v>#DIV/0!</v>
      </c>
      <c r="J100" s="146" t="e">
        <f t="shared" si="129"/>
        <v>#DIV/0!</v>
      </c>
      <c r="K100" s="146" t="e">
        <f t="shared" si="129"/>
        <v>#DIV/0!</v>
      </c>
      <c r="L100" s="146" t="e">
        <f t="shared" si="129"/>
        <v>#DIV/0!</v>
      </c>
      <c r="M100" s="146" t="e">
        <f t="shared" si="129"/>
        <v>#DIV/0!</v>
      </c>
      <c r="N100" s="146" t="e">
        <f t="shared" si="129"/>
        <v>#DIV/0!</v>
      </c>
      <c r="O100" s="146" t="e">
        <f t="shared" si="129"/>
        <v>#DIV/0!</v>
      </c>
      <c r="P100" s="146" t="e">
        <f t="shared" si="129"/>
        <v>#DIV/0!</v>
      </c>
      <c r="Q100" s="146" t="e">
        <f t="shared" si="129"/>
        <v>#DIV/0!</v>
      </c>
      <c r="R100" s="146" t="e">
        <f t="shared" si="129"/>
        <v>#DIV/0!</v>
      </c>
      <c r="S100" s="146" t="e">
        <f t="shared" si="129"/>
        <v>#DIV/0!</v>
      </c>
      <c r="T100" s="146" t="e">
        <f t="shared" si="129"/>
        <v>#DIV/0!</v>
      </c>
      <c r="U100" s="146" t="e">
        <f t="shared" si="129"/>
        <v>#DIV/0!</v>
      </c>
      <c r="V100" s="146" t="e">
        <f t="shared" si="129"/>
        <v>#DIV/0!</v>
      </c>
      <c r="W100" s="146" t="e">
        <f t="shared" si="129"/>
        <v>#DIV/0!</v>
      </c>
      <c r="X100" s="146" t="e">
        <f t="shared" si="129"/>
        <v>#DIV/0!</v>
      </c>
      <c r="Y100" s="146" t="e">
        <f t="shared" si="129"/>
        <v>#DIV/0!</v>
      </c>
      <c r="Z100" s="146" t="e">
        <f t="shared" si="129"/>
        <v>#DIV/0!</v>
      </c>
      <c r="AA100" s="146" t="e">
        <f t="shared" si="129"/>
        <v>#DIV/0!</v>
      </c>
      <c r="AB100" s="146" t="e">
        <f t="shared" si="129"/>
        <v>#DIV/0!</v>
      </c>
      <c r="AC100" s="146" t="e">
        <f t="shared" si="129"/>
        <v>#DIV/0!</v>
      </c>
      <c r="AD100" s="146" t="e">
        <f t="shared" si="129"/>
        <v>#DIV/0!</v>
      </c>
      <c r="AE100" s="146" t="e">
        <f t="shared" si="129"/>
        <v>#DIV/0!</v>
      </c>
      <c r="AF100" s="146" t="e">
        <f t="shared" si="129"/>
        <v>#DIV/0!</v>
      </c>
      <c r="AG100" s="146" t="e">
        <f t="shared" si="129"/>
        <v>#DIV/0!</v>
      </c>
      <c r="AH100" s="146" t="e">
        <f t="shared" si="129"/>
        <v>#DIV/0!</v>
      </c>
      <c r="AI100" s="146" t="e">
        <f t="shared" si="129"/>
        <v>#DIV/0!</v>
      </c>
      <c r="AJ100" s="146" t="e">
        <f t="shared" ref="AJ100:AN100" si="130">SUM(AJ102:AJ103)</f>
        <v>#DIV/0!</v>
      </c>
      <c r="AK100" s="146" t="e">
        <f t="shared" si="130"/>
        <v>#DIV/0!</v>
      </c>
      <c r="AL100" s="146" t="e">
        <f t="shared" si="130"/>
        <v>#DIV/0!</v>
      </c>
      <c r="AM100" s="146" t="e">
        <f t="shared" si="130"/>
        <v>#DIV/0!</v>
      </c>
      <c r="AN100" s="146" t="e">
        <f t="shared" si="130"/>
        <v>#DIV/0!</v>
      </c>
      <c r="AO100" s="453" t="e">
        <f t="shared" ref="AO100:AO103" si="131">+SUM(F100:AN100)</f>
        <v>#DIV/0!</v>
      </c>
      <c r="AP100" s="501"/>
      <c r="AQ100"/>
      <c r="AR100" s="23"/>
      <c r="AS100" s="28"/>
    </row>
    <row r="101" spans="1:45" ht="15" x14ac:dyDescent="0.25">
      <c r="A101" s="66"/>
      <c r="B101" s="451" t="s">
        <v>285</v>
      </c>
      <c r="C101" s="502"/>
      <c r="D101" s="4"/>
      <c r="E101" s="99"/>
      <c r="F101" s="146" t="e">
        <f t="shared" ref="F101:AI101" si="132">F43+F53+F88+F95</f>
        <v>#DIV/0!</v>
      </c>
      <c r="G101" s="146" t="e">
        <f t="shared" si="132"/>
        <v>#DIV/0!</v>
      </c>
      <c r="H101" s="146" t="e">
        <f t="shared" si="132"/>
        <v>#DIV/0!</v>
      </c>
      <c r="I101" s="146" t="e">
        <f t="shared" si="132"/>
        <v>#DIV/0!</v>
      </c>
      <c r="J101" s="146" t="e">
        <f t="shared" si="132"/>
        <v>#DIV/0!</v>
      </c>
      <c r="K101" s="146" t="e">
        <f t="shared" si="132"/>
        <v>#DIV/0!</v>
      </c>
      <c r="L101" s="146" t="e">
        <f t="shared" si="132"/>
        <v>#DIV/0!</v>
      </c>
      <c r="M101" s="146" t="e">
        <f t="shared" si="132"/>
        <v>#DIV/0!</v>
      </c>
      <c r="N101" s="146" t="e">
        <f t="shared" si="132"/>
        <v>#DIV/0!</v>
      </c>
      <c r="O101" s="146" t="e">
        <f t="shared" si="132"/>
        <v>#DIV/0!</v>
      </c>
      <c r="P101" s="146" t="e">
        <f t="shared" si="132"/>
        <v>#DIV/0!</v>
      </c>
      <c r="Q101" s="146" t="e">
        <f t="shared" si="132"/>
        <v>#DIV/0!</v>
      </c>
      <c r="R101" s="146" t="e">
        <f t="shared" si="132"/>
        <v>#DIV/0!</v>
      </c>
      <c r="S101" s="146" t="e">
        <f t="shared" si="132"/>
        <v>#DIV/0!</v>
      </c>
      <c r="T101" s="146" t="e">
        <f t="shared" si="132"/>
        <v>#DIV/0!</v>
      </c>
      <c r="U101" s="146" t="e">
        <f t="shared" si="132"/>
        <v>#DIV/0!</v>
      </c>
      <c r="V101" s="146" t="e">
        <f t="shared" si="132"/>
        <v>#DIV/0!</v>
      </c>
      <c r="W101" s="146" t="e">
        <f t="shared" si="132"/>
        <v>#DIV/0!</v>
      </c>
      <c r="X101" s="146" t="e">
        <f t="shared" si="132"/>
        <v>#DIV/0!</v>
      </c>
      <c r="Y101" s="146" t="e">
        <f t="shared" si="132"/>
        <v>#DIV/0!</v>
      </c>
      <c r="Z101" s="146" t="e">
        <f t="shared" si="132"/>
        <v>#DIV/0!</v>
      </c>
      <c r="AA101" s="146" t="e">
        <f t="shared" si="132"/>
        <v>#DIV/0!</v>
      </c>
      <c r="AB101" s="146" t="e">
        <f t="shared" si="132"/>
        <v>#DIV/0!</v>
      </c>
      <c r="AC101" s="146" t="e">
        <f t="shared" si="132"/>
        <v>#DIV/0!</v>
      </c>
      <c r="AD101" s="146" t="e">
        <f t="shared" si="132"/>
        <v>#DIV/0!</v>
      </c>
      <c r="AE101" s="146" t="e">
        <f t="shared" si="132"/>
        <v>#DIV/0!</v>
      </c>
      <c r="AF101" s="146" t="e">
        <f t="shared" si="132"/>
        <v>#DIV/0!</v>
      </c>
      <c r="AG101" s="146" t="e">
        <f t="shared" si="132"/>
        <v>#DIV/0!</v>
      </c>
      <c r="AH101" s="146" t="e">
        <f t="shared" si="132"/>
        <v>#DIV/0!</v>
      </c>
      <c r="AI101" s="146" t="e">
        <f t="shared" si="132"/>
        <v>#DIV/0!</v>
      </c>
      <c r="AJ101" s="146" t="e">
        <f t="shared" ref="AJ101:AN101" si="133">AJ43+AJ53+AJ88+AJ95</f>
        <v>#DIV/0!</v>
      </c>
      <c r="AK101" s="146" t="e">
        <f t="shared" si="133"/>
        <v>#DIV/0!</v>
      </c>
      <c r="AL101" s="146" t="e">
        <f t="shared" si="133"/>
        <v>#DIV/0!</v>
      </c>
      <c r="AM101" s="146" t="e">
        <f t="shared" si="133"/>
        <v>#DIV/0!</v>
      </c>
      <c r="AN101" s="146" t="e">
        <f t="shared" si="133"/>
        <v>#DIV/0!</v>
      </c>
      <c r="AO101" s="453" t="e">
        <f t="shared" si="131"/>
        <v>#DIV/0!</v>
      </c>
      <c r="AP101" s="503"/>
      <c r="AQ101" s="71"/>
      <c r="AR101" s="23"/>
      <c r="AS101" s="28"/>
    </row>
    <row r="102" spans="1:45" ht="15" x14ac:dyDescent="0.25">
      <c r="A102"/>
      <c r="B102" s="451" t="s">
        <v>286</v>
      </c>
      <c r="C102" s="509"/>
      <c r="D102" s="4"/>
      <c r="E102" s="99"/>
      <c r="F102" s="146" t="e">
        <f t="shared" ref="F102:AN102" si="134">-IF(F101&lt;=0,0,F101*$C$102)</f>
        <v>#DIV/0!</v>
      </c>
      <c r="G102" s="146" t="e">
        <f t="shared" si="134"/>
        <v>#DIV/0!</v>
      </c>
      <c r="H102" s="146" t="e">
        <f t="shared" si="134"/>
        <v>#DIV/0!</v>
      </c>
      <c r="I102" s="146" t="e">
        <f t="shared" si="134"/>
        <v>#DIV/0!</v>
      </c>
      <c r="J102" s="146" t="e">
        <f t="shared" si="134"/>
        <v>#DIV/0!</v>
      </c>
      <c r="K102" s="146" t="e">
        <f t="shared" si="134"/>
        <v>#DIV/0!</v>
      </c>
      <c r="L102" s="146" t="e">
        <f t="shared" si="134"/>
        <v>#DIV/0!</v>
      </c>
      <c r="M102" s="146" t="e">
        <f t="shared" si="134"/>
        <v>#DIV/0!</v>
      </c>
      <c r="N102" s="146" t="e">
        <f t="shared" si="134"/>
        <v>#DIV/0!</v>
      </c>
      <c r="O102" s="146" t="e">
        <f t="shared" si="134"/>
        <v>#DIV/0!</v>
      </c>
      <c r="P102" s="146" t="e">
        <f t="shared" si="134"/>
        <v>#DIV/0!</v>
      </c>
      <c r="Q102" s="146" t="e">
        <f t="shared" si="134"/>
        <v>#DIV/0!</v>
      </c>
      <c r="R102" s="146" t="e">
        <f t="shared" si="134"/>
        <v>#DIV/0!</v>
      </c>
      <c r="S102" s="146" t="e">
        <f t="shared" si="134"/>
        <v>#DIV/0!</v>
      </c>
      <c r="T102" s="146" t="e">
        <f t="shared" si="134"/>
        <v>#DIV/0!</v>
      </c>
      <c r="U102" s="146" t="e">
        <f t="shared" si="134"/>
        <v>#DIV/0!</v>
      </c>
      <c r="V102" s="146" t="e">
        <f t="shared" si="134"/>
        <v>#DIV/0!</v>
      </c>
      <c r="W102" s="146" t="e">
        <f t="shared" si="134"/>
        <v>#DIV/0!</v>
      </c>
      <c r="X102" s="146" t="e">
        <f t="shared" si="134"/>
        <v>#DIV/0!</v>
      </c>
      <c r="Y102" s="146" t="e">
        <f t="shared" si="134"/>
        <v>#DIV/0!</v>
      </c>
      <c r="Z102" s="146" t="e">
        <f t="shared" si="134"/>
        <v>#DIV/0!</v>
      </c>
      <c r="AA102" s="146" t="e">
        <f t="shared" si="134"/>
        <v>#DIV/0!</v>
      </c>
      <c r="AB102" s="146" t="e">
        <f t="shared" si="134"/>
        <v>#DIV/0!</v>
      </c>
      <c r="AC102" s="146" t="e">
        <f t="shared" si="134"/>
        <v>#DIV/0!</v>
      </c>
      <c r="AD102" s="146" t="e">
        <f t="shared" si="134"/>
        <v>#DIV/0!</v>
      </c>
      <c r="AE102" s="146" t="e">
        <f t="shared" si="134"/>
        <v>#DIV/0!</v>
      </c>
      <c r="AF102" s="146" t="e">
        <f t="shared" si="134"/>
        <v>#DIV/0!</v>
      </c>
      <c r="AG102" s="146" t="e">
        <f t="shared" si="134"/>
        <v>#DIV/0!</v>
      </c>
      <c r="AH102" s="146" t="e">
        <f t="shared" si="134"/>
        <v>#DIV/0!</v>
      </c>
      <c r="AI102" s="146" t="e">
        <f t="shared" si="134"/>
        <v>#DIV/0!</v>
      </c>
      <c r="AJ102" s="146" t="e">
        <f t="shared" si="134"/>
        <v>#DIV/0!</v>
      </c>
      <c r="AK102" s="146" t="e">
        <f t="shared" si="134"/>
        <v>#DIV/0!</v>
      </c>
      <c r="AL102" s="146" t="e">
        <f t="shared" si="134"/>
        <v>#DIV/0!</v>
      </c>
      <c r="AM102" s="146" t="e">
        <f t="shared" si="134"/>
        <v>#DIV/0!</v>
      </c>
      <c r="AN102" s="146" t="e">
        <f t="shared" si="134"/>
        <v>#DIV/0!</v>
      </c>
      <c r="AO102" s="453" t="e">
        <f t="shared" si="131"/>
        <v>#DIV/0!</v>
      </c>
      <c r="AP102" s="503"/>
      <c r="AQ102"/>
      <c r="AR102" s="23"/>
      <c r="AS102" s="28"/>
    </row>
    <row r="103" spans="1:45" ht="15" x14ac:dyDescent="0.25">
      <c r="A103"/>
      <c r="B103" s="451" t="s">
        <v>287</v>
      </c>
      <c r="C103" s="509"/>
      <c r="D103" s="4"/>
      <c r="E103" s="99"/>
      <c r="F103" s="146" t="e">
        <f t="shared" ref="F103:AN103" si="135">-IF(F101&lt;=0,0,IF(F101&lt;=240000,((F101)*$C$103),((F101-240000)*$C$104)))</f>
        <v>#DIV/0!</v>
      </c>
      <c r="G103" s="146" t="e">
        <f t="shared" si="135"/>
        <v>#DIV/0!</v>
      </c>
      <c r="H103" s="146" t="e">
        <f t="shared" si="135"/>
        <v>#DIV/0!</v>
      </c>
      <c r="I103" s="146" t="e">
        <f t="shared" si="135"/>
        <v>#DIV/0!</v>
      </c>
      <c r="J103" s="146" t="e">
        <f t="shared" si="135"/>
        <v>#DIV/0!</v>
      </c>
      <c r="K103" s="146" t="e">
        <f t="shared" si="135"/>
        <v>#DIV/0!</v>
      </c>
      <c r="L103" s="146" t="e">
        <f t="shared" si="135"/>
        <v>#DIV/0!</v>
      </c>
      <c r="M103" s="146" t="e">
        <f t="shared" si="135"/>
        <v>#DIV/0!</v>
      </c>
      <c r="N103" s="146" t="e">
        <f t="shared" si="135"/>
        <v>#DIV/0!</v>
      </c>
      <c r="O103" s="146" t="e">
        <f t="shared" si="135"/>
        <v>#DIV/0!</v>
      </c>
      <c r="P103" s="146" t="e">
        <f t="shared" si="135"/>
        <v>#DIV/0!</v>
      </c>
      <c r="Q103" s="146" t="e">
        <f t="shared" si="135"/>
        <v>#DIV/0!</v>
      </c>
      <c r="R103" s="146" t="e">
        <f t="shared" si="135"/>
        <v>#DIV/0!</v>
      </c>
      <c r="S103" s="146" t="e">
        <f t="shared" si="135"/>
        <v>#DIV/0!</v>
      </c>
      <c r="T103" s="146" t="e">
        <f t="shared" si="135"/>
        <v>#DIV/0!</v>
      </c>
      <c r="U103" s="146" t="e">
        <f t="shared" si="135"/>
        <v>#DIV/0!</v>
      </c>
      <c r="V103" s="146" t="e">
        <f t="shared" si="135"/>
        <v>#DIV/0!</v>
      </c>
      <c r="W103" s="146" t="e">
        <f t="shared" si="135"/>
        <v>#DIV/0!</v>
      </c>
      <c r="X103" s="146" t="e">
        <f t="shared" si="135"/>
        <v>#DIV/0!</v>
      </c>
      <c r="Y103" s="146" t="e">
        <f t="shared" si="135"/>
        <v>#DIV/0!</v>
      </c>
      <c r="Z103" s="146" t="e">
        <f t="shared" si="135"/>
        <v>#DIV/0!</v>
      </c>
      <c r="AA103" s="146" t="e">
        <f t="shared" si="135"/>
        <v>#DIV/0!</v>
      </c>
      <c r="AB103" s="146" t="e">
        <f t="shared" si="135"/>
        <v>#DIV/0!</v>
      </c>
      <c r="AC103" s="146" t="e">
        <f t="shared" si="135"/>
        <v>#DIV/0!</v>
      </c>
      <c r="AD103" s="146" t="e">
        <f t="shared" si="135"/>
        <v>#DIV/0!</v>
      </c>
      <c r="AE103" s="146" t="e">
        <f t="shared" si="135"/>
        <v>#DIV/0!</v>
      </c>
      <c r="AF103" s="146" t="e">
        <f t="shared" si="135"/>
        <v>#DIV/0!</v>
      </c>
      <c r="AG103" s="146" t="e">
        <f t="shared" si="135"/>
        <v>#DIV/0!</v>
      </c>
      <c r="AH103" s="146" t="e">
        <f t="shared" si="135"/>
        <v>#DIV/0!</v>
      </c>
      <c r="AI103" s="146" t="e">
        <f t="shared" si="135"/>
        <v>#DIV/0!</v>
      </c>
      <c r="AJ103" s="146" t="e">
        <f t="shared" si="135"/>
        <v>#DIV/0!</v>
      </c>
      <c r="AK103" s="146" t="e">
        <f t="shared" si="135"/>
        <v>#DIV/0!</v>
      </c>
      <c r="AL103" s="146" t="e">
        <f t="shared" si="135"/>
        <v>#DIV/0!</v>
      </c>
      <c r="AM103" s="146" t="e">
        <f t="shared" si="135"/>
        <v>#DIV/0!</v>
      </c>
      <c r="AN103" s="146" t="e">
        <f t="shared" si="135"/>
        <v>#DIV/0!</v>
      </c>
      <c r="AO103" s="453" t="e">
        <f t="shared" si="131"/>
        <v>#DIV/0!</v>
      </c>
      <c r="AP103" s="503"/>
      <c r="AQ103"/>
      <c r="AR103" s="23"/>
      <c r="AS103" s="28"/>
    </row>
    <row r="104" spans="1:45" ht="15" x14ac:dyDescent="0.25">
      <c r="A104"/>
      <c r="B104" s="451"/>
      <c r="C104" s="509"/>
      <c r="D104" s="4"/>
      <c r="E104" s="99"/>
      <c r="F104" s="99"/>
      <c r="G104" s="99"/>
      <c r="H104" s="99"/>
      <c r="I104" s="99"/>
      <c r="J104" s="99"/>
      <c r="K104" s="99"/>
      <c r="L104" s="99"/>
      <c r="M104" s="99"/>
      <c r="N104" s="99"/>
      <c r="O104" s="99"/>
      <c r="P104" s="99"/>
      <c r="Q104" s="99"/>
      <c r="R104" s="99"/>
      <c r="S104" s="99"/>
      <c r="T104" s="99"/>
      <c r="U104" s="99"/>
      <c r="V104" s="99"/>
      <c r="W104" s="99"/>
      <c r="X104" s="99"/>
      <c r="Y104" s="99"/>
      <c r="Z104" s="99"/>
      <c r="AA104" s="99"/>
      <c r="AB104" s="99"/>
      <c r="AC104" s="99"/>
      <c r="AD104" s="99"/>
      <c r="AE104" s="99"/>
      <c r="AF104" s="99"/>
      <c r="AG104" s="99"/>
      <c r="AH104" s="99"/>
      <c r="AI104" s="99"/>
      <c r="AJ104" s="99"/>
      <c r="AK104" s="99"/>
      <c r="AL104" s="99"/>
      <c r="AM104" s="99"/>
      <c r="AN104" s="99"/>
      <c r="AO104" s="492"/>
      <c r="AP104" s="503"/>
      <c r="AQ104"/>
      <c r="AR104" s="23"/>
      <c r="AS104" s="28"/>
    </row>
    <row r="105" spans="1:45" ht="15" x14ac:dyDescent="0.25">
      <c r="A105" s="66"/>
      <c r="B105" s="451" t="s">
        <v>288</v>
      </c>
      <c r="C105" s="4"/>
      <c r="D105" s="4"/>
      <c r="E105" s="99"/>
      <c r="F105" s="146" t="e">
        <f>IF(F107&lt;0,-F107,0)</f>
        <v>#DIV/0!</v>
      </c>
      <c r="G105" s="146" t="e">
        <f t="shared" ref="G105:AI105" si="136">IF(G107&lt;0,-G107,0)</f>
        <v>#DIV/0!</v>
      </c>
      <c r="H105" s="146" t="e">
        <f>IF(H107&lt;0,-H107,0)</f>
        <v>#DIV/0!</v>
      </c>
      <c r="I105" s="146" t="e">
        <f t="shared" si="136"/>
        <v>#DIV/0!</v>
      </c>
      <c r="J105" s="146" t="e">
        <f t="shared" si="136"/>
        <v>#DIV/0!</v>
      </c>
      <c r="K105" s="146" t="e">
        <f t="shared" si="136"/>
        <v>#DIV/0!</v>
      </c>
      <c r="L105" s="146" t="e">
        <f t="shared" si="136"/>
        <v>#DIV/0!</v>
      </c>
      <c r="M105" s="146" t="e">
        <f t="shared" si="136"/>
        <v>#DIV/0!</v>
      </c>
      <c r="N105" s="146" t="e">
        <f t="shared" si="136"/>
        <v>#DIV/0!</v>
      </c>
      <c r="O105" s="146" t="e">
        <f t="shared" si="136"/>
        <v>#DIV/0!</v>
      </c>
      <c r="P105" s="146" t="e">
        <f t="shared" si="136"/>
        <v>#DIV/0!</v>
      </c>
      <c r="Q105" s="146" t="e">
        <f t="shared" si="136"/>
        <v>#DIV/0!</v>
      </c>
      <c r="R105" s="146" t="e">
        <f t="shared" si="136"/>
        <v>#DIV/0!</v>
      </c>
      <c r="S105" s="146" t="e">
        <f t="shared" si="136"/>
        <v>#DIV/0!</v>
      </c>
      <c r="T105" s="146" t="e">
        <f t="shared" si="136"/>
        <v>#DIV/0!</v>
      </c>
      <c r="U105" s="146" t="e">
        <f t="shared" si="136"/>
        <v>#DIV/0!</v>
      </c>
      <c r="V105" s="146" t="e">
        <f t="shared" si="136"/>
        <v>#DIV/0!</v>
      </c>
      <c r="W105" s="146" t="e">
        <f t="shared" si="136"/>
        <v>#DIV/0!</v>
      </c>
      <c r="X105" s="146" t="e">
        <f t="shared" si="136"/>
        <v>#DIV/0!</v>
      </c>
      <c r="Y105" s="146" t="e">
        <f t="shared" si="136"/>
        <v>#DIV/0!</v>
      </c>
      <c r="Z105" s="146" t="e">
        <f t="shared" si="136"/>
        <v>#DIV/0!</v>
      </c>
      <c r="AA105" s="146" t="e">
        <f t="shared" si="136"/>
        <v>#DIV/0!</v>
      </c>
      <c r="AB105" s="146" t="e">
        <f t="shared" si="136"/>
        <v>#DIV/0!</v>
      </c>
      <c r="AC105" s="146" t="e">
        <f t="shared" si="136"/>
        <v>#DIV/0!</v>
      </c>
      <c r="AD105" s="146" t="e">
        <f t="shared" si="136"/>
        <v>#DIV/0!</v>
      </c>
      <c r="AE105" s="146" t="e">
        <f t="shared" si="136"/>
        <v>#DIV/0!</v>
      </c>
      <c r="AF105" s="146" t="e">
        <f t="shared" si="136"/>
        <v>#DIV/0!</v>
      </c>
      <c r="AG105" s="146" t="e">
        <f t="shared" si="136"/>
        <v>#DIV/0!</v>
      </c>
      <c r="AH105" s="146" t="e">
        <f t="shared" si="136"/>
        <v>#DIV/0!</v>
      </c>
      <c r="AI105" s="146" t="e">
        <f t="shared" si="136"/>
        <v>#DIV/0!</v>
      </c>
      <c r="AJ105" s="146" t="e">
        <f t="shared" ref="AJ105:AN105" si="137">IF(AJ107&lt;0,-AJ107,0)</f>
        <v>#DIV/0!</v>
      </c>
      <c r="AK105" s="146" t="e">
        <f t="shared" si="137"/>
        <v>#DIV/0!</v>
      </c>
      <c r="AL105" s="146" t="e">
        <f t="shared" si="137"/>
        <v>#DIV/0!</v>
      </c>
      <c r="AM105" s="146" t="e">
        <f t="shared" si="137"/>
        <v>#DIV/0!</v>
      </c>
      <c r="AN105" s="146" t="e">
        <f t="shared" si="137"/>
        <v>#DIV/0!</v>
      </c>
      <c r="AO105" s="453" t="e">
        <f t="shared" ref="AO105" si="138">+SUM(F105:AN105)</f>
        <v>#DIV/0!</v>
      </c>
      <c r="AP105" s="501"/>
      <c r="AQ105"/>
      <c r="AR105" s="23"/>
      <c r="AS105" s="28"/>
    </row>
    <row r="106" spans="1:45" ht="15" x14ac:dyDescent="0.25">
      <c r="A106" s="66"/>
      <c r="B106" s="510"/>
      <c r="C106" s="511"/>
      <c r="D106"/>
      <c r="E106" s="71"/>
      <c r="F106" s="71"/>
      <c r="G106" s="71"/>
      <c r="H106" s="71"/>
      <c r="I106" s="71"/>
      <c r="J106" s="71"/>
      <c r="K106" s="71"/>
      <c r="L106" s="71"/>
      <c r="M106" s="71"/>
      <c r="N106" s="71"/>
      <c r="O106" s="71"/>
      <c r="P106" s="71"/>
      <c r="Q106" s="71"/>
      <c r="R106" s="71"/>
      <c r="S106" s="71"/>
      <c r="T106" s="71"/>
      <c r="U106" s="71"/>
      <c r="V106" s="71"/>
      <c r="W106" s="71"/>
      <c r="X106" s="71"/>
      <c r="Y106" s="71"/>
      <c r="Z106" s="71"/>
      <c r="AA106" s="71"/>
      <c r="AB106" s="71"/>
      <c r="AC106" s="71"/>
      <c r="AD106" s="71"/>
      <c r="AE106" s="71"/>
      <c r="AF106" s="71"/>
      <c r="AG106" s="71"/>
      <c r="AH106" s="71"/>
      <c r="AI106" s="71"/>
      <c r="AJ106" s="71"/>
      <c r="AK106" s="71"/>
      <c r="AL106" s="71"/>
      <c r="AM106" s="71"/>
      <c r="AN106" s="71"/>
      <c r="AO106" s="512"/>
      <c r="AP106" s="71"/>
      <c r="AQ106" s="71"/>
      <c r="AR106" s="23"/>
      <c r="AS106" s="28"/>
    </row>
    <row r="107" spans="1:45" ht="15" x14ac:dyDescent="0.25">
      <c r="A107" s="66"/>
      <c r="B107" s="513" t="s">
        <v>24</v>
      </c>
      <c r="C107" s="514"/>
      <c r="D107" s="515" t="e">
        <f>MATCH(0,F107:AN107,1)+1</f>
        <v>#N/A</v>
      </c>
      <c r="E107" s="513"/>
      <c r="F107" s="516" t="e">
        <f>F43+F48+F53+F93</f>
        <v>#DIV/0!</v>
      </c>
      <c r="G107" s="516" t="e">
        <f t="shared" ref="G107:AN107" si="139">G43+G48+G53+G93</f>
        <v>#DIV/0!</v>
      </c>
      <c r="H107" s="516" t="e">
        <f t="shared" si="139"/>
        <v>#DIV/0!</v>
      </c>
      <c r="I107" s="516" t="e">
        <f t="shared" si="139"/>
        <v>#DIV/0!</v>
      </c>
      <c r="J107" s="516" t="e">
        <f t="shared" si="139"/>
        <v>#DIV/0!</v>
      </c>
      <c r="K107" s="516" t="e">
        <f t="shared" si="139"/>
        <v>#DIV/0!</v>
      </c>
      <c r="L107" s="516" t="e">
        <f t="shared" si="139"/>
        <v>#DIV/0!</v>
      </c>
      <c r="M107" s="516" t="e">
        <f t="shared" si="139"/>
        <v>#DIV/0!</v>
      </c>
      <c r="N107" s="516" t="e">
        <f t="shared" si="139"/>
        <v>#DIV/0!</v>
      </c>
      <c r="O107" s="516" t="e">
        <f t="shared" si="139"/>
        <v>#DIV/0!</v>
      </c>
      <c r="P107" s="516" t="e">
        <f t="shared" si="139"/>
        <v>#DIV/0!</v>
      </c>
      <c r="Q107" s="516" t="e">
        <f t="shared" si="139"/>
        <v>#DIV/0!</v>
      </c>
      <c r="R107" s="516" t="e">
        <f t="shared" si="139"/>
        <v>#DIV/0!</v>
      </c>
      <c r="S107" s="516" t="e">
        <f t="shared" si="139"/>
        <v>#DIV/0!</v>
      </c>
      <c r="T107" s="516" t="e">
        <f t="shared" si="139"/>
        <v>#DIV/0!</v>
      </c>
      <c r="U107" s="516" t="e">
        <f t="shared" si="139"/>
        <v>#DIV/0!</v>
      </c>
      <c r="V107" s="516" t="e">
        <f t="shared" si="139"/>
        <v>#DIV/0!</v>
      </c>
      <c r="W107" s="516" t="e">
        <f t="shared" si="139"/>
        <v>#DIV/0!</v>
      </c>
      <c r="X107" s="516" t="e">
        <f t="shared" si="139"/>
        <v>#DIV/0!</v>
      </c>
      <c r="Y107" s="516" t="e">
        <f t="shared" si="139"/>
        <v>#DIV/0!</v>
      </c>
      <c r="Z107" s="516" t="e">
        <f t="shared" si="139"/>
        <v>#DIV/0!</v>
      </c>
      <c r="AA107" s="516" t="e">
        <f t="shared" si="139"/>
        <v>#DIV/0!</v>
      </c>
      <c r="AB107" s="516" t="e">
        <f t="shared" si="139"/>
        <v>#DIV/0!</v>
      </c>
      <c r="AC107" s="516" t="e">
        <f t="shared" si="139"/>
        <v>#DIV/0!</v>
      </c>
      <c r="AD107" s="516" t="e">
        <f t="shared" si="139"/>
        <v>#DIV/0!</v>
      </c>
      <c r="AE107" s="516" t="e">
        <f t="shared" si="139"/>
        <v>#DIV/0!</v>
      </c>
      <c r="AF107" s="516" t="e">
        <f t="shared" si="139"/>
        <v>#DIV/0!</v>
      </c>
      <c r="AG107" s="516" t="e">
        <f t="shared" si="139"/>
        <v>#DIV/0!</v>
      </c>
      <c r="AH107" s="516" t="e">
        <f t="shared" si="139"/>
        <v>#DIV/0!</v>
      </c>
      <c r="AI107" s="516" t="e">
        <f t="shared" si="139"/>
        <v>#DIV/0!</v>
      </c>
      <c r="AJ107" s="516" t="e">
        <f t="shared" si="139"/>
        <v>#DIV/0!</v>
      </c>
      <c r="AK107" s="516" t="e">
        <f t="shared" si="139"/>
        <v>#DIV/0!</v>
      </c>
      <c r="AL107" s="516" t="e">
        <f t="shared" si="139"/>
        <v>#DIV/0!</v>
      </c>
      <c r="AM107" s="516" t="e">
        <f t="shared" si="139"/>
        <v>#DIV/0!</v>
      </c>
      <c r="AN107" s="516" t="e">
        <f t="shared" si="139"/>
        <v>#DIV/0!</v>
      </c>
      <c r="AO107" s="516" t="e">
        <f>+SUM(F107:AN107)</f>
        <v>#DIV/0!</v>
      </c>
      <c r="AP107" s="71"/>
      <c r="AQ107" s="2"/>
      <c r="AR107" s="23"/>
      <c r="AS107" s="28"/>
    </row>
    <row r="108" spans="1:45" ht="15" x14ac:dyDescent="0.25">
      <c r="A108" s="66"/>
      <c r="B108" s="517" t="s">
        <v>25</v>
      </c>
      <c r="C108" s="517"/>
      <c r="D108" s="518" t="e">
        <f>MATCH(0,F108:AN108,1)+1</f>
        <v>#N/A</v>
      </c>
      <c r="E108" s="517"/>
      <c r="F108" s="519" t="e">
        <f>F107</f>
        <v>#DIV/0!</v>
      </c>
      <c r="G108" s="519" t="e">
        <f>F108+G107</f>
        <v>#DIV/0!</v>
      </c>
      <c r="H108" s="519" t="e">
        <f t="shared" ref="H108:AI108" si="140">G108+H107</f>
        <v>#DIV/0!</v>
      </c>
      <c r="I108" s="519" t="e">
        <f t="shared" si="140"/>
        <v>#DIV/0!</v>
      </c>
      <c r="J108" s="519" t="e">
        <f>I108+J107</f>
        <v>#DIV/0!</v>
      </c>
      <c r="K108" s="519" t="e">
        <f>J108+K107</f>
        <v>#DIV/0!</v>
      </c>
      <c r="L108" s="519" t="e">
        <f t="shared" si="140"/>
        <v>#DIV/0!</v>
      </c>
      <c r="M108" s="519" t="e">
        <f t="shared" si="140"/>
        <v>#DIV/0!</v>
      </c>
      <c r="N108" s="519" t="e">
        <f t="shared" si="140"/>
        <v>#DIV/0!</v>
      </c>
      <c r="O108" s="519" t="e">
        <f t="shared" si="140"/>
        <v>#DIV/0!</v>
      </c>
      <c r="P108" s="519" t="e">
        <f t="shared" si="140"/>
        <v>#DIV/0!</v>
      </c>
      <c r="Q108" s="519" t="e">
        <f t="shared" si="140"/>
        <v>#DIV/0!</v>
      </c>
      <c r="R108" s="519" t="e">
        <f t="shared" si="140"/>
        <v>#DIV/0!</v>
      </c>
      <c r="S108" s="519" t="e">
        <f t="shared" si="140"/>
        <v>#DIV/0!</v>
      </c>
      <c r="T108" s="519" t="e">
        <f t="shared" si="140"/>
        <v>#DIV/0!</v>
      </c>
      <c r="U108" s="519" t="e">
        <f t="shared" si="140"/>
        <v>#DIV/0!</v>
      </c>
      <c r="V108" s="519" t="e">
        <f t="shared" si="140"/>
        <v>#DIV/0!</v>
      </c>
      <c r="W108" s="519" t="e">
        <f t="shared" si="140"/>
        <v>#DIV/0!</v>
      </c>
      <c r="X108" s="519" t="e">
        <f t="shared" si="140"/>
        <v>#DIV/0!</v>
      </c>
      <c r="Y108" s="519" t="e">
        <f t="shared" si="140"/>
        <v>#DIV/0!</v>
      </c>
      <c r="Z108" s="519" t="e">
        <f t="shared" si="140"/>
        <v>#DIV/0!</v>
      </c>
      <c r="AA108" s="519" t="e">
        <f t="shared" si="140"/>
        <v>#DIV/0!</v>
      </c>
      <c r="AB108" s="519" t="e">
        <f t="shared" si="140"/>
        <v>#DIV/0!</v>
      </c>
      <c r="AC108" s="519" t="e">
        <f t="shared" si="140"/>
        <v>#DIV/0!</v>
      </c>
      <c r="AD108" s="519" t="e">
        <f t="shared" si="140"/>
        <v>#DIV/0!</v>
      </c>
      <c r="AE108" s="519" t="e">
        <f t="shared" si="140"/>
        <v>#DIV/0!</v>
      </c>
      <c r="AF108" s="519" t="e">
        <f t="shared" si="140"/>
        <v>#DIV/0!</v>
      </c>
      <c r="AG108" s="519" t="e">
        <f t="shared" si="140"/>
        <v>#DIV/0!</v>
      </c>
      <c r="AH108" s="519" t="e">
        <f t="shared" si="140"/>
        <v>#DIV/0!</v>
      </c>
      <c r="AI108" s="519" t="e">
        <f t="shared" si="140"/>
        <v>#DIV/0!</v>
      </c>
      <c r="AJ108" s="519" t="e">
        <f t="shared" ref="AJ108" si="141">AI108+AJ107</f>
        <v>#DIV/0!</v>
      </c>
      <c r="AK108" s="519" t="e">
        <f t="shared" ref="AK108" si="142">AJ108+AK107</f>
        <v>#DIV/0!</v>
      </c>
      <c r="AL108" s="519" t="e">
        <f t="shared" ref="AL108" si="143">AK108+AL107</f>
        <v>#DIV/0!</v>
      </c>
      <c r="AM108" s="519" t="e">
        <f t="shared" ref="AM108" si="144">AL108+AM107</f>
        <v>#DIV/0!</v>
      </c>
      <c r="AN108" s="519" t="e">
        <f t="shared" ref="AN108" si="145">AM108+AN107</f>
        <v>#DIV/0!</v>
      </c>
      <c r="AO108" s="520"/>
      <c r="AP108" s="71"/>
      <c r="AQ108" s="2"/>
      <c r="AR108" s="23"/>
      <c r="AS108" s="28"/>
    </row>
    <row r="109" spans="1:45" ht="15" x14ac:dyDescent="0.25">
      <c r="A109" s="66"/>
      <c r="B109" s="517" t="s">
        <v>111</v>
      </c>
      <c r="C109" s="517"/>
      <c r="D109" s="518" t="e">
        <f ca="1">MATCH(0,F109:AN109,1)+1</f>
        <v>#N/A</v>
      </c>
      <c r="E109" s="517"/>
      <c r="F109" s="519" t="e">
        <f ca="1">F107/(1+$D$4)^Cronograma!C1</f>
        <v>#DIV/0!</v>
      </c>
      <c r="G109" s="519" t="e">
        <f ca="1">G107/(1+$D$4)^Cronograma!D1</f>
        <v>#DIV/0!</v>
      </c>
      <c r="H109" s="519" t="e">
        <f ca="1">H107/(1+$D$4)^Cronograma!E1</f>
        <v>#DIV/0!</v>
      </c>
      <c r="I109" s="519" t="e">
        <f ca="1">I107/(1+$D$4)^Cronograma!F1</f>
        <v>#DIV/0!</v>
      </c>
      <c r="J109" s="519" t="e">
        <f ca="1">J107/(1+$D$4)^Cronograma!G1</f>
        <v>#DIV/0!</v>
      </c>
      <c r="K109" s="519" t="e">
        <f ca="1">K107/(1+$D$4)^Cronograma!H1</f>
        <v>#DIV/0!</v>
      </c>
      <c r="L109" s="519" t="e">
        <f ca="1">L107/(1+$D$4)^Cronograma!I1</f>
        <v>#DIV/0!</v>
      </c>
      <c r="M109" s="519" t="e">
        <f ca="1">M107/(1+$D$4)^Cronograma!J1</f>
        <v>#DIV/0!</v>
      </c>
      <c r="N109" s="519" t="e">
        <f ca="1">N107/(1+$D$4)^Cronograma!K1</f>
        <v>#DIV/0!</v>
      </c>
      <c r="O109" s="519" t="e">
        <f ca="1">O107/(1+$D$4)^Cronograma!L1</f>
        <v>#DIV/0!</v>
      </c>
      <c r="P109" s="519" t="e">
        <f ca="1">P107/(1+$D$4)^Cronograma!M1</f>
        <v>#DIV/0!</v>
      </c>
      <c r="Q109" s="519" t="e">
        <f ca="1">Q107/(1+$D$4)^Cronograma!N1</f>
        <v>#DIV/0!</v>
      </c>
      <c r="R109" s="519" t="e">
        <f ca="1">R107/(1+$D$4)^Cronograma!O1</f>
        <v>#DIV/0!</v>
      </c>
      <c r="S109" s="519" t="e">
        <f ca="1">S107/(1+$D$4)^Cronograma!P1</f>
        <v>#DIV/0!</v>
      </c>
      <c r="T109" s="519" t="e">
        <f ca="1">T107/(1+$D$4)^Cronograma!Q1</f>
        <v>#DIV/0!</v>
      </c>
      <c r="U109" s="519" t="e">
        <f ca="1">U107/(1+$D$4)^Cronograma!R1</f>
        <v>#DIV/0!</v>
      </c>
      <c r="V109" s="519" t="e">
        <f ca="1">V107/(1+$D$4)^Cronograma!S1</f>
        <v>#DIV/0!</v>
      </c>
      <c r="W109" s="519" t="e">
        <f ca="1">W107/(1+$D$4)^Cronograma!T1</f>
        <v>#DIV/0!</v>
      </c>
      <c r="X109" s="519" t="e">
        <f ca="1">X107/(1+$D$4)^Cronograma!U1</f>
        <v>#DIV/0!</v>
      </c>
      <c r="Y109" s="519" t="e">
        <f ca="1">Y107/(1+$D$4)^Cronograma!V1</f>
        <v>#DIV/0!</v>
      </c>
      <c r="Z109" s="519" t="e">
        <f ca="1">Z107/(1+$D$4)^Cronograma!W1</f>
        <v>#DIV/0!</v>
      </c>
      <c r="AA109" s="519" t="e">
        <f ca="1">AA107/(1+$D$4)^Cronograma!X1</f>
        <v>#DIV/0!</v>
      </c>
      <c r="AB109" s="519" t="e">
        <f ca="1">AB107/(1+$D$4)^Cronograma!Y1</f>
        <v>#DIV/0!</v>
      </c>
      <c r="AC109" s="519" t="e">
        <f ca="1">AC107/(1+$D$4)^Cronograma!Z1</f>
        <v>#DIV/0!</v>
      </c>
      <c r="AD109" s="519" t="e">
        <f ca="1">AD107/(1+$D$4)^Cronograma!AA1</f>
        <v>#DIV/0!</v>
      </c>
      <c r="AE109" s="519" t="e">
        <f ca="1">AE107/(1+$D$4)^Cronograma!AB1</f>
        <v>#DIV/0!</v>
      </c>
      <c r="AF109" s="519" t="e">
        <f ca="1">AF107/(1+$D$4)^Cronograma!AC1</f>
        <v>#DIV/0!</v>
      </c>
      <c r="AG109" s="519" t="e">
        <f ca="1">AG107/(1+$D$4)^Cronograma!AD1</f>
        <v>#DIV/0!</v>
      </c>
      <c r="AH109" s="519" t="e">
        <f ca="1">AH107/(1+$D$4)^Cronograma!AE1</f>
        <v>#DIV/0!</v>
      </c>
      <c r="AI109" s="519" t="e">
        <f ca="1">AI107/(1+$D$4)^Cronograma!AF1</f>
        <v>#DIV/0!</v>
      </c>
      <c r="AJ109" s="519" t="e">
        <f ca="1">AJ107/(1+$D$4)^Cronograma!AG1</f>
        <v>#DIV/0!</v>
      </c>
      <c r="AK109" s="519" t="e">
        <f ca="1">AK107/(1+$D$4)^Cronograma!AH1</f>
        <v>#DIV/0!</v>
      </c>
      <c r="AL109" s="519" t="e">
        <f ca="1">AL107/(1+$D$4)^Cronograma!AI1</f>
        <v>#DIV/0!</v>
      </c>
      <c r="AM109" s="519" t="e">
        <f ca="1">AM107/(1+$D$4)^Cronograma!AJ1</f>
        <v>#DIV/0!</v>
      </c>
      <c r="AN109" s="519" t="e">
        <f ca="1">AN107/(1+$D$4)^Cronograma!AK1</f>
        <v>#DIV/0!</v>
      </c>
      <c r="AO109" s="516" t="e">
        <f ca="1">+SUM(F109:AN109)</f>
        <v>#DIV/0!</v>
      </c>
      <c r="AP109" s="521"/>
      <c r="AQ109" s="521"/>
      <c r="AR109" s="34"/>
      <c r="AS109" s="28"/>
    </row>
    <row r="110" spans="1:45" ht="15" x14ac:dyDescent="0.25">
      <c r="A110"/>
      <c r="B110" s="517" t="s">
        <v>112</v>
      </c>
      <c r="C110" s="517"/>
      <c r="D110" s="518">
        <f>IF(AO110&lt;=0,35,MATCH(0,F110:AN110,1))</f>
        <v>35</v>
      </c>
      <c r="E110" s="517"/>
      <c r="F110" s="519" t="e">
        <f ca="1">F109</f>
        <v>#DIV/0!</v>
      </c>
      <c r="G110" s="519" t="e">
        <f t="shared" ref="G110:AI110" ca="1" si="146">F110+G109</f>
        <v>#DIV/0!</v>
      </c>
      <c r="H110" s="519" t="e">
        <f t="shared" ca="1" si="146"/>
        <v>#DIV/0!</v>
      </c>
      <c r="I110" s="519" t="e">
        <f t="shared" ca="1" si="146"/>
        <v>#DIV/0!</v>
      </c>
      <c r="J110" s="519" t="e">
        <f t="shared" ca="1" si="146"/>
        <v>#DIV/0!</v>
      </c>
      <c r="K110" s="519" t="e">
        <f t="shared" ca="1" si="146"/>
        <v>#DIV/0!</v>
      </c>
      <c r="L110" s="519" t="e">
        <f t="shared" ca="1" si="146"/>
        <v>#DIV/0!</v>
      </c>
      <c r="M110" s="519" t="e">
        <f t="shared" ca="1" si="146"/>
        <v>#DIV/0!</v>
      </c>
      <c r="N110" s="519" t="e">
        <f t="shared" ca="1" si="146"/>
        <v>#DIV/0!</v>
      </c>
      <c r="O110" s="519" t="e">
        <f t="shared" ca="1" si="146"/>
        <v>#DIV/0!</v>
      </c>
      <c r="P110" s="519" t="e">
        <f t="shared" ca="1" si="146"/>
        <v>#DIV/0!</v>
      </c>
      <c r="Q110" s="519" t="e">
        <f t="shared" ca="1" si="146"/>
        <v>#DIV/0!</v>
      </c>
      <c r="R110" s="519" t="e">
        <f t="shared" ca="1" si="146"/>
        <v>#DIV/0!</v>
      </c>
      <c r="S110" s="519" t="e">
        <f t="shared" ca="1" si="146"/>
        <v>#DIV/0!</v>
      </c>
      <c r="T110" s="519" t="e">
        <f t="shared" ca="1" si="146"/>
        <v>#DIV/0!</v>
      </c>
      <c r="U110" s="519" t="e">
        <f t="shared" ca="1" si="146"/>
        <v>#DIV/0!</v>
      </c>
      <c r="V110" s="519" t="e">
        <f t="shared" ca="1" si="146"/>
        <v>#DIV/0!</v>
      </c>
      <c r="W110" s="519" t="e">
        <f t="shared" ca="1" si="146"/>
        <v>#DIV/0!</v>
      </c>
      <c r="X110" s="519" t="e">
        <f t="shared" ca="1" si="146"/>
        <v>#DIV/0!</v>
      </c>
      <c r="Y110" s="519" t="e">
        <f t="shared" ca="1" si="146"/>
        <v>#DIV/0!</v>
      </c>
      <c r="Z110" s="519" t="e">
        <f t="shared" ca="1" si="146"/>
        <v>#DIV/0!</v>
      </c>
      <c r="AA110" s="519" t="e">
        <f t="shared" ca="1" si="146"/>
        <v>#DIV/0!</v>
      </c>
      <c r="AB110" s="519" t="e">
        <f t="shared" ca="1" si="146"/>
        <v>#DIV/0!</v>
      </c>
      <c r="AC110" s="519" t="e">
        <f t="shared" ca="1" si="146"/>
        <v>#DIV/0!</v>
      </c>
      <c r="AD110" s="519" t="e">
        <f t="shared" ca="1" si="146"/>
        <v>#DIV/0!</v>
      </c>
      <c r="AE110" s="519" t="e">
        <f t="shared" ca="1" si="146"/>
        <v>#DIV/0!</v>
      </c>
      <c r="AF110" s="519" t="e">
        <f t="shared" ca="1" si="146"/>
        <v>#DIV/0!</v>
      </c>
      <c r="AG110" s="519" t="e">
        <f t="shared" ca="1" si="146"/>
        <v>#DIV/0!</v>
      </c>
      <c r="AH110" s="519" t="e">
        <f t="shared" ca="1" si="146"/>
        <v>#DIV/0!</v>
      </c>
      <c r="AI110" s="519" t="e">
        <f t="shared" ca="1" si="146"/>
        <v>#DIV/0!</v>
      </c>
      <c r="AJ110" s="519" t="e">
        <f t="shared" ref="AJ110" ca="1" si="147">AI110+AJ109</f>
        <v>#DIV/0!</v>
      </c>
      <c r="AK110" s="519" t="e">
        <f t="shared" ref="AK110" ca="1" si="148">AJ110+AK109</f>
        <v>#DIV/0!</v>
      </c>
      <c r="AL110" s="519" t="e">
        <f t="shared" ref="AL110" ca="1" si="149">AK110+AL109</f>
        <v>#DIV/0!</v>
      </c>
      <c r="AM110" s="519" t="e">
        <f t="shared" ref="AM110" ca="1" si="150">AL110+AM109</f>
        <v>#DIV/0!</v>
      </c>
      <c r="AN110" s="519" t="e">
        <f t="shared" ref="AN110" ca="1" si="151">AM110+AN109</f>
        <v>#DIV/0!</v>
      </c>
      <c r="AO110" s="516"/>
      <c r="AP110"/>
      <c r="AQ110"/>
    </row>
    <row r="111" spans="1:45" ht="15" x14ac:dyDescent="0.25">
      <c r="A111"/>
      <c r="B111"/>
      <c r="C111" s="38"/>
      <c r="D111"/>
      <c r="E111"/>
      <c r="F111"/>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row>
    <row r="112" spans="1:45" ht="15" x14ac:dyDescent="0.25">
      <c r="A112"/>
      <c r="B112"/>
      <c r="C112"/>
      <c r="D112"/>
      <c r="E112"/>
      <c r="F112"/>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row>
    <row r="113" spans="1:44" ht="15" x14ac:dyDescent="0.25">
      <c r="A113"/>
      <c r="B113"/>
      <c r="C113"/>
      <c r="D113"/>
      <c r="E113"/>
      <c r="F113"/>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row>
    <row r="114" spans="1:44" ht="15" x14ac:dyDescent="0.25">
      <c r="A114"/>
      <c r="B114"/>
      <c r="C114"/>
      <c r="D114"/>
      <c r="E114"/>
      <c r="F114"/>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s="77"/>
      <c r="AQ114" s="77"/>
      <c r="AR114" s="26"/>
    </row>
    <row r="115" spans="1:44" ht="15" x14ac:dyDescent="0.25">
      <c r="A115"/>
      <c r="B115"/>
      <c r="C115"/>
      <c r="D115"/>
      <c r="E115"/>
      <c r="F115"/>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s="77"/>
      <c r="AQ115" s="77"/>
      <c r="AR115" s="26"/>
    </row>
    <row r="116" spans="1:44" ht="15" x14ac:dyDescent="0.25">
      <c r="A116"/>
      <c r="B116"/>
      <c r="C116"/>
      <c r="D116"/>
      <c r="E116"/>
      <c r="F116"/>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s="77"/>
      <c r="AQ116" s="77"/>
      <c r="AR116" s="26"/>
    </row>
    <row r="117" spans="1:44" ht="15" x14ac:dyDescent="0.25">
      <c r="A117"/>
      <c r="B117"/>
      <c r="C117"/>
      <c r="D117"/>
      <c r="E117"/>
      <c r="F117"/>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row>
    <row r="118" spans="1:44" ht="15" x14ac:dyDescent="0.25">
      <c r="A118"/>
      <c r="B118"/>
      <c r="C118"/>
      <c r="D118"/>
      <c r="E118"/>
      <c r="F118"/>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row>
    <row r="119" spans="1:44" ht="15" x14ac:dyDescent="0.25">
      <c r="A119"/>
      <c r="B119"/>
      <c r="C119"/>
      <c r="D119"/>
      <c r="E119"/>
      <c r="F119"/>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row>
    <row r="120" spans="1:44" ht="15" x14ac:dyDescent="0.25">
      <c r="A120"/>
      <c r="B120"/>
      <c r="C120"/>
      <c r="D120"/>
      <c r="E120"/>
      <c r="F120"/>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row>
    <row r="121" spans="1:44" ht="15" x14ac:dyDescent="0.25">
      <c r="A121"/>
      <c r="B121"/>
      <c r="C121"/>
      <c r="D121"/>
      <c r="E121"/>
      <c r="F121"/>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row>
    <row r="122" spans="1:44" ht="15" x14ac:dyDescent="0.25">
      <c r="A122"/>
      <c r="B122"/>
      <c r="C122"/>
      <c r="D122"/>
      <c r="E122"/>
      <c r="F122"/>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row>
    <row r="123" spans="1:44" ht="15" x14ac:dyDescent="0.25">
      <c r="A123"/>
      <c r="B123"/>
      <c r="C123"/>
      <c r="D123"/>
      <c r="E123"/>
      <c r="F123"/>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row>
    <row r="124" spans="1:44" ht="15" x14ac:dyDescent="0.25">
      <c r="A124"/>
      <c r="B124"/>
      <c r="C124"/>
      <c r="D124"/>
      <c r="E124"/>
      <c r="F124"/>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row>
    <row r="125" spans="1:44" ht="15" x14ac:dyDescent="0.25">
      <c r="A125"/>
      <c r="B125"/>
      <c r="C125"/>
      <c r="D125"/>
      <c r="E125"/>
      <c r="F125"/>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row>
    <row r="126" spans="1:44" ht="15" x14ac:dyDescent="0.25">
      <c r="A126"/>
      <c r="B126"/>
      <c r="C126"/>
      <c r="D126"/>
      <c r="E126"/>
      <c r="F126"/>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row>
    <row r="127" spans="1:44" ht="15" x14ac:dyDescent="0.25">
      <c r="A127"/>
      <c r="B127"/>
      <c r="C127"/>
      <c r="D127"/>
      <c r="E127"/>
      <c r="F127"/>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row>
    <row r="128" spans="1:44" ht="15" x14ac:dyDescent="0.25">
      <c r="A128"/>
      <c r="B128"/>
      <c r="C128"/>
      <c r="D128"/>
      <c r="E128"/>
      <c r="F128"/>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row>
    <row r="129" spans="1:43" ht="15" x14ac:dyDescent="0.25">
      <c r="A129"/>
      <c r="B129"/>
      <c r="C129"/>
      <c r="D129"/>
      <c r="E129"/>
      <c r="F129"/>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row>
    <row r="130" spans="1:43" ht="15" x14ac:dyDescent="0.25">
      <c r="A130"/>
      <c r="B130"/>
      <c r="C130"/>
      <c r="D130"/>
      <c r="E130"/>
      <c r="F130"/>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row>
    <row r="131" spans="1:43" ht="15" x14ac:dyDescent="0.25">
      <c r="A131"/>
      <c r="B131"/>
      <c r="C131"/>
      <c r="D131"/>
      <c r="E131"/>
      <c r="F131"/>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row>
    <row r="132" spans="1:43" ht="15" x14ac:dyDescent="0.25">
      <c r="A132"/>
      <c r="B132"/>
      <c r="C132"/>
      <c r="D132"/>
      <c r="E132"/>
      <c r="F132"/>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row>
    <row r="133" spans="1:43" ht="15" x14ac:dyDescent="0.25">
      <c r="A133"/>
      <c r="B133"/>
      <c r="C133"/>
      <c r="D133"/>
      <c r="E133"/>
      <c r="F133"/>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row>
    <row r="134" spans="1:43" ht="15" x14ac:dyDescent="0.25">
      <c r="A134"/>
      <c r="B134"/>
      <c r="C134"/>
      <c r="D134"/>
      <c r="E134"/>
      <c r="F134"/>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row>
    <row r="135" spans="1:43" ht="15" x14ac:dyDescent="0.25">
      <c r="A135"/>
      <c r="B135"/>
      <c r="C135"/>
      <c r="D135"/>
      <c r="E135"/>
      <c r="F135"/>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row>
    <row r="136" spans="1:43" ht="15" x14ac:dyDescent="0.25">
      <c r="A136"/>
      <c r="B136"/>
      <c r="C136"/>
      <c r="D136"/>
      <c r="E136"/>
      <c r="F136"/>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row>
    <row r="137" spans="1:43" ht="15" x14ac:dyDescent="0.25">
      <c r="A137"/>
      <c r="B137"/>
      <c r="C137"/>
      <c r="D137"/>
      <c r="E137"/>
      <c r="F137"/>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row>
    <row r="138" spans="1:43" ht="15" x14ac:dyDescent="0.25">
      <c r="A138"/>
      <c r="B138"/>
      <c r="C138"/>
      <c r="D138"/>
      <c r="E138"/>
      <c r="F138"/>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row>
    <row r="139" spans="1:43" ht="15" x14ac:dyDescent="0.25">
      <c r="A139"/>
      <c r="B139"/>
      <c r="C139"/>
      <c r="D139"/>
      <c r="E139"/>
      <c r="F139"/>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row>
    <row r="140" spans="1:43" ht="15" x14ac:dyDescent="0.25">
      <c r="A140"/>
      <c r="B140"/>
      <c r="C140"/>
      <c r="D140"/>
      <c r="E140"/>
      <c r="F140"/>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row>
    <row r="141" spans="1:43" ht="15" x14ac:dyDescent="0.25">
      <c r="A141"/>
      <c r="B141"/>
      <c r="C141"/>
      <c r="D141"/>
      <c r="E141"/>
      <c r="F141"/>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row>
    <row r="142" spans="1:43" ht="15" x14ac:dyDescent="0.25">
      <c r="A142"/>
      <c r="B142"/>
      <c r="C142"/>
      <c r="D142"/>
      <c r="E142"/>
      <c r="F142"/>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row>
    <row r="143" spans="1:43" ht="15" x14ac:dyDescent="0.25">
      <c r="A143"/>
      <c r="B143"/>
      <c r="C143"/>
      <c r="D143"/>
      <c r="E143"/>
      <c r="F143"/>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row>
    <row r="144" spans="1:43" ht="15" x14ac:dyDescent="0.25">
      <c r="A144"/>
      <c r="B144"/>
      <c r="C144"/>
      <c r="D144"/>
      <c r="E144"/>
      <c r="F144"/>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row>
    <row r="145" spans="1:44" ht="15" x14ac:dyDescent="0.25">
      <c r="A145"/>
      <c r="B145"/>
      <c r="C145"/>
      <c r="D145"/>
      <c r="E145"/>
      <c r="F145"/>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row>
    <row r="146" spans="1:44" ht="15" x14ac:dyDescent="0.25">
      <c r="A146"/>
      <c r="B146"/>
      <c r="C146"/>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c r="AP146"/>
      <c r="AQ146"/>
    </row>
    <row r="147" spans="1:44" ht="15" x14ac:dyDescent="0.25">
      <c r="A147"/>
      <c r="B147"/>
      <c r="C147"/>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c r="AP147"/>
      <c r="AQ147"/>
    </row>
    <row r="148" spans="1:44" x14ac:dyDescent="0.2">
      <c r="D148" s="21"/>
      <c r="E148" s="21"/>
      <c r="F148" s="21"/>
      <c r="G148" s="21"/>
      <c r="H148" s="21"/>
      <c r="I148" s="21"/>
      <c r="J148" s="21"/>
      <c r="K148" s="21"/>
      <c r="L148" s="21"/>
      <c r="M148" s="21"/>
      <c r="N148" s="21"/>
      <c r="O148" s="21"/>
      <c r="P148" s="21"/>
      <c r="Q148" s="21"/>
      <c r="R148" s="21"/>
      <c r="S148" s="21"/>
      <c r="T148" s="21"/>
      <c r="U148" s="21"/>
      <c r="V148" s="21"/>
      <c r="W148" s="21"/>
      <c r="X148" s="21"/>
      <c r="Y148" s="21"/>
      <c r="Z148" s="21"/>
      <c r="AA148" s="21"/>
      <c r="AB148" s="21"/>
      <c r="AC148" s="21"/>
      <c r="AD148" s="21"/>
      <c r="AE148" s="21"/>
      <c r="AF148" s="21"/>
      <c r="AG148" s="21"/>
      <c r="AH148" s="21"/>
      <c r="AI148" s="21"/>
      <c r="AJ148" s="21"/>
      <c r="AK148" s="21"/>
      <c r="AL148" s="21"/>
      <c r="AM148" s="21"/>
      <c r="AN148" s="21"/>
    </row>
    <row r="149" spans="1:44" x14ac:dyDescent="0.2">
      <c r="D149" s="21"/>
      <c r="E149" s="21"/>
      <c r="F149" s="21"/>
      <c r="G149" s="21"/>
      <c r="H149" s="21"/>
      <c r="I149" s="21"/>
      <c r="J149" s="21"/>
      <c r="K149" s="21"/>
      <c r="L149" s="21"/>
      <c r="M149" s="21"/>
      <c r="N149" s="21"/>
      <c r="O149" s="21"/>
      <c r="P149" s="21"/>
      <c r="Q149" s="21"/>
      <c r="R149" s="21"/>
      <c r="S149" s="21"/>
      <c r="T149" s="21"/>
      <c r="U149" s="21"/>
      <c r="V149" s="21"/>
      <c r="W149" s="21"/>
      <c r="X149" s="21"/>
      <c r="Y149" s="21"/>
      <c r="Z149" s="21"/>
      <c r="AA149" s="21"/>
      <c r="AB149" s="21"/>
      <c r="AC149" s="21"/>
      <c r="AD149" s="21"/>
      <c r="AE149" s="21"/>
      <c r="AF149" s="21"/>
      <c r="AG149" s="21"/>
      <c r="AH149" s="21"/>
      <c r="AI149" s="21"/>
      <c r="AJ149" s="21"/>
      <c r="AK149" s="21"/>
      <c r="AL149" s="21"/>
      <c r="AM149" s="21"/>
      <c r="AN149" s="21"/>
    </row>
    <row r="150" spans="1:44" x14ac:dyDescent="0.2">
      <c r="D150" s="21"/>
      <c r="E150" s="21"/>
      <c r="F150" s="21"/>
      <c r="G150" s="21"/>
      <c r="H150" s="21"/>
      <c r="I150" s="21"/>
      <c r="J150" s="21"/>
      <c r="K150" s="21"/>
      <c r="L150" s="21"/>
      <c r="M150" s="21"/>
      <c r="N150" s="21"/>
      <c r="O150" s="21"/>
      <c r="P150" s="21"/>
      <c r="Q150" s="21"/>
      <c r="R150" s="21"/>
      <c r="S150" s="21"/>
      <c r="T150" s="21"/>
      <c r="U150" s="21"/>
      <c r="V150" s="21"/>
      <c r="W150" s="21"/>
      <c r="X150" s="21"/>
      <c r="Y150" s="21"/>
      <c r="Z150" s="21"/>
      <c r="AA150" s="21"/>
      <c r="AB150" s="21"/>
      <c r="AC150" s="21"/>
      <c r="AD150" s="21"/>
      <c r="AE150" s="21"/>
      <c r="AF150" s="21"/>
      <c r="AG150" s="21"/>
      <c r="AH150" s="21"/>
      <c r="AI150" s="21"/>
      <c r="AJ150" s="21"/>
      <c r="AK150" s="21"/>
      <c r="AL150" s="21"/>
      <c r="AM150" s="21"/>
      <c r="AN150" s="21"/>
    </row>
    <row r="151" spans="1:44" x14ac:dyDescent="0.2">
      <c r="D151" s="21"/>
      <c r="E151" s="21"/>
      <c r="F151" s="21"/>
      <c r="G151" s="21"/>
      <c r="H151" s="21"/>
      <c r="I151" s="21"/>
      <c r="J151" s="21"/>
      <c r="K151" s="21"/>
      <c r="L151" s="21"/>
      <c r="M151" s="21"/>
      <c r="N151" s="21"/>
      <c r="O151" s="21"/>
      <c r="P151" s="21"/>
      <c r="Q151" s="21"/>
      <c r="R151" s="21"/>
      <c r="S151" s="21"/>
      <c r="T151" s="21"/>
      <c r="U151" s="21"/>
      <c r="V151" s="21"/>
      <c r="W151" s="21"/>
      <c r="X151" s="21"/>
      <c r="Y151" s="21"/>
      <c r="Z151" s="21"/>
      <c r="AA151" s="21"/>
      <c r="AB151" s="21"/>
      <c r="AC151" s="21"/>
      <c r="AD151" s="21"/>
      <c r="AE151" s="21"/>
      <c r="AF151" s="21"/>
      <c r="AG151" s="21"/>
      <c r="AH151" s="21"/>
      <c r="AI151" s="21"/>
      <c r="AJ151" s="21"/>
      <c r="AK151" s="21"/>
      <c r="AL151" s="21"/>
      <c r="AM151" s="21"/>
      <c r="AN151" s="21"/>
    </row>
    <row r="154" spans="1:44" x14ac:dyDescent="0.2">
      <c r="D154" s="26"/>
      <c r="E154" s="25"/>
      <c r="F154" s="25"/>
      <c r="G154" s="25"/>
      <c r="H154" s="25"/>
      <c r="I154" s="25"/>
      <c r="J154" s="25"/>
      <c r="K154" s="25"/>
      <c r="L154" s="25"/>
      <c r="M154" s="25"/>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6"/>
      <c r="AP154" s="26"/>
      <c r="AQ154" s="26"/>
      <c r="AR154" s="26"/>
    </row>
    <row r="155" spans="1:44" x14ac:dyDescent="0.2">
      <c r="D155" s="26"/>
      <c r="E155" s="25"/>
      <c r="F155" s="25"/>
      <c r="G155" s="25"/>
      <c r="H155" s="25"/>
      <c r="I155" s="25"/>
      <c r="J155" s="25"/>
      <c r="K155" s="25"/>
      <c r="L155" s="25"/>
      <c r="M155" s="25"/>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6"/>
      <c r="AP155" s="26"/>
      <c r="AQ155" s="26"/>
      <c r="AR155" s="26"/>
    </row>
    <row r="156" spans="1:44" x14ac:dyDescent="0.2">
      <c r="D156" s="26"/>
      <c r="E156" s="25"/>
      <c r="F156" s="25"/>
      <c r="G156" s="25"/>
      <c r="H156" s="25"/>
      <c r="I156" s="25"/>
      <c r="J156" s="25"/>
      <c r="K156" s="25"/>
      <c r="L156" s="25"/>
      <c r="M156" s="25"/>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6"/>
      <c r="AP156" s="26"/>
      <c r="AQ156" s="26"/>
      <c r="AR156" s="26"/>
    </row>
    <row r="157" spans="1:44" x14ac:dyDescent="0.2">
      <c r="D157" s="35"/>
      <c r="E157" s="25"/>
      <c r="F157" s="25"/>
      <c r="G157" s="25"/>
      <c r="H157" s="25"/>
      <c r="I157" s="25"/>
      <c r="J157" s="25"/>
      <c r="K157" s="25"/>
      <c r="L157" s="25"/>
      <c r="M157" s="25"/>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6"/>
      <c r="AP157" s="26"/>
      <c r="AQ157" s="26"/>
      <c r="AR157" s="26"/>
    </row>
    <row r="158" spans="1:44" x14ac:dyDescent="0.2">
      <c r="D158" s="26"/>
      <c r="E158" s="25"/>
      <c r="F158" s="25"/>
      <c r="G158" s="25"/>
      <c r="H158" s="25"/>
      <c r="I158" s="25"/>
      <c r="J158" s="25"/>
      <c r="K158" s="25"/>
      <c r="L158" s="25"/>
      <c r="M158" s="25"/>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6"/>
      <c r="AP158" s="26"/>
      <c r="AQ158" s="26"/>
      <c r="AR158" s="26"/>
    </row>
    <row r="159" spans="1:44" x14ac:dyDescent="0.2">
      <c r="D159" s="26"/>
      <c r="E159" s="25"/>
      <c r="F159" s="25"/>
      <c r="G159" s="25"/>
      <c r="H159" s="25"/>
      <c r="I159" s="25"/>
      <c r="J159" s="25"/>
      <c r="K159" s="25"/>
      <c r="L159" s="25"/>
      <c r="M159" s="25"/>
      <c r="N159" s="25"/>
      <c r="O159" s="25"/>
      <c r="P159" s="25"/>
      <c r="Q159" s="25"/>
      <c r="R159" s="25"/>
      <c r="S159" s="25"/>
      <c r="T159" s="25"/>
      <c r="U159" s="25"/>
      <c r="V159" s="25"/>
      <c r="W159" s="25"/>
      <c r="X159" s="25"/>
      <c r="Y159" s="25"/>
      <c r="Z159" s="25"/>
      <c r="AA159" s="25"/>
      <c r="AB159" s="25"/>
      <c r="AC159" s="25"/>
      <c r="AD159" s="25"/>
      <c r="AE159" s="25"/>
      <c r="AF159" s="25"/>
      <c r="AG159" s="25"/>
      <c r="AH159" s="25"/>
      <c r="AI159" s="25"/>
      <c r="AJ159" s="25"/>
      <c r="AK159" s="25"/>
      <c r="AL159" s="25"/>
      <c r="AM159" s="25"/>
      <c r="AN159" s="25"/>
      <c r="AO159" s="26"/>
      <c r="AP159" s="26"/>
      <c r="AQ159" s="26"/>
      <c r="AR159" s="26"/>
    </row>
    <row r="161" spans="4:44" x14ac:dyDescent="0.2">
      <c r="D161" s="28"/>
      <c r="E161" s="28"/>
      <c r="F161" s="28"/>
      <c r="G161" s="28"/>
      <c r="H161" s="28"/>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c r="AH161" s="28"/>
      <c r="AI161" s="28"/>
      <c r="AJ161" s="28"/>
      <c r="AK161" s="28"/>
      <c r="AL161" s="28"/>
      <c r="AM161" s="28"/>
      <c r="AN161" s="28"/>
    </row>
    <row r="162" spans="4:44" x14ac:dyDescent="0.2">
      <c r="D162" s="36"/>
      <c r="E162" s="36"/>
      <c r="F162" s="36"/>
      <c r="G162" s="36"/>
      <c r="H162" s="36"/>
      <c r="I162" s="36"/>
      <c r="J162" s="36"/>
      <c r="K162" s="36"/>
      <c r="L162" s="36"/>
      <c r="M162" s="36"/>
      <c r="N162" s="36"/>
      <c r="O162" s="36"/>
      <c r="P162" s="36"/>
      <c r="Q162" s="36"/>
      <c r="R162" s="36"/>
      <c r="S162" s="36"/>
      <c r="T162" s="36"/>
      <c r="U162" s="36"/>
      <c r="V162" s="36"/>
      <c r="W162" s="36"/>
      <c r="X162" s="36"/>
      <c r="Y162" s="36"/>
      <c r="Z162" s="36"/>
      <c r="AA162" s="36"/>
      <c r="AB162" s="36"/>
      <c r="AC162" s="36"/>
      <c r="AD162" s="36"/>
      <c r="AE162" s="36"/>
      <c r="AF162" s="36"/>
      <c r="AG162" s="36"/>
      <c r="AH162" s="36"/>
      <c r="AI162" s="36"/>
      <c r="AJ162" s="36"/>
      <c r="AK162" s="36"/>
      <c r="AL162" s="36"/>
      <c r="AM162" s="36"/>
      <c r="AN162" s="36"/>
    </row>
    <row r="163" spans="4:44" x14ac:dyDescent="0.2">
      <c r="D163" s="37"/>
      <c r="Q163" s="37"/>
      <c r="R163" s="37"/>
      <c r="S163" s="37"/>
      <c r="T163" s="37"/>
      <c r="U163" s="37"/>
      <c r="V163" s="37"/>
      <c r="W163" s="37"/>
      <c r="X163" s="37"/>
      <c r="Y163" s="37"/>
      <c r="Z163" s="37"/>
      <c r="AA163" s="37"/>
      <c r="AB163" s="37"/>
      <c r="AC163" s="37"/>
      <c r="AD163" s="37"/>
      <c r="AE163" s="37"/>
      <c r="AF163" s="37"/>
      <c r="AG163" s="37"/>
      <c r="AH163" s="37"/>
      <c r="AI163" s="37"/>
      <c r="AJ163" s="37"/>
      <c r="AK163" s="37"/>
      <c r="AL163" s="37"/>
      <c r="AM163" s="37"/>
      <c r="AN163" s="37"/>
      <c r="AO163" s="37"/>
      <c r="AP163" s="37"/>
      <c r="AQ163" s="37"/>
      <c r="AR163" s="37"/>
    </row>
    <row r="164" spans="4:44" x14ac:dyDescent="0.2">
      <c r="D164" s="37"/>
      <c r="Q164" s="37"/>
      <c r="R164" s="37"/>
      <c r="S164" s="37"/>
      <c r="T164" s="37"/>
      <c r="U164" s="37"/>
      <c r="V164" s="37"/>
      <c r="W164" s="37"/>
      <c r="X164" s="37"/>
      <c r="Y164" s="37"/>
      <c r="Z164" s="37"/>
      <c r="AA164" s="37"/>
      <c r="AB164" s="37"/>
      <c r="AC164" s="37"/>
      <c r="AD164" s="37"/>
      <c r="AE164" s="37"/>
      <c r="AF164" s="37"/>
      <c r="AG164" s="37"/>
      <c r="AH164" s="37"/>
      <c r="AI164" s="37"/>
      <c r="AJ164" s="37"/>
      <c r="AK164" s="37"/>
      <c r="AL164" s="37"/>
      <c r="AM164" s="37"/>
      <c r="AN164" s="37"/>
    </row>
    <row r="165" spans="4:44" x14ac:dyDescent="0.2">
      <c r="D165" s="26"/>
      <c r="E165" s="26"/>
      <c r="F165" s="26"/>
      <c r="G165" s="26"/>
      <c r="H165" s="26"/>
      <c r="I165" s="26"/>
      <c r="J165" s="26"/>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row>
    <row r="166" spans="4:44" x14ac:dyDescent="0.2">
      <c r="D166" s="26"/>
      <c r="E166" s="26"/>
      <c r="F166" s="26"/>
      <c r="G166" s="26"/>
      <c r="H166" s="26"/>
      <c r="I166" s="26"/>
      <c r="J166" s="26"/>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row>
    <row r="167" spans="4:44" x14ac:dyDescent="0.2">
      <c r="D167" s="26"/>
      <c r="E167" s="26"/>
      <c r="F167" s="26"/>
      <c r="G167" s="26"/>
      <c r="H167" s="26"/>
      <c r="I167" s="26"/>
      <c r="J167" s="26"/>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row>
    <row r="168" spans="4:44" x14ac:dyDescent="0.2">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row>
    <row r="169" spans="4:44" x14ac:dyDescent="0.2">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row>
    <row r="170" spans="4:44" x14ac:dyDescent="0.2">
      <c r="D170" s="26"/>
      <c r="E170" s="26"/>
      <c r="F170" s="26"/>
      <c r="G170" s="26"/>
      <c r="H170" s="26"/>
      <c r="I170" s="26"/>
      <c r="J170" s="26"/>
      <c r="K170" s="26"/>
      <c r="L170" s="26"/>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row>
    <row r="171" spans="4:44" x14ac:dyDescent="0.2">
      <c r="D171" s="26"/>
      <c r="E171" s="26"/>
      <c r="F171" s="26"/>
      <c r="G171" s="26"/>
      <c r="H171" s="26"/>
      <c r="I171" s="26"/>
      <c r="J171" s="26"/>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row>
    <row r="172" spans="4:44" x14ac:dyDescent="0.2">
      <c r="D172" s="26"/>
      <c r="E172" s="26"/>
      <c r="F172" s="26"/>
      <c r="G172" s="26"/>
      <c r="H172" s="26"/>
      <c r="I172" s="26"/>
      <c r="J172" s="26"/>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row>
    <row r="173" spans="4:44" x14ac:dyDescent="0.2">
      <c r="D173" s="26"/>
      <c r="E173" s="26"/>
      <c r="F173" s="26"/>
      <c r="G173" s="26"/>
      <c r="H173" s="26"/>
      <c r="I173" s="26"/>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row>
    <row r="174" spans="4:44" x14ac:dyDescent="0.2">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row>
    <row r="175" spans="4:44" x14ac:dyDescent="0.2">
      <c r="E175" s="26"/>
      <c r="F175" s="26"/>
      <c r="G175" s="26"/>
      <c r="H175" s="26"/>
      <c r="I175" s="26"/>
      <c r="J175" s="26"/>
      <c r="K175" s="26"/>
      <c r="L175" s="26"/>
      <c r="M175" s="26"/>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row>
    <row r="176" spans="4:44" x14ac:dyDescent="0.2">
      <c r="E176" s="28"/>
      <c r="F176" s="28"/>
      <c r="G176" s="28"/>
      <c r="H176" s="28"/>
      <c r="I176" s="28"/>
      <c r="J176" s="28"/>
      <c r="K176" s="28"/>
      <c r="L176" s="28"/>
      <c r="M176" s="28"/>
      <c r="N176" s="28"/>
      <c r="O176" s="28"/>
      <c r="P176" s="28"/>
      <c r="Q176" s="28"/>
      <c r="R176" s="28"/>
      <c r="S176" s="28"/>
      <c r="T176" s="28"/>
      <c r="U176" s="28"/>
      <c r="V176" s="28"/>
      <c r="W176" s="28"/>
      <c r="X176" s="28"/>
      <c r="Y176" s="28"/>
      <c r="Z176" s="28"/>
      <c r="AA176" s="28"/>
      <c r="AB176" s="28"/>
      <c r="AC176" s="28"/>
      <c r="AD176" s="28"/>
      <c r="AE176" s="28"/>
      <c r="AF176" s="28"/>
      <c r="AG176" s="28"/>
      <c r="AH176" s="28"/>
      <c r="AI176" s="28"/>
      <c r="AJ176" s="28"/>
      <c r="AK176" s="28"/>
      <c r="AL176" s="28"/>
      <c r="AM176" s="28"/>
      <c r="AN176" s="28"/>
    </row>
    <row r="177" spans="2:40" x14ac:dyDescent="0.2">
      <c r="E177" s="28"/>
      <c r="F177" s="28"/>
      <c r="G177" s="28"/>
      <c r="H177" s="28"/>
      <c r="I177" s="28"/>
      <c r="J177" s="28"/>
      <c r="K177" s="28"/>
      <c r="L177" s="28"/>
      <c r="M177" s="28"/>
      <c r="N177" s="28"/>
      <c r="O177" s="28"/>
      <c r="P177" s="28"/>
      <c r="Q177" s="28"/>
      <c r="R177" s="28"/>
      <c r="S177" s="28"/>
      <c r="T177" s="28"/>
      <c r="U177" s="28"/>
      <c r="V177" s="28"/>
      <c r="W177" s="28"/>
      <c r="X177" s="28"/>
      <c r="Y177" s="28"/>
      <c r="Z177" s="28"/>
      <c r="AA177" s="28"/>
      <c r="AB177" s="28"/>
      <c r="AC177" s="28"/>
      <c r="AD177" s="28"/>
      <c r="AE177" s="28"/>
      <c r="AF177" s="28"/>
      <c r="AG177" s="28"/>
      <c r="AH177" s="28"/>
      <c r="AI177" s="28"/>
      <c r="AJ177" s="28"/>
      <c r="AK177" s="28"/>
      <c r="AL177" s="28"/>
      <c r="AM177" s="28"/>
      <c r="AN177" s="28"/>
    </row>
    <row r="178" spans="2:40" x14ac:dyDescent="0.2">
      <c r="E178" s="29"/>
      <c r="F178" s="29"/>
      <c r="G178" s="29"/>
      <c r="H178" s="29"/>
      <c r="I178" s="29"/>
      <c r="J178" s="29"/>
      <c r="K178" s="29"/>
      <c r="L178" s="29"/>
      <c r="M178" s="29"/>
      <c r="N178" s="29"/>
      <c r="O178" s="29"/>
      <c r="P178" s="29"/>
      <c r="Q178" s="29"/>
      <c r="R178" s="29"/>
      <c r="S178" s="29"/>
      <c r="T178" s="29"/>
      <c r="U178" s="29"/>
      <c r="V178" s="29"/>
      <c r="W178" s="29"/>
      <c r="X178" s="29"/>
      <c r="Y178" s="29"/>
      <c r="Z178" s="29"/>
      <c r="AA178" s="29"/>
      <c r="AB178" s="29"/>
      <c r="AC178" s="29"/>
      <c r="AD178" s="29"/>
      <c r="AE178" s="29"/>
      <c r="AF178" s="29"/>
      <c r="AG178" s="29"/>
      <c r="AH178" s="29"/>
      <c r="AI178" s="29"/>
      <c r="AJ178" s="29"/>
      <c r="AK178" s="29"/>
      <c r="AL178" s="29"/>
      <c r="AM178" s="29"/>
      <c r="AN178" s="29"/>
    </row>
    <row r="185" spans="2:40" x14ac:dyDescent="0.2">
      <c r="D185" s="23"/>
      <c r="E185" s="23"/>
      <c r="F185" s="23"/>
      <c r="G185" s="23"/>
      <c r="H185" s="23"/>
      <c r="I185" s="23"/>
      <c r="L185" s="23"/>
      <c r="M185" s="23"/>
    </row>
    <row r="186" spans="2:40" x14ac:dyDescent="0.2">
      <c r="D186" s="23"/>
      <c r="E186" s="23"/>
      <c r="F186" s="23"/>
      <c r="G186" s="23"/>
      <c r="H186" s="23"/>
      <c r="I186" s="23"/>
      <c r="L186" s="27"/>
      <c r="M186" s="27"/>
    </row>
    <row r="187" spans="2:40" ht="15" x14ac:dyDescent="0.25">
      <c r="B187"/>
      <c r="C187"/>
      <c r="D187"/>
      <c r="E187"/>
      <c r="F187"/>
      <c r="G187"/>
      <c r="H187"/>
      <c r="I187"/>
      <c r="J187"/>
      <c r="K187"/>
      <c r="L187"/>
      <c r="M187"/>
      <c r="N187"/>
      <c r="O187"/>
      <c r="P187"/>
      <c r="Q187"/>
      <c r="R187"/>
      <c r="S187"/>
      <c r="T187"/>
      <c r="U187"/>
      <c r="V187"/>
      <c r="W187"/>
      <c r="X187"/>
      <c r="Y187"/>
      <c r="Z187"/>
      <c r="AA187"/>
      <c r="AB187"/>
      <c r="AC187"/>
      <c r="AD187"/>
      <c r="AE187"/>
      <c r="AF187"/>
    </row>
    <row r="188" spans="2:40" ht="15" x14ac:dyDescent="0.25">
      <c r="B188"/>
      <c r="C188"/>
      <c r="D188"/>
      <c r="E188"/>
      <c r="F188"/>
      <c r="G188"/>
      <c r="H188"/>
      <c r="I188"/>
      <c r="J188"/>
      <c r="K188"/>
      <c r="L188"/>
      <c r="M188"/>
      <c r="N188"/>
      <c r="O188"/>
      <c r="P188"/>
      <c r="Q188"/>
      <c r="R188"/>
      <c r="S188"/>
      <c r="T188"/>
      <c r="U188"/>
      <c r="V188"/>
      <c r="W188"/>
      <c r="X188"/>
      <c r="Y188"/>
      <c r="Z188"/>
      <c r="AA188"/>
      <c r="AB188"/>
      <c r="AC188"/>
      <c r="AD188"/>
      <c r="AE188"/>
      <c r="AF188"/>
    </row>
    <row r="189" spans="2:40" ht="15" x14ac:dyDescent="0.25">
      <c r="B189"/>
      <c r="C189"/>
      <c r="D189"/>
      <c r="E189"/>
      <c r="F189"/>
      <c r="G189"/>
      <c r="H189"/>
      <c r="I189"/>
      <c r="J189"/>
      <c r="K189"/>
      <c r="L189"/>
      <c r="M189"/>
      <c r="N189"/>
      <c r="O189"/>
      <c r="P189"/>
      <c r="Q189"/>
      <c r="R189"/>
      <c r="S189"/>
      <c r="T189"/>
      <c r="U189"/>
      <c r="V189"/>
      <c r="W189"/>
      <c r="X189"/>
      <c r="Y189"/>
      <c r="Z189"/>
      <c r="AA189"/>
      <c r="AB189"/>
      <c r="AC189"/>
      <c r="AD189"/>
      <c r="AE189"/>
      <c r="AF189"/>
    </row>
    <row r="190" spans="2:40" ht="15" x14ac:dyDescent="0.25">
      <c r="B190"/>
      <c r="C190"/>
      <c r="D190"/>
      <c r="E190"/>
      <c r="F190"/>
      <c r="G190"/>
      <c r="H190"/>
      <c r="I190"/>
      <c r="J190"/>
      <c r="K190"/>
      <c r="L190"/>
      <c r="M190"/>
      <c r="N190"/>
      <c r="O190"/>
      <c r="P190"/>
      <c r="Q190"/>
      <c r="R190"/>
      <c r="S190"/>
      <c r="T190"/>
      <c r="U190"/>
      <c r="V190"/>
      <c r="W190"/>
      <c r="X190"/>
      <c r="Y190"/>
      <c r="Z190"/>
      <c r="AA190"/>
      <c r="AB190"/>
      <c r="AC190"/>
      <c r="AD190"/>
      <c r="AE190"/>
      <c r="AF190"/>
    </row>
    <row r="191" spans="2:40" ht="15" x14ac:dyDescent="0.25">
      <c r="B191"/>
      <c r="C191"/>
      <c r="D191"/>
      <c r="E191"/>
      <c r="F191"/>
      <c r="G191"/>
      <c r="H191"/>
      <c r="I191"/>
      <c r="J191"/>
      <c r="K191"/>
      <c r="L191"/>
      <c r="M191"/>
      <c r="N191"/>
      <c r="O191"/>
      <c r="P191"/>
      <c r="Q191"/>
      <c r="R191"/>
      <c r="S191"/>
      <c r="T191"/>
      <c r="U191"/>
      <c r="V191"/>
      <c r="W191"/>
      <c r="X191"/>
      <c r="Y191"/>
      <c r="Z191"/>
      <c r="AA191"/>
      <c r="AB191"/>
      <c r="AC191"/>
      <c r="AD191"/>
      <c r="AE191"/>
      <c r="AF191"/>
    </row>
    <row r="192" spans="2:40" ht="15.75" thickBot="1" x14ac:dyDescent="0.3">
      <c r="B192"/>
      <c r="C192"/>
      <c r="D192"/>
      <c r="E192"/>
      <c r="F192"/>
      <c r="G192"/>
      <c r="H192"/>
      <c r="I192"/>
      <c r="J192"/>
      <c r="K192"/>
      <c r="L192"/>
      <c r="M192"/>
      <c r="N192"/>
      <c r="O192"/>
      <c r="P192"/>
      <c r="Q192"/>
      <c r="R192"/>
      <c r="S192"/>
      <c r="T192"/>
      <c r="U192"/>
      <c r="V192"/>
      <c r="W192"/>
      <c r="X192"/>
      <c r="Y192"/>
      <c r="Z192"/>
      <c r="AA192"/>
      <c r="AB192"/>
      <c r="AC192"/>
      <c r="AD192"/>
      <c r="AE192"/>
      <c r="AF192"/>
    </row>
    <row r="193" spans="2:37" ht="15.75" customHeight="1" thickBot="1" x14ac:dyDescent="0.3">
      <c r="B193"/>
      <c r="C193"/>
      <c r="D193"/>
      <c r="E193"/>
      <c r="F193"/>
      <c r="G193"/>
      <c r="H193"/>
      <c r="I193"/>
      <c r="J193"/>
      <c r="K193"/>
      <c r="L193"/>
      <c r="M193"/>
      <c r="N193"/>
      <c r="O193"/>
      <c r="P193"/>
      <c r="Q193"/>
      <c r="R193"/>
      <c r="S193"/>
      <c r="T193"/>
      <c r="U193"/>
      <c r="V193"/>
      <c r="W193"/>
      <c r="X193"/>
      <c r="Y193"/>
      <c r="Z193"/>
      <c r="AA193"/>
      <c r="AB193"/>
      <c r="AC193"/>
      <c r="AD193"/>
      <c r="AE193"/>
      <c r="AF193"/>
      <c r="AG193" s="30"/>
    </row>
    <row r="194" spans="2:37" ht="15.75" thickBot="1" x14ac:dyDescent="0.3">
      <c r="B194"/>
      <c r="C194"/>
      <c r="D194"/>
      <c r="E194"/>
      <c r="F194"/>
      <c r="G194"/>
      <c r="H194"/>
      <c r="I194"/>
      <c r="J194"/>
      <c r="K194"/>
      <c r="L194"/>
      <c r="M194"/>
      <c r="N194"/>
      <c r="O194"/>
      <c r="P194"/>
      <c r="Q194"/>
      <c r="R194"/>
      <c r="S194"/>
      <c r="T194"/>
      <c r="U194"/>
      <c r="V194"/>
      <c r="W194"/>
      <c r="X194"/>
      <c r="Y194"/>
      <c r="Z194"/>
      <c r="AA194"/>
      <c r="AB194"/>
      <c r="AC194"/>
      <c r="AD194"/>
      <c r="AE194"/>
      <c r="AF194"/>
      <c r="AG194" s="31">
        <f t="shared" ref="AG194:AG195" si="152">AJ23</f>
        <v>31</v>
      </c>
      <c r="AH194" s="31">
        <f t="shared" ref="AH194:AH195" si="153">AK23</f>
        <v>32</v>
      </c>
      <c r="AI194" s="31">
        <f t="shared" ref="AI194:AI195" si="154">AL23</f>
        <v>33</v>
      </c>
      <c r="AJ194" s="31">
        <f t="shared" ref="AJ194:AJ195" si="155">AM23</f>
        <v>34</v>
      </c>
      <c r="AK194" s="31">
        <f t="shared" ref="AK194:AK195" si="156">AN23</f>
        <v>35</v>
      </c>
    </row>
    <row r="195" spans="2:37" ht="15.75" customHeight="1" thickBot="1" x14ac:dyDescent="0.3">
      <c r="B195"/>
      <c r="C195"/>
      <c r="D195"/>
      <c r="E195"/>
      <c r="F195"/>
      <c r="G195"/>
      <c r="H195"/>
      <c r="I195"/>
      <c r="J195"/>
      <c r="K195"/>
      <c r="L195"/>
      <c r="M195"/>
      <c r="N195"/>
      <c r="O195"/>
      <c r="P195"/>
      <c r="Q195"/>
      <c r="R195"/>
      <c r="S195"/>
      <c r="T195"/>
      <c r="U195"/>
      <c r="V195"/>
      <c r="W195"/>
      <c r="X195"/>
      <c r="Y195"/>
      <c r="Z195"/>
      <c r="AA195"/>
      <c r="AB195"/>
      <c r="AC195"/>
      <c r="AD195"/>
      <c r="AE195"/>
      <c r="AF195"/>
      <c r="AG195" s="31">
        <f t="shared" si="152"/>
        <v>2057</v>
      </c>
      <c r="AH195" s="31">
        <f t="shared" si="153"/>
        <v>2058</v>
      </c>
      <c r="AI195" s="31">
        <f t="shared" si="154"/>
        <v>2059</v>
      </c>
      <c r="AJ195" s="31">
        <f t="shared" si="155"/>
        <v>2060</v>
      </c>
      <c r="AK195" s="31">
        <f t="shared" si="156"/>
        <v>2061</v>
      </c>
    </row>
    <row r="196" spans="2:37" s="56" customFormat="1" ht="15" x14ac:dyDescent="0.25">
      <c r="B196"/>
      <c r="C196"/>
      <c r="D196"/>
      <c r="E196"/>
      <c r="F196"/>
      <c r="G196"/>
      <c r="H196"/>
      <c r="I196"/>
      <c r="J196"/>
      <c r="K196"/>
      <c r="L196"/>
      <c r="M196"/>
      <c r="N196"/>
      <c r="O196"/>
      <c r="P196"/>
      <c r="Q196"/>
      <c r="R196"/>
      <c r="S196"/>
      <c r="T196"/>
      <c r="U196"/>
      <c r="V196"/>
      <c r="W196"/>
      <c r="X196"/>
      <c r="Y196"/>
      <c r="Z196"/>
      <c r="AA196"/>
      <c r="AB196"/>
      <c r="AC196"/>
      <c r="AD196"/>
      <c r="AE196"/>
      <c r="AF196"/>
      <c r="AG196" s="97" t="e">
        <f t="shared" ref="AG196:AG197" si="157">AJ42/$B$190</f>
        <v>#DIV/0!</v>
      </c>
      <c r="AH196" s="97" t="e">
        <f t="shared" ref="AH196:AH197" si="158">AK42/$B$190</f>
        <v>#DIV/0!</v>
      </c>
      <c r="AI196" s="97" t="e">
        <f t="shared" ref="AI196:AI197" si="159">AL42/$B$190</f>
        <v>#DIV/0!</v>
      </c>
      <c r="AJ196" s="97" t="e">
        <f t="shared" ref="AJ196:AJ197" si="160">AM42/$B$190</f>
        <v>#DIV/0!</v>
      </c>
      <c r="AK196" s="97" t="e">
        <f t="shared" ref="AK196:AK197" si="161">AN42/$B$190</f>
        <v>#DIV/0!</v>
      </c>
    </row>
    <row r="197" spans="2:37" s="56" customFormat="1" ht="15" x14ac:dyDescent="0.25">
      <c r="B197"/>
      <c r="C197"/>
      <c r="D197"/>
      <c r="E197"/>
      <c r="F197"/>
      <c r="G197"/>
      <c r="H197"/>
      <c r="I197"/>
      <c r="J197"/>
      <c r="K197"/>
      <c r="L197"/>
      <c r="M197"/>
      <c r="N197"/>
      <c r="O197"/>
      <c r="P197"/>
      <c r="Q197"/>
      <c r="R197"/>
      <c r="S197"/>
      <c r="T197"/>
      <c r="U197"/>
      <c r="V197"/>
      <c r="W197"/>
      <c r="X197"/>
      <c r="Y197"/>
      <c r="Z197"/>
      <c r="AA197"/>
      <c r="AB197"/>
      <c r="AC197"/>
      <c r="AD197"/>
      <c r="AE197"/>
      <c r="AF197"/>
      <c r="AG197" s="97" t="e">
        <f t="shared" si="157"/>
        <v>#DIV/0!</v>
      </c>
      <c r="AH197" s="97" t="e">
        <f t="shared" si="158"/>
        <v>#DIV/0!</v>
      </c>
      <c r="AI197" s="97" t="e">
        <f t="shared" si="159"/>
        <v>#DIV/0!</v>
      </c>
      <c r="AJ197" s="97" t="e">
        <f t="shared" si="160"/>
        <v>#DIV/0!</v>
      </c>
      <c r="AK197" s="97" t="e">
        <f t="shared" si="161"/>
        <v>#DIV/0!</v>
      </c>
    </row>
    <row r="198" spans="2:37" s="56" customFormat="1" ht="15" x14ac:dyDescent="0.25">
      <c r="B198"/>
      <c r="C198"/>
      <c r="D198"/>
      <c r="E198"/>
      <c r="F198"/>
      <c r="G198"/>
      <c r="H198"/>
      <c r="I198"/>
      <c r="J198"/>
      <c r="K198"/>
      <c r="L198"/>
      <c r="M198"/>
      <c r="N198"/>
      <c r="O198"/>
      <c r="P198"/>
      <c r="Q198"/>
      <c r="R198"/>
      <c r="S198"/>
      <c r="T198"/>
      <c r="U198"/>
      <c r="V198"/>
      <c r="W198"/>
      <c r="X198"/>
      <c r="Y198"/>
      <c r="Z198"/>
      <c r="AA198"/>
      <c r="AB198"/>
      <c r="AC198"/>
      <c r="AD198"/>
      <c r="AE198"/>
      <c r="AF198"/>
      <c r="AG198" s="97" t="e">
        <f t="shared" ref="AG198" si="162">AJ48/$B$190</f>
        <v>#DIV/0!</v>
      </c>
      <c r="AH198" s="97" t="e">
        <f t="shared" ref="AH198" si="163">AK48/$B$190</f>
        <v>#DIV/0!</v>
      </c>
      <c r="AI198" s="97" t="e">
        <f t="shared" ref="AI198" si="164">AL48/$B$190</f>
        <v>#DIV/0!</v>
      </c>
      <c r="AJ198" s="97" t="e">
        <f t="shared" ref="AJ198" si="165">AM48/$B$190</f>
        <v>#DIV/0!</v>
      </c>
      <c r="AK198" s="97" t="e">
        <f t="shared" ref="AK198" si="166">AN48/$B$190</f>
        <v>#DIV/0!</v>
      </c>
    </row>
    <row r="199" spans="2:37" ht="15" x14ac:dyDescent="0.25">
      <c r="B199"/>
      <c r="C199"/>
      <c r="D199"/>
      <c r="E199"/>
      <c r="F199"/>
      <c r="G199"/>
      <c r="H199"/>
      <c r="I199"/>
      <c r="J199"/>
      <c r="K199"/>
      <c r="L199"/>
      <c r="M199"/>
      <c r="N199"/>
      <c r="O199"/>
      <c r="P199"/>
      <c r="Q199"/>
      <c r="R199"/>
      <c r="S199"/>
      <c r="T199"/>
      <c r="U199"/>
      <c r="V199"/>
      <c r="W199"/>
      <c r="X199"/>
      <c r="Y199"/>
      <c r="Z199"/>
      <c r="AA199"/>
      <c r="AB199"/>
      <c r="AC199"/>
      <c r="AD199"/>
      <c r="AE199"/>
      <c r="AF199"/>
      <c r="AG199" s="96" t="e">
        <f t="shared" ref="AG199:AG200" si="167">AJ50/$B$190</f>
        <v>#DIV/0!</v>
      </c>
      <c r="AH199" s="96" t="e">
        <f t="shared" ref="AH199:AH200" si="168">AK50/$B$190</f>
        <v>#DIV/0!</v>
      </c>
      <c r="AI199" s="96" t="e">
        <f t="shared" ref="AI199:AI200" si="169">AL50/$B$190</f>
        <v>#DIV/0!</v>
      </c>
      <c r="AJ199" s="96" t="e">
        <f t="shared" ref="AJ199:AJ200" si="170">AM50/$B$190</f>
        <v>#DIV/0!</v>
      </c>
      <c r="AK199" s="96" t="e">
        <f t="shared" ref="AK199:AK200" si="171">AN50/$B$190</f>
        <v>#DIV/0!</v>
      </c>
    </row>
    <row r="200" spans="2:37" ht="15" x14ac:dyDescent="0.25">
      <c r="B200"/>
      <c r="C200"/>
      <c r="D200"/>
      <c r="E200"/>
      <c r="F200"/>
      <c r="G200"/>
      <c r="H200"/>
      <c r="I200"/>
      <c r="J200"/>
      <c r="K200"/>
      <c r="L200"/>
      <c r="M200"/>
      <c r="N200"/>
      <c r="O200"/>
      <c r="P200"/>
      <c r="Q200"/>
      <c r="R200"/>
      <c r="S200"/>
      <c r="T200"/>
      <c r="U200"/>
      <c r="V200"/>
      <c r="W200"/>
      <c r="X200"/>
      <c r="Y200"/>
      <c r="Z200"/>
      <c r="AA200"/>
      <c r="AB200"/>
      <c r="AC200"/>
      <c r="AD200"/>
      <c r="AE200"/>
      <c r="AF200"/>
      <c r="AG200" s="96" t="e">
        <f t="shared" si="167"/>
        <v>#DIV/0!</v>
      </c>
      <c r="AH200" s="96" t="e">
        <f t="shared" si="168"/>
        <v>#DIV/0!</v>
      </c>
      <c r="AI200" s="96" t="e">
        <f t="shared" si="169"/>
        <v>#DIV/0!</v>
      </c>
      <c r="AJ200" s="96" t="e">
        <f t="shared" si="170"/>
        <v>#DIV/0!</v>
      </c>
      <c r="AK200" s="96" t="e">
        <f t="shared" si="171"/>
        <v>#DIV/0!</v>
      </c>
    </row>
    <row r="201" spans="2:37" s="56" customFormat="1" ht="15" x14ac:dyDescent="0.25">
      <c r="B201"/>
      <c r="C201"/>
      <c r="D201"/>
      <c r="E201"/>
      <c r="F201"/>
      <c r="G201"/>
      <c r="H201"/>
      <c r="I201"/>
      <c r="J201"/>
      <c r="K201"/>
      <c r="L201"/>
      <c r="M201"/>
      <c r="N201"/>
      <c r="O201"/>
      <c r="P201"/>
      <c r="Q201"/>
      <c r="R201"/>
      <c r="S201"/>
      <c r="T201"/>
      <c r="U201"/>
      <c r="V201"/>
      <c r="W201"/>
      <c r="X201"/>
      <c r="Y201"/>
      <c r="Z201"/>
      <c r="AA201"/>
      <c r="AB201"/>
      <c r="AC201"/>
      <c r="AD201"/>
      <c r="AE201"/>
      <c r="AF201"/>
      <c r="AG201" s="97" t="e">
        <f t="shared" ref="AG201:AK201" si="172">AJ53/$B$190</f>
        <v>#DIV/0!</v>
      </c>
      <c r="AH201" s="97" t="e">
        <f t="shared" si="172"/>
        <v>#DIV/0!</v>
      </c>
      <c r="AI201" s="97" t="e">
        <f t="shared" si="172"/>
        <v>#DIV/0!</v>
      </c>
      <c r="AJ201" s="97" t="e">
        <f t="shared" si="172"/>
        <v>#DIV/0!</v>
      </c>
      <c r="AK201" s="97" t="e">
        <f t="shared" si="172"/>
        <v>#DIV/0!</v>
      </c>
    </row>
    <row r="202" spans="2:37" ht="15" x14ac:dyDescent="0.25">
      <c r="B202"/>
      <c r="C202"/>
      <c r="D202"/>
      <c r="E202"/>
      <c r="F202"/>
      <c r="G202"/>
      <c r="H202"/>
      <c r="I202"/>
      <c r="J202"/>
      <c r="K202"/>
      <c r="L202"/>
      <c r="M202"/>
      <c r="N202"/>
      <c r="O202"/>
      <c r="P202"/>
      <c r="Q202"/>
      <c r="R202"/>
      <c r="S202"/>
      <c r="T202"/>
      <c r="U202"/>
      <c r="V202"/>
      <c r="W202"/>
      <c r="X202"/>
      <c r="Y202"/>
      <c r="Z202"/>
      <c r="AA202"/>
      <c r="AB202"/>
      <c r="AC202"/>
      <c r="AD202"/>
      <c r="AE202"/>
      <c r="AF202"/>
      <c r="AG202" s="96" t="e">
        <f t="shared" ref="AG202:AG214" si="173">AJ55/$B$190</f>
        <v>#DIV/0!</v>
      </c>
      <c r="AH202" s="96" t="e">
        <f t="shared" ref="AH202:AH214" si="174">AK55/$B$190</f>
        <v>#DIV/0!</v>
      </c>
      <c r="AI202" s="96" t="e">
        <f t="shared" ref="AI202:AI214" si="175">AL55/$B$190</f>
        <v>#DIV/0!</v>
      </c>
      <c r="AJ202" s="96" t="e">
        <f t="shared" ref="AJ202:AJ214" si="176">AM55/$B$190</f>
        <v>#DIV/0!</v>
      </c>
      <c r="AK202" s="96" t="e">
        <f t="shared" ref="AK202:AK214" si="177">AN55/$B$190</f>
        <v>#DIV/0!</v>
      </c>
    </row>
    <row r="203" spans="2:37" ht="15" x14ac:dyDescent="0.25">
      <c r="B203"/>
      <c r="C203"/>
      <c r="D203"/>
      <c r="E203"/>
      <c r="F203"/>
      <c r="G203"/>
      <c r="H203"/>
      <c r="I203"/>
      <c r="J203"/>
      <c r="K203"/>
      <c r="L203"/>
      <c r="M203"/>
      <c r="N203"/>
      <c r="O203"/>
      <c r="P203"/>
      <c r="Q203"/>
      <c r="R203"/>
      <c r="S203"/>
      <c r="T203"/>
      <c r="U203"/>
      <c r="V203"/>
      <c r="W203"/>
      <c r="X203"/>
      <c r="Y203"/>
      <c r="Z203"/>
      <c r="AA203"/>
      <c r="AB203"/>
      <c r="AC203"/>
      <c r="AD203"/>
      <c r="AE203"/>
      <c r="AF203"/>
      <c r="AG203" s="96" t="e">
        <f t="shared" si="173"/>
        <v>#DIV/0!</v>
      </c>
      <c r="AH203" s="96" t="e">
        <f t="shared" si="174"/>
        <v>#DIV/0!</v>
      </c>
      <c r="AI203" s="96" t="e">
        <f t="shared" si="175"/>
        <v>#DIV/0!</v>
      </c>
      <c r="AJ203" s="96" t="e">
        <f t="shared" si="176"/>
        <v>#DIV/0!</v>
      </c>
      <c r="AK203" s="96" t="e">
        <f t="shared" si="177"/>
        <v>#DIV/0!</v>
      </c>
    </row>
    <row r="204" spans="2:37" ht="15" x14ac:dyDescent="0.25">
      <c r="B204"/>
      <c r="C204"/>
      <c r="D204"/>
      <c r="E204"/>
      <c r="F204"/>
      <c r="G204"/>
      <c r="H204"/>
      <c r="I204"/>
      <c r="J204"/>
      <c r="K204"/>
      <c r="L204"/>
      <c r="M204"/>
      <c r="N204"/>
      <c r="O204"/>
      <c r="P204"/>
      <c r="Q204"/>
      <c r="R204"/>
      <c r="S204"/>
      <c r="T204"/>
      <c r="U204"/>
      <c r="V204"/>
      <c r="W204"/>
      <c r="X204"/>
      <c r="Y204"/>
      <c r="Z204"/>
      <c r="AA204"/>
      <c r="AB204"/>
      <c r="AC204"/>
      <c r="AD204"/>
      <c r="AE204"/>
      <c r="AF204"/>
      <c r="AG204" s="96" t="e">
        <f t="shared" si="173"/>
        <v>#DIV/0!</v>
      </c>
      <c r="AH204" s="96" t="e">
        <f t="shared" si="174"/>
        <v>#DIV/0!</v>
      </c>
      <c r="AI204" s="96" t="e">
        <f t="shared" si="175"/>
        <v>#DIV/0!</v>
      </c>
      <c r="AJ204" s="96" t="e">
        <f t="shared" si="176"/>
        <v>#DIV/0!</v>
      </c>
      <c r="AK204" s="96" t="e">
        <f t="shared" si="177"/>
        <v>#DIV/0!</v>
      </c>
    </row>
    <row r="205" spans="2:37" ht="15" x14ac:dyDescent="0.25">
      <c r="B205"/>
      <c r="C205"/>
      <c r="D205"/>
      <c r="E205"/>
      <c r="F205"/>
      <c r="G205"/>
      <c r="H205"/>
      <c r="I205"/>
      <c r="J205"/>
      <c r="K205"/>
      <c r="L205"/>
      <c r="M205"/>
      <c r="N205"/>
      <c r="O205"/>
      <c r="P205"/>
      <c r="Q205"/>
      <c r="R205"/>
      <c r="S205"/>
      <c r="T205"/>
      <c r="U205"/>
      <c r="V205"/>
      <c r="W205"/>
      <c r="X205"/>
      <c r="Y205"/>
      <c r="Z205"/>
      <c r="AA205"/>
      <c r="AB205"/>
      <c r="AC205"/>
      <c r="AD205"/>
      <c r="AE205"/>
      <c r="AF205"/>
      <c r="AG205" s="96" t="e">
        <f t="shared" si="173"/>
        <v>#DIV/0!</v>
      </c>
      <c r="AH205" s="96" t="e">
        <f t="shared" si="174"/>
        <v>#DIV/0!</v>
      </c>
      <c r="AI205" s="96" t="e">
        <f t="shared" si="175"/>
        <v>#DIV/0!</v>
      </c>
      <c r="AJ205" s="96" t="e">
        <f t="shared" si="176"/>
        <v>#DIV/0!</v>
      </c>
      <c r="AK205" s="96" t="e">
        <f t="shared" si="177"/>
        <v>#DIV/0!</v>
      </c>
    </row>
    <row r="206" spans="2:37" ht="15" x14ac:dyDescent="0.25">
      <c r="B206"/>
      <c r="C206"/>
      <c r="D206"/>
      <c r="E206"/>
      <c r="F206"/>
      <c r="G206"/>
      <c r="H206"/>
      <c r="I206"/>
      <c r="J206"/>
      <c r="K206"/>
      <c r="L206"/>
      <c r="M206"/>
      <c r="N206"/>
      <c r="O206"/>
      <c r="P206"/>
      <c r="Q206"/>
      <c r="R206"/>
      <c r="S206"/>
      <c r="T206"/>
      <c r="U206"/>
      <c r="V206"/>
      <c r="W206"/>
      <c r="X206"/>
      <c r="Y206"/>
      <c r="Z206"/>
      <c r="AA206"/>
      <c r="AB206"/>
      <c r="AC206"/>
      <c r="AD206"/>
      <c r="AE206"/>
      <c r="AF206"/>
      <c r="AG206" s="96" t="e">
        <f t="shared" si="173"/>
        <v>#DIV/0!</v>
      </c>
      <c r="AH206" s="96" t="e">
        <f t="shared" si="174"/>
        <v>#DIV/0!</v>
      </c>
      <c r="AI206" s="96" t="e">
        <f t="shared" si="175"/>
        <v>#DIV/0!</v>
      </c>
      <c r="AJ206" s="96" t="e">
        <f t="shared" si="176"/>
        <v>#DIV/0!</v>
      </c>
      <c r="AK206" s="96" t="e">
        <f t="shared" si="177"/>
        <v>#DIV/0!</v>
      </c>
    </row>
    <row r="207" spans="2:37" ht="15" x14ac:dyDescent="0.25">
      <c r="B207"/>
      <c r="C207"/>
      <c r="D207"/>
      <c r="E207"/>
      <c r="F207"/>
      <c r="G207"/>
      <c r="H207"/>
      <c r="I207"/>
      <c r="J207"/>
      <c r="K207"/>
      <c r="L207"/>
      <c r="M207"/>
      <c r="N207"/>
      <c r="O207"/>
      <c r="P207"/>
      <c r="Q207"/>
      <c r="R207"/>
      <c r="S207"/>
      <c r="T207"/>
      <c r="U207"/>
      <c r="V207"/>
      <c r="W207"/>
      <c r="X207"/>
      <c r="Y207"/>
      <c r="Z207"/>
      <c r="AA207"/>
      <c r="AB207"/>
      <c r="AC207"/>
      <c r="AD207"/>
      <c r="AE207"/>
      <c r="AF207"/>
      <c r="AG207" s="96" t="e">
        <f t="shared" si="173"/>
        <v>#DIV/0!</v>
      </c>
      <c r="AH207" s="96" t="e">
        <f t="shared" si="174"/>
        <v>#DIV/0!</v>
      </c>
      <c r="AI207" s="96" t="e">
        <f t="shared" si="175"/>
        <v>#DIV/0!</v>
      </c>
      <c r="AJ207" s="96" t="e">
        <f t="shared" si="176"/>
        <v>#DIV/0!</v>
      </c>
      <c r="AK207" s="96" t="e">
        <f t="shared" si="177"/>
        <v>#DIV/0!</v>
      </c>
    </row>
    <row r="208" spans="2:37" ht="15" x14ac:dyDescent="0.25">
      <c r="B208"/>
      <c r="C208"/>
      <c r="D208"/>
      <c r="E208"/>
      <c r="F208"/>
      <c r="G208"/>
      <c r="H208"/>
      <c r="I208"/>
      <c r="J208"/>
      <c r="K208"/>
      <c r="L208"/>
      <c r="M208"/>
      <c r="N208"/>
      <c r="O208"/>
      <c r="P208"/>
      <c r="Q208"/>
      <c r="R208"/>
      <c r="S208"/>
      <c r="T208"/>
      <c r="U208"/>
      <c r="V208"/>
      <c r="W208"/>
      <c r="X208"/>
      <c r="Y208"/>
      <c r="Z208"/>
      <c r="AA208"/>
      <c r="AB208"/>
      <c r="AC208"/>
      <c r="AD208"/>
      <c r="AE208"/>
      <c r="AF208"/>
      <c r="AG208" s="96" t="e">
        <f t="shared" si="173"/>
        <v>#DIV/0!</v>
      </c>
      <c r="AH208" s="96" t="e">
        <f t="shared" si="174"/>
        <v>#DIV/0!</v>
      </c>
      <c r="AI208" s="96" t="e">
        <f t="shared" si="175"/>
        <v>#DIV/0!</v>
      </c>
      <c r="AJ208" s="96" t="e">
        <f t="shared" si="176"/>
        <v>#DIV/0!</v>
      </c>
      <c r="AK208" s="96" t="e">
        <f t="shared" si="177"/>
        <v>#DIV/0!</v>
      </c>
    </row>
    <row r="209" spans="2:37" ht="15" x14ac:dyDescent="0.25">
      <c r="B209"/>
      <c r="C209"/>
      <c r="D209"/>
      <c r="E209"/>
      <c r="F209"/>
      <c r="G209"/>
      <c r="H209"/>
      <c r="I209"/>
      <c r="J209"/>
      <c r="K209"/>
      <c r="L209"/>
      <c r="M209"/>
      <c r="N209"/>
      <c r="O209"/>
      <c r="P209"/>
      <c r="Q209"/>
      <c r="R209"/>
      <c r="S209"/>
      <c r="T209"/>
      <c r="U209"/>
      <c r="V209"/>
      <c r="W209"/>
      <c r="X209"/>
      <c r="Y209"/>
      <c r="Z209"/>
      <c r="AA209"/>
      <c r="AB209"/>
      <c r="AC209"/>
      <c r="AD209"/>
      <c r="AE209"/>
      <c r="AF209"/>
      <c r="AG209" s="96" t="e">
        <f t="shared" si="173"/>
        <v>#DIV/0!</v>
      </c>
      <c r="AH209" s="96" t="e">
        <f t="shared" si="174"/>
        <v>#DIV/0!</v>
      </c>
      <c r="AI209" s="96" t="e">
        <f t="shared" si="175"/>
        <v>#DIV/0!</v>
      </c>
      <c r="AJ209" s="96" t="e">
        <f t="shared" si="176"/>
        <v>#DIV/0!</v>
      </c>
      <c r="AK209" s="96" t="e">
        <f t="shared" si="177"/>
        <v>#DIV/0!</v>
      </c>
    </row>
    <row r="210" spans="2:37" ht="15" x14ac:dyDescent="0.25">
      <c r="B210"/>
      <c r="C210"/>
      <c r="D210"/>
      <c r="E210"/>
      <c r="F210"/>
      <c r="G210"/>
      <c r="H210"/>
      <c r="I210"/>
      <c r="J210"/>
      <c r="K210"/>
      <c r="L210"/>
      <c r="M210"/>
      <c r="N210"/>
      <c r="O210"/>
      <c r="P210"/>
      <c r="Q210"/>
      <c r="R210"/>
      <c r="S210"/>
      <c r="T210"/>
      <c r="U210"/>
      <c r="V210"/>
      <c r="W210"/>
      <c r="X210"/>
      <c r="Y210"/>
      <c r="Z210"/>
      <c r="AA210"/>
      <c r="AB210"/>
      <c r="AC210"/>
      <c r="AD210"/>
      <c r="AE210"/>
      <c r="AF210"/>
      <c r="AG210" s="96" t="e">
        <f t="shared" si="173"/>
        <v>#DIV/0!</v>
      </c>
      <c r="AH210" s="96" t="e">
        <f t="shared" si="174"/>
        <v>#DIV/0!</v>
      </c>
      <c r="AI210" s="96" t="e">
        <f t="shared" si="175"/>
        <v>#DIV/0!</v>
      </c>
      <c r="AJ210" s="96" t="e">
        <f t="shared" si="176"/>
        <v>#DIV/0!</v>
      </c>
      <c r="AK210" s="96" t="e">
        <f t="shared" si="177"/>
        <v>#DIV/0!</v>
      </c>
    </row>
    <row r="211" spans="2:37" ht="15" x14ac:dyDescent="0.25">
      <c r="B211"/>
      <c r="C211"/>
      <c r="D211"/>
      <c r="E211"/>
      <c r="F211"/>
      <c r="G211"/>
      <c r="H211"/>
      <c r="I211"/>
      <c r="J211"/>
      <c r="K211"/>
      <c r="L211"/>
      <c r="M211"/>
      <c r="N211"/>
      <c r="O211"/>
      <c r="P211"/>
      <c r="Q211"/>
      <c r="R211"/>
      <c r="S211"/>
      <c r="T211"/>
      <c r="U211"/>
      <c r="V211"/>
      <c r="W211"/>
      <c r="X211"/>
      <c r="Y211"/>
      <c r="Z211"/>
      <c r="AA211"/>
      <c r="AB211"/>
      <c r="AC211"/>
      <c r="AD211"/>
      <c r="AE211"/>
      <c r="AF211"/>
      <c r="AG211" s="96" t="e">
        <f t="shared" si="173"/>
        <v>#DIV/0!</v>
      </c>
      <c r="AH211" s="96" t="e">
        <f t="shared" si="174"/>
        <v>#DIV/0!</v>
      </c>
      <c r="AI211" s="96" t="e">
        <f t="shared" si="175"/>
        <v>#DIV/0!</v>
      </c>
      <c r="AJ211" s="96" t="e">
        <f t="shared" si="176"/>
        <v>#DIV/0!</v>
      </c>
      <c r="AK211" s="96" t="e">
        <f t="shared" si="177"/>
        <v>#DIV/0!</v>
      </c>
    </row>
    <row r="212" spans="2:37" ht="15" x14ac:dyDescent="0.25">
      <c r="B212"/>
      <c r="C212"/>
      <c r="D212"/>
      <c r="E212"/>
      <c r="F212"/>
      <c r="G212"/>
      <c r="H212"/>
      <c r="I212"/>
      <c r="J212"/>
      <c r="K212"/>
      <c r="L212"/>
      <c r="M212"/>
      <c r="N212"/>
      <c r="O212"/>
      <c r="P212"/>
      <c r="Q212"/>
      <c r="R212"/>
      <c r="S212"/>
      <c r="T212"/>
      <c r="U212"/>
      <c r="V212"/>
      <c r="W212"/>
      <c r="X212"/>
      <c r="Y212"/>
      <c r="Z212"/>
      <c r="AA212"/>
      <c r="AB212"/>
      <c r="AC212"/>
      <c r="AD212"/>
      <c r="AE212"/>
      <c r="AF212"/>
      <c r="AG212" s="96" t="e">
        <f t="shared" si="173"/>
        <v>#DIV/0!</v>
      </c>
      <c r="AH212" s="96" t="e">
        <f t="shared" si="174"/>
        <v>#DIV/0!</v>
      </c>
      <c r="AI212" s="96" t="e">
        <f t="shared" si="175"/>
        <v>#DIV/0!</v>
      </c>
      <c r="AJ212" s="96" t="e">
        <f t="shared" si="176"/>
        <v>#DIV/0!</v>
      </c>
      <c r="AK212" s="96" t="e">
        <f t="shared" si="177"/>
        <v>#DIV/0!</v>
      </c>
    </row>
    <row r="213" spans="2:37" ht="15" x14ac:dyDescent="0.25">
      <c r="B213"/>
      <c r="C213"/>
      <c r="D213"/>
      <c r="E213"/>
      <c r="F213"/>
      <c r="G213"/>
      <c r="H213"/>
      <c r="I213"/>
      <c r="J213"/>
      <c r="K213"/>
      <c r="L213"/>
      <c r="M213"/>
      <c r="N213"/>
      <c r="O213"/>
      <c r="P213"/>
      <c r="Q213"/>
      <c r="R213"/>
      <c r="S213"/>
      <c r="T213"/>
      <c r="U213"/>
      <c r="V213"/>
      <c r="W213"/>
      <c r="X213"/>
      <c r="Y213"/>
      <c r="Z213"/>
      <c r="AA213"/>
      <c r="AB213"/>
      <c r="AC213"/>
      <c r="AD213"/>
      <c r="AE213"/>
      <c r="AF213"/>
      <c r="AG213" s="96" t="e">
        <f t="shared" si="173"/>
        <v>#DIV/0!</v>
      </c>
      <c r="AH213" s="96" t="e">
        <f t="shared" si="174"/>
        <v>#DIV/0!</v>
      </c>
      <c r="AI213" s="96" t="e">
        <f t="shared" si="175"/>
        <v>#DIV/0!</v>
      </c>
      <c r="AJ213" s="96" t="e">
        <f t="shared" si="176"/>
        <v>#DIV/0!</v>
      </c>
      <c r="AK213" s="96" t="e">
        <f t="shared" si="177"/>
        <v>#DIV/0!</v>
      </c>
    </row>
    <row r="214" spans="2:37" ht="15" x14ac:dyDescent="0.25">
      <c r="B214"/>
      <c r="C214"/>
      <c r="D214"/>
      <c r="E214"/>
      <c r="F214"/>
      <c r="G214"/>
      <c r="H214"/>
      <c r="I214"/>
      <c r="J214"/>
      <c r="K214"/>
      <c r="L214"/>
      <c r="M214"/>
      <c r="N214"/>
      <c r="O214"/>
      <c r="P214"/>
      <c r="Q214"/>
      <c r="R214"/>
      <c r="S214"/>
      <c r="T214"/>
      <c r="U214"/>
      <c r="V214"/>
      <c r="W214"/>
      <c r="X214"/>
      <c r="Y214"/>
      <c r="Z214"/>
      <c r="AA214"/>
      <c r="AB214"/>
      <c r="AC214"/>
      <c r="AD214"/>
      <c r="AE214"/>
      <c r="AF214"/>
      <c r="AG214" s="96" t="e">
        <f t="shared" si="173"/>
        <v>#DIV/0!</v>
      </c>
      <c r="AH214" s="96" t="e">
        <f t="shared" si="174"/>
        <v>#DIV/0!</v>
      </c>
      <c r="AI214" s="96" t="e">
        <f t="shared" si="175"/>
        <v>#DIV/0!</v>
      </c>
      <c r="AJ214" s="96" t="e">
        <f t="shared" si="176"/>
        <v>#DIV/0!</v>
      </c>
      <c r="AK214" s="96" t="e">
        <f t="shared" si="177"/>
        <v>#DIV/0!</v>
      </c>
    </row>
    <row r="215" spans="2:37" ht="15" x14ac:dyDescent="0.25">
      <c r="B215"/>
      <c r="C215"/>
      <c r="D215"/>
      <c r="E215"/>
      <c r="F215"/>
      <c r="G215"/>
      <c r="H215"/>
      <c r="I215"/>
      <c r="J215"/>
      <c r="K215"/>
      <c r="L215"/>
      <c r="M215"/>
      <c r="N215"/>
      <c r="O215"/>
      <c r="P215"/>
      <c r="Q215"/>
      <c r="R215"/>
      <c r="S215"/>
      <c r="T215"/>
      <c r="U215"/>
      <c r="V215"/>
      <c r="W215"/>
      <c r="X215"/>
      <c r="Y215"/>
      <c r="Z215"/>
      <c r="AA215"/>
      <c r="AB215"/>
      <c r="AC215"/>
      <c r="AD215"/>
      <c r="AE215"/>
      <c r="AF215"/>
      <c r="AG215" s="96" t="e">
        <f t="shared" ref="AG215" si="178">AJ69/$B$190</f>
        <v>#DIV/0!</v>
      </c>
      <c r="AH215" s="96" t="e">
        <f t="shared" ref="AH215" si="179">AK69/$B$190</f>
        <v>#DIV/0!</v>
      </c>
      <c r="AI215" s="96" t="e">
        <f t="shared" ref="AI215" si="180">AL69/$B$190</f>
        <v>#DIV/0!</v>
      </c>
      <c r="AJ215" s="96" t="e">
        <f t="shared" ref="AJ215" si="181">AM69/$B$190</f>
        <v>#DIV/0!</v>
      </c>
      <c r="AK215" s="96" t="e">
        <f t="shared" ref="AK215" si="182">AN69/$B$190</f>
        <v>#DIV/0!</v>
      </c>
    </row>
    <row r="216" spans="2:37" ht="15" x14ac:dyDescent="0.25">
      <c r="B216"/>
      <c r="C216"/>
      <c r="D216"/>
      <c r="E216"/>
      <c r="F216"/>
      <c r="G216"/>
      <c r="H216"/>
      <c r="I216"/>
      <c r="J216"/>
      <c r="K216"/>
      <c r="L216"/>
      <c r="M216"/>
      <c r="N216"/>
      <c r="O216"/>
      <c r="P216"/>
      <c r="Q216"/>
      <c r="R216"/>
      <c r="S216"/>
      <c r="T216"/>
      <c r="U216"/>
      <c r="V216"/>
      <c r="W216"/>
      <c r="X216"/>
      <c r="Y216"/>
      <c r="Z216"/>
      <c r="AA216"/>
      <c r="AB216"/>
      <c r="AC216"/>
      <c r="AD216"/>
      <c r="AE216"/>
      <c r="AF216"/>
      <c r="AG216" s="96" t="e">
        <f t="shared" ref="AG216" si="183">AJ76/$B$190</f>
        <v>#DIV/0!</v>
      </c>
      <c r="AH216" s="96" t="e">
        <f t="shared" ref="AH216" si="184">AK76/$B$190</f>
        <v>#DIV/0!</v>
      </c>
      <c r="AI216" s="96" t="e">
        <f t="shared" ref="AI216" si="185">AL76/$B$190</f>
        <v>#DIV/0!</v>
      </c>
      <c r="AJ216" s="96" t="e">
        <f t="shared" ref="AJ216" si="186">AM76/$B$190</f>
        <v>#DIV/0!</v>
      </c>
      <c r="AK216" s="96" t="e">
        <f t="shared" ref="AK216" si="187">AN76/$B$190</f>
        <v>#DIV/0!</v>
      </c>
    </row>
    <row r="217" spans="2:37" s="56" customFormat="1" ht="15" x14ac:dyDescent="0.25">
      <c r="B217"/>
      <c r="C217"/>
      <c r="D217"/>
      <c r="E217"/>
      <c r="F217"/>
      <c r="G217"/>
      <c r="H217"/>
      <c r="I217"/>
      <c r="J217"/>
      <c r="K217"/>
      <c r="L217"/>
      <c r="M217"/>
      <c r="N217"/>
      <c r="O217"/>
      <c r="P217"/>
      <c r="Q217"/>
      <c r="R217"/>
      <c r="S217"/>
      <c r="T217"/>
      <c r="U217"/>
      <c r="V217"/>
      <c r="W217"/>
      <c r="X217"/>
      <c r="Y217"/>
      <c r="Z217"/>
      <c r="AA217"/>
      <c r="AB217"/>
      <c r="AC217"/>
      <c r="AD217"/>
      <c r="AE217"/>
      <c r="AF217"/>
      <c r="AG217" s="97" t="e">
        <f t="shared" ref="AG217" si="188">AJ93/$B$190</f>
        <v>#DIV/0!</v>
      </c>
      <c r="AH217" s="97" t="e">
        <f t="shared" ref="AH217" si="189">AK93/$B$190</f>
        <v>#DIV/0!</v>
      </c>
      <c r="AI217" s="97" t="e">
        <f t="shared" ref="AI217" si="190">AL93/$B$190</f>
        <v>#DIV/0!</v>
      </c>
      <c r="AJ217" s="97" t="e">
        <f t="shared" ref="AJ217" si="191">AM93/$B$190</f>
        <v>#DIV/0!</v>
      </c>
      <c r="AK217" s="97" t="e">
        <f t="shared" ref="AK217" si="192">AN93/$B$190</f>
        <v>#DIV/0!</v>
      </c>
    </row>
    <row r="218" spans="2:37" ht="15" x14ac:dyDescent="0.25">
      <c r="B218"/>
      <c r="C218"/>
      <c r="D218"/>
      <c r="E218"/>
      <c r="F218"/>
      <c r="G218"/>
      <c r="H218"/>
      <c r="I218"/>
      <c r="J218"/>
      <c r="K218"/>
      <c r="L218"/>
      <c r="M218"/>
      <c r="N218"/>
      <c r="O218"/>
      <c r="P218"/>
      <c r="Q218"/>
      <c r="R218"/>
      <c r="S218"/>
      <c r="T218"/>
      <c r="U218"/>
      <c r="V218"/>
      <c r="W218"/>
      <c r="X218"/>
      <c r="Y218"/>
      <c r="Z218"/>
      <c r="AA218"/>
      <c r="AB218"/>
      <c r="AC218"/>
      <c r="AD218"/>
      <c r="AE218"/>
      <c r="AF218"/>
      <c r="AG218" s="96" t="e">
        <f t="shared" ref="AG218:AG220" si="193">AJ96/$B$190</f>
        <v>#DIV/0!</v>
      </c>
      <c r="AH218" s="96" t="e">
        <f t="shared" ref="AH218:AH220" si="194">AK96/$B$190</f>
        <v>#DIV/0!</v>
      </c>
      <c r="AI218" s="96" t="e">
        <f t="shared" ref="AI218:AI220" si="195">AL96/$B$190</f>
        <v>#DIV/0!</v>
      </c>
      <c r="AJ218" s="96" t="e">
        <f t="shared" ref="AJ218:AJ220" si="196">AM96/$B$190</f>
        <v>#DIV/0!</v>
      </c>
      <c r="AK218" s="96" t="e">
        <f t="shared" ref="AK218:AK220" si="197">AN96/$B$190</f>
        <v>#DIV/0!</v>
      </c>
    </row>
    <row r="219" spans="2:37" ht="15" x14ac:dyDescent="0.25">
      <c r="B219"/>
      <c r="C219"/>
      <c r="D219"/>
      <c r="E219"/>
      <c r="F219"/>
      <c r="G219"/>
      <c r="H219"/>
      <c r="I219"/>
      <c r="J219"/>
      <c r="K219"/>
      <c r="L219"/>
      <c r="M219"/>
      <c r="N219"/>
      <c r="O219"/>
      <c r="P219"/>
      <c r="Q219"/>
      <c r="R219"/>
      <c r="S219"/>
      <c r="T219"/>
      <c r="U219"/>
      <c r="V219"/>
      <c r="W219"/>
      <c r="X219"/>
      <c r="Y219"/>
      <c r="Z219"/>
      <c r="AA219"/>
      <c r="AB219"/>
      <c r="AC219"/>
      <c r="AD219"/>
      <c r="AE219"/>
      <c r="AF219"/>
      <c r="AG219" s="96" t="e">
        <f t="shared" si="193"/>
        <v>#DIV/0!</v>
      </c>
      <c r="AH219" s="96" t="e">
        <f t="shared" si="194"/>
        <v>#DIV/0!</v>
      </c>
      <c r="AI219" s="96" t="e">
        <f t="shared" si="195"/>
        <v>#DIV/0!</v>
      </c>
      <c r="AJ219" s="96" t="e">
        <f t="shared" si="196"/>
        <v>#DIV/0!</v>
      </c>
      <c r="AK219" s="96" t="e">
        <f t="shared" si="197"/>
        <v>#DIV/0!</v>
      </c>
    </row>
    <row r="220" spans="2:37" ht="15" x14ac:dyDescent="0.25">
      <c r="B220"/>
      <c r="C220"/>
      <c r="D220"/>
      <c r="E220"/>
      <c r="F220"/>
      <c r="G220"/>
      <c r="H220"/>
      <c r="I220"/>
      <c r="J220"/>
      <c r="K220"/>
      <c r="L220"/>
      <c r="M220"/>
      <c r="N220"/>
      <c r="O220"/>
      <c r="P220"/>
      <c r="Q220"/>
      <c r="R220"/>
      <c r="S220"/>
      <c r="T220"/>
      <c r="U220"/>
      <c r="V220"/>
      <c r="W220"/>
      <c r="X220"/>
      <c r="Y220"/>
      <c r="Z220"/>
      <c r="AA220"/>
      <c r="AB220"/>
      <c r="AC220"/>
      <c r="AD220"/>
      <c r="AE220"/>
      <c r="AF220"/>
      <c r="AG220" s="96" t="e">
        <f t="shared" si="193"/>
        <v>#DIV/0!</v>
      </c>
      <c r="AH220" s="96" t="e">
        <f t="shared" si="194"/>
        <v>#DIV/0!</v>
      </c>
      <c r="AI220" s="96" t="e">
        <f t="shared" si="195"/>
        <v>#DIV/0!</v>
      </c>
      <c r="AJ220" s="96" t="e">
        <f t="shared" si="196"/>
        <v>#DIV/0!</v>
      </c>
      <c r="AK220" s="96" t="e">
        <f t="shared" si="197"/>
        <v>#DIV/0!</v>
      </c>
    </row>
    <row r="221" spans="2:37" ht="15" x14ac:dyDescent="0.25">
      <c r="B221"/>
      <c r="C221"/>
      <c r="D221"/>
      <c r="E221"/>
      <c r="F221"/>
      <c r="G221"/>
      <c r="H221"/>
      <c r="I221"/>
      <c r="J221"/>
      <c r="K221"/>
      <c r="L221"/>
      <c r="M221"/>
      <c r="N221"/>
      <c r="O221"/>
      <c r="P221"/>
      <c r="Q221"/>
      <c r="R221"/>
      <c r="S221"/>
      <c r="T221"/>
      <c r="U221"/>
      <c r="V221"/>
      <c r="W221"/>
      <c r="X221"/>
      <c r="Y221"/>
      <c r="Z221"/>
      <c r="AA221"/>
      <c r="AB221"/>
      <c r="AC221"/>
      <c r="AD221"/>
      <c r="AE221"/>
      <c r="AF221"/>
      <c r="AG221" s="96" t="e">
        <f t="shared" ref="AG221:AG222" si="198">AJ102/$B$190</f>
        <v>#DIV/0!</v>
      </c>
      <c r="AH221" s="96" t="e">
        <f t="shared" ref="AH221:AH222" si="199">AK102/$B$190</f>
        <v>#DIV/0!</v>
      </c>
      <c r="AI221" s="96" t="e">
        <f t="shared" ref="AI221:AI222" si="200">AL102/$B$190</f>
        <v>#DIV/0!</v>
      </c>
      <c r="AJ221" s="96" t="e">
        <f t="shared" ref="AJ221:AJ222" si="201">AM102/$B$190</f>
        <v>#DIV/0!</v>
      </c>
      <c r="AK221" s="96" t="e">
        <f t="shared" ref="AK221:AK222" si="202">AN102/$B$190</f>
        <v>#DIV/0!</v>
      </c>
    </row>
    <row r="222" spans="2:37" ht="15" x14ac:dyDescent="0.25">
      <c r="B222"/>
      <c r="C222"/>
      <c r="D222"/>
      <c r="E222"/>
      <c r="F222"/>
      <c r="G222"/>
      <c r="H222"/>
      <c r="I222"/>
      <c r="J222"/>
      <c r="K222"/>
      <c r="L222"/>
      <c r="M222"/>
      <c r="N222"/>
      <c r="O222"/>
      <c r="P222"/>
      <c r="Q222"/>
      <c r="R222"/>
      <c r="S222"/>
      <c r="T222"/>
      <c r="U222"/>
      <c r="V222"/>
      <c r="W222"/>
      <c r="X222"/>
      <c r="Y222"/>
      <c r="Z222"/>
      <c r="AA222"/>
      <c r="AB222"/>
      <c r="AC222"/>
      <c r="AD222"/>
      <c r="AE222"/>
      <c r="AF222"/>
      <c r="AG222" s="96" t="e">
        <f t="shared" si="198"/>
        <v>#DIV/0!</v>
      </c>
      <c r="AH222" s="96" t="e">
        <f t="shared" si="199"/>
        <v>#DIV/0!</v>
      </c>
      <c r="AI222" s="96" t="e">
        <f t="shared" si="200"/>
        <v>#DIV/0!</v>
      </c>
      <c r="AJ222" s="96" t="e">
        <f t="shared" si="201"/>
        <v>#DIV/0!</v>
      </c>
      <c r="AK222" s="96" t="e">
        <f t="shared" si="202"/>
        <v>#DIV/0!</v>
      </c>
    </row>
    <row r="223" spans="2:37" s="56" customFormat="1" ht="15.75" thickBot="1" x14ac:dyDescent="0.3">
      <c r="B223"/>
      <c r="C223"/>
      <c r="D223"/>
      <c r="E223"/>
      <c r="F223"/>
      <c r="G223"/>
      <c r="H223"/>
      <c r="I223"/>
      <c r="J223"/>
      <c r="K223"/>
      <c r="L223"/>
      <c r="M223"/>
      <c r="N223"/>
      <c r="O223"/>
      <c r="P223"/>
      <c r="Q223"/>
      <c r="R223"/>
      <c r="S223"/>
      <c r="T223"/>
      <c r="U223"/>
      <c r="V223"/>
      <c r="W223"/>
      <c r="X223"/>
      <c r="Y223"/>
      <c r="Z223"/>
      <c r="AA223"/>
      <c r="AB223"/>
      <c r="AC223"/>
      <c r="AD223"/>
      <c r="AE223"/>
      <c r="AF223"/>
      <c r="AG223" s="97" t="e">
        <f t="shared" ref="AG223" si="203">AJ105/$B$190</f>
        <v>#DIV/0!</v>
      </c>
      <c r="AH223" s="97" t="e">
        <f t="shared" ref="AH223" si="204">AK105/$B$190</f>
        <v>#DIV/0!</v>
      </c>
      <c r="AI223" s="97" t="e">
        <f t="shared" ref="AI223" si="205">AL105/$B$190</f>
        <v>#DIV/0!</v>
      </c>
      <c r="AJ223" s="97" t="e">
        <f t="shared" ref="AJ223" si="206">AM105/$B$190</f>
        <v>#DIV/0!</v>
      </c>
      <c r="AK223" s="97" t="e">
        <f t="shared" ref="AK223" si="207">AN105/$B$190</f>
        <v>#DIV/0!</v>
      </c>
    </row>
    <row r="224" spans="2:37" s="56" customFormat="1" ht="15" x14ac:dyDescent="0.25">
      <c r="B224"/>
      <c r="C224"/>
      <c r="D224"/>
      <c r="E224"/>
      <c r="F224"/>
      <c r="G224"/>
      <c r="H224"/>
      <c r="I224"/>
      <c r="J224"/>
      <c r="K224"/>
      <c r="L224"/>
      <c r="M224"/>
      <c r="N224"/>
      <c r="O224"/>
      <c r="P224"/>
      <c r="Q224"/>
      <c r="R224"/>
      <c r="S224"/>
      <c r="T224"/>
      <c r="U224"/>
      <c r="V224"/>
      <c r="W224"/>
      <c r="X224"/>
      <c r="Y224"/>
      <c r="Z224"/>
      <c r="AA224"/>
      <c r="AB224"/>
      <c r="AC224"/>
      <c r="AD224"/>
      <c r="AE224"/>
      <c r="AF224"/>
      <c r="AG224" s="33" t="e">
        <f t="shared" ref="AG224" si="208">AJ107/$B$190</f>
        <v>#DIV/0!</v>
      </c>
      <c r="AH224" s="33" t="e">
        <f t="shared" ref="AH224" si="209">AK107/$B$190</f>
        <v>#DIV/0!</v>
      </c>
      <c r="AI224" s="33" t="e">
        <f t="shared" ref="AI224" si="210">AL107/$B$190</f>
        <v>#DIV/0!</v>
      </c>
      <c r="AJ224" s="33" t="e">
        <f t="shared" ref="AJ224" si="211">AM107/$B$190</f>
        <v>#DIV/0!</v>
      </c>
      <c r="AK224" s="33" t="e">
        <f t="shared" ref="AK224" si="212">AN107/$B$190</f>
        <v>#DIV/0!</v>
      </c>
    </row>
    <row r="225" spans="2:32" ht="15" x14ac:dyDescent="0.25">
      <c r="B225"/>
      <c r="C225"/>
      <c r="D225"/>
      <c r="E225"/>
      <c r="F225"/>
      <c r="G225"/>
      <c r="H225"/>
      <c r="I225"/>
      <c r="J225"/>
      <c r="K225"/>
      <c r="L225"/>
      <c r="M225"/>
      <c r="N225"/>
      <c r="O225"/>
      <c r="P225"/>
      <c r="Q225"/>
      <c r="R225"/>
      <c r="S225"/>
      <c r="T225"/>
      <c r="U225"/>
      <c r="V225"/>
      <c r="W225"/>
      <c r="X225"/>
      <c r="Y225"/>
      <c r="Z225"/>
      <c r="AA225"/>
      <c r="AB225"/>
      <c r="AC225"/>
      <c r="AD225"/>
      <c r="AE225"/>
      <c r="AF225"/>
    </row>
    <row r="226" spans="2:32" ht="15" x14ac:dyDescent="0.25">
      <c r="B226"/>
      <c r="C226"/>
      <c r="D226"/>
      <c r="E226"/>
      <c r="F226"/>
      <c r="G226"/>
      <c r="H226"/>
      <c r="I226"/>
      <c r="J226"/>
      <c r="K226"/>
      <c r="L226"/>
      <c r="M226"/>
      <c r="N226"/>
      <c r="O226"/>
      <c r="P226"/>
      <c r="Q226"/>
      <c r="R226"/>
      <c r="S226"/>
      <c r="T226"/>
      <c r="U226"/>
      <c r="V226"/>
      <c r="W226"/>
      <c r="X226"/>
      <c r="Y226"/>
      <c r="Z226"/>
      <c r="AA226"/>
      <c r="AB226"/>
      <c r="AC226"/>
      <c r="AD226"/>
      <c r="AE226"/>
      <c r="AF226"/>
    </row>
    <row r="227" spans="2:32" ht="15" x14ac:dyDescent="0.25">
      <c r="B227"/>
      <c r="C227"/>
      <c r="D227"/>
      <c r="E227"/>
      <c r="F227"/>
      <c r="G227"/>
      <c r="H227"/>
      <c r="I227"/>
      <c r="J227"/>
      <c r="K227"/>
      <c r="L227"/>
      <c r="M227"/>
      <c r="N227"/>
      <c r="O227"/>
      <c r="P227"/>
      <c r="Q227"/>
      <c r="R227"/>
      <c r="S227"/>
      <c r="T227"/>
      <c r="U227"/>
      <c r="V227"/>
      <c r="W227"/>
      <c r="X227"/>
      <c r="Y227"/>
      <c r="Z227"/>
      <c r="AA227"/>
      <c r="AB227"/>
      <c r="AC227"/>
      <c r="AD227"/>
      <c r="AE227"/>
      <c r="AF227"/>
    </row>
    <row r="228" spans="2:32" ht="15" x14ac:dyDescent="0.25">
      <c r="B228"/>
      <c r="C228"/>
      <c r="D228"/>
      <c r="E228"/>
      <c r="F228"/>
      <c r="G228"/>
      <c r="H228"/>
      <c r="I228"/>
      <c r="J228"/>
      <c r="K228"/>
      <c r="L228"/>
      <c r="M228"/>
      <c r="N228"/>
      <c r="O228"/>
      <c r="P228"/>
      <c r="Q228"/>
      <c r="R228"/>
      <c r="S228"/>
      <c r="T228"/>
      <c r="U228"/>
      <c r="V228"/>
      <c r="W228"/>
      <c r="X228"/>
      <c r="Y228"/>
      <c r="Z228"/>
      <c r="AA228"/>
      <c r="AB228"/>
      <c r="AC228"/>
      <c r="AD228"/>
      <c r="AE228"/>
      <c r="AF228"/>
    </row>
    <row r="229" spans="2:32" ht="15" x14ac:dyDescent="0.25">
      <c r="B229"/>
      <c r="C229"/>
      <c r="D229"/>
      <c r="E229"/>
      <c r="F229"/>
      <c r="G229"/>
      <c r="H229"/>
      <c r="I229"/>
      <c r="J229"/>
      <c r="K229"/>
      <c r="L229"/>
      <c r="M229"/>
      <c r="N229"/>
      <c r="O229"/>
      <c r="P229"/>
      <c r="Q229"/>
      <c r="R229"/>
      <c r="S229"/>
      <c r="T229"/>
      <c r="U229"/>
      <c r="V229"/>
      <c r="W229"/>
      <c r="X229"/>
      <c r="Y229"/>
      <c r="Z229"/>
      <c r="AA229"/>
      <c r="AB229"/>
      <c r="AC229"/>
      <c r="AD229"/>
      <c r="AE229"/>
      <c r="AF229"/>
    </row>
    <row r="230" spans="2:32" ht="15" x14ac:dyDescent="0.25">
      <c r="B230"/>
      <c r="C230"/>
      <c r="D230"/>
      <c r="E230"/>
      <c r="F230"/>
      <c r="G230"/>
      <c r="H230"/>
      <c r="I230"/>
      <c r="J230"/>
      <c r="K230"/>
      <c r="L230"/>
      <c r="M230"/>
      <c r="N230"/>
      <c r="O230"/>
      <c r="P230"/>
      <c r="Q230"/>
      <c r="R230"/>
      <c r="S230"/>
      <c r="T230"/>
      <c r="U230"/>
      <c r="V230"/>
      <c r="W230"/>
      <c r="X230"/>
      <c r="Y230"/>
      <c r="Z230"/>
      <c r="AA230"/>
      <c r="AB230"/>
      <c r="AC230"/>
      <c r="AD230"/>
      <c r="AE230"/>
      <c r="AF230"/>
    </row>
    <row r="231" spans="2:32" ht="15" x14ac:dyDescent="0.25">
      <c r="B231"/>
      <c r="C231"/>
      <c r="D231"/>
      <c r="E231"/>
      <c r="F231"/>
      <c r="G231"/>
      <c r="H231"/>
      <c r="I231"/>
      <c r="J231"/>
      <c r="K231"/>
      <c r="L231"/>
      <c r="M231"/>
      <c r="N231"/>
      <c r="O231"/>
      <c r="P231"/>
      <c r="Q231"/>
      <c r="R231"/>
      <c r="S231"/>
      <c r="T231"/>
      <c r="U231"/>
      <c r="V231"/>
      <c r="W231"/>
      <c r="X231"/>
      <c r="Y231"/>
      <c r="Z231"/>
      <c r="AA231"/>
      <c r="AB231"/>
      <c r="AC231"/>
      <c r="AD231"/>
      <c r="AE231"/>
      <c r="AF231"/>
    </row>
    <row r="232" spans="2:32" ht="15" x14ac:dyDescent="0.25">
      <c r="B232"/>
      <c r="C232"/>
      <c r="D232"/>
      <c r="E232"/>
      <c r="F232"/>
      <c r="G232"/>
      <c r="H232"/>
      <c r="I232"/>
      <c r="J232"/>
      <c r="K232"/>
      <c r="L232"/>
      <c r="M232"/>
      <c r="N232"/>
      <c r="O232"/>
      <c r="P232"/>
      <c r="Q232"/>
      <c r="R232"/>
      <c r="S232"/>
      <c r="T232"/>
      <c r="U232"/>
      <c r="V232"/>
      <c r="W232"/>
      <c r="X232"/>
      <c r="Y232"/>
      <c r="Z232"/>
      <c r="AA232"/>
      <c r="AB232"/>
      <c r="AC232"/>
      <c r="AD232"/>
      <c r="AE232"/>
      <c r="AF232"/>
    </row>
    <row r="233" spans="2:32" ht="15" x14ac:dyDescent="0.25">
      <c r="B233"/>
      <c r="C233"/>
      <c r="D233"/>
      <c r="E233"/>
      <c r="F233"/>
      <c r="G233"/>
      <c r="H233"/>
      <c r="I233"/>
      <c r="J233"/>
      <c r="K233"/>
      <c r="L233"/>
      <c r="M233"/>
      <c r="N233"/>
      <c r="O233"/>
      <c r="P233"/>
      <c r="Q233"/>
      <c r="R233"/>
      <c r="S233"/>
      <c r="T233"/>
      <c r="U233"/>
      <c r="V233"/>
      <c r="W233"/>
      <c r="X233"/>
      <c r="Y233"/>
      <c r="Z233"/>
      <c r="AA233"/>
      <c r="AB233"/>
      <c r="AC233"/>
      <c r="AD233"/>
      <c r="AE233"/>
      <c r="AF233"/>
    </row>
    <row r="234" spans="2:32" ht="15" x14ac:dyDescent="0.25">
      <c r="B234"/>
      <c r="C234"/>
      <c r="D234"/>
      <c r="E234"/>
      <c r="F234"/>
      <c r="G234"/>
      <c r="H234"/>
      <c r="I234"/>
      <c r="J234"/>
      <c r="K234"/>
      <c r="L234"/>
      <c r="M234"/>
      <c r="N234"/>
      <c r="O234"/>
      <c r="P234"/>
      <c r="Q234"/>
      <c r="R234"/>
      <c r="S234"/>
      <c r="T234"/>
      <c r="U234"/>
      <c r="V234"/>
      <c r="W234"/>
      <c r="X234"/>
      <c r="Y234"/>
      <c r="Z234"/>
      <c r="AA234"/>
      <c r="AB234"/>
      <c r="AC234"/>
      <c r="AD234"/>
      <c r="AE234"/>
      <c r="AF234"/>
    </row>
    <row r="235" spans="2:32" ht="15" x14ac:dyDescent="0.25">
      <c r="B235"/>
      <c r="C235"/>
      <c r="D235"/>
      <c r="E235"/>
      <c r="F235"/>
      <c r="G235"/>
      <c r="H235"/>
      <c r="I235"/>
      <c r="J235"/>
      <c r="K235"/>
      <c r="L235"/>
      <c r="M235"/>
      <c r="N235"/>
      <c r="O235"/>
      <c r="P235"/>
      <c r="Q235"/>
      <c r="R235"/>
      <c r="S235"/>
      <c r="T235"/>
      <c r="U235"/>
      <c r="V235"/>
      <c r="W235"/>
      <c r="X235"/>
      <c r="Y235"/>
      <c r="Z235"/>
      <c r="AA235"/>
      <c r="AB235"/>
      <c r="AC235"/>
      <c r="AD235"/>
      <c r="AE235"/>
      <c r="AF235"/>
    </row>
    <row r="236" spans="2:32" ht="15" x14ac:dyDescent="0.25">
      <c r="B236"/>
      <c r="C236"/>
      <c r="D236"/>
      <c r="E236"/>
      <c r="F236"/>
      <c r="G236"/>
      <c r="H236"/>
      <c r="I236"/>
      <c r="J236"/>
      <c r="K236"/>
      <c r="L236"/>
      <c r="M236"/>
      <c r="N236"/>
      <c r="O236"/>
      <c r="P236"/>
      <c r="Q236"/>
      <c r="R236"/>
      <c r="S236"/>
      <c r="T236"/>
      <c r="U236"/>
      <c r="V236"/>
      <c r="W236"/>
      <c r="X236"/>
      <c r="Y236"/>
      <c r="Z236"/>
      <c r="AA236"/>
      <c r="AB236"/>
      <c r="AC236"/>
      <c r="AD236"/>
      <c r="AE236"/>
      <c r="AF236"/>
    </row>
    <row r="237" spans="2:32" ht="15" x14ac:dyDescent="0.25">
      <c r="B237"/>
      <c r="C237"/>
      <c r="D237"/>
      <c r="E237"/>
      <c r="F237"/>
      <c r="G237"/>
      <c r="H237"/>
      <c r="I237"/>
      <c r="J237"/>
      <c r="K237"/>
      <c r="L237"/>
      <c r="M237"/>
      <c r="N237"/>
      <c r="O237"/>
      <c r="P237"/>
      <c r="Q237"/>
      <c r="R237"/>
      <c r="S237"/>
      <c r="T237"/>
      <c r="U237"/>
      <c r="V237"/>
      <c r="W237"/>
      <c r="X237"/>
      <c r="Y237"/>
      <c r="Z237"/>
      <c r="AA237"/>
      <c r="AB237"/>
      <c r="AC237"/>
      <c r="AD237"/>
      <c r="AE237"/>
      <c r="AF237"/>
    </row>
    <row r="238" spans="2:32" ht="15" x14ac:dyDescent="0.25">
      <c r="B238"/>
      <c r="C238"/>
      <c r="D238"/>
      <c r="E238"/>
      <c r="F238"/>
      <c r="G238"/>
      <c r="H238"/>
      <c r="I238"/>
      <c r="J238"/>
      <c r="K238"/>
      <c r="L238"/>
      <c r="M238"/>
      <c r="N238"/>
      <c r="O238"/>
      <c r="P238"/>
      <c r="Q238"/>
      <c r="R238"/>
      <c r="S238"/>
      <c r="T238"/>
      <c r="U238"/>
      <c r="V238"/>
      <c r="W238"/>
      <c r="X238"/>
      <c r="Y238"/>
      <c r="Z238"/>
      <c r="AA238"/>
      <c r="AB238"/>
      <c r="AC238"/>
      <c r="AD238"/>
      <c r="AE238"/>
      <c r="AF238"/>
    </row>
    <row r="239" spans="2:32" ht="15" x14ac:dyDescent="0.25">
      <c r="B239"/>
      <c r="C239"/>
      <c r="D239"/>
      <c r="E239"/>
      <c r="F239"/>
      <c r="G239"/>
      <c r="H239"/>
      <c r="I239"/>
      <c r="J239"/>
      <c r="K239"/>
      <c r="L239"/>
      <c r="M239"/>
      <c r="N239"/>
      <c r="O239"/>
      <c r="P239"/>
      <c r="Q239"/>
      <c r="R239"/>
      <c r="S239"/>
      <c r="T239"/>
      <c r="U239"/>
      <c r="V239"/>
      <c r="W239"/>
      <c r="X239"/>
      <c r="Y239"/>
      <c r="Z239"/>
      <c r="AA239"/>
      <c r="AB239"/>
      <c r="AC239"/>
      <c r="AD239"/>
      <c r="AE239"/>
      <c r="AF239"/>
    </row>
    <row r="240" spans="2:32" ht="15" x14ac:dyDescent="0.25">
      <c r="B240"/>
      <c r="C240"/>
      <c r="D240"/>
      <c r="E240"/>
      <c r="F240"/>
      <c r="G240"/>
      <c r="H240"/>
      <c r="I240"/>
      <c r="J240"/>
      <c r="K240"/>
      <c r="L240"/>
      <c r="M240"/>
      <c r="N240"/>
      <c r="O240"/>
      <c r="P240"/>
      <c r="Q240"/>
      <c r="R240"/>
      <c r="S240"/>
      <c r="T240"/>
      <c r="U240"/>
      <c r="V240"/>
      <c r="W240"/>
      <c r="X240"/>
      <c r="Y240"/>
      <c r="Z240"/>
      <c r="AA240"/>
      <c r="AB240"/>
      <c r="AC240"/>
      <c r="AD240"/>
      <c r="AE240"/>
      <c r="AF240"/>
    </row>
    <row r="241" spans="2:32" ht="15" x14ac:dyDescent="0.25">
      <c r="B241"/>
      <c r="C241"/>
      <c r="D241"/>
      <c r="E241"/>
      <c r="F241"/>
      <c r="G241"/>
      <c r="H241"/>
      <c r="I241"/>
      <c r="J241"/>
      <c r="K241"/>
      <c r="L241"/>
      <c r="M241"/>
      <c r="N241"/>
      <c r="O241"/>
      <c r="P241"/>
      <c r="Q241"/>
      <c r="R241"/>
      <c r="S241"/>
      <c r="T241"/>
      <c r="U241"/>
      <c r="V241"/>
      <c r="W241"/>
      <c r="X241"/>
      <c r="Y241"/>
      <c r="Z241"/>
      <c r="AA241"/>
      <c r="AB241"/>
      <c r="AC241"/>
      <c r="AD241"/>
      <c r="AE241"/>
      <c r="AF241"/>
    </row>
    <row r="242" spans="2:32" ht="15" x14ac:dyDescent="0.25">
      <c r="B242"/>
      <c r="C242"/>
      <c r="D242"/>
      <c r="E242"/>
      <c r="F242"/>
      <c r="G242"/>
      <c r="H242"/>
      <c r="I242"/>
      <c r="J242"/>
      <c r="K242"/>
      <c r="L242"/>
      <c r="M242"/>
      <c r="N242"/>
      <c r="O242"/>
      <c r="P242"/>
      <c r="Q242"/>
      <c r="R242"/>
      <c r="S242"/>
      <c r="T242"/>
      <c r="U242"/>
      <c r="V242"/>
      <c r="W242"/>
      <c r="X242"/>
      <c r="Y242"/>
      <c r="Z242"/>
      <c r="AA242"/>
      <c r="AB242"/>
      <c r="AC242"/>
      <c r="AD242"/>
      <c r="AE242"/>
      <c r="AF242"/>
    </row>
    <row r="243" spans="2:32" ht="15" x14ac:dyDescent="0.25">
      <c r="B243"/>
      <c r="C243"/>
      <c r="D243"/>
      <c r="E243"/>
      <c r="F243"/>
      <c r="G243"/>
      <c r="H243"/>
      <c r="I243"/>
      <c r="J243"/>
      <c r="K243"/>
      <c r="L243"/>
      <c r="M243"/>
      <c r="N243"/>
      <c r="O243"/>
      <c r="P243"/>
      <c r="Q243"/>
      <c r="R243"/>
      <c r="S243"/>
      <c r="T243"/>
      <c r="U243"/>
      <c r="V243"/>
      <c r="W243"/>
      <c r="X243"/>
      <c r="Y243"/>
      <c r="Z243"/>
      <c r="AA243"/>
      <c r="AB243"/>
      <c r="AC243"/>
      <c r="AD243"/>
      <c r="AE243"/>
      <c r="AF243"/>
    </row>
    <row r="244" spans="2:32" ht="15" x14ac:dyDescent="0.25">
      <c r="B244"/>
      <c r="C244"/>
      <c r="D244"/>
      <c r="E244"/>
      <c r="F244"/>
      <c r="G244"/>
      <c r="H244"/>
      <c r="I244"/>
      <c r="J244"/>
      <c r="K244"/>
      <c r="L244"/>
      <c r="M244"/>
      <c r="N244"/>
      <c r="O244"/>
      <c r="P244"/>
      <c r="Q244"/>
      <c r="R244"/>
      <c r="S244"/>
      <c r="T244"/>
      <c r="U244"/>
      <c r="V244"/>
      <c r="W244"/>
      <c r="X244"/>
      <c r="Y244"/>
      <c r="Z244"/>
      <c r="AA244"/>
      <c r="AB244"/>
      <c r="AC244"/>
      <c r="AD244"/>
      <c r="AE244"/>
      <c r="AF244"/>
    </row>
    <row r="245" spans="2:32" ht="15" x14ac:dyDescent="0.25">
      <c r="B245"/>
      <c r="C245"/>
      <c r="D245"/>
      <c r="E245"/>
      <c r="F245"/>
      <c r="G245"/>
      <c r="H245"/>
      <c r="I245"/>
      <c r="J245"/>
      <c r="K245"/>
      <c r="L245"/>
      <c r="M245"/>
      <c r="N245"/>
      <c r="O245"/>
      <c r="P245"/>
      <c r="Q245"/>
      <c r="R245"/>
      <c r="S245"/>
      <c r="T245"/>
      <c r="U245"/>
      <c r="V245"/>
      <c r="W245"/>
      <c r="X245"/>
      <c r="Y245"/>
      <c r="Z245"/>
      <c r="AA245"/>
      <c r="AB245"/>
      <c r="AC245"/>
      <c r="AD245"/>
      <c r="AE245"/>
      <c r="AF245"/>
    </row>
    <row r="246" spans="2:32" ht="15" x14ac:dyDescent="0.25">
      <c r="B246"/>
      <c r="C246"/>
      <c r="D246"/>
      <c r="E246"/>
      <c r="F246"/>
      <c r="G246"/>
      <c r="H246"/>
      <c r="I246"/>
      <c r="J246"/>
      <c r="K246"/>
      <c r="L246"/>
      <c r="M246"/>
      <c r="N246"/>
      <c r="O246"/>
      <c r="P246"/>
      <c r="Q246"/>
      <c r="R246"/>
      <c r="S246"/>
      <c r="T246"/>
      <c r="U246"/>
      <c r="V246"/>
      <c r="W246"/>
      <c r="X246"/>
      <c r="Y246"/>
      <c r="Z246"/>
      <c r="AA246"/>
      <c r="AB246"/>
      <c r="AC246"/>
      <c r="AD246"/>
      <c r="AE246"/>
      <c r="AF246"/>
    </row>
    <row r="247" spans="2:32" ht="15" x14ac:dyDescent="0.25">
      <c r="B247"/>
      <c r="C247"/>
      <c r="D247"/>
      <c r="E247"/>
      <c r="F247"/>
      <c r="G247"/>
      <c r="H247"/>
      <c r="I247"/>
      <c r="J247"/>
      <c r="K247"/>
      <c r="L247"/>
      <c r="M247"/>
      <c r="N247"/>
      <c r="O247"/>
      <c r="P247"/>
      <c r="Q247"/>
      <c r="R247"/>
      <c r="S247"/>
      <c r="T247"/>
      <c r="U247"/>
      <c r="V247"/>
      <c r="W247"/>
      <c r="X247"/>
      <c r="Y247"/>
      <c r="Z247"/>
      <c r="AA247"/>
      <c r="AB247"/>
      <c r="AC247"/>
      <c r="AD247"/>
      <c r="AE247"/>
      <c r="AF247"/>
    </row>
    <row r="248" spans="2:32" ht="15" x14ac:dyDescent="0.25">
      <c r="B248"/>
      <c r="C248"/>
      <c r="D248"/>
      <c r="E248"/>
      <c r="F248"/>
      <c r="G248"/>
      <c r="H248"/>
      <c r="I248"/>
      <c r="J248"/>
      <c r="K248"/>
      <c r="L248"/>
      <c r="M248"/>
      <c r="N248"/>
      <c r="O248"/>
      <c r="P248"/>
      <c r="Q248"/>
      <c r="R248"/>
      <c r="S248"/>
      <c r="T248"/>
      <c r="U248"/>
      <c r="V248"/>
      <c r="W248"/>
      <c r="X248"/>
      <c r="Y248"/>
      <c r="Z248"/>
      <c r="AA248"/>
      <c r="AB248"/>
      <c r="AC248"/>
      <c r="AD248"/>
      <c r="AE248"/>
      <c r="AF248"/>
    </row>
    <row r="249" spans="2:32" ht="15" x14ac:dyDescent="0.25">
      <c r="B249"/>
      <c r="C249"/>
      <c r="D249"/>
      <c r="E249"/>
      <c r="F249"/>
      <c r="G249"/>
      <c r="H249"/>
      <c r="I249"/>
      <c r="J249"/>
      <c r="K249"/>
      <c r="L249"/>
      <c r="M249"/>
      <c r="N249"/>
      <c r="O249"/>
      <c r="P249"/>
      <c r="Q249"/>
      <c r="R249"/>
      <c r="S249"/>
      <c r="T249"/>
      <c r="U249"/>
      <c r="V249"/>
      <c r="W249"/>
      <c r="X249"/>
      <c r="Y249"/>
      <c r="Z249"/>
      <c r="AA249"/>
      <c r="AB249"/>
      <c r="AC249"/>
      <c r="AD249"/>
      <c r="AE249"/>
      <c r="AF249"/>
    </row>
    <row r="250" spans="2:32" ht="15" x14ac:dyDescent="0.25">
      <c r="B250"/>
      <c r="C250"/>
      <c r="D250"/>
      <c r="E250"/>
      <c r="F250"/>
      <c r="G250"/>
      <c r="H250"/>
      <c r="I250"/>
      <c r="J250"/>
      <c r="K250"/>
      <c r="L250"/>
      <c r="M250"/>
      <c r="N250"/>
      <c r="O250"/>
      <c r="P250"/>
      <c r="Q250"/>
      <c r="R250"/>
      <c r="S250"/>
      <c r="T250"/>
      <c r="U250"/>
      <c r="V250"/>
      <c r="W250"/>
      <c r="X250"/>
      <c r="Y250"/>
      <c r="Z250"/>
      <c r="AA250"/>
      <c r="AB250"/>
      <c r="AC250"/>
      <c r="AD250"/>
      <c r="AE250"/>
      <c r="AF250"/>
    </row>
    <row r="251" spans="2:32" ht="15" x14ac:dyDescent="0.25">
      <c r="B251"/>
      <c r="C251"/>
      <c r="D251"/>
      <c r="E251"/>
      <c r="F251"/>
      <c r="G251"/>
      <c r="H251"/>
      <c r="I251"/>
      <c r="J251"/>
      <c r="K251"/>
      <c r="L251"/>
      <c r="M251"/>
      <c r="N251"/>
      <c r="O251"/>
      <c r="P251"/>
      <c r="Q251"/>
      <c r="R251"/>
      <c r="S251"/>
      <c r="T251"/>
      <c r="U251"/>
      <c r="V251"/>
      <c r="W251"/>
      <c r="X251"/>
      <c r="Y251"/>
      <c r="Z251"/>
      <c r="AA251"/>
      <c r="AB251"/>
      <c r="AC251"/>
      <c r="AD251"/>
      <c r="AE251"/>
      <c r="AF251"/>
    </row>
    <row r="252" spans="2:32" ht="15" x14ac:dyDescent="0.25">
      <c r="B252"/>
      <c r="C252"/>
      <c r="D252"/>
      <c r="E252"/>
      <c r="F252"/>
      <c r="G252"/>
      <c r="H252"/>
      <c r="I252"/>
      <c r="J252"/>
      <c r="K252"/>
      <c r="L252"/>
      <c r="M252"/>
      <c r="N252"/>
      <c r="O252"/>
      <c r="P252"/>
      <c r="Q252"/>
      <c r="R252"/>
      <c r="S252"/>
      <c r="T252"/>
      <c r="U252"/>
      <c r="V252"/>
      <c r="W252"/>
      <c r="X252"/>
      <c r="Y252"/>
      <c r="Z252"/>
      <c r="AA252"/>
      <c r="AB252"/>
      <c r="AC252"/>
      <c r="AD252"/>
      <c r="AE252"/>
      <c r="AF252"/>
    </row>
    <row r="253" spans="2:32" ht="15" x14ac:dyDescent="0.25">
      <c r="B253"/>
      <c r="C253"/>
      <c r="D253"/>
      <c r="E253"/>
      <c r="F253"/>
      <c r="G253"/>
      <c r="H253"/>
      <c r="I253"/>
      <c r="J253"/>
      <c r="K253"/>
      <c r="L253"/>
      <c r="M253"/>
      <c r="N253"/>
      <c r="O253"/>
      <c r="P253"/>
      <c r="Q253"/>
      <c r="R253"/>
      <c r="S253"/>
      <c r="T253"/>
      <c r="U253"/>
      <c r="V253"/>
      <c r="W253"/>
      <c r="X253"/>
      <c r="Y253"/>
      <c r="Z253"/>
      <c r="AA253"/>
      <c r="AB253"/>
      <c r="AC253"/>
      <c r="AD253"/>
      <c r="AE253"/>
      <c r="AF253"/>
    </row>
    <row r="254" spans="2:32" ht="15" x14ac:dyDescent="0.25">
      <c r="B254"/>
      <c r="C254"/>
      <c r="D254"/>
      <c r="E254"/>
      <c r="F254"/>
      <c r="G254"/>
      <c r="H254"/>
      <c r="I254"/>
      <c r="J254"/>
      <c r="K254"/>
      <c r="L254"/>
      <c r="M254"/>
      <c r="N254"/>
      <c r="O254"/>
      <c r="P254"/>
      <c r="Q254"/>
      <c r="R254"/>
      <c r="S254"/>
      <c r="T254"/>
      <c r="U254"/>
      <c r="V254"/>
      <c r="W254"/>
      <c r="X254"/>
      <c r="Y254"/>
      <c r="Z254"/>
      <c r="AA254"/>
      <c r="AB254"/>
      <c r="AC254"/>
      <c r="AD254"/>
      <c r="AE254"/>
      <c r="AF254"/>
    </row>
    <row r="255" spans="2:32" ht="15" x14ac:dyDescent="0.25">
      <c r="B255"/>
      <c r="C255"/>
      <c r="D255"/>
      <c r="E255"/>
      <c r="F255"/>
      <c r="G255"/>
      <c r="H255"/>
      <c r="I255"/>
      <c r="J255"/>
      <c r="K255"/>
      <c r="L255"/>
      <c r="M255"/>
      <c r="N255"/>
      <c r="O255"/>
      <c r="P255"/>
      <c r="Q255"/>
      <c r="R255"/>
      <c r="S255"/>
      <c r="T255"/>
      <c r="U255"/>
      <c r="V255"/>
      <c r="W255"/>
      <c r="X255"/>
      <c r="Y255"/>
      <c r="Z255"/>
      <c r="AA255"/>
      <c r="AB255"/>
      <c r="AC255"/>
      <c r="AD255"/>
      <c r="AE255"/>
      <c r="AF255"/>
    </row>
    <row r="256" spans="2:32" ht="15" x14ac:dyDescent="0.25">
      <c r="B256"/>
      <c r="C256"/>
      <c r="D256"/>
      <c r="E256"/>
      <c r="F256"/>
      <c r="G256"/>
      <c r="H256"/>
      <c r="I256"/>
      <c r="J256"/>
      <c r="K256"/>
      <c r="L256"/>
      <c r="M256"/>
      <c r="N256"/>
      <c r="O256"/>
      <c r="P256"/>
      <c r="Q256"/>
      <c r="R256"/>
      <c r="S256"/>
      <c r="T256"/>
      <c r="U256"/>
      <c r="V256"/>
      <c r="W256"/>
      <c r="X256"/>
      <c r="Y256"/>
      <c r="Z256"/>
      <c r="AA256"/>
      <c r="AB256"/>
      <c r="AC256"/>
      <c r="AD256"/>
      <c r="AE256"/>
      <c r="AF256"/>
    </row>
    <row r="257" spans="2:32" ht="15" x14ac:dyDescent="0.25">
      <c r="B257"/>
      <c r="C257"/>
      <c r="D257"/>
      <c r="E257"/>
      <c r="F257"/>
      <c r="G257"/>
      <c r="H257"/>
      <c r="I257"/>
      <c r="J257"/>
      <c r="K257"/>
      <c r="L257"/>
      <c r="M257"/>
      <c r="N257"/>
      <c r="O257"/>
      <c r="P257"/>
      <c r="Q257"/>
      <c r="R257"/>
      <c r="S257"/>
      <c r="T257"/>
      <c r="U257"/>
      <c r="V257"/>
      <c r="W257"/>
      <c r="X257"/>
      <c r="Y257"/>
      <c r="Z257"/>
      <c r="AA257"/>
      <c r="AB257"/>
      <c r="AC257"/>
      <c r="AD257"/>
      <c r="AE257"/>
      <c r="AF257"/>
    </row>
    <row r="258" spans="2:32" ht="15" x14ac:dyDescent="0.25">
      <c r="B258"/>
      <c r="C258"/>
      <c r="D258"/>
      <c r="E258"/>
      <c r="F258"/>
      <c r="G258"/>
      <c r="H258"/>
      <c r="I258"/>
      <c r="J258"/>
      <c r="K258"/>
      <c r="L258"/>
      <c r="M258"/>
      <c r="N258"/>
      <c r="O258"/>
      <c r="P258"/>
      <c r="Q258"/>
      <c r="R258"/>
      <c r="S258"/>
      <c r="T258"/>
      <c r="U258"/>
      <c r="V258"/>
      <c r="W258"/>
      <c r="X258"/>
      <c r="Y258"/>
      <c r="Z258"/>
      <c r="AA258"/>
      <c r="AB258"/>
      <c r="AC258"/>
      <c r="AD258"/>
      <c r="AE258"/>
      <c r="AF258"/>
    </row>
    <row r="259" spans="2:32" ht="15" x14ac:dyDescent="0.25">
      <c r="B259"/>
      <c r="C259"/>
      <c r="D259"/>
      <c r="E259"/>
      <c r="F259"/>
      <c r="G259"/>
      <c r="H259"/>
      <c r="I259"/>
      <c r="J259"/>
      <c r="K259"/>
      <c r="L259"/>
      <c r="M259"/>
      <c r="N259"/>
      <c r="O259"/>
      <c r="P259"/>
      <c r="Q259"/>
      <c r="R259"/>
      <c r="S259"/>
      <c r="T259"/>
      <c r="U259"/>
      <c r="V259"/>
      <c r="W259"/>
      <c r="X259"/>
      <c r="Y259"/>
      <c r="Z259"/>
      <c r="AA259"/>
      <c r="AB259"/>
      <c r="AC259"/>
      <c r="AD259"/>
      <c r="AE259"/>
      <c r="AF259"/>
    </row>
    <row r="260" spans="2:32" ht="15" x14ac:dyDescent="0.25">
      <c r="B260"/>
      <c r="C260"/>
      <c r="D260"/>
      <c r="E260"/>
      <c r="F260"/>
      <c r="G260"/>
      <c r="H260"/>
      <c r="I260"/>
      <c r="J260"/>
      <c r="K260"/>
      <c r="L260"/>
      <c r="M260"/>
      <c r="N260"/>
      <c r="O260"/>
      <c r="P260"/>
      <c r="Q260"/>
      <c r="R260"/>
      <c r="S260"/>
      <c r="T260"/>
      <c r="U260"/>
      <c r="V260"/>
      <c r="W260"/>
      <c r="X260"/>
      <c r="Y260"/>
      <c r="Z260"/>
      <c r="AA260"/>
      <c r="AB260"/>
      <c r="AC260"/>
      <c r="AD260"/>
      <c r="AE260"/>
      <c r="AF260"/>
    </row>
    <row r="261" spans="2:32" ht="15" x14ac:dyDescent="0.25">
      <c r="B261"/>
      <c r="C261"/>
      <c r="D261"/>
      <c r="E261"/>
      <c r="F261"/>
      <c r="G261"/>
      <c r="H261"/>
      <c r="I261"/>
      <c r="J261"/>
      <c r="K261"/>
      <c r="L261"/>
      <c r="M261"/>
      <c r="N261"/>
      <c r="O261"/>
      <c r="P261"/>
      <c r="Q261"/>
      <c r="R261"/>
      <c r="S261"/>
      <c r="T261"/>
      <c r="U261"/>
      <c r="V261"/>
      <c r="W261"/>
      <c r="X261"/>
      <c r="Y261"/>
      <c r="Z261"/>
      <c r="AA261"/>
      <c r="AB261"/>
      <c r="AC261"/>
      <c r="AD261"/>
      <c r="AE261"/>
      <c r="AF261"/>
    </row>
    <row r="262" spans="2:32" ht="15" x14ac:dyDescent="0.25">
      <c r="B262"/>
      <c r="C262"/>
      <c r="D262"/>
      <c r="E262"/>
      <c r="F262"/>
      <c r="G262"/>
      <c r="H262"/>
      <c r="I262"/>
      <c r="J262"/>
      <c r="K262"/>
      <c r="L262"/>
      <c r="M262"/>
      <c r="N262"/>
      <c r="O262"/>
      <c r="P262"/>
      <c r="Q262"/>
      <c r="R262"/>
      <c r="S262"/>
      <c r="T262"/>
      <c r="U262"/>
      <c r="V262"/>
      <c r="W262"/>
      <c r="X262"/>
      <c r="Y262"/>
      <c r="Z262"/>
      <c r="AA262"/>
      <c r="AB262"/>
      <c r="AC262"/>
      <c r="AD262"/>
      <c r="AE262"/>
      <c r="AF262"/>
    </row>
    <row r="263" spans="2:32" ht="15" x14ac:dyDescent="0.25">
      <c r="B263"/>
      <c r="C263"/>
      <c r="D263"/>
      <c r="E263"/>
      <c r="F263"/>
      <c r="G263"/>
      <c r="H263"/>
      <c r="I263"/>
      <c r="J263"/>
      <c r="K263"/>
      <c r="L263"/>
      <c r="M263"/>
      <c r="N263"/>
      <c r="O263"/>
      <c r="P263"/>
      <c r="Q263"/>
      <c r="R263"/>
      <c r="S263"/>
      <c r="T263"/>
      <c r="U263"/>
      <c r="V263"/>
      <c r="W263"/>
      <c r="X263"/>
      <c r="Y263"/>
      <c r="Z263"/>
      <c r="AA263"/>
      <c r="AB263"/>
      <c r="AC263"/>
      <c r="AD263"/>
      <c r="AE263"/>
      <c r="AF263"/>
    </row>
    <row r="264" spans="2:32" ht="15" x14ac:dyDescent="0.25">
      <c r="B264"/>
      <c r="C264"/>
      <c r="D264"/>
      <c r="E264"/>
      <c r="F264"/>
      <c r="G264"/>
      <c r="H264"/>
      <c r="I264"/>
      <c r="J264"/>
      <c r="K264"/>
      <c r="L264"/>
      <c r="M264"/>
      <c r="N264"/>
      <c r="O264"/>
      <c r="P264"/>
      <c r="Q264"/>
      <c r="R264"/>
      <c r="S264"/>
      <c r="T264"/>
      <c r="U264"/>
      <c r="V264"/>
      <c r="W264"/>
      <c r="X264"/>
      <c r="Y264"/>
      <c r="Z264"/>
      <c r="AA264"/>
      <c r="AB264"/>
      <c r="AC264"/>
      <c r="AD264"/>
      <c r="AE264"/>
      <c r="AF264"/>
    </row>
    <row r="265" spans="2:32" ht="15" x14ac:dyDescent="0.25">
      <c r="B265"/>
      <c r="C265"/>
      <c r="D265"/>
      <c r="E265"/>
      <c r="F265"/>
      <c r="G265"/>
      <c r="H265"/>
      <c r="I265"/>
      <c r="J265"/>
      <c r="K265"/>
      <c r="L265"/>
      <c r="M265"/>
      <c r="N265"/>
      <c r="O265"/>
      <c r="P265"/>
      <c r="Q265"/>
      <c r="R265"/>
      <c r="S265"/>
      <c r="T265"/>
      <c r="U265"/>
      <c r="V265"/>
      <c r="W265"/>
      <c r="X265"/>
      <c r="Y265"/>
      <c r="Z265"/>
      <c r="AA265"/>
      <c r="AB265"/>
      <c r="AC265"/>
      <c r="AD265"/>
      <c r="AE265"/>
      <c r="AF265"/>
    </row>
  </sheetData>
  <mergeCells count="31">
    <mergeCell ref="G3:J3"/>
    <mergeCell ref="G12:J12"/>
    <mergeCell ref="G13:I13"/>
    <mergeCell ref="B5:C5"/>
    <mergeCell ref="B4:C4"/>
    <mergeCell ref="B11:C11"/>
    <mergeCell ref="D8:E8"/>
    <mergeCell ref="D7:E7"/>
    <mergeCell ref="B8:C8"/>
    <mergeCell ref="B13:C13"/>
    <mergeCell ref="G10:I10"/>
    <mergeCell ref="D6:E6"/>
    <mergeCell ref="D5:E5"/>
    <mergeCell ref="D4:E4"/>
    <mergeCell ref="B6:C6"/>
    <mergeCell ref="K3:K8"/>
    <mergeCell ref="K16:K18"/>
    <mergeCell ref="B7:C7"/>
    <mergeCell ref="B19:C19"/>
    <mergeCell ref="G15:I15"/>
    <mergeCell ref="B12:C12"/>
    <mergeCell ref="B9:C9"/>
    <mergeCell ref="B16:C16"/>
    <mergeCell ref="B18:C18"/>
    <mergeCell ref="B10:C10"/>
    <mergeCell ref="G18:I18"/>
    <mergeCell ref="G17:I17"/>
    <mergeCell ref="G14:I14"/>
    <mergeCell ref="B17:C17"/>
    <mergeCell ref="G16:I16"/>
    <mergeCell ref="B3:E3"/>
  </mergeCells>
  <phoneticPr fontId="2" type="noConversion"/>
  <pageMargins left="0.511811024" right="0.511811024" top="0.78740157499999996" bottom="0.78740157499999996" header="0.31496062000000002" footer="0.31496062000000002"/>
  <pageSetup paperSize="9" scale="18" fitToHeight="0" orientation="landscape" r:id="rId1"/>
  <ignoredErrors>
    <ignoredError sqref="AG109:AI109 F109:AF109" 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Q152"/>
  <sheetViews>
    <sheetView showGridLines="0" zoomScale="85" zoomScaleNormal="85" workbookViewId="0">
      <pane xSplit="2" ySplit="3" topLeftCell="C14" activePane="bottomRight" state="frozen"/>
      <selection pane="topRight" activeCell="C1" sqref="C1"/>
      <selection pane="bottomLeft" activeCell="A4" sqref="A4"/>
      <selection pane="bottomRight" activeCell="F52" sqref="F52"/>
    </sheetView>
  </sheetViews>
  <sheetFormatPr defaultRowHeight="15" x14ac:dyDescent="0.25"/>
  <cols>
    <col min="1" max="1" width="18.140625" customWidth="1"/>
    <col min="2" max="2" width="48" bestFit="1" customWidth="1"/>
    <col min="3" max="3" width="6.7109375" bestFit="1" customWidth="1"/>
    <col min="4" max="4" width="6.140625" bestFit="1" customWidth="1"/>
    <col min="5" max="34" width="11" bestFit="1" customWidth="1"/>
    <col min="35" max="39" width="11" customWidth="1"/>
    <col min="40" max="40" width="13.85546875" bestFit="1" customWidth="1"/>
    <col min="42" max="43" width="14.42578125" customWidth="1"/>
  </cols>
  <sheetData>
    <row r="1" spans="1:40" ht="15.75" thickBot="1" x14ac:dyDescent="0.3">
      <c r="A1" s="309" t="s">
        <v>520</v>
      </c>
    </row>
    <row r="2" spans="1:40" ht="15.75" thickBot="1" x14ac:dyDescent="0.3">
      <c r="A2" s="145" t="s">
        <v>521</v>
      </c>
      <c r="B2" s="981" t="s">
        <v>451</v>
      </c>
      <c r="C2" s="88" t="str">
        <f>'FCD Acionista'!D20</f>
        <v>Base</v>
      </c>
      <c r="D2" s="88">
        <f>'FCD Acionista'!E20</f>
        <v>0</v>
      </c>
      <c r="E2" s="88">
        <f>'FCD Acionista'!F20</f>
        <v>1</v>
      </c>
      <c r="F2" s="88">
        <f>'FCD Acionista'!G20</f>
        <v>2</v>
      </c>
      <c r="G2" s="88">
        <f>'FCD Acionista'!H20</f>
        <v>3</v>
      </c>
      <c r="H2" s="88">
        <f>'FCD Acionista'!I20</f>
        <v>4</v>
      </c>
      <c r="I2" s="88">
        <f>'FCD Acionista'!J20</f>
        <v>5</v>
      </c>
      <c r="J2" s="88">
        <f>'FCD Acionista'!K20</f>
        <v>6</v>
      </c>
      <c r="K2" s="88">
        <f>'FCD Acionista'!L20</f>
        <v>7</v>
      </c>
      <c r="L2" s="88">
        <f>'FCD Acionista'!M20</f>
        <v>8</v>
      </c>
      <c r="M2" s="88">
        <f>'FCD Acionista'!N20</f>
        <v>9</v>
      </c>
      <c r="N2" s="88">
        <f>'FCD Acionista'!O20</f>
        <v>10</v>
      </c>
      <c r="O2" s="88">
        <f>'FCD Acionista'!P20</f>
        <v>11</v>
      </c>
      <c r="P2" s="88">
        <f>'FCD Acionista'!Q20</f>
        <v>12</v>
      </c>
      <c r="Q2" s="88">
        <f>'FCD Acionista'!R20</f>
        <v>13</v>
      </c>
      <c r="R2" s="88">
        <f>'FCD Acionista'!S20</f>
        <v>14</v>
      </c>
      <c r="S2" s="88">
        <f>'FCD Acionista'!T20</f>
        <v>15</v>
      </c>
      <c r="T2" s="88">
        <f>'FCD Acionista'!U20</f>
        <v>16</v>
      </c>
      <c r="U2" s="88">
        <f>'FCD Acionista'!V20</f>
        <v>17</v>
      </c>
      <c r="V2" s="88">
        <f>'FCD Acionista'!W20</f>
        <v>18</v>
      </c>
      <c r="W2" s="88">
        <f>'FCD Acionista'!X20</f>
        <v>19</v>
      </c>
      <c r="X2" s="88">
        <f>'FCD Acionista'!Y20</f>
        <v>20</v>
      </c>
      <c r="Y2" s="88">
        <f>'FCD Acionista'!Z20</f>
        <v>21</v>
      </c>
      <c r="Z2" s="88">
        <f>'FCD Acionista'!AA20</f>
        <v>22</v>
      </c>
      <c r="AA2" s="88">
        <f>'FCD Acionista'!AB20</f>
        <v>23</v>
      </c>
      <c r="AB2" s="88">
        <f>'FCD Acionista'!AC20</f>
        <v>24</v>
      </c>
      <c r="AC2" s="88">
        <f>'FCD Acionista'!AD20</f>
        <v>25</v>
      </c>
      <c r="AD2" s="88">
        <f>'FCD Acionista'!AE20</f>
        <v>26</v>
      </c>
      <c r="AE2" s="88">
        <f>'FCD Acionista'!AF20</f>
        <v>27</v>
      </c>
      <c r="AF2" s="88">
        <f>'FCD Acionista'!AG20</f>
        <v>28</v>
      </c>
      <c r="AG2" s="88">
        <f>'FCD Acionista'!AH20</f>
        <v>29</v>
      </c>
      <c r="AH2" s="88">
        <f>'FCD Acionista'!AI20</f>
        <v>30</v>
      </c>
      <c r="AI2" s="88">
        <f>'FCD Acionista'!AJ20</f>
        <v>31</v>
      </c>
      <c r="AJ2" s="88">
        <f>'FCD Acionista'!AK20</f>
        <v>32</v>
      </c>
      <c r="AK2" s="88">
        <f>'FCD Acionista'!AL20</f>
        <v>33</v>
      </c>
      <c r="AL2" s="88">
        <f>'FCD Acionista'!AM20</f>
        <v>34</v>
      </c>
      <c r="AM2" s="88">
        <f>'FCD Acionista'!AN20</f>
        <v>35</v>
      </c>
      <c r="AN2" s="983" t="s">
        <v>23</v>
      </c>
    </row>
    <row r="3" spans="1:40" ht="15.75" thickBot="1" x14ac:dyDescent="0.3">
      <c r="B3" s="982"/>
      <c r="C3" s="88">
        <f>'FCD Acionista'!D21</f>
        <v>2025</v>
      </c>
      <c r="D3" s="88">
        <f>'FCD Acionista'!E21</f>
        <v>2026</v>
      </c>
      <c r="E3" s="88">
        <f>'FCD Acionista'!F21</f>
        <v>2027</v>
      </c>
      <c r="F3" s="88">
        <f>'FCD Acionista'!G21</f>
        <v>2028</v>
      </c>
      <c r="G3" s="88">
        <f>'FCD Acionista'!H21</f>
        <v>2029</v>
      </c>
      <c r="H3" s="88">
        <f>'FCD Acionista'!I21</f>
        <v>2030</v>
      </c>
      <c r="I3" s="88">
        <f>'FCD Acionista'!J21</f>
        <v>2031</v>
      </c>
      <c r="J3" s="88">
        <f>'FCD Acionista'!K21</f>
        <v>2032</v>
      </c>
      <c r="K3" s="88">
        <f>'FCD Acionista'!L21</f>
        <v>2033</v>
      </c>
      <c r="L3" s="88">
        <f>'FCD Acionista'!M21</f>
        <v>2034</v>
      </c>
      <c r="M3" s="88">
        <f>'FCD Acionista'!N21</f>
        <v>2035</v>
      </c>
      <c r="N3" s="88">
        <f>'FCD Acionista'!O21</f>
        <v>2036</v>
      </c>
      <c r="O3" s="88">
        <f>'FCD Acionista'!P21</f>
        <v>2037</v>
      </c>
      <c r="P3" s="88">
        <f>'FCD Acionista'!Q21</f>
        <v>2038</v>
      </c>
      <c r="Q3" s="88">
        <f>'FCD Acionista'!R21</f>
        <v>2039</v>
      </c>
      <c r="R3" s="88">
        <f>'FCD Acionista'!S21</f>
        <v>2040</v>
      </c>
      <c r="S3" s="88">
        <f>'FCD Acionista'!T21</f>
        <v>2041</v>
      </c>
      <c r="T3" s="88">
        <f>'FCD Acionista'!U21</f>
        <v>2042</v>
      </c>
      <c r="U3" s="88">
        <f>'FCD Acionista'!V21</f>
        <v>2043</v>
      </c>
      <c r="V3" s="88">
        <f>'FCD Acionista'!W21</f>
        <v>2044</v>
      </c>
      <c r="W3" s="88">
        <f>'FCD Acionista'!X21</f>
        <v>2045</v>
      </c>
      <c r="X3" s="88">
        <f>'FCD Acionista'!Y21</f>
        <v>2046</v>
      </c>
      <c r="Y3" s="88">
        <f>'FCD Acionista'!Z21</f>
        <v>2047</v>
      </c>
      <c r="Z3" s="88">
        <f>'FCD Acionista'!AA21</f>
        <v>2048</v>
      </c>
      <c r="AA3" s="88">
        <f>'FCD Acionista'!AB21</f>
        <v>2049</v>
      </c>
      <c r="AB3" s="88">
        <f>'FCD Acionista'!AC21</f>
        <v>2050</v>
      </c>
      <c r="AC3" s="88">
        <f>'FCD Acionista'!AD21</f>
        <v>2051</v>
      </c>
      <c r="AD3" s="88">
        <f>'FCD Acionista'!AE21</f>
        <v>2052</v>
      </c>
      <c r="AE3" s="88">
        <f>'FCD Acionista'!AF21</f>
        <v>2053</v>
      </c>
      <c r="AF3" s="88">
        <f>'FCD Acionista'!AG21</f>
        <v>2054</v>
      </c>
      <c r="AG3" s="88">
        <f>'FCD Acionista'!AH21</f>
        <v>2055</v>
      </c>
      <c r="AH3" s="88">
        <f>'FCD Acionista'!AI21</f>
        <v>2056</v>
      </c>
      <c r="AI3" s="88">
        <f>'FCD Acionista'!AJ21</f>
        <v>2057</v>
      </c>
      <c r="AJ3" s="88">
        <f>'FCD Acionista'!AK21</f>
        <v>2058</v>
      </c>
      <c r="AK3" s="88">
        <f>'FCD Acionista'!AL21</f>
        <v>2059</v>
      </c>
      <c r="AL3" s="88">
        <f>'FCD Acionista'!AM21</f>
        <v>2060</v>
      </c>
      <c r="AM3" s="88">
        <f>'FCD Acionista'!AN21</f>
        <v>2061</v>
      </c>
      <c r="AN3" s="984"/>
    </row>
    <row r="4" spans="1:40" ht="16.5" x14ac:dyDescent="0.3">
      <c r="B4" s="157" t="s">
        <v>442</v>
      </c>
      <c r="C4" s="158"/>
      <c r="D4" s="158"/>
      <c r="E4" s="154" t="e">
        <f>SUM(E5:E7)</f>
        <v>#DIV/0!</v>
      </c>
      <c r="F4" s="154" t="e">
        <f t="shared" ref="F4:R4" si="0">SUM(F5:F7)</f>
        <v>#DIV/0!</v>
      </c>
      <c r="G4" s="154" t="e">
        <f t="shared" si="0"/>
        <v>#DIV/0!</v>
      </c>
      <c r="H4" s="154" t="e">
        <f t="shared" si="0"/>
        <v>#DIV/0!</v>
      </c>
      <c r="I4" s="154" t="e">
        <f t="shared" si="0"/>
        <v>#DIV/0!</v>
      </c>
      <c r="J4" s="154" t="e">
        <f t="shared" si="0"/>
        <v>#DIV/0!</v>
      </c>
      <c r="K4" s="154" t="e">
        <f t="shared" si="0"/>
        <v>#DIV/0!</v>
      </c>
      <c r="L4" s="154" t="e">
        <f t="shared" si="0"/>
        <v>#DIV/0!</v>
      </c>
      <c r="M4" s="154" t="e">
        <f t="shared" si="0"/>
        <v>#DIV/0!</v>
      </c>
      <c r="N4" s="154" t="e">
        <f t="shared" si="0"/>
        <v>#DIV/0!</v>
      </c>
      <c r="O4" s="154" t="e">
        <f t="shared" si="0"/>
        <v>#DIV/0!</v>
      </c>
      <c r="P4" s="154" t="e">
        <f t="shared" si="0"/>
        <v>#DIV/0!</v>
      </c>
      <c r="Q4" s="154" t="e">
        <f t="shared" si="0"/>
        <v>#DIV/0!</v>
      </c>
      <c r="R4" s="154" t="e">
        <f t="shared" si="0"/>
        <v>#DIV/0!</v>
      </c>
      <c r="S4" s="154" t="e">
        <f t="shared" ref="S4" si="1">SUM(S5:S7)</f>
        <v>#DIV/0!</v>
      </c>
      <c r="T4" s="154" t="e">
        <f t="shared" ref="T4" si="2">SUM(T5:T7)</f>
        <v>#DIV/0!</v>
      </c>
      <c r="U4" s="154" t="e">
        <f t="shared" ref="U4" si="3">SUM(U5:U7)</f>
        <v>#DIV/0!</v>
      </c>
      <c r="V4" s="154" t="e">
        <f t="shared" ref="V4" si="4">SUM(V5:V7)</f>
        <v>#DIV/0!</v>
      </c>
      <c r="W4" s="154" t="e">
        <f t="shared" ref="W4" si="5">SUM(W5:W7)</f>
        <v>#DIV/0!</v>
      </c>
      <c r="X4" s="154" t="e">
        <f t="shared" ref="X4" si="6">SUM(X5:X7)</f>
        <v>#DIV/0!</v>
      </c>
      <c r="Y4" s="154" t="e">
        <f t="shared" ref="Y4" si="7">SUM(Y5:Y7)</f>
        <v>#DIV/0!</v>
      </c>
      <c r="Z4" s="154" t="e">
        <f t="shared" ref="Z4" si="8">SUM(Z5:Z7)</f>
        <v>#DIV/0!</v>
      </c>
      <c r="AA4" s="154" t="e">
        <f t="shared" ref="AA4" si="9">SUM(AA5:AA7)</f>
        <v>#DIV/0!</v>
      </c>
      <c r="AB4" s="154" t="e">
        <f t="shared" ref="AB4" si="10">SUM(AB5:AB7)</f>
        <v>#DIV/0!</v>
      </c>
      <c r="AC4" s="154" t="e">
        <f t="shared" ref="AC4" si="11">SUM(AC5:AC7)</f>
        <v>#DIV/0!</v>
      </c>
      <c r="AD4" s="154" t="e">
        <f t="shared" ref="AD4:AE4" si="12">SUM(AD5:AD7)</f>
        <v>#DIV/0!</v>
      </c>
      <c r="AE4" s="154" t="e">
        <f t="shared" si="12"/>
        <v>#DIV/0!</v>
      </c>
      <c r="AF4" s="154" t="e">
        <f t="shared" ref="AF4" si="13">SUM(AF5:AF7)</f>
        <v>#DIV/0!</v>
      </c>
      <c r="AG4" s="154" t="e">
        <f t="shared" ref="AG4" si="14">SUM(AG5:AG7)</f>
        <v>#DIV/0!</v>
      </c>
      <c r="AH4" s="154" t="e">
        <f t="shared" ref="AH4" si="15">SUM(AH5:AH7)</f>
        <v>#DIV/0!</v>
      </c>
      <c r="AI4" s="154" t="e">
        <f t="shared" ref="AI4" si="16">SUM(AI5:AI7)</f>
        <v>#DIV/0!</v>
      </c>
      <c r="AJ4" s="154" t="e">
        <f t="shared" ref="AJ4" si="17">SUM(AJ5:AJ7)</f>
        <v>#DIV/0!</v>
      </c>
      <c r="AK4" s="154" t="e">
        <f t="shared" ref="AK4" si="18">SUM(AK5:AK7)</f>
        <v>#DIV/0!</v>
      </c>
      <c r="AL4" s="154" t="e">
        <f t="shared" ref="AL4" si="19">SUM(AL5:AL7)</f>
        <v>#DIV/0!</v>
      </c>
      <c r="AM4" s="154" t="e">
        <f t="shared" ref="AM4" si="20">SUM(AM5:AM7)</f>
        <v>#DIV/0!</v>
      </c>
      <c r="AN4" s="154" t="e">
        <f>SUM(E4:AM4)</f>
        <v>#DIV/0!</v>
      </c>
    </row>
    <row r="5" spans="1:40" ht="16.5" x14ac:dyDescent="0.3">
      <c r="B5" s="159" t="s">
        <v>379</v>
      </c>
      <c r="C5" s="158"/>
      <c r="D5" s="158"/>
      <c r="E5" s="155" t="e">
        <f>('FCD PROJETO'!F30+'FCD PROJETO'!F31)</f>
        <v>#DIV/0!</v>
      </c>
      <c r="F5" s="155" t="e">
        <f>('FCD PROJETO'!G30+'FCD PROJETO'!G31)</f>
        <v>#DIV/0!</v>
      </c>
      <c r="G5" s="155" t="e">
        <f>('FCD PROJETO'!H30+'FCD PROJETO'!H31)</f>
        <v>#DIV/0!</v>
      </c>
      <c r="H5" s="155" t="e">
        <f>('FCD PROJETO'!I30+'FCD PROJETO'!I31)</f>
        <v>#DIV/0!</v>
      </c>
      <c r="I5" s="155" t="e">
        <f>('FCD PROJETO'!J30+'FCD PROJETO'!J31)</f>
        <v>#DIV/0!</v>
      </c>
      <c r="J5" s="155" t="e">
        <f>('FCD PROJETO'!K30+'FCD PROJETO'!K31)</f>
        <v>#DIV/0!</v>
      </c>
      <c r="K5" s="155" t="e">
        <f>('FCD PROJETO'!L30+'FCD PROJETO'!L31)</f>
        <v>#DIV/0!</v>
      </c>
      <c r="L5" s="155" t="e">
        <f>('FCD PROJETO'!M30+'FCD PROJETO'!M31)</f>
        <v>#DIV/0!</v>
      </c>
      <c r="M5" s="155" t="e">
        <f>('FCD PROJETO'!N30+'FCD PROJETO'!N31)</f>
        <v>#DIV/0!</v>
      </c>
      <c r="N5" s="155" t="e">
        <f>('FCD PROJETO'!O30+'FCD PROJETO'!O31)</f>
        <v>#DIV/0!</v>
      </c>
      <c r="O5" s="155" t="e">
        <f>('FCD PROJETO'!P30+'FCD PROJETO'!P31)</f>
        <v>#DIV/0!</v>
      </c>
      <c r="P5" s="155" t="e">
        <f>('FCD PROJETO'!Q30+'FCD PROJETO'!Q31)</f>
        <v>#DIV/0!</v>
      </c>
      <c r="Q5" s="155" t="e">
        <f>('FCD PROJETO'!R30+'FCD PROJETO'!R31)</f>
        <v>#DIV/0!</v>
      </c>
      <c r="R5" s="155" t="e">
        <f>('FCD PROJETO'!S30+'FCD PROJETO'!S31)</f>
        <v>#DIV/0!</v>
      </c>
      <c r="S5" s="155" t="e">
        <f>('FCD PROJETO'!T30+'FCD PROJETO'!T31)</f>
        <v>#DIV/0!</v>
      </c>
      <c r="T5" s="155" t="e">
        <f>('FCD PROJETO'!U30+'FCD PROJETO'!U31)</f>
        <v>#DIV/0!</v>
      </c>
      <c r="U5" s="155" t="e">
        <f>('FCD PROJETO'!V30+'FCD PROJETO'!V31)</f>
        <v>#DIV/0!</v>
      </c>
      <c r="V5" s="155" t="e">
        <f>('FCD PROJETO'!W30+'FCD PROJETO'!W31)</f>
        <v>#DIV/0!</v>
      </c>
      <c r="W5" s="155" t="e">
        <f>('FCD PROJETO'!X30+'FCD PROJETO'!X31)</f>
        <v>#DIV/0!</v>
      </c>
      <c r="X5" s="155" t="e">
        <f>('FCD PROJETO'!Y30+'FCD PROJETO'!Y31)</f>
        <v>#DIV/0!</v>
      </c>
      <c r="Y5" s="155" t="e">
        <f>('FCD PROJETO'!Z30+'FCD PROJETO'!Z31)</f>
        <v>#DIV/0!</v>
      </c>
      <c r="Z5" s="155" t="e">
        <f>('FCD PROJETO'!AA30+'FCD PROJETO'!AA31)</f>
        <v>#DIV/0!</v>
      </c>
      <c r="AA5" s="155" t="e">
        <f>('FCD PROJETO'!AB30+'FCD PROJETO'!AB31)</f>
        <v>#DIV/0!</v>
      </c>
      <c r="AB5" s="155" t="e">
        <f>('FCD PROJETO'!AC30+'FCD PROJETO'!AC31)</f>
        <v>#DIV/0!</v>
      </c>
      <c r="AC5" s="155" t="e">
        <f>('FCD PROJETO'!AD30+'FCD PROJETO'!AD31)</f>
        <v>#DIV/0!</v>
      </c>
      <c r="AD5" s="155" t="e">
        <f>('FCD PROJETO'!AE30+'FCD PROJETO'!AE31)</f>
        <v>#DIV/0!</v>
      </c>
      <c r="AE5" s="155" t="e">
        <f>('FCD PROJETO'!AF30+'FCD PROJETO'!AF31)</f>
        <v>#DIV/0!</v>
      </c>
      <c r="AF5" s="155" t="e">
        <f>('FCD PROJETO'!AG30+'FCD PROJETO'!AG31)</f>
        <v>#DIV/0!</v>
      </c>
      <c r="AG5" s="155" t="e">
        <f>('FCD PROJETO'!AH30+'FCD PROJETO'!AH31)</f>
        <v>#DIV/0!</v>
      </c>
      <c r="AH5" s="155" t="e">
        <f>('FCD PROJETO'!AI30+'FCD PROJETO'!AI31)</f>
        <v>#DIV/0!</v>
      </c>
      <c r="AI5" s="155" t="e">
        <f>('FCD PROJETO'!AJ30+'FCD PROJETO'!AJ31)</f>
        <v>#DIV/0!</v>
      </c>
      <c r="AJ5" s="155" t="e">
        <f>('FCD PROJETO'!AK30+'FCD PROJETO'!AK31)</f>
        <v>#DIV/0!</v>
      </c>
      <c r="AK5" s="155" t="e">
        <f>('FCD PROJETO'!AL30+'FCD PROJETO'!AL31)</f>
        <v>#DIV/0!</v>
      </c>
      <c r="AL5" s="155" t="e">
        <f>('FCD PROJETO'!AM30+'FCD PROJETO'!AM31)</f>
        <v>#DIV/0!</v>
      </c>
      <c r="AM5" s="155" t="e">
        <f>('FCD PROJETO'!AN30+'FCD PROJETO'!AN31)</f>
        <v>#DIV/0!</v>
      </c>
      <c r="AN5" s="155" t="e">
        <f t="shared" ref="AN5:AN6" si="21">SUM(E5:AM5)</f>
        <v>#DIV/0!</v>
      </c>
    </row>
    <row r="6" spans="1:40" ht="16.5" x14ac:dyDescent="0.3">
      <c r="B6" s="159" t="s">
        <v>4</v>
      </c>
      <c r="C6" s="158"/>
      <c r="D6" s="158"/>
      <c r="E6" s="155" t="e">
        <f>('FCD PROJETO'!F37+'FCD PROJETO'!F38)</f>
        <v>#DIV/0!</v>
      </c>
      <c r="F6" s="155" t="e">
        <f>('FCD PROJETO'!G37+'FCD PROJETO'!G38)</f>
        <v>#DIV/0!</v>
      </c>
      <c r="G6" s="155" t="e">
        <f>('FCD PROJETO'!H37+'FCD PROJETO'!H38)</f>
        <v>#DIV/0!</v>
      </c>
      <c r="H6" s="155" t="e">
        <f>('FCD PROJETO'!I37+'FCD PROJETO'!I38)</f>
        <v>#DIV/0!</v>
      </c>
      <c r="I6" s="155" t="e">
        <f>('FCD PROJETO'!J37+'FCD PROJETO'!J38)</f>
        <v>#DIV/0!</v>
      </c>
      <c r="J6" s="155" t="e">
        <f>('FCD PROJETO'!K37+'FCD PROJETO'!K38)</f>
        <v>#DIV/0!</v>
      </c>
      <c r="K6" s="155" t="e">
        <f>('FCD PROJETO'!L37+'FCD PROJETO'!L38)</f>
        <v>#DIV/0!</v>
      </c>
      <c r="L6" s="155" t="e">
        <f>('FCD PROJETO'!M37+'FCD PROJETO'!M38)</f>
        <v>#DIV/0!</v>
      </c>
      <c r="M6" s="155" t="e">
        <f>('FCD PROJETO'!N37+'FCD PROJETO'!N38)</f>
        <v>#DIV/0!</v>
      </c>
      <c r="N6" s="155" t="e">
        <f>('FCD PROJETO'!O37+'FCD PROJETO'!O38)</f>
        <v>#DIV/0!</v>
      </c>
      <c r="O6" s="155" t="e">
        <f>('FCD PROJETO'!P37+'FCD PROJETO'!P38)</f>
        <v>#DIV/0!</v>
      </c>
      <c r="P6" s="155" t="e">
        <f>('FCD PROJETO'!Q37+'FCD PROJETO'!Q38)</f>
        <v>#DIV/0!</v>
      </c>
      <c r="Q6" s="155" t="e">
        <f>('FCD PROJETO'!R37+'FCD PROJETO'!R38)</f>
        <v>#DIV/0!</v>
      </c>
      <c r="R6" s="155" t="e">
        <f>('FCD PROJETO'!S37+'FCD PROJETO'!S38)</f>
        <v>#DIV/0!</v>
      </c>
      <c r="S6" s="155" t="e">
        <f>('FCD PROJETO'!T37+'FCD PROJETO'!T38)</f>
        <v>#DIV/0!</v>
      </c>
      <c r="T6" s="155" t="e">
        <f>('FCD PROJETO'!U37+'FCD PROJETO'!U38)</f>
        <v>#DIV/0!</v>
      </c>
      <c r="U6" s="155" t="e">
        <f>('FCD PROJETO'!V37+'FCD PROJETO'!V38)</f>
        <v>#DIV/0!</v>
      </c>
      <c r="V6" s="155" t="e">
        <f>('FCD PROJETO'!W37+'FCD PROJETO'!W38)</f>
        <v>#DIV/0!</v>
      </c>
      <c r="W6" s="155" t="e">
        <f>('FCD PROJETO'!X37+'FCD PROJETO'!X38)</f>
        <v>#DIV/0!</v>
      </c>
      <c r="X6" s="155" t="e">
        <f>('FCD PROJETO'!Y37+'FCD PROJETO'!Y38)</f>
        <v>#DIV/0!</v>
      </c>
      <c r="Y6" s="155" t="e">
        <f>('FCD PROJETO'!Z37+'FCD PROJETO'!Z38)</f>
        <v>#DIV/0!</v>
      </c>
      <c r="Z6" s="155" t="e">
        <f>('FCD PROJETO'!AA37+'FCD PROJETO'!AA38)</f>
        <v>#DIV/0!</v>
      </c>
      <c r="AA6" s="155" t="e">
        <f>('FCD PROJETO'!AB37+'FCD PROJETO'!AB38)</f>
        <v>#DIV/0!</v>
      </c>
      <c r="AB6" s="155" t="e">
        <f>('FCD PROJETO'!AC37+'FCD PROJETO'!AC38)</f>
        <v>#DIV/0!</v>
      </c>
      <c r="AC6" s="155" t="e">
        <f>('FCD PROJETO'!AD37+'FCD PROJETO'!AD38)</f>
        <v>#DIV/0!</v>
      </c>
      <c r="AD6" s="155" t="e">
        <f>('FCD PROJETO'!AE37+'FCD PROJETO'!AE38)</f>
        <v>#DIV/0!</v>
      </c>
      <c r="AE6" s="155" t="e">
        <f>('FCD PROJETO'!AF37+'FCD PROJETO'!AF38)</f>
        <v>#DIV/0!</v>
      </c>
      <c r="AF6" s="155" t="e">
        <f>('FCD PROJETO'!AG37+'FCD PROJETO'!AG38)</f>
        <v>#DIV/0!</v>
      </c>
      <c r="AG6" s="155" t="e">
        <f>('FCD PROJETO'!AH37+'FCD PROJETO'!AH38)</f>
        <v>#DIV/0!</v>
      </c>
      <c r="AH6" s="155" t="e">
        <f>('FCD PROJETO'!AI37+'FCD PROJETO'!AI38)</f>
        <v>#DIV/0!</v>
      </c>
      <c r="AI6" s="155" t="e">
        <f>('FCD PROJETO'!AJ37+'FCD PROJETO'!AJ38)</f>
        <v>#DIV/0!</v>
      </c>
      <c r="AJ6" s="155" t="e">
        <f>('FCD PROJETO'!AK37+'FCD PROJETO'!AK38)</f>
        <v>#DIV/0!</v>
      </c>
      <c r="AK6" s="155" t="e">
        <f>('FCD PROJETO'!AL37+'FCD PROJETO'!AL38)</f>
        <v>#DIV/0!</v>
      </c>
      <c r="AL6" s="155" t="e">
        <f>('FCD PROJETO'!AM37+'FCD PROJETO'!AM38)</f>
        <v>#DIV/0!</v>
      </c>
      <c r="AM6" s="155" t="e">
        <f>('FCD PROJETO'!AN37+'FCD PROJETO'!AN38)</f>
        <v>#DIV/0!</v>
      </c>
      <c r="AN6" s="155" t="e">
        <f t="shared" si="21"/>
        <v>#DIV/0!</v>
      </c>
    </row>
    <row r="7" spans="1:40" ht="16.5" x14ac:dyDescent="0.3">
      <c r="B7" s="159" t="s">
        <v>375</v>
      </c>
      <c r="C7" s="158"/>
      <c r="D7" s="158"/>
      <c r="E7" s="155">
        <v>0</v>
      </c>
      <c r="F7" s="155">
        <v>0</v>
      </c>
      <c r="G7" s="155">
        <v>0</v>
      </c>
      <c r="H7" s="155">
        <v>0</v>
      </c>
      <c r="I7" s="155">
        <v>0</v>
      </c>
      <c r="J7" s="155">
        <v>0</v>
      </c>
      <c r="K7" s="155">
        <v>0</v>
      </c>
      <c r="L7" s="155">
        <v>0</v>
      </c>
      <c r="M7" s="155">
        <v>0</v>
      </c>
      <c r="N7" s="155">
        <v>0</v>
      </c>
      <c r="O7" s="155">
        <v>0</v>
      </c>
      <c r="P7" s="155">
        <v>0</v>
      </c>
      <c r="Q7" s="155">
        <v>0</v>
      </c>
      <c r="R7" s="155">
        <v>0</v>
      </c>
      <c r="S7" s="155">
        <v>0</v>
      </c>
      <c r="T7" s="155">
        <v>0</v>
      </c>
      <c r="U7" s="155">
        <v>0</v>
      </c>
      <c r="V7" s="155">
        <v>0</v>
      </c>
      <c r="W7" s="155">
        <v>0</v>
      </c>
      <c r="X7" s="155">
        <v>0</v>
      </c>
      <c r="Y7" s="155">
        <v>0</v>
      </c>
      <c r="Z7" s="155">
        <v>0</v>
      </c>
      <c r="AA7" s="155">
        <v>0</v>
      </c>
      <c r="AB7" s="155">
        <v>0</v>
      </c>
      <c r="AC7" s="155">
        <v>0</v>
      </c>
      <c r="AD7" s="155">
        <v>0</v>
      </c>
      <c r="AE7" s="155">
        <v>0</v>
      </c>
      <c r="AF7" s="155">
        <v>0</v>
      </c>
      <c r="AG7" s="155">
        <v>0</v>
      </c>
      <c r="AH7" s="155">
        <v>0</v>
      </c>
      <c r="AI7" s="155">
        <v>0</v>
      </c>
      <c r="AJ7" s="155">
        <v>0</v>
      </c>
      <c r="AK7" s="155">
        <v>0</v>
      </c>
      <c r="AL7" s="155">
        <v>0</v>
      </c>
      <c r="AM7" s="155">
        <v>0</v>
      </c>
      <c r="AN7" s="155">
        <f>SUM(E7:AH7)</f>
        <v>0</v>
      </c>
    </row>
    <row r="8" spans="1:40" ht="16.5" x14ac:dyDescent="0.3">
      <c r="B8" s="89"/>
      <c r="C8" s="89"/>
      <c r="D8" s="89"/>
      <c r="E8" s="89"/>
      <c r="F8" s="89"/>
      <c r="G8" s="89"/>
      <c r="H8" s="89"/>
      <c r="I8" s="89"/>
      <c r="J8" s="89"/>
      <c r="K8" s="89"/>
      <c r="L8" s="89"/>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row>
    <row r="9" spans="1:40" ht="16.5" x14ac:dyDescent="0.3">
      <c r="B9" s="157" t="s">
        <v>443</v>
      </c>
      <c r="C9" s="158"/>
      <c r="D9" s="158"/>
      <c r="E9" s="154" t="e">
        <f>SUM(E10:E11)</f>
        <v>#DIV/0!</v>
      </c>
      <c r="F9" s="154" t="e">
        <f t="shared" ref="F9:R9" si="22">SUM(F10:F11)</f>
        <v>#DIV/0!</v>
      </c>
      <c r="G9" s="154" t="e">
        <f t="shared" si="22"/>
        <v>#DIV/0!</v>
      </c>
      <c r="H9" s="154" t="e">
        <f t="shared" si="22"/>
        <v>#DIV/0!</v>
      </c>
      <c r="I9" s="154" t="e">
        <f t="shared" si="22"/>
        <v>#DIV/0!</v>
      </c>
      <c r="J9" s="154" t="e">
        <f t="shared" si="22"/>
        <v>#DIV/0!</v>
      </c>
      <c r="K9" s="154" t="e">
        <f t="shared" si="22"/>
        <v>#DIV/0!</v>
      </c>
      <c r="L9" s="154" t="e">
        <f t="shared" si="22"/>
        <v>#DIV/0!</v>
      </c>
      <c r="M9" s="154" t="e">
        <f t="shared" si="22"/>
        <v>#DIV/0!</v>
      </c>
      <c r="N9" s="154" t="e">
        <f t="shared" si="22"/>
        <v>#DIV/0!</v>
      </c>
      <c r="O9" s="154" t="e">
        <f t="shared" si="22"/>
        <v>#DIV/0!</v>
      </c>
      <c r="P9" s="154" t="e">
        <f t="shared" si="22"/>
        <v>#DIV/0!</v>
      </c>
      <c r="Q9" s="154" t="e">
        <f t="shared" si="22"/>
        <v>#DIV/0!</v>
      </c>
      <c r="R9" s="154" t="e">
        <f t="shared" si="22"/>
        <v>#DIV/0!</v>
      </c>
      <c r="S9" s="154" t="e">
        <f t="shared" ref="S9" si="23">SUM(S10:S11)</f>
        <v>#DIV/0!</v>
      </c>
      <c r="T9" s="154" t="e">
        <f t="shared" ref="T9" si="24">SUM(T10:T11)</f>
        <v>#DIV/0!</v>
      </c>
      <c r="U9" s="154" t="e">
        <f t="shared" ref="U9" si="25">SUM(U10:U11)</f>
        <v>#DIV/0!</v>
      </c>
      <c r="V9" s="154" t="e">
        <f t="shared" ref="V9" si="26">SUM(V10:V11)</f>
        <v>#DIV/0!</v>
      </c>
      <c r="W9" s="154" t="e">
        <f t="shared" ref="W9" si="27">SUM(W10:W11)</f>
        <v>#DIV/0!</v>
      </c>
      <c r="X9" s="154" t="e">
        <f t="shared" ref="X9" si="28">SUM(X10:X11)</f>
        <v>#DIV/0!</v>
      </c>
      <c r="Y9" s="154" t="e">
        <f t="shared" ref="Y9" si="29">SUM(Y10:Y11)</f>
        <v>#DIV/0!</v>
      </c>
      <c r="Z9" s="154" t="e">
        <f t="shared" ref="Z9" si="30">SUM(Z10:Z11)</f>
        <v>#DIV/0!</v>
      </c>
      <c r="AA9" s="154" t="e">
        <f t="shared" ref="AA9" si="31">SUM(AA10:AA11)</f>
        <v>#DIV/0!</v>
      </c>
      <c r="AB9" s="154" t="e">
        <f t="shared" ref="AB9" si="32">SUM(AB10:AB11)</f>
        <v>#DIV/0!</v>
      </c>
      <c r="AC9" s="154" t="e">
        <f t="shared" ref="AC9" si="33">SUM(AC10:AC11)</f>
        <v>#DIV/0!</v>
      </c>
      <c r="AD9" s="154" t="e">
        <f t="shared" ref="AD9:AE9" si="34">SUM(AD10:AD11)</f>
        <v>#DIV/0!</v>
      </c>
      <c r="AE9" s="154" t="e">
        <f t="shared" si="34"/>
        <v>#DIV/0!</v>
      </c>
      <c r="AF9" s="154" t="e">
        <f t="shared" ref="AF9" si="35">SUM(AF10:AF11)</f>
        <v>#DIV/0!</v>
      </c>
      <c r="AG9" s="154" t="e">
        <f t="shared" ref="AG9" si="36">SUM(AG10:AG11)</f>
        <v>#DIV/0!</v>
      </c>
      <c r="AH9" s="154" t="e">
        <f t="shared" ref="AH9" si="37">SUM(AH10:AH11)</f>
        <v>#DIV/0!</v>
      </c>
      <c r="AI9" s="154" t="e">
        <f t="shared" ref="AI9" si="38">SUM(AI10:AI11)</f>
        <v>#DIV/0!</v>
      </c>
      <c r="AJ9" s="154" t="e">
        <f t="shared" ref="AJ9" si="39">SUM(AJ10:AJ11)</f>
        <v>#DIV/0!</v>
      </c>
      <c r="AK9" s="154" t="e">
        <f t="shared" ref="AK9" si="40">SUM(AK10:AK11)</f>
        <v>#DIV/0!</v>
      </c>
      <c r="AL9" s="154" t="e">
        <f t="shared" ref="AL9" si="41">SUM(AL10:AL11)</f>
        <v>#DIV/0!</v>
      </c>
      <c r="AM9" s="154" t="e">
        <f t="shared" ref="AM9" si="42">SUM(AM10:AM11)</f>
        <v>#DIV/0!</v>
      </c>
      <c r="AN9" s="154" t="e">
        <f t="shared" ref="AN9:AN11" si="43">SUM(E9:AM9)</f>
        <v>#DIV/0!</v>
      </c>
    </row>
    <row r="10" spans="1:40" ht="16.5" x14ac:dyDescent="0.3">
      <c r="B10" s="160" t="s">
        <v>376</v>
      </c>
      <c r="C10" s="158"/>
      <c r="D10" s="158"/>
      <c r="E10" s="155" t="e">
        <f>('FCD PROJETO'!F97+'FCD PROJETO'!F98)</f>
        <v>#DIV/0!</v>
      </c>
      <c r="F10" s="155" t="e">
        <f>('FCD PROJETO'!G97+'FCD PROJETO'!G98)</f>
        <v>#DIV/0!</v>
      </c>
      <c r="G10" s="155" t="e">
        <f>('FCD PROJETO'!H97+'FCD PROJETO'!H98)</f>
        <v>#DIV/0!</v>
      </c>
      <c r="H10" s="155" t="e">
        <f>('FCD PROJETO'!I97+'FCD PROJETO'!I98)</f>
        <v>#DIV/0!</v>
      </c>
      <c r="I10" s="155" t="e">
        <f>('FCD PROJETO'!J97+'FCD PROJETO'!J98)</f>
        <v>#DIV/0!</v>
      </c>
      <c r="J10" s="155" t="e">
        <f>('FCD PROJETO'!K97+'FCD PROJETO'!K98)</f>
        <v>#DIV/0!</v>
      </c>
      <c r="K10" s="155" t="e">
        <f>('FCD PROJETO'!L97+'FCD PROJETO'!L98)</f>
        <v>#DIV/0!</v>
      </c>
      <c r="L10" s="155" t="e">
        <f>('FCD PROJETO'!M97+'FCD PROJETO'!M98)</f>
        <v>#DIV/0!</v>
      </c>
      <c r="M10" s="155" t="e">
        <f>('FCD PROJETO'!N97+'FCD PROJETO'!N98)</f>
        <v>#DIV/0!</v>
      </c>
      <c r="N10" s="155" t="e">
        <f>('FCD PROJETO'!O97+'FCD PROJETO'!O98)</f>
        <v>#DIV/0!</v>
      </c>
      <c r="O10" s="155" t="e">
        <f>('FCD PROJETO'!P97+'FCD PROJETO'!P98)</f>
        <v>#DIV/0!</v>
      </c>
      <c r="P10" s="155" t="e">
        <f>('FCD PROJETO'!Q97+'FCD PROJETO'!Q98)</f>
        <v>#DIV/0!</v>
      </c>
      <c r="Q10" s="155" t="e">
        <f>('FCD PROJETO'!R97+'FCD PROJETO'!R98)</f>
        <v>#DIV/0!</v>
      </c>
      <c r="R10" s="155" t="e">
        <f>('FCD PROJETO'!S97+'FCD PROJETO'!S98)</f>
        <v>#DIV/0!</v>
      </c>
      <c r="S10" s="155" t="e">
        <f>('FCD PROJETO'!T97+'FCD PROJETO'!T98)</f>
        <v>#DIV/0!</v>
      </c>
      <c r="T10" s="155" t="e">
        <f>('FCD PROJETO'!U97+'FCD PROJETO'!U98)</f>
        <v>#DIV/0!</v>
      </c>
      <c r="U10" s="155" t="e">
        <f>('FCD PROJETO'!V97+'FCD PROJETO'!V98)</f>
        <v>#DIV/0!</v>
      </c>
      <c r="V10" s="155" t="e">
        <f>('FCD PROJETO'!W97+'FCD PROJETO'!W98)</f>
        <v>#DIV/0!</v>
      </c>
      <c r="W10" s="155" t="e">
        <f>('FCD PROJETO'!X97+'FCD PROJETO'!X98)</f>
        <v>#DIV/0!</v>
      </c>
      <c r="X10" s="155" t="e">
        <f>('FCD PROJETO'!Y97+'FCD PROJETO'!Y98)</f>
        <v>#DIV/0!</v>
      </c>
      <c r="Y10" s="155" t="e">
        <f>('FCD PROJETO'!Z97+'FCD PROJETO'!Z98)</f>
        <v>#DIV/0!</v>
      </c>
      <c r="Z10" s="155" t="e">
        <f>('FCD PROJETO'!AA97+'FCD PROJETO'!AA98)</f>
        <v>#DIV/0!</v>
      </c>
      <c r="AA10" s="155" t="e">
        <f>('FCD PROJETO'!AB97+'FCD PROJETO'!AB98)</f>
        <v>#DIV/0!</v>
      </c>
      <c r="AB10" s="155" t="e">
        <f>('FCD PROJETO'!AC97+'FCD PROJETO'!AC98)</f>
        <v>#DIV/0!</v>
      </c>
      <c r="AC10" s="155" t="e">
        <f>('FCD PROJETO'!AD97+'FCD PROJETO'!AD98)</f>
        <v>#DIV/0!</v>
      </c>
      <c r="AD10" s="155" t="e">
        <f>('FCD PROJETO'!AE97+'FCD PROJETO'!AE98)</f>
        <v>#DIV/0!</v>
      </c>
      <c r="AE10" s="155" t="e">
        <f>('FCD PROJETO'!AF97+'FCD PROJETO'!AF98)</f>
        <v>#DIV/0!</v>
      </c>
      <c r="AF10" s="155" t="e">
        <f>('FCD PROJETO'!AG97+'FCD PROJETO'!AG98)</f>
        <v>#DIV/0!</v>
      </c>
      <c r="AG10" s="155" t="e">
        <f>('FCD PROJETO'!AH97+'FCD PROJETO'!AH98)</f>
        <v>#DIV/0!</v>
      </c>
      <c r="AH10" s="155" t="e">
        <f>('FCD PROJETO'!AI97+'FCD PROJETO'!AI98)</f>
        <v>#DIV/0!</v>
      </c>
      <c r="AI10" s="155" t="e">
        <f>('FCD PROJETO'!AJ97+'FCD PROJETO'!AJ98)</f>
        <v>#DIV/0!</v>
      </c>
      <c r="AJ10" s="155" t="e">
        <f>('FCD PROJETO'!AK97+'FCD PROJETO'!AK98)</f>
        <v>#DIV/0!</v>
      </c>
      <c r="AK10" s="155" t="e">
        <f>('FCD PROJETO'!AL97+'FCD PROJETO'!AL98)</f>
        <v>#DIV/0!</v>
      </c>
      <c r="AL10" s="155" t="e">
        <f>('FCD PROJETO'!AM97+'FCD PROJETO'!AM98)</f>
        <v>#DIV/0!</v>
      </c>
      <c r="AM10" s="155" t="e">
        <f>('FCD PROJETO'!AN97+'FCD PROJETO'!AN98)</f>
        <v>#DIV/0!</v>
      </c>
      <c r="AN10" s="155" t="e">
        <f t="shared" si="43"/>
        <v>#DIV/0!</v>
      </c>
    </row>
    <row r="11" spans="1:40" ht="16.5" x14ac:dyDescent="0.3">
      <c r="B11" s="160" t="s">
        <v>377</v>
      </c>
      <c r="C11" s="158"/>
      <c r="D11" s="158"/>
      <c r="E11" s="155" t="e">
        <f>'FCD PROJETO'!F96</f>
        <v>#DIV/0!</v>
      </c>
      <c r="F11" s="155" t="e">
        <f>'FCD PROJETO'!G96</f>
        <v>#DIV/0!</v>
      </c>
      <c r="G11" s="155" t="e">
        <f>'FCD PROJETO'!H96</f>
        <v>#DIV/0!</v>
      </c>
      <c r="H11" s="155" t="e">
        <f>'FCD PROJETO'!I96</f>
        <v>#DIV/0!</v>
      </c>
      <c r="I11" s="155" t="e">
        <f>'FCD PROJETO'!J96</f>
        <v>#DIV/0!</v>
      </c>
      <c r="J11" s="155" t="e">
        <f>'FCD PROJETO'!K96</f>
        <v>#DIV/0!</v>
      </c>
      <c r="K11" s="155" t="e">
        <f>'FCD PROJETO'!L96</f>
        <v>#DIV/0!</v>
      </c>
      <c r="L11" s="155" t="e">
        <f>'FCD PROJETO'!M96</f>
        <v>#DIV/0!</v>
      </c>
      <c r="M11" s="155" t="e">
        <f>'FCD PROJETO'!N96</f>
        <v>#DIV/0!</v>
      </c>
      <c r="N11" s="155" t="e">
        <f>'FCD PROJETO'!O96</f>
        <v>#DIV/0!</v>
      </c>
      <c r="O11" s="155" t="e">
        <f>'FCD PROJETO'!P96</f>
        <v>#DIV/0!</v>
      </c>
      <c r="P11" s="155" t="e">
        <f>'FCD PROJETO'!Q96</f>
        <v>#DIV/0!</v>
      </c>
      <c r="Q11" s="155" t="e">
        <f>'FCD PROJETO'!R96</f>
        <v>#DIV/0!</v>
      </c>
      <c r="R11" s="155" t="e">
        <f>'FCD PROJETO'!S96</f>
        <v>#DIV/0!</v>
      </c>
      <c r="S11" s="155" t="e">
        <f>'FCD PROJETO'!T96</f>
        <v>#DIV/0!</v>
      </c>
      <c r="T11" s="155" t="e">
        <f>'FCD PROJETO'!U96</f>
        <v>#DIV/0!</v>
      </c>
      <c r="U11" s="155" t="e">
        <f>'FCD PROJETO'!V96</f>
        <v>#DIV/0!</v>
      </c>
      <c r="V11" s="155" t="e">
        <f>'FCD PROJETO'!W96</f>
        <v>#DIV/0!</v>
      </c>
      <c r="W11" s="155" t="e">
        <f>'FCD PROJETO'!X96</f>
        <v>#DIV/0!</v>
      </c>
      <c r="X11" s="155" t="e">
        <f>'FCD PROJETO'!Y96</f>
        <v>#DIV/0!</v>
      </c>
      <c r="Y11" s="155" t="e">
        <f>'FCD PROJETO'!Z96</f>
        <v>#DIV/0!</v>
      </c>
      <c r="Z11" s="155" t="e">
        <f>'FCD PROJETO'!AA96</f>
        <v>#DIV/0!</v>
      </c>
      <c r="AA11" s="155" t="e">
        <f>'FCD PROJETO'!AB96</f>
        <v>#DIV/0!</v>
      </c>
      <c r="AB11" s="155" t="e">
        <f>'FCD PROJETO'!AC96</f>
        <v>#DIV/0!</v>
      </c>
      <c r="AC11" s="155" t="e">
        <f>'FCD PROJETO'!AD96</f>
        <v>#DIV/0!</v>
      </c>
      <c r="AD11" s="155" t="e">
        <f>'FCD PROJETO'!AE96</f>
        <v>#DIV/0!</v>
      </c>
      <c r="AE11" s="155" t="e">
        <f>'FCD PROJETO'!AF96</f>
        <v>#DIV/0!</v>
      </c>
      <c r="AF11" s="155" t="e">
        <f>'FCD PROJETO'!AG96</f>
        <v>#DIV/0!</v>
      </c>
      <c r="AG11" s="155" t="e">
        <f>'FCD PROJETO'!AH96</f>
        <v>#DIV/0!</v>
      </c>
      <c r="AH11" s="155" t="e">
        <f>'FCD PROJETO'!AI96</f>
        <v>#DIV/0!</v>
      </c>
      <c r="AI11" s="155" t="e">
        <f>'FCD PROJETO'!AJ96</f>
        <v>#DIV/0!</v>
      </c>
      <c r="AJ11" s="155" t="e">
        <f>'FCD PROJETO'!AK96</f>
        <v>#DIV/0!</v>
      </c>
      <c r="AK11" s="155" t="e">
        <f>'FCD PROJETO'!AL96</f>
        <v>#DIV/0!</v>
      </c>
      <c r="AL11" s="155" t="e">
        <f>'FCD PROJETO'!AM96</f>
        <v>#DIV/0!</v>
      </c>
      <c r="AM11" s="155" t="e">
        <f>'FCD PROJETO'!AN96</f>
        <v>#DIV/0!</v>
      </c>
      <c r="AN11" s="155" t="e">
        <f t="shared" si="43"/>
        <v>#DIV/0!</v>
      </c>
    </row>
    <row r="12" spans="1:40" ht="16.5" x14ac:dyDescent="0.3">
      <c r="B12" s="89"/>
      <c r="C12" s="89"/>
      <c r="D12" s="89"/>
      <c r="E12" s="89"/>
      <c r="F12" s="89"/>
      <c r="G12" s="89"/>
      <c r="H12" s="89"/>
      <c r="I12" s="89"/>
      <c r="J12" s="89"/>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row>
    <row r="13" spans="1:40" ht="16.5" x14ac:dyDescent="0.3">
      <c r="B13" s="157" t="s">
        <v>444</v>
      </c>
      <c r="C13" s="158"/>
      <c r="D13" s="158"/>
      <c r="E13" s="154" t="e">
        <f>E4+E9</f>
        <v>#DIV/0!</v>
      </c>
      <c r="F13" s="154" t="e">
        <f t="shared" ref="F13:R13" si="44">F4+F9</f>
        <v>#DIV/0!</v>
      </c>
      <c r="G13" s="154" t="e">
        <f t="shared" si="44"/>
        <v>#DIV/0!</v>
      </c>
      <c r="H13" s="154" t="e">
        <f t="shared" si="44"/>
        <v>#DIV/0!</v>
      </c>
      <c r="I13" s="154" t="e">
        <f t="shared" si="44"/>
        <v>#DIV/0!</v>
      </c>
      <c r="J13" s="154" t="e">
        <f t="shared" si="44"/>
        <v>#DIV/0!</v>
      </c>
      <c r="K13" s="154" t="e">
        <f t="shared" si="44"/>
        <v>#DIV/0!</v>
      </c>
      <c r="L13" s="154" t="e">
        <f t="shared" si="44"/>
        <v>#DIV/0!</v>
      </c>
      <c r="M13" s="154" t="e">
        <f t="shared" si="44"/>
        <v>#DIV/0!</v>
      </c>
      <c r="N13" s="154" t="e">
        <f t="shared" si="44"/>
        <v>#DIV/0!</v>
      </c>
      <c r="O13" s="154" t="e">
        <f t="shared" si="44"/>
        <v>#DIV/0!</v>
      </c>
      <c r="P13" s="154" t="e">
        <f t="shared" si="44"/>
        <v>#DIV/0!</v>
      </c>
      <c r="Q13" s="154" t="e">
        <f t="shared" si="44"/>
        <v>#DIV/0!</v>
      </c>
      <c r="R13" s="154" t="e">
        <f t="shared" si="44"/>
        <v>#DIV/0!</v>
      </c>
      <c r="S13" s="154" t="e">
        <f t="shared" ref="S13:AM13" si="45">S4+S9</f>
        <v>#DIV/0!</v>
      </c>
      <c r="T13" s="154" t="e">
        <f t="shared" si="45"/>
        <v>#DIV/0!</v>
      </c>
      <c r="U13" s="154" t="e">
        <f t="shared" si="45"/>
        <v>#DIV/0!</v>
      </c>
      <c r="V13" s="154" t="e">
        <f t="shared" si="45"/>
        <v>#DIV/0!</v>
      </c>
      <c r="W13" s="154" t="e">
        <f t="shared" si="45"/>
        <v>#DIV/0!</v>
      </c>
      <c r="X13" s="154" t="e">
        <f t="shared" si="45"/>
        <v>#DIV/0!</v>
      </c>
      <c r="Y13" s="154" t="e">
        <f t="shared" si="45"/>
        <v>#DIV/0!</v>
      </c>
      <c r="Z13" s="154" t="e">
        <f t="shared" si="45"/>
        <v>#DIV/0!</v>
      </c>
      <c r="AA13" s="154" t="e">
        <f t="shared" si="45"/>
        <v>#DIV/0!</v>
      </c>
      <c r="AB13" s="154" t="e">
        <f t="shared" si="45"/>
        <v>#DIV/0!</v>
      </c>
      <c r="AC13" s="154" t="e">
        <f t="shared" si="45"/>
        <v>#DIV/0!</v>
      </c>
      <c r="AD13" s="154" t="e">
        <f t="shared" si="45"/>
        <v>#DIV/0!</v>
      </c>
      <c r="AE13" s="154" t="e">
        <f t="shared" si="45"/>
        <v>#DIV/0!</v>
      </c>
      <c r="AF13" s="154" t="e">
        <f t="shared" si="45"/>
        <v>#DIV/0!</v>
      </c>
      <c r="AG13" s="154" t="e">
        <f t="shared" si="45"/>
        <v>#DIV/0!</v>
      </c>
      <c r="AH13" s="154" t="e">
        <f t="shared" si="45"/>
        <v>#DIV/0!</v>
      </c>
      <c r="AI13" s="154" t="e">
        <f t="shared" si="45"/>
        <v>#DIV/0!</v>
      </c>
      <c r="AJ13" s="154" t="e">
        <f t="shared" si="45"/>
        <v>#DIV/0!</v>
      </c>
      <c r="AK13" s="154" t="e">
        <f t="shared" si="45"/>
        <v>#DIV/0!</v>
      </c>
      <c r="AL13" s="154" t="e">
        <f t="shared" si="45"/>
        <v>#DIV/0!</v>
      </c>
      <c r="AM13" s="154" t="e">
        <f t="shared" si="45"/>
        <v>#DIV/0!</v>
      </c>
      <c r="AN13" s="154" t="e">
        <f>SUM(E13:AM13)</f>
        <v>#DIV/0!</v>
      </c>
    </row>
    <row r="14" spans="1:40" ht="16.5" x14ac:dyDescent="0.3">
      <c r="B14" s="89"/>
      <c r="C14" s="89"/>
      <c r="D14" s="89"/>
      <c r="E14" s="89"/>
      <c r="F14" s="89"/>
      <c r="G14" s="89"/>
      <c r="H14" s="89"/>
      <c r="I14" s="89"/>
      <c r="J14" s="89"/>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row>
    <row r="15" spans="1:40" ht="16.5" x14ac:dyDescent="0.3">
      <c r="B15" s="157" t="s">
        <v>445</v>
      </c>
      <c r="C15" s="158"/>
      <c r="D15" s="158"/>
      <c r="E15" s="154" t="e">
        <f t="shared" ref="E15" si="46">SUM(E16:E32)</f>
        <v>#DIV/0!</v>
      </c>
      <c r="F15" s="154" t="e">
        <f t="shared" ref="F15:R15" si="47">SUM(F16:F32)</f>
        <v>#DIV/0!</v>
      </c>
      <c r="G15" s="154" t="e">
        <f t="shared" si="47"/>
        <v>#DIV/0!</v>
      </c>
      <c r="H15" s="154" t="e">
        <f t="shared" si="47"/>
        <v>#DIV/0!</v>
      </c>
      <c r="I15" s="154" t="e">
        <f t="shared" si="47"/>
        <v>#DIV/0!</v>
      </c>
      <c r="J15" s="154" t="e">
        <f t="shared" si="47"/>
        <v>#DIV/0!</v>
      </c>
      <c r="K15" s="154" t="e">
        <f t="shared" si="47"/>
        <v>#DIV/0!</v>
      </c>
      <c r="L15" s="154" t="e">
        <f t="shared" si="47"/>
        <v>#DIV/0!</v>
      </c>
      <c r="M15" s="154" t="e">
        <f t="shared" si="47"/>
        <v>#DIV/0!</v>
      </c>
      <c r="N15" s="154" t="e">
        <f t="shared" si="47"/>
        <v>#DIV/0!</v>
      </c>
      <c r="O15" s="154" t="e">
        <f t="shared" si="47"/>
        <v>#DIV/0!</v>
      </c>
      <c r="P15" s="154" t="e">
        <f t="shared" si="47"/>
        <v>#DIV/0!</v>
      </c>
      <c r="Q15" s="154" t="e">
        <f t="shared" si="47"/>
        <v>#DIV/0!</v>
      </c>
      <c r="R15" s="154" t="e">
        <f t="shared" si="47"/>
        <v>#DIV/0!</v>
      </c>
      <c r="S15" s="154" t="e">
        <f t="shared" ref="S15:AM15" si="48">SUM(S16:S32)</f>
        <v>#DIV/0!</v>
      </c>
      <c r="T15" s="154" t="e">
        <f t="shared" si="48"/>
        <v>#DIV/0!</v>
      </c>
      <c r="U15" s="154" t="e">
        <f t="shared" si="48"/>
        <v>#DIV/0!</v>
      </c>
      <c r="V15" s="154" t="e">
        <f t="shared" si="48"/>
        <v>#DIV/0!</v>
      </c>
      <c r="W15" s="154" t="e">
        <f t="shared" si="48"/>
        <v>#DIV/0!</v>
      </c>
      <c r="X15" s="154" t="e">
        <f t="shared" si="48"/>
        <v>#DIV/0!</v>
      </c>
      <c r="Y15" s="154" t="e">
        <f t="shared" si="48"/>
        <v>#DIV/0!</v>
      </c>
      <c r="Z15" s="154" t="e">
        <f t="shared" si="48"/>
        <v>#DIV/0!</v>
      </c>
      <c r="AA15" s="154" t="e">
        <f t="shared" si="48"/>
        <v>#DIV/0!</v>
      </c>
      <c r="AB15" s="154" t="e">
        <f t="shared" si="48"/>
        <v>#DIV/0!</v>
      </c>
      <c r="AC15" s="154" t="e">
        <f t="shared" si="48"/>
        <v>#DIV/0!</v>
      </c>
      <c r="AD15" s="154" t="e">
        <f t="shared" si="48"/>
        <v>#DIV/0!</v>
      </c>
      <c r="AE15" s="154" t="e">
        <f t="shared" si="48"/>
        <v>#DIV/0!</v>
      </c>
      <c r="AF15" s="154" t="e">
        <f t="shared" si="48"/>
        <v>#DIV/0!</v>
      </c>
      <c r="AG15" s="154" t="e">
        <f t="shared" si="48"/>
        <v>#DIV/0!</v>
      </c>
      <c r="AH15" s="154" t="e">
        <f t="shared" si="48"/>
        <v>#DIV/0!</v>
      </c>
      <c r="AI15" s="154" t="e">
        <f t="shared" si="48"/>
        <v>#DIV/0!</v>
      </c>
      <c r="AJ15" s="154" t="e">
        <f t="shared" si="48"/>
        <v>#DIV/0!</v>
      </c>
      <c r="AK15" s="154" t="e">
        <f t="shared" si="48"/>
        <v>#DIV/0!</v>
      </c>
      <c r="AL15" s="154" t="e">
        <f t="shared" si="48"/>
        <v>#DIV/0!</v>
      </c>
      <c r="AM15" s="154" t="e">
        <f t="shared" si="48"/>
        <v>#DIV/0!</v>
      </c>
      <c r="AN15" s="154" t="e">
        <f t="shared" ref="AN15:AN31" si="49">SUM(E15:AM15)</f>
        <v>#DIV/0!</v>
      </c>
    </row>
    <row r="16" spans="1:40" ht="16.5" x14ac:dyDescent="0.3">
      <c r="B16" s="158" t="s">
        <v>464</v>
      </c>
      <c r="C16" s="158"/>
      <c r="D16" s="158"/>
      <c r="E16" s="155">
        <f>'FCD PROJETO'!F55*'Mão de Obra'!D16+'FCD PROJETO'!F55*(1-'Mão de Obra'!D16)</f>
        <v>0</v>
      </c>
      <c r="F16" s="155">
        <f>'FCD PROJETO'!G55*'Mão de Obra'!E16+'FCD PROJETO'!G55*(1-'Mão de Obra'!E16)</f>
        <v>0</v>
      </c>
      <c r="G16" s="155">
        <f>'FCD PROJETO'!H55*'Mão de Obra'!F16+'FCD PROJETO'!H55*(1-'Mão de Obra'!F16)</f>
        <v>0</v>
      </c>
      <c r="H16" s="155">
        <f>'FCD PROJETO'!I55*'Mão de Obra'!G16+'FCD PROJETO'!I55*(1-'Mão de Obra'!G16)</f>
        <v>0</v>
      </c>
      <c r="I16" s="155">
        <f>'FCD PROJETO'!J55*'Mão de Obra'!H16+'FCD PROJETO'!J55*(1-'Mão de Obra'!H16)</f>
        <v>0</v>
      </c>
      <c r="J16" s="155">
        <f>'FCD PROJETO'!K55*'Mão de Obra'!I16+'FCD PROJETO'!K55*(1-'Mão de Obra'!I16)</f>
        <v>0</v>
      </c>
      <c r="K16" s="155">
        <f>'FCD PROJETO'!L55*'Mão de Obra'!J16+'FCD PROJETO'!L55*(1-'Mão de Obra'!J16)</f>
        <v>0</v>
      </c>
      <c r="L16" s="155">
        <f>'FCD PROJETO'!M55*'Mão de Obra'!K16+'FCD PROJETO'!M55*(1-'Mão de Obra'!K16)</f>
        <v>0</v>
      </c>
      <c r="M16" s="155">
        <f>'FCD PROJETO'!N55*'Mão de Obra'!L16+'FCD PROJETO'!N55*(1-'Mão de Obra'!L16)</f>
        <v>0</v>
      </c>
      <c r="N16" s="155">
        <f>'FCD PROJETO'!O55*'Mão de Obra'!M16+'FCD PROJETO'!O55*(1-'Mão de Obra'!M16)</f>
        <v>0</v>
      </c>
      <c r="O16" s="155">
        <f>'FCD PROJETO'!P55*'Mão de Obra'!N16+'FCD PROJETO'!P55*(1-'Mão de Obra'!N16)</f>
        <v>0</v>
      </c>
      <c r="P16" s="155">
        <f>'FCD PROJETO'!Q55*'Mão de Obra'!O16+'FCD PROJETO'!Q55*(1-'Mão de Obra'!O16)</f>
        <v>0</v>
      </c>
      <c r="Q16" s="155">
        <f>'FCD PROJETO'!R55*'Mão de Obra'!P16+'FCD PROJETO'!R55*(1-'Mão de Obra'!P16)</f>
        <v>0</v>
      </c>
      <c r="R16" s="155">
        <f>'FCD PROJETO'!S55*'Mão de Obra'!Q16+'FCD PROJETO'!S55*(1-'Mão de Obra'!Q16)</f>
        <v>0</v>
      </c>
      <c r="S16" s="155">
        <f>'FCD PROJETO'!T55*'Mão de Obra'!R16+'FCD PROJETO'!T55*(1-'Mão de Obra'!R16)</f>
        <v>0</v>
      </c>
      <c r="T16" s="155">
        <f>'FCD PROJETO'!U55*'Mão de Obra'!S16+'FCD PROJETO'!U55*(1-'Mão de Obra'!S16)</f>
        <v>0</v>
      </c>
      <c r="U16" s="155">
        <f>'FCD PROJETO'!V55*'Mão de Obra'!T16+'FCD PROJETO'!V55*(1-'Mão de Obra'!T16)</f>
        <v>0</v>
      </c>
      <c r="V16" s="155">
        <f>'FCD PROJETO'!W55*'Mão de Obra'!U16+'FCD PROJETO'!W55*(1-'Mão de Obra'!U16)</f>
        <v>0</v>
      </c>
      <c r="W16" s="155">
        <f>'FCD PROJETO'!X55*'Mão de Obra'!V16+'FCD PROJETO'!X55*(1-'Mão de Obra'!V16)</f>
        <v>0</v>
      </c>
      <c r="X16" s="155">
        <f>'FCD PROJETO'!Y55*'Mão de Obra'!W16+'FCD PROJETO'!Y55*(1-'Mão de Obra'!W16)</f>
        <v>0</v>
      </c>
      <c r="Y16" s="155">
        <f>'FCD PROJETO'!Z55*'Mão de Obra'!X16+'FCD PROJETO'!Z55*(1-'Mão de Obra'!X16)</f>
        <v>0</v>
      </c>
      <c r="Z16" s="155">
        <f>'FCD PROJETO'!AA55*'Mão de Obra'!Y16+'FCD PROJETO'!AA55*(1-'Mão de Obra'!Y16)</f>
        <v>0</v>
      </c>
      <c r="AA16" s="155">
        <f>'FCD PROJETO'!AB55*'Mão de Obra'!Z16+'FCD PROJETO'!AB55*(1-'Mão de Obra'!Z16)</f>
        <v>0</v>
      </c>
      <c r="AB16" s="155">
        <f>'FCD PROJETO'!AC55*'Mão de Obra'!AA16+'FCD PROJETO'!AC55*(1-'Mão de Obra'!AA16)</f>
        <v>0</v>
      </c>
      <c r="AC16" s="155">
        <f>'FCD PROJETO'!AD55*'Mão de Obra'!AB16+'FCD PROJETO'!AD55*(1-'Mão de Obra'!AB16)</f>
        <v>0</v>
      </c>
      <c r="AD16" s="155">
        <f>'FCD PROJETO'!AE55*'Mão de Obra'!AC16+'FCD PROJETO'!AE55*(1-'Mão de Obra'!AC16)</f>
        <v>0</v>
      </c>
      <c r="AE16" s="155">
        <f>'FCD PROJETO'!AF55*'Mão de Obra'!AD16+'FCD PROJETO'!AF55*(1-'Mão de Obra'!AD16)</f>
        <v>0</v>
      </c>
      <c r="AF16" s="155">
        <f>'FCD PROJETO'!AG55*'Mão de Obra'!AE16+'FCD PROJETO'!AG55*(1-'Mão de Obra'!AE16)</f>
        <v>0</v>
      </c>
      <c r="AG16" s="155">
        <f>'FCD PROJETO'!AH55*'Mão de Obra'!AF16+'FCD PROJETO'!AH55*(1-'Mão de Obra'!AF16)</f>
        <v>0</v>
      </c>
      <c r="AH16" s="155">
        <f>'FCD PROJETO'!AI55*'Mão de Obra'!AG16+'FCD PROJETO'!AI55*(1-'Mão de Obra'!AG16)</f>
        <v>0</v>
      </c>
      <c r="AI16" s="155">
        <f>'FCD PROJETO'!AJ55*'Mão de Obra'!AH16+'FCD PROJETO'!AJ55*(1-'Mão de Obra'!AH16)</f>
        <v>0</v>
      </c>
      <c r="AJ16" s="155">
        <f>'FCD PROJETO'!AK55*'Mão de Obra'!AI16+'FCD PROJETO'!AK55*(1-'Mão de Obra'!AI16)</f>
        <v>0</v>
      </c>
      <c r="AK16" s="155">
        <f>'FCD PROJETO'!AL55*'Mão de Obra'!AJ16+'FCD PROJETO'!AL55*(1-'Mão de Obra'!AJ16)</f>
        <v>0</v>
      </c>
      <c r="AL16" s="155">
        <f>'FCD PROJETO'!AM55*'Mão de Obra'!AK16+'FCD PROJETO'!AM55*(1-'Mão de Obra'!AK16)</f>
        <v>0</v>
      </c>
      <c r="AM16" s="155">
        <f>'FCD PROJETO'!AN55*'Mão de Obra'!AL16+'FCD PROJETO'!AN55*(1-'Mão de Obra'!AL16)</f>
        <v>0</v>
      </c>
      <c r="AN16" s="155">
        <f t="shared" si="49"/>
        <v>0</v>
      </c>
    </row>
    <row r="17" spans="2:40" ht="16.5" x14ac:dyDescent="0.3">
      <c r="B17" s="158" t="s">
        <v>452</v>
      </c>
      <c r="C17" s="158"/>
      <c r="D17" s="158"/>
      <c r="E17" s="155">
        <f>'FCD PROJETO'!F56</f>
        <v>0</v>
      </c>
      <c r="F17" s="155">
        <f>'FCD PROJETO'!G56</f>
        <v>0</v>
      </c>
      <c r="G17" s="155">
        <f>'FCD PROJETO'!H56</f>
        <v>0</v>
      </c>
      <c r="H17" s="155">
        <f>'FCD PROJETO'!I56</f>
        <v>0</v>
      </c>
      <c r="I17" s="155">
        <f>'FCD PROJETO'!J56</f>
        <v>0</v>
      </c>
      <c r="J17" s="155">
        <f>'FCD PROJETO'!K56</f>
        <v>0</v>
      </c>
      <c r="K17" s="155">
        <f>'FCD PROJETO'!L56</f>
        <v>0</v>
      </c>
      <c r="L17" s="155">
        <f>'FCD PROJETO'!M56</f>
        <v>0</v>
      </c>
      <c r="M17" s="155">
        <f>'FCD PROJETO'!N56</f>
        <v>0</v>
      </c>
      <c r="N17" s="155">
        <f>'FCD PROJETO'!O56</f>
        <v>0</v>
      </c>
      <c r="O17" s="155">
        <f>'FCD PROJETO'!P56</f>
        <v>0</v>
      </c>
      <c r="P17" s="155">
        <f>'FCD PROJETO'!Q56</f>
        <v>0</v>
      </c>
      <c r="Q17" s="155">
        <f>'FCD PROJETO'!R56</f>
        <v>0</v>
      </c>
      <c r="R17" s="155">
        <f>'FCD PROJETO'!S56</f>
        <v>0</v>
      </c>
      <c r="S17" s="155">
        <f>'FCD PROJETO'!T56</f>
        <v>0</v>
      </c>
      <c r="T17" s="155">
        <f>'FCD PROJETO'!U56</f>
        <v>0</v>
      </c>
      <c r="U17" s="155">
        <f>'FCD PROJETO'!V56</f>
        <v>0</v>
      </c>
      <c r="V17" s="155">
        <f>'FCD PROJETO'!W56</f>
        <v>0</v>
      </c>
      <c r="W17" s="155">
        <f>'FCD PROJETO'!X56</f>
        <v>0</v>
      </c>
      <c r="X17" s="155">
        <f>'FCD PROJETO'!Y56</f>
        <v>0</v>
      </c>
      <c r="Y17" s="155">
        <f>'FCD PROJETO'!Z56</f>
        <v>0</v>
      </c>
      <c r="Z17" s="155">
        <f>'FCD PROJETO'!AA56</f>
        <v>0</v>
      </c>
      <c r="AA17" s="155">
        <f>'FCD PROJETO'!AB56</f>
        <v>0</v>
      </c>
      <c r="AB17" s="155">
        <f>'FCD PROJETO'!AC56</f>
        <v>0</v>
      </c>
      <c r="AC17" s="155">
        <f>'FCD PROJETO'!AD56</f>
        <v>0</v>
      </c>
      <c r="AD17" s="155">
        <f>'FCD PROJETO'!AE56</f>
        <v>0</v>
      </c>
      <c r="AE17" s="155">
        <f>'FCD PROJETO'!AF56</f>
        <v>0</v>
      </c>
      <c r="AF17" s="155">
        <f>'FCD PROJETO'!AG56</f>
        <v>0</v>
      </c>
      <c r="AG17" s="155">
        <f>'FCD PROJETO'!AH56</f>
        <v>0</v>
      </c>
      <c r="AH17" s="155">
        <f>'FCD PROJETO'!AI56</f>
        <v>0</v>
      </c>
      <c r="AI17" s="155">
        <f>'FCD PROJETO'!AJ56</f>
        <v>0</v>
      </c>
      <c r="AJ17" s="155">
        <f>'FCD PROJETO'!AK56</f>
        <v>0</v>
      </c>
      <c r="AK17" s="155">
        <f>'FCD PROJETO'!AL56</f>
        <v>0</v>
      </c>
      <c r="AL17" s="155">
        <f>'FCD PROJETO'!AM56</f>
        <v>0</v>
      </c>
      <c r="AM17" s="155">
        <f>'FCD PROJETO'!AN56</f>
        <v>0</v>
      </c>
      <c r="AN17" s="155">
        <f t="shared" si="49"/>
        <v>0</v>
      </c>
    </row>
    <row r="18" spans="2:40" ht="16.5" x14ac:dyDescent="0.3">
      <c r="B18" s="158" t="s">
        <v>453</v>
      </c>
      <c r="C18" s="158"/>
      <c r="D18" s="158"/>
      <c r="E18" s="155">
        <f>'FCD PROJETO'!F57</f>
        <v>0</v>
      </c>
      <c r="F18" s="155">
        <f>'FCD PROJETO'!G57</f>
        <v>0</v>
      </c>
      <c r="G18" s="155">
        <f>'FCD PROJETO'!H57</f>
        <v>0</v>
      </c>
      <c r="H18" s="155">
        <f>'FCD PROJETO'!I57</f>
        <v>0</v>
      </c>
      <c r="I18" s="155">
        <f>'FCD PROJETO'!J57</f>
        <v>0</v>
      </c>
      <c r="J18" s="155">
        <f>'FCD PROJETO'!K57</f>
        <v>0</v>
      </c>
      <c r="K18" s="155">
        <f>'FCD PROJETO'!L57</f>
        <v>0</v>
      </c>
      <c r="L18" s="155">
        <f>'FCD PROJETO'!M57</f>
        <v>0</v>
      </c>
      <c r="M18" s="155">
        <f>'FCD PROJETO'!N57</f>
        <v>0</v>
      </c>
      <c r="N18" s="155">
        <f>'FCD PROJETO'!O57</f>
        <v>0</v>
      </c>
      <c r="O18" s="155">
        <f>'FCD PROJETO'!P57</f>
        <v>0</v>
      </c>
      <c r="P18" s="155">
        <f>'FCD PROJETO'!Q57</f>
        <v>0</v>
      </c>
      <c r="Q18" s="155">
        <f>'FCD PROJETO'!R57</f>
        <v>0</v>
      </c>
      <c r="R18" s="155">
        <f>'FCD PROJETO'!S57</f>
        <v>0</v>
      </c>
      <c r="S18" s="155">
        <f>'FCD PROJETO'!T57</f>
        <v>0</v>
      </c>
      <c r="T18" s="155">
        <f>'FCD PROJETO'!U57</f>
        <v>0</v>
      </c>
      <c r="U18" s="155">
        <f>'FCD PROJETO'!V57</f>
        <v>0</v>
      </c>
      <c r="V18" s="155">
        <f>'FCD PROJETO'!W57</f>
        <v>0</v>
      </c>
      <c r="W18" s="155">
        <f>'FCD PROJETO'!X57</f>
        <v>0</v>
      </c>
      <c r="X18" s="155">
        <f>'FCD PROJETO'!Y57</f>
        <v>0</v>
      </c>
      <c r="Y18" s="155">
        <f>'FCD PROJETO'!Z57</f>
        <v>0</v>
      </c>
      <c r="Z18" s="155">
        <f>'FCD PROJETO'!AA57</f>
        <v>0</v>
      </c>
      <c r="AA18" s="155">
        <f>'FCD PROJETO'!AB57</f>
        <v>0</v>
      </c>
      <c r="AB18" s="155">
        <f>'FCD PROJETO'!AC57</f>
        <v>0</v>
      </c>
      <c r="AC18" s="155">
        <f>'FCD PROJETO'!AD57</f>
        <v>0</v>
      </c>
      <c r="AD18" s="155">
        <f>'FCD PROJETO'!AE57</f>
        <v>0</v>
      </c>
      <c r="AE18" s="155">
        <f>'FCD PROJETO'!AF57</f>
        <v>0</v>
      </c>
      <c r="AF18" s="155">
        <f>'FCD PROJETO'!AG57</f>
        <v>0</v>
      </c>
      <c r="AG18" s="155">
        <f>'FCD PROJETO'!AH57</f>
        <v>0</v>
      </c>
      <c r="AH18" s="155">
        <f>'FCD PROJETO'!AI57</f>
        <v>0</v>
      </c>
      <c r="AI18" s="155">
        <f>'FCD PROJETO'!AJ57</f>
        <v>0</v>
      </c>
      <c r="AJ18" s="155">
        <f>'FCD PROJETO'!AK57</f>
        <v>0</v>
      </c>
      <c r="AK18" s="155">
        <f>'FCD PROJETO'!AL57</f>
        <v>0</v>
      </c>
      <c r="AL18" s="155">
        <f>'FCD PROJETO'!AM57</f>
        <v>0</v>
      </c>
      <c r="AM18" s="155">
        <f>'FCD PROJETO'!AN57</f>
        <v>0</v>
      </c>
      <c r="AN18" s="155">
        <f t="shared" si="49"/>
        <v>0</v>
      </c>
    </row>
    <row r="19" spans="2:40" ht="16.5" x14ac:dyDescent="0.3">
      <c r="B19" s="158" t="s">
        <v>454</v>
      </c>
      <c r="C19" s="158"/>
      <c r="D19" s="158"/>
      <c r="E19" s="155" t="e">
        <f>'FCD PROJETO'!F58</f>
        <v>#DIV/0!</v>
      </c>
      <c r="F19" s="155" t="e">
        <f>'FCD PROJETO'!G58</f>
        <v>#DIV/0!</v>
      </c>
      <c r="G19" s="155" t="e">
        <f>'FCD PROJETO'!H58</f>
        <v>#DIV/0!</v>
      </c>
      <c r="H19" s="155" t="e">
        <f>'FCD PROJETO'!I58</f>
        <v>#DIV/0!</v>
      </c>
      <c r="I19" s="155" t="e">
        <f>'FCD PROJETO'!J58</f>
        <v>#DIV/0!</v>
      </c>
      <c r="J19" s="155" t="e">
        <f>'FCD PROJETO'!K58</f>
        <v>#DIV/0!</v>
      </c>
      <c r="K19" s="155" t="e">
        <f>'FCD PROJETO'!L58</f>
        <v>#DIV/0!</v>
      </c>
      <c r="L19" s="155" t="e">
        <f>'FCD PROJETO'!M58</f>
        <v>#DIV/0!</v>
      </c>
      <c r="M19" s="155" t="e">
        <f>'FCD PROJETO'!N58</f>
        <v>#DIV/0!</v>
      </c>
      <c r="N19" s="155" t="e">
        <f>'FCD PROJETO'!O58</f>
        <v>#DIV/0!</v>
      </c>
      <c r="O19" s="155" t="e">
        <f>'FCD PROJETO'!P58</f>
        <v>#DIV/0!</v>
      </c>
      <c r="P19" s="155" t="e">
        <f>'FCD PROJETO'!Q58</f>
        <v>#DIV/0!</v>
      </c>
      <c r="Q19" s="155" t="e">
        <f>'FCD PROJETO'!R58</f>
        <v>#DIV/0!</v>
      </c>
      <c r="R19" s="155" t="e">
        <f>'FCD PROJETO'!S58</f>
        <v>#DIV/0!</v>
      </c>
      <c r="S19" s="155" t="e">
        <f>'FCD PROJETO'!T58</f>
        <v>#DIV/0!</v>
      </c>
      <c r="T19" s="155" t="e">
        <f>'FCD PROJETO'!U58</f>
        <v>#DIV/0!</v>
      </c>
      <c r="U19" s="155" t="e">
        <f>'FCD PROJETO'!V58</f>
        <v>#DIV/0!</v>
      </c>
      <c r="V19" s="155" t="e">
        <f>'FCD PROJETO'!W58</f>
        <v>#DIV/0!</v>
      </c>
      <c r="W19" s="155" t="e">
        <f>'FCD PROJETO'!X58</f>
        <v>#DIV/0!</v>
      </c>
      <c r="X19" s="155" t="e">
        <f>'FCD PROJETO'!Y58</f>
        <v>#DIV/0!</v>
      </c>
      <c r="Y19" s="155" t="e">
        <f>'FCD PROJETO'!Z58</f>
        <v>#DIV/0!</v>
      </c>
      <c r="Z19" s="155" t="e">
        <f>'FCD PROJETO'!AA58</f>
        <v>#DIV/0!</v>
      </c>
      <c r="AA19" s="155" t="e">
        <f>'FCD PROJETO'!AB58</f>
        <v>#DIV/0!</v>
      </c>
      <c r="AB19" s="155" t="e">
        <f>'FCD PROJETO'!AC58</f>
        <v>#DIV/0!</v>
      </c>
      <c r="AC19" s="155" t="e">
        <f>'FCD PROJETO'!AD58</f>
        <v>#DIV/0!</v>
      </c>
      <c r="AD19" s="155" t="e">
        <f>'FCD PROJETO'!AE58</f>
        <v>#DIV/0!</v>
      </c>
      <c r="AE19" s="155" t="e">
        <f>'FCD PROJETO'!AF58</f>
        <v>#DIV/0!</v>
      </c>
      <c r="AF19" s="155" t="e">
        <f>'FCD PROJETO'!AG58</f>
        <v>#DIV/0!</v>
      </c>
      <c r="AG19" s="155" t="e">
        <f>'FCD PROJETO'!AH58</f>
        <v>#DIV/0!</v>
      </c>
      <c r="AH19" s="155" t="e">
        <f>'FCD PROJETO'!AI58</f>
        <v>#DIV/0!</v>
      </c>
      <c r="AI19" s="155" t="e">
        <f>'FCD PROJETO'!AJ58</f>
        <v>#DIV/0!</v>
      </c>
      <c r="AJ19" s="155" t="e">
        <f>'FCD PROJETO'!AK58</f>
        <v>#DIV/0!</v>
      </c>
      <c r="AK19" s="155" t="e">
        <f>'FCD PROJETO'!AL58</f>
        <v>#DIV/0!</v>
      </c>
      <c r="AL19" s="155" t="e">
        <f>'FCD PROJETO'!AM58</f>
        <v>#DIV/0!</v>
      </c>
      <c r="AM19" s="155" t="e">
        <f>'FCD PROJETO'!AN58</f>
        <v>#DIV/0!</v>
      </c>
      <c r="AN19" s="155" t="e">
        <f t="shared" si="49"/>
        <v>#DIV/0!</v>
      </c>
    </row>
    <row r="20" spans="2:40" ht="16.5" x14ac:dyDescent="0.3">
      <c r="B20" s="158" t="s">
        <v>455</v>
      </c>
      <c r="C20" s="158"/>
      <c r="D20" s="158"/>
      <c r="E20" s="155" t="e">
        <f>'FCD PROJETO'!F59</f>
        <v>#DIV/0!</v>
      </c>
      <c r="F20" s="155" t="e">
        <f>'FCD PROJETO'!G59</f>
        <v>#DIV/0!</v>
      </c>
      <c r="G20" s="155" t="e">
        <f>'FCD PROJETO'!H59</f>
        <v>#DIV/0!</v>
      </c>
      <c r="H20" s="155" t="e">
        <f>'FCD PROJETO'!I59</f>
        <v>#DIV/0!</v>
      </c>
      <c r="I20" s="155" t="e">
        <f>'FCD PROJETO'!J59</f>
        <v>#DIV/0!</v>
      </c>
      <c r="J20" s="155" t="e">
        <f>'FCD PROJETO'!K59</f>
        <v>#DIV/0!</v>
      </c>
      <c r="K20" s="155" t="e">
        <f>'FCD PROJETO'!L59</f>
        <v>#DIV/0!</v>
      </c>
      <c r="L20" s="155" t="e">
        <f>'FCD PROJETO'!M59</f>
        <v>#DIV/0!</v>
      </c>
      <c r="M20" s="155" t="e">
        <f>'FCD PROJETO'!N59</f>
        <v>#DIV/0!</v>
      </c>
      <c r="N20" s="155" t="e">
        <f>'FCD PROJETO'!O59</f>
        <v>#DIV/0!</v>
      </c>
      <c r="O20" s="155" t="e">
        <f>'FCD PROJETO'!P59</f>
        <v>#DIV/0!</v>
      </c>
      <c r="P20" s="155" t="e">
        <f>'FCD PROJETO'!Q59</f>
        <v>#DIV/0!</v>
      </c>
      <c r="Q20" s="155" t="e">
        <f>'FCD PROJETO'!R59</f>
        <v>#DIV/0!</v>
      </c>
      <c r="R20" s="155" t="e">
        <f>'FCD PROJETO'!S59</f>
        <v>#DIV/0!</v>
      </c>
      <c r="S20" s="155" t="e">
        <f>'FCD PROJETO'!T59</f>
        <v>#DIV/0!</v>
      </c>
      <c r="T20" s="155" t="e">
        <f>'FCD PROJETO'!U59</f>
        <v>#DIV/0!</v>
      </c>
      <c r="U20" s="155" t="e">
        <f>'FCD PROJETO'!V59</f>
        <v>#DIV/0!</v>
      </c>
      <c r="V20" s="155" t="e">
        <f>'FCD PROJETO'!W59</f>
        <v>#DIV/0!</v>
      </c>
      <c r="W20" s="155" t="e">
        <f>'FCD PROJETO'!X59</f>
        <v>#DIV/0!</v>
      </c>
      <c r="X20" s="155" t="e">
        <f>'FCD PROJETO'!Y59</f>
        <v>#DIV/0!</v>
      </c>
      <c r="Y20" s="155" t="e">
        <f>'FCD PROJETO'!Z59</f>
        <v>#DIV/0!</v>
      </c>
      <c r="Z20" s="155" t="e">
        <f>'FCD PROJETO'!AA59</f>
        <v>#DIV/0!</v>
      </c>
      <c r="AA20" s="155" t="e">
        <f>'FCD PROJETO'!AB59</f>
        <v>#DIV/0!</v>
      </c>
      <c r="AB20" s="155" t="e">
        <f>'FCD PROJETO'!AC59</f>
        <v>#DIV/0!</v>
      </c>
      <c r="AC20" s="155" t="e">
        <f>'FCD PROJETO'!AD59</f>
        <v>#DIV/0!</v>
      </c>
      <c r="AD20" s="155" t="e">
        <f>'FCD PROJETO'!AE59</f>
        <v>#DIV/0!</v>
      </c>
      <c r="AE20" s="155" t="e">
        <f>'FCD PROJETO'!AF59</f>
        <v>#DIV/0!</v>
      </c>
      <c r="AF20" s="155" t="e">
        <f>'FCD PROJETO'!AG59</f>
        <v>#DIV/0!</v>
      </c>
      <c r="AG20" s="155" t="e">
        <f>'FCD PROJETO'!AH59</f>
        <v>#DIV/0!</v>
      </c>
      <c r="AH20" s="155" t="e">
        <f>'FCD PROJETO'!AI59</f>
        <v>#DIV/0!</v>
      </c>
      <c r="AI20" s="155" t="e">
        <f>'FCD PROJETO'!AJ59</f>
        <v>#DIV/0!</v>
      </c>
      <c r="AJ20" s="155" t="e">
        <f>'FCD PROJETO'!AK59</f>
        <v>#DIV/0!</v>
      </c>
      <c r="AK20" s="155" t="e">
        <f>'FCD PROJETO'!AL59</f>
        <v>#DIV/0!</v>
      </c>
      <c r="AL20" s="155" t="e">
        <f>'FCD PROJETO'!AM59</f>
        <v>#DIV/0!</v>
      </c>
      <c r="AM20" s="155" t="e">
        <f>'FCD PROJETO'!AN59</f>
        <v>#DIV/0!</v>
      </c>
      <c r="AN20" s="155" t="e">
        <f t="shared" si="49"/>
        <v>#DIV/0!</v>
      </c>
    </row>
    <row r="21" spans="2:40" ht="16.5" x14ac:dyDescent="0.3">
      <c r="B21" s="158" t="s">
        <v>456</v>
      </c>
      <c r="C21" s="158"/>
      <c r="D21" s="158"/>
      <c r="E21" s="155">
        <f>'FCD PROJETO'!F60</f>
        <v>0</v>
      </c>
      <c r="F21" s="155">
        <f>'FCD PROJETO'!G60</f>
        <v>0</v>
      </c>
      <c r="G21" s="155">
        <f>'FCD PROJETO'!H60</f>
        <v>0</v>
      </c>
      <c r="H21" s="155">
        <f>'FCD PROJETO'!I60</f>
        <v>0</v>
      </c>
      <c r="I21" s="155">
        <f>'FCD PROJETO'!J60</f>
        <v>0</v>
      </c>
      <c r="J21" s="155">
        <f>'FCD PROJETO'!K60</f>
        <v>0</v>
      </c>
      <c r="K21" s="155">
        <f>'FCD PROJETO'!L60</f>
        <v>0</v>
      </c>
      <c r="L21" s="155">
        <f>'FCD PROJETO'!M60</f>
        <v>0</v>
      </c>
      <c r="M21" s="155">
        <f>'FCD PROJETO'!N60</f>
        <v>0</v>
      </c>
      <c r="N21" s="155">
        <f>'FCD PROJETO'!O60</f>
        <v>0</v>
      </c>
      <c r="O21" s="155">
        <f>'FCD PROJETO'!P60</f>
        <v>0</v>
      </c>
      <c r="P21" s="155">
        <f>'FCD PROJETO'!Q60</f>
        <v>0</v>
      </c>
      <c r="Q21" s="155">
        <f>'FCD PROJETO'!R60</f>
        <v>0</v>
      </c>
      <c r="R21" s="155">
        <f>'FCD PROJETO'!S60</f>
        <v>0</v>
      </c>
      <c r="S21" s="155">
        <f>'FCD PROJETO'!T60</f>
        <v>0</v>
      </c>
      <c r="T21" s="155">
        <f>'FCD PROJETO'!U60</f>
        <v>0</v>
      </c>
      <c r="U21" s="155">
        <f>'FCD PROJETO'!V60</f>
        <v>0</v>
      </c>
      <c r="V21" s="155">
        <f>'FCD PROJETO'!W60</f>
        <v>0</v>
      </c>
      <c r="W21" s="155">
        <f>'FCD PROJETO'!X60</f>
        <v>0</v>
      </c>
      <c r="X21" s="155">
        <f>'FCD PROJETO'!Y60</f>
        <v>0</v>
      </c>
      <c r="Y21" s="155">
        <f>'FCD PROJETO'!Z60</f>
        <v>0</v>
      </c>
      <c r="Z21" s="155">
        <f>'FCD PROJETO'!AA60</f>
        <v>0</v>
      </c>
      <c r="AA21" s="155">
        <f>'FCD PROJETO'!AB60</f>
        <v>0</v>
      </c>
      <c r="AB21" s="155">
        <f>'FCD PROJETO'!AC60</f>
        <v>0</v>
      </c>
      <c r="AC21" s="155">
        <f>'FCD PROJETO'!AD60</f>
        <v>0</v>
      </c>
      <c r="AD21" s="155">
        <f>'FCD PROJETO'!AE60</f>
        <v>0</v>
      </c>
      <c r="AE21" s="155">
        <f>'FCD PROJETO'!AF60</f>
        <v>0</v>
      </c>
      <c r="AF21" s="155">
        <f>'FCD PROJETO'!AG60</f>
        <v>0</v>
      </c>
      <c r="AG21" s="155">
        <f>'FCD PROJETO'!AH60</f>
        <v>0</v>
      </c>
      <c r="AH21" s="155">
        <f>'FCD PROJETO'!AI60</f>
        <v>0</v>
      </c>
      <c r="AI21" s="155">
        <f>'FCD PROJETO'!AJ60</f>
        <v>0</v>
      </c>
      <c r="AJ21" s="155">
        <f>'FCD PROJETO'!AK60</f>
        <v>0</v>
      </c>
      <c r="AK21" s="155">
        <f>'FCD PROJETO'!AL60</f>
        <v>0</v>
      </c>
      <c r="AL21" s="155">
        <f>'FCD PROJETO'!AM60</f>
        <v>0</v>
      </c>
      <c r="AM21" s="155">
        <f>'FCD PROJETO'!AN60</f>
        <v>0</v>
      </c>
      <c r="AN21" s="155">
        <f t="shared" si="49"/>
        <v>0</v>
      </c>
    </row>
    <row r="22" spans="2:40" ht="16.5" x14ac:dyDescent="0.3">
      <c r="B22" s="158" t="s">
        <v>457</v>
      </c>
      <c r="C22" s="158"/>
      <c r="D22" s="158"/>
      <c r="E22" s="155">
        <f>'FCD PROJETO'!F61</f>
        <v>0</v>
      </c>
      <c r="F22" s="155">
        <f>'FCD PROJETO'!G61</f>
        <v>0</v>
      </c>
      <c r="G22" s="155">
        <f>'FCD PROJETO'!H61</f>
        <v>0</v>
      </c>
      <c r="H22" s="155">
        <f>'FCD PROJETO'!I61</f>
        <v>0</v>
      </c>
      <c r="I22" s="155">
        <f>'FCD PROJETO'!J61</f>
        <v>0</v>
      </c>
      <c r="J22" s="155">
        <f>'FCD PROJETO'!K61</f>
        <v>0</v>
      </c>
      <c r="K22" s="155">
        <f>'FCD PROJETO'!L61</f>
        <v>0</v>
      </c>
      <c r="L22" s="155">
        <f>'FCD PROJETO'!M61</f>
        <v>0</v>
      </c>
      <c r="M22" s="155">
        <f>'FCD PROJETO'!N61</f>
        <v>0</v>
      </c>
      <c r="N22" s="155">
        <f>'FCD PROJETO'!O61</f>
        <v>0</v>
      </c>
      <c r="O22" s="155">
        <f>'FCD PROJETO'!P61</f>
        <v>0</v>
      </c>
      <c r="P22" s="155">
        <f>'FCD PROJETO'!Q61</f>
        <v>0</v>
      </c>
      <c r="Q22" s="155">
        <f>'FCD PROJETO'!R61</f>
        <v>0</v>
      </c>
      <c r="R22" s="155">
        <f>'FCD PROJETO'!S61</f>
        <v>0</v>
      </c>
      <c r="S22" s="155">
        <f>'FCD PROJETO'!T61</f>
        <v>0</v>
      </c>
      <c r="T22" s="155">
        <f>'FCD PROJETO'!U61</f>
        <v>0</v>
      </c>
      <c r="U22" s="155">
        <f>'FCD PROJETO'!V61</f>
        <v>0</v>
      </c>
      <c r="V22" s="155">
        <f>'FCD PROJETO'!W61</f>
        <v>0</v>
      </c>
      <c r="W22" s="155">
        <f>'FCD PROJETO'!X61</f>
        <v>0</v>
      </c>
      <c r="X22" s="155">
        <f>'FCD PROJETO'!Y61</f>
        <v>0</v>
      </c>
      <c r="Y22" s="155">
        <f>'FCD PROJETO'!Z61</f>
        <v>0</v>
      </c>
      <c r="Z22" s="155">
        <f>'FCD PROJETO'!AA61</f>
        <v>0</v>
      </c>
      <c r="AA22" s="155">
        <f>'FCD PROJETO'!AB61</f>
        <v>0</v>
      </c>
      <c r="AB22" s="155">
        <f>'FCD PROJETO'!AC61</f>
        <v>0</v>
      </c>
      <c r="AC22" s="155">
        <f>'FCD PROJETO'!AD61</f>
        <v>0</v>
      </c>
      <c r="AD22" s="155">
        <f>'FCD PROJETO'!AE61</f>
        <v>0</v>
      </c>
      <c r="AE22" s="155">
        <f>'FCD PROJETO'!AF61</f>
        <v>0</v>
      </c>
      <c r="AF22" s="155">
        <f>'FCD PROJETO'!AG61</f>
        <v>0</v>
      </c>
      <c r="AG22" s="155">
        <f>'FCD PROJETO'!AH61</f>
        <v>0</v>
      </c>
      <c r="AH22" s="155">
        <f>'FCD PROJETO'!AI61</f>
        <v>0</v>
      </c>
      <c r="AI22" s="155">
        <f>'FCD PROJETO'!AJ61</f>
        <v>0</v>
      </c>
      <c r="AJ22" s="155">
        <f>'FCD PROJETO'!AK61</f>
        <v>0</v>
      </c>
      <c r="AK22" s="155">
        <f>'FCD PROJETO'!AL61</f>
        <v>0</v>
      </c>
      <c r="AL22" s="155">
        <f>'FCD PROJETO'!AM61</f>
        <v>0</v>
      </c>
      <c r="AM22" s="155">
        <f>'FCD PROJETO'!AN61</f>
        <v>0</v>
      </c>
      <c r="AN22" s="155">
        <f t="shared" si="49"/>
        <v>0</v>
      </c>
    </row>
    <row r="23" spans="2:40" ht="16.5" x14ac:dyDescent="0.3">
      <c r="B23" s="158" t="s">
        <v>458</v>
      </c>
      <c r="C23" s="158"/>
      <c r="D23" s="158"/>
      <c r="E23" s="155">
        <f>'FCD PROJETO'!F62</f>
        <v>0</v>
      </c>
      <c r="F23" s="155">
        <f>'FCD PROJETO'!G62</f>
        <v>0</v>
      </c>
      <c r="G23" s="155">
        <f>'FCD PROJETO'!H62</f>
        <v>0</v>
      </c>
      <c r="H23" s="155">
        <f>'FCD PROJETO'!I62</f>
        <v>0</v>
      </c>
      <c r="I23" s="155">
        <f>'FCD PROJETO'!J62</f>
        <v>0</v>
      </c>
      <c r="J23" s="155">
        <f>'FCD PROJETO'!K62</f>
        <v>0</v>
      </c>
      <c r="K23" s="155">
        <f>'FCD PROJETO'!L62</f>
        <v>0</v>
      </c>
      <c r="L23" s="155">
        <f>'FCD PROJETO'!M62</f>
        <v>0</v>
      </c>
      <c r="M23" s="155">
        <f>'FCD PROJETO'!N62</f>
        <v>0</v>
      </c>
      <c r="N23" s="155">
        <f>'FCD PROJETO'!O62</f>
        <v>0</v>
      </c>
      <c r="O23" s="155">
        <f>'FCD PROJETO'!P62</f>
        <v>0</v>
      </c>
      <c r="P23" s="155">
        <f>'FCD PROJETO'!Q62</f>
        <v>0</v>
      </c>
      <c r="Q23" s="155">
        <f>'FCD PROJETO'!R62</f>
        <v>0</v>
      </c>
      <c r="R23" s="155">
        <f>'FCD PROJETO'!S62</f>
        <v>0</v>
      </c>
      <c r="S23" s="155">
        <f>'FCD PROJETO'!T62</f>
        <v>0</v>
      </c>
      <c r="T23" s="155">
        <f>'FCD PROJETO'!U62</f>
        <v>0</v>
      </c>
      <c r="U23" s="155">
        <f>'FCD PROJETO'!V62</f>
        <v>0</v>
      </c>
      <c r="V23" s="155">
        <f>'FCD PROJETO'!W62</f>
        <v>0</v>
      </c>
      <c r="W23" s="155">
        <f>'FCD PROJETO'!X62</f>
        <v>0</v>
      </c>
      <c r="X23" s="155">
        <f>'FCD PROJETO'!Y62</f>
        <v>0</v>
      </c>
      <c r="Y23" s="155">
        <f>'FCD PROJETO'!Z62</f>
        <v>0</v>
      </c>
      <c r="Z23" s="155">
        <f>'FCD PROJETO'!AA62</f>
        <v>0</v>
      </c>
      <c r="AA23" s="155">
        <f>'FCD PROJETO'!AB62</f>
        <v>0</v>
      </c>
      <c r="AB23" s="155">
        <f>'FCD PROJETO'!AC62</f>
        <v>0</v>
      </c>
      <c r="AC23" s="155">
        <f>'FCD PROJETO'!AD62</f>
        <v>0</v>
      </c>
      <c r="AD23" s="155">
        <f>'FCD PROJETO'!AE62</f>
        <v>0</v>
      </c>
      <c r="AE23" s="155">
        <f>'FCD PROJETO'!AF62</f>
        <v>0</v>
      </c>
      <c r="AF23" s="155">
        <f>'FCD PROJETO'!AG62</f>
        <v>0</v>
      </c>
      <c r="AG23" s="155">
        <f>'FCD PROJETO'!AH62</f>
        <v>0</v>
      </c>
      <c r="AH23" s="155">
        <f>'FCD PROJETO'!AI62</f>
        <v>0</v>
      </c>
      <c r="AI23" s="155">
        <f>'FCD PROJETO'!AJ62</f>
        <v>0</v>
      </c>
      <c r="AJ23" s="155">
        <f>'FCD PROJETO'!AK62</f>
        <v>0</v>
      </c>
      <c r="AK23" s="155">
        <f>'FCD PROJETO'!AL62</f>
        <v>0</v>
      </c>
      <c r="AL23" s="155">
        <f>'FCD PROJETO'!AM62</f>
        <v>0</v>
      </c>
      <c r="AM23" s="155">
        <f>'FCD PROJETO'!AN62</f>
        <v>0</v>
      </c>
      <c r="AN23" s="155">
        <f t="shared" si="49"/>
        <v>0</v>
      </c>
    </row>
    <row r="24" spans="2:40" ht="16.5" x14ac:dyDescent="0.3">
      <c r="B24" s="158" t="s">
        <v>459</v>
      </c>
      <c r="C24" s="158"/>
      <c r="D24" s="158"/>
      <c r="E24" s="155" t="e">
        <f>'FCD PROJETO'!F65</f>
        <v>#DIV/0!</v>
      </c>
      <c r="F24" s="155" t="e">
        <f>'FCD PROJETO'!G65</f>
        <v>#DIV/0!</v>
      </c>
      <c r="G24" s="155" t="e">
        <f>'FCD PROJETO'!H65</f>
        <v>#DIV/0!</v>
      </c>
      <c r="H24" s="155" t="e">
        <f>'FCD PROJETO'!I65</f>
        <v>#DIV/0!</v>
      </c>
      <c r="I24" s="155" t="e">
        <f>'FCD PROJETO'!J65</f>
        <v>#DIV/0!</v>
      </c>
      <c r="J24" s="155" t="e">
        <f>'FCD PROJETO'!K65</f>
        <v>#DIV/0!</v>
      </c>
      <c r="K24" s="155" t="e">
        <f>'FCD PROJETO'!L65</f>
        <v>#DIV/0!</v>
      </c>
      <c r="L24" s="155" t="e">
        <f>'FCD PROJETO'!M65</f>
        <v>#DIV/0!</v>
      </c>
      <c r="M24" s="155" t="e">
        <f>'FCD PROJETO'!N65</f>
        <v>#DIV/0!</v>
      </c>
      <c r="N24" s="155" t="e">
        <f>'FCD PROJETO'!O65</f>
        <v>#DIV/0!</v>
      </c>
      <c r="O24" s="155" t="e">
        <f>'FCD PROJETO'!P65</f>
        <v>#DIV/0!</v>
      </c>
      <c r="P24" s="155" t="e">
        <f>'FCD PROJETO'!Q65</f>
        <v>#DIV/0!</v>
      </c>
      <c r="Q24" s="155" t="e">
        <f>'FCD PROJETO'!R65</f>
        <v>#DIV/0!</v>
      </c>
      <c r="R24" s="155" t="e">
        <f>'FCD PROJETO'!S65</f>
        <v>#DIV/0!</v>
      </c>
      <c r="S24" s="155" t="e">
        <f>'FCD PROJETO'!T65</f>
        <v>#DIV/0!</v>
      </c>
      <c r="T24" s="155" t="e">
        <f>'FCD PROJETO'!U65</f>
        <v>#DIV/0!</v>
      </c>
      <c r="U24" s="155" t="e">
        <f>'FCD PROJETO'!V65</f>
        <v>#DIV/0!</v>
      </c>
      <c r="V24" s="155" t="e">
        <f>'FCD PROJETO'!W65</f>
        <v>#DIV/0!</v>
      </c>
      <c r="W24" s="155" t="e">
        <f>'FCD PROJETO'!X65</f>
        <v>#DIV/0!</v>
      </c>
      <c r="X24" s="155" t="e">
        <f>'FCD PROJETO'!Y65</f>
        <v>#DIV/0!</v>
      </c>
      <c r="Y24" s="155" t="e">
        <f>'FCD PROJETO'!Z65</f>
        <v>#DIV/0!</v>
      </c>
      <c r="Z24" s="155" t="e">
        <f>'FCD PROJETO'!AA65</f>
        <v>#DIV/0!</v>
      </c>
      <c r="AA24" s="155" t="e">
        <f>'FCD PROJETO'!AB65</f>
        <v>#DIV/0!</v>
      </c>
      <c r="AB24" s="155" t="e">
        <f>'FCD PROJETO'!AC65</f>
        <v>#DIV/0!</v>
      </c>
      <c r="AC24" s="155" t="e">
        <f>'FCD PROJETO'!AD65</f>
        <v>#DIV/0!</v>
      </c>
      <c r="AD24" s="155" t="e">
        <f>'FCD PROJETO'!AE65</f>
        <v>#DIV/0!</v>
      </c>
      <c r="AE24" s="155" t="e">
        <f>'FCD PROJETO'!AF65</f>
        <v>#DIV/0!</v>
      </c>
      <c r="AF24" s="155" t="e">
        <f>'FCD PROJETO'!AG65</f>
        <v>#DIV/0!</v>
      </c>
      <c r="AG24" s="155" t="e">
        <f>'FCD PROJETO'!AH65</f>
        <v>#DIV/0!</v>
      </c>
      <c r="AH24" s="155" t="e">
        <f>'FCD PROJETO'!AI65</f>
        <v>#DIV/0!</v>
      </c>
      <c r="AI24" s="155" t="e">
        <f>'FCD PROJETO'!AJ65</f>
        <v>#DIV/0!</v>
      </c>
      <c r="AJ24" s="155" t="e">
        <f>'FCD PROJETO'!AK65</f>
        <v>#DIV/0!</v>
      </c>
      <c r="AK24" s="155" t="e">
        <f>'FCD PROJETO'!AL65</f>
        <v>#DIV/0!</v>
      </c>
      <c r="AL24" s="155" t="e">
        <f>'FCD PROJETO'!AM65</f>
        <v>#DIV/0!</v>
      </c>
      <c r="AM24" s="155" t="e">
        <f>'FCD PROJETO'!AN65</f>
        <v>#DIV/0!</v>
      </c>
      <c r="AN24" s="155" t="e">
        <f t="shared" si="49"/>
        <v>#DIV/0!</v>
      </c>
    </row>
    <row r="25" spans="2:40" ht="16.5" x14ac:dyDescent="0.3">
      <c r="B25" s="158" t="s">
        <v>460</v>
      </c>
      <c r="C25" s="158"/>
      <c r="D25" s="158"/>
      <c r="E25" s="155" t="e">
        <f>'FCD PROJETO'!F63</f>
        <v>#DIV/0!</v>
      </c>
      <c r="F25" s="155" t="e">
        <f>'FCD PROJETO'!G63</f>
        <v>#DIV/0!</v>
      </c>
      <c r="G25" s="155" t="e">
        <f>'FCD PROJETO'!H63</f>
        <v>#DIV/0!</v>
      </c>
      <c r="H25" s="155" t="e">
        <f>'FCD PROJETO'!I63</f>
        <v>#DIV/0!</v>
      </c>
      <c r="I25" s="155" t="e">
        <f>'FCD PROJETO'!J63</f>
        <v>#DIV/0!</v>
      </c>
      <c r="J25" s="155" t="e">
        <f>'FCD PROJETO'!K63</f>
        <v>#DIV/0!</v>
      </c>
      <c r="K25" s="155" t="e">
        <f>'FCD PROJETO'!L63</f>
        <v>#DIV/0!</v>
      </c>
      <c r="L25" s="155" t="e">
        <f>'FCD PROJETO'!M63</f>
        <v>#DIV/0!</v>
      </c>
      <c r="M25" s="155" t="e">
        <f>'FCD PROJETO'!N63</f>
        <v>#DIV/0!</v>
      </c>
      <c r="N25" s="155" t="e">
        <f>'FCD PROJETO'!O63</f>
        <v>#DIV/0!</v>
      </c>
      <c r="O25" s="155" t="e">
        <f>'FCD PROJETO'!P63</f>
        <v>#DIV/0!</v>
      </c>
      <c r="P25" s="155" t="e">
        <f>'FCD PROJETO'!Q63</f>
        <v>#DIV/0!</v>
      </c>
      <c r="Q25" s="155" t="e">
        <f>'FCD PROJETO'!R63</f>
        <v>#DIV/0!</v>
      </c>
      <c r="R25" s="155" t="e">
        <f>'FCD PROJETO'!S63</f>
        <v>#DIV/0!</v>
      </c>
      <c r="S25" s="155" t="e">
        <f>'FCD PROJETO'!T63</f>
        <v>#DIV/0!</v>
      </c>
      <c r="T25" s="155" t="e">
        <f>'FCD PROJETO'!U63</f>
        <v>#DIV/0!</v>
      </c>
      <c r="U25" s="155" t="e">
        <f>'FCD PROJETO'!V63</f>
        <v>#DIV/0!</v>
      </c>
      <c r="V25" s="155" t="e">
        <f>'FCD PROJETO'!W63</f>
        <v>#DIV/0!</v>
      </c>
      <c r="W25" s="155" t="e">
        <f>'FCD PROJETO'!X63</f>
        <v>#DIV/0!</v>
      </c>
      <c r="X25" s="155" t="e">
        <f>'FCD PROJETO'!Y63</f>
        <v>#DIV/0!</v>
      </c>
      <c r="Y25" s="155" t="e">
        <f>'FCD PROJETO'!Z63</f>
        <v>#DIV/0!</v>
      </c>
      <c r="Z25" s="155" t="e">
        <f>'FCD PROJETO'!AA63</f>
        <v>#DIV/0!</v>
      </c>
      <c r="AA25" s="155" t="e">
        <f>'FCD PROJETO'!AB63</f>
        <v>#DIV/0!</v>
      </c>
      <c r="AB25" s="155" t="e">
        <f>'FCD PROJETO'!AC63</f>
        <v>#DIV/0!</v>
      </c>
      <c r="AC25" s="155" t="e">
        <f>'FCD PROJETO'!AD63</f>
        <v>#DIV/0!</v>
      </c>
      <c r="AD25" s="155" t="e">
        <f>'FCD PROJETO'!AE63</f>
        <v>#DIV/0!</v>
      </c>
      <c r="AE25" s="155" t="e">
        <f>'FCD PROJETO'!AF63</f>
        <v>#DIV/0!</v>
      </c>
      <c r="AF25" s="155" t="e">
        <f>'FCD PROJETO'!AG63</f>
        <v>#DIV/0!</v>
      </c>
      <c r="AG25" s="155" t="e">
        <f>'FCD PROJETO'!AH63</f>
        <v>#DIV/0!</v>
      </c>
      <c r="AH25" s="155" t="e">
        <f>'FCD PROJETO'!AI63</f>
        <v>#DIV/0!</v>
      </c>
      <c r="AI25" s="155" t="e">
        <f>'FCD PROJETO'!AJ63</f>
        <v>#DIV/0!</v>
      </c>
      <c r="AJ25" s="155" t="e">
        <f>'FCD PROJETO'!AK63</f>
        <v>#DIV/0!</v>
      </c>
      <c r="AK25" s="155" t="e">
        <f>'FCD PROJETO'!AL63</f>
        <v>#DIV/0!</v>
      </c>
      <c r="AL25" s="155" t="e">
        <f>'FCD PROJETO'!AM63</f>
        <v>#DIV/0!</v>
      </c>
      <c r="AM25" s="155" t="e">
        <f>'FCD PROJETO'!AN63</f>
        <v>#DIV/0!</v>
      </c>
      <c r="AN25" s="155" t="e">
        <f t="shared" si="49"/>
        <v>#DIV/0!</v>
      </c>
    </row>
    <row r="26" spans="2:40" ht="16.5" x14ac:dyDescent="0.3">
      <c r="B26" s="158" t="s">
        <v>461</v>
      </c>
      <c r="C26" s="158"/>
      <c r="D26" s="158"/>
      <c r="E26" s="155" t="e">
        <f>'FCD PROJETO'!F64</f>
        <v>#DIV/0!</v>
      </c>
      <c r="F26" s="155" t="e">
        <f>'FCD PROJETO'!G64</f>
        <v>#DIV/0!</v>
      </c>
      <c r="G26" s="155" t="e">
        <f>'FCD PROJETO'!H64</f>
        <v>#DIV/0!</v>
      </c>
      <c r="H26" s="155" t="e">
        <f>'FCD PROJETO'!I64</f>
        <v>#DIV/0!</v>
      </c>
      <c r="I26" s="155" t="e">
        <f>'FCD PROJETO'!J64</f>
        <v>#DIV/0!</v>
      </c>
      <c r="J26" s="155" t="e">
        <f>'FCD PROJETO'!K64</f>
        <v>#DIV/0!</v>
      </c>
      <c r="K26" s="155" t="e">
        <f>'FCD PROJETO'!L64</f>
        <v>#DIV/0!</v>
      </c>
      <c r="L26" s="155" t="e">
        <f>'FCD PROJETO'!M64</f>
        <v>#DIV/0!</v>
      </c>
      <c r="M26" s="155" t="e">
        <f>'FCD PROJETO'!N64</f>
        <v>#DIV/0!</v>
      </c>
      <c r="N26" s="155" t="e">
        <f>'FCD PROJETO'!O64</f>
        <v>#DIV/0!</v>
      </c>
      <c r="O26" s="155" t="e">
        <f>'FCD PROJETO'!P64</f>
        <v>#DIV/0!</v>
      </c>
      <c r="P26" s="155" t="e">
        <f>'FCD PROJETO'!Q64</f>
        <v>#DIV/0!</v>
      </c>
      <c r="Q26" s="155" t="e">
        <f>'FCD PROJETO'!R64</f>
        <v>#DIV/0!</v>
      </c>
      <c r="R26" s="155" t="e">
        <f>'FCD PROJETO'!S64</f>
        <v>#DIV/0!</v>
      </c>
      <c r="S26" s="155" t="e">
        <f>'FCD PROJETO'!T64</f>
        <v>#DIV/0!</v>
      </c>
      <c r="T26" s="155" t="e">
        <f>'FCD PROJETO'!U64</f>
        <v>#DIV/0!</v>
      </c>
      <c r="U26" s="155" t="e">
        <f>'FCD PROJETO'!V64</f>
        <v>#DIV/0!</v>
      </c>
      <c r="V26" s="155" t="e">
        <f>'FCD PROJETO'!W64</f>
        <v>#DIV/0!</v>
      </c>
      <c r="W26" s="155" t="e">
        <f>'FCD PROJETO'!X64</f>
        <v>#DIV/0!</v>
      </c>
      <c r="X26" s="155" t="e">
        <f>'FCD PROJETO'!Y64</f>
        <v>#DIV/0!</v>
      </c>
      <c r="Y26" s="155" t="e">
        <f>'FCD PROJETO'!Z64</f>
        <v>#DIV/0!</v>
      </c>
      <c r="Z26" s="155" t="e">
        <f>'FCD PROJETO'!AA64</f>
        <v>#DIV/0!</v>
      </c>
      <c r="AA26" s="155" t="e">
        <f>'FCD PROJETO'!AB64</f>
        <v>#DIV/0!</v>
      </c>
      <c r="AB26" s="155" t="e">
        <f>'FCD PROJETO'!AC64</f>
        <v>#DIV/0!</v>
      </c>
      <c r="AC26" s="155" t="e">
        <f>'FCD PROJETO'!AD64</f>
        <v>#DIV/0!</v>
      </c>
      <c r="AD26" s="155" t="e">
        <f>'FCD PROJETO'!AE64</f>
        <v>#DIV/0!</v>
      </c>
      <c r="AE26" s="155" t="e">
        <f>'FCD PROJETO'!AF64</f>
        <v>#DIV/0!</v>
      </c>
      <c r="AF26" s="155" t="e">
        <f>'FCD PROJETO'!AG64</f>
        <v>#DIV/0!</v>
      </c>
      <c r="AG26" s="155" t="e">
        <f>'FCD PROJETO'!AH64</f>
        <v>#DIV/0!</v>
      </c>
      <c r="AH26" s="155" t="e">
        <f>'FCD PROJETO'!AI64</f>
        <v>#DIV/0!</v>
      </c>
      <c r="AI26" s="155" t="e">
        <f>'FCD PROJETO'!AJ64</f>
        <v>#DIV/0!</v>
      </c>
      <c r="AJ26" s="155" t="e">
        <f>'FCD PROJETO'!AK64</f>
        <v>#DIV/0!</v>
      </c>
      <c r="AK26" s="155" t="e">
        <f>'FCD PROJETO'!AL64</f>
        <v>#DIV/0!</v>
      </c>
      <c r="AL26" s="155" t="e">
        <f>'FCD PROJETO'!AM64</f>
        <v>#DIV/0!</v>
      </c>
      <c r="AM26" s="155" t="e">
        <f>'FCD PROJETO'!AN64</f>
        <v>#DIV/0!</v>
      </c>
      <c r="AN26" s="155" t="e">
        <f t="shared" si="49"/>
        <v>#DIV/0!</v>
      </c>
    </row>
    <row r="27" spans="2:40" ht="16.5" x14ac:dyDescent="0.3">
      <c r="B27" s="158" t="s">
        <v>462</v>
      </c>
      <c r="C27" s="158"/>
      <c r="D27" s="158"/>
      <c r="E27" s="155">
        <f>'FCD PROJETO'!F66</f>
        <v>0</v>
      </c>
      <c r="F27" s="155">
        <f>'FCD PROJETO'!G66</f>
        <v>0</v>
      </c>
      <c r="G27" s="155">
        <f>'FCD PROJETO'!H66</f>
        <v>0</v>
      </c>
      <c r="H27" s="155">
        <f>'FCD PROJETO'!I66</f>
        <v>0</v>
      </c>
      <c r="I27" s="155">
        <f>'FCD PROJETO'!J66</f>
        <v>0</v>
      </c>
      <c r="J27" s="155">
        <f>'FCD PROJETO'!K66</f>
        <v>0</v>
      </c>
      <c r="K27" s="155">
        <f>'FCD PROJETO'!L66</f>
        <v>0</v>
      </c>
      <c r="L27" s="155">
        <f>'FCD PROJETO'!M66</f>
        <v>0</v>
      </c>
      <c r="M27" s="155">
        <f>'FCD PROJETO'!N66</f>
        <v>0</v>
      </c>
      <c r="N27" s="155">
        <f>'FCD PROJETO'!O66</f>
        <v>0</v>
      </c>
      <c r="O27" s="155">
        <f>'FCD PROJETO'!P66</f>
        <v>0</v>
      </c>
      <c r="P27" s="155">
        <f>'FCD PROJETO'!Q66</f>
        <v>0</v>
      </c>
      <c r="Q27" s="155">
        <f>'FCD PROJETO'!R66</f>
        <v>0</v>
      </c>
      <c r="R27" s="155">
        <f>'FCD PROJETO'!S66</f>
        <v>0</v>
      </c>
      <c r="S27" s="155">
        <f>'FCD PROJETO'!T66</f>
        <v>0</v>
      </c>
      <c r="T27" s="155">
        <f>'FCD PROJETO'!U66</f>
        <v>0</v>
      </c>
      <c r="U27" s="155">
        <f>'FCD PROJETO'!V66</f>
        <v>0</v>
      </c>
      <c r="V27" s="155">
        <f>'FCD PROJETO'!W66</f>
        <v>0</v>
      </c>
      <c r="W27" s="155">
        <f>'FCD PROJETO'!X66</f>
        <v>0</v>
      </c>
      <c r="X27" s="155">
        <f>'FCD PROJETO'!Y66</f>
        <v>0</v>
      </c>
      <c r="Y27" s="155">
        <f>'FCD PROJETO'!Z66</f>
        <v>0</v>
      </c>
      <c r="Z27" s="155">
        <f>'FCD PROJETO'!AA66</f>
        <v>0</v>
      </c>
      <c r="AA27" s="155">
        <f>'FCD PROJETO'!AB66</f>
        <v>0</v>
      </c>
      <c r="AB27" s="155">
        <f>'FCD PROJETO'!AC66</f>
        <v>0</v>
      </c>
      <c r="AC27" s="155">
        <f>'FCD PROJETO'!AD66</f>
        <v>0</v>
      </c>
      <c r="AD27" s="155">
        <f>'FCD PROJETO'!AE66</f>
        <v>0</v>
      </c>
      <c r="AE27" s="155">
        <f>'FCD PROJETO'!AF66</f>
        <v>0</v>
      </c>
      <c r="AF27" s="155">
        <f>'FCD PROJETO'!AG66</f>
        <v>0</v>
      </c>
      <c r="AG27" s="155">
        <f>'FCD PROJETO'!AH66</f>
        <v>0</v>
      </c>
      <c r="AH27" s="155">
        <f>'FCD PROJETO'!AI66</f>
        <v>0</v>
      </c>
      <c r="AI27" s="155">
        <f>'FCD PROJETO'!AJ66</f>
        <v>0</v>
      </c>
      <c r="AJ27" s="155">
        <f>'FCD PROJETO'!AK66</f>
        <v>0</v>
      </c>
      <c r="AK27" s="155">
        <f>'FCD PROJETO'!AL66</f>
        <v>0</v>
      </c>
      <c r="AL27" s="155">
        <f>'FCD PROJETO'!AM66</f>
        <v>0</v>
      </c>
      <c r="AM27" s="155">
        <f>'FCD PROJETO'!AN66</f>
        <v>0</v>
      </c>
      <c r="AN27" s="155">
        <f t="shared" si="49"/>
        <v>0</v>
      </c>
    </row>
    <row r="28" spans="2:40" ht="16.5" x14ac:dyDescent="0.3">
      <c r="B28" s="158" t="s">
        <v>463</v>
      </c>
      <c r="C28" s="158"/>
      <c r="D28" s="158"/>
      <c r="E28" s="155" t="e">
        <f>'FCD PROJETO'!F67</f>
        <v>#DIV/0!</v>
      </c>
      <c r="F28" s="155" t="e">
        <f>'FCD PROJETO'!G67</f>
        <v>#DIV/0!</v>
      </c>
      <c r="G28" s="155" t="e">
        <f>'FCD PROJETO'!H67</f>
        <v>#DIV/0!</v>
      </c>
      <c r="H28" s="155" t="e">
        <f>'FCD PROJETO'!I67</f>
        <v>#DIV/0!</v>
      </c>
      <c r="I28" s="155" t="e">
        <f>'FCD PROJETO'!J67</f>
        <v>#DIV/0!</v>
      </c>
      <c r="J28" s="155" t="e">
        <f>'FCD PROJETO'!K67</f>
        <v>#DIV/0!</v>
      </c>
      <c r="K28" s="155" t="e">
        <f>'FCD PROJETO'!L67</f>
        <v>#DIV/0!</v>
      </c>
      <c r="L28" s="155" t="e">
        <f>'FCD PROJETO'!M67</f>
        <v>#DIV/0!</v>
      </c>
      <c r="M28" s="155" t="e">
        <f>'FCD PROJETO'!N67</f>
        <v>#DIV/0!</v>
      </c>
      <c r="N28" s="155" t="e">
        <f>'FCD PROJETO'!O67</f>
        <v>#DIV/0!</v>
      </c>
      <c r="O28" s="155" t="e">
        <f>'FCD PROJETO'!P67</f>
        <v>#DIV/0!</v>
      </c>
      <c r="P28" s="155" t="e">
        <f>'FCD PROJETO'!Q67</f>
        <v>#DIV/0!</v>
      </c>
      <c r="Q28" s="155" t="e">
        <f>'FCD PROJETO'!R67</f>
        <v>#DIV/0!</v>
      </c>
      <c r="R28" s="155" t="e">
        <f>'FCD PROJETO'!S67</f>
        <v>#DIV/0!</v>
      </c>
      <c r="S28" s="155" t="e">
        <f>'FCD PROJETO'!T67</f>
        <v>#DIV/0!</v>
      </c>
      <c r="T28" s="155" t="e">
        <f>'FCD PROJETO'!U67</f>
        <v>#DIV/0!</v>
      </c>
      <c r="U28" s="155" t="e">
        <f>'FCD PROJETO'!V67</f>
        <v>#DIV/0!</v>
      </c>
      <c r="V28" s="155" t="e">
        <f>'FCD PROJETO'!W67</f>
        <v>#DIV/0!</v>
      </c>
      <c r="W28" s="155" t="e">
        <f>'FCD PROJETO'!X67</f>
        <v>#DIV/0!</v>
      </c>
      <c r="X28" s="155" t="e">
        <f>'FCD PROJETO'!Y67</f>
        <v>#DIV/0!</v>
      </c>
      <c r="Y28" s="155" t="e">
        <f>'FCD PROJETO'!Z67</f>
        <v>#DIV/0!</v>
      </c>
      <c r="Z28" s="155" t="e">
        <f>'FCD PROJETO'!AA67</f>
        <v>#DIV/0!</v>
      </c>
      <c r="AA28" s="155" t="e">
        <f>'FCD PROJETO'!AB67</f>
        <v>#DIV/0!</v>
      </c>
      <c r="AB28" s="155" t="e">
        <f>'FCD PROJETO'!AC67</f>
        <v>#DIV/0!</v>
      </c>
      <c r="AC28" s="155" t="e">
        <f>'FCD PROJETO'!AD67</f>
        <v>#DIV/0!</v>
      </c>
      <c r="AD28" s="155" t="e">
        <f>'FCD PROJETO'!AE67</f>
        <v>#DIV/0!</v>
      </c>
      <c r="AE28" s="155" t="e">
        <f>'FCD PROJETO'!AF67</f>
        <v>#DIV/0!</v>
      </c>
      <c r="AF28" s="155" t="e">
        <f>'FCD PROJETO'!AG67</f>
        <v>#DIV/0!</v>
      </c>
      <c r="AG28" s="155" t="e">
        <f>'FCD PROJETO'!AH67</f>
        <v>#DIV/0!</v>
      </c>
      <c r="AH28" s="155" t="e">
        <f>'FCD PROJETO'!AI67</f>
        <v>#DIV/0!</v>
      </c>
      <c r="AI28" s="155" t="e">
        <f>'FCD PROJETO'!AJ67</f>
        <v>#DIV/0!</v>
      </c>
      <c r="AJ28" s="155" t="e">
        <f>'FCD PROJETO'!AK67</f>
        <v>#DIV/0!</v>
      </c>
      <c r="AK28" s="155" t="e">
        <f>'FCD PROJETO'!AL67</f>
        <v>#DIV/0!</v>
      </c>
      <c r="AL28" s="155" t="e">
        <f>'FCD PROJETO'!AM67</f>
        <v>#DIV/0!</v>
      </c>
      <c r="AM28" s="155" t="e">
        <f>'FCD PROJETO'!AN67</f>
        <v>#DIV/0!</v>
      </c>
      <c r="AN28" s="155" t="e">
        <f t="shared" si="49"/>
        <v>#DIV/0!</v>
      </c>
    </row>
    <row r="29" spans="2:40" ht="16.5" x14ac:dyDescent="0.3">
      <c r="B29" s="158" t="s">
        <v>242</v>
      </c>
      <c r="C29" s="158"/>
      <c r="D29" s="158"/>
      <c r="E29" s="155" t="e">
        <f>('FCD PROJETO'!F71+'FCD PROJETO'!F73+'FCD PROJETO'!F74)</f>
        <v>#DIV/0!</v>
      </c>
      <c r="F29" s="155" t="e">
        <f>('FCD PROJETO'!G71+'FCD PROJETO'!G73+'FCD PROJETO'!G74)</f>
        <v>#DIV/0!</v>
      </c>
      <c r="G29" s="155" t="e">
        <f>('FCD PROJETO'!H71+'FCD PROJETO'!H73+'FCD PROJETO'!H74)</f>
        <v>#DIV/0!</v>
      </c>
      <c r="H29" s="155" t="e">
        <f>('FCD PROJETO'!I71+'FCD PROJETO'!I73+'FCD PROJETO'!I74)</f>
        <v>#DIV/0!</v>
      </c>
      <c r="I29" s="155" t="e">
        <f>('FCD PROJETO'!J71+'FCD PROJETO'!J73+'FCD PROJETO'!J74)</f>
        <v>#DIV/0!</v>
      </c>
      <c r="J29" s="155" t="e">
        <f>('FCD PROJETO'!K71+'FCD PROJETO'!K73+'FCD PROJETO'!K74)</f>
        <v>#DIV/0!</v>
      </c>
      <c r="K29" s="155" t="e">
        <f>('FCD PROJETO'!L71+'FCD PROJETO'!L73+'FCD PROJETO'!L74)</f>
        <v>#DIV/0!</v>
      </c>
      <c r="L29" s="155" t="e">
        <f>('FCD PROJETO'!M71+'FCD PROJETO'!M73+'FCD PROJETO'!M74)</f>
        <v>#DIV/0!</v>
      </c>
      <c r="M29" s="155" t="e">
        <f>('FCD PROJETO'!N71+'FCD PROJETO'!N73+'FCD PROJETO'!N74)</f>
        <v>#DIV/0!</v>
      </c>
      <c r="N29" s="155" t="e">
        <f>('FCD PROJETO'!O71+'FCD PROJETO'!O73+'FCD PROJETO'!O74)</f>
        <v>#DIV/0!</v>
      </c>
      <c r="O29" s="155" t="e">
        <f>('FCD PROJETO'!P71+'FCD PROJETO'!P73+'FCD PROJETO'!P74)</f>
        <v>#DIV/0!</v>
      </c>
      <c r="P29" s="155" t="e">
        <f>('FCD PROJETO'!Q71+'FCD PROJETO'!Q73+'FCD PROJETO'!Q74)</f>
        <v>#DIV/0!</v>
      </c>
      <c r="Q29" s="155" t="e">
        <f>('FCD PROJETO'!R71+'FCD PROJETO'!R73+'FCD PROJETO'!R74)</f>
        <v>#DIV/0!</v>
      </c>
      <c r="R29" s="155" t="e">
        <f>('FCD PROJETO'!S71+'FCD PROJETO'!S73+'FCD PROJETO'!S74)</f>
        <v>#DIV/0!</v>
      </c>
      <c r="S29" s="155" t="e">
        <f>('FCD PROJETO'!T71+'FCD PROJETO'!T73+'FCD PROJETO'!T74)</f>
        <v>#DIV/0!</v>
      </c>
      <c r="T29" s="155" t="e">
        <f>('FCD PROJETO'!U71+'FCD PROJETO'!U73+'FCD PROJETO'!U74)</f>
        <v>#DIV/0!</v>
      </c>
      <c r="U29" s="155" t="e">
        <f>('FCD PROJETO'!V71+'FCD PROJETO'!V73+'FCD PROJETO'!V74)</f>
        <v>#DIV/0!</v>
      </c>
      <c r="V29" s="155" t="e">
        <f>('FCD PROJETO'!W71+'FCD PROJETO'!W73+'FCD PROJETO'!W74)</f>
        <v>#DIV/0!</v>
      </c>
      <c r="W29" s="155" t="e">
        <f>('FCD PROJETO'!X71+'FCD PROJETO'!X73+'FCD PROJETO'!X74)</f>
        <v>#DIV/0!</v>
      </c>
      <c r="X29" s="155" t="e">
        <f>('FCD PROJETO'!Y71+'FCD PROJETO'!Y73+'FCD PROJETO'!Y74)</f>
        <v>#DIV/0!</v>
      </c>
      <c r="Y29" s="155" t="e">
        <f>('FCD PROJETO'!Z71+'FCD PROJETO'!Z73+'FCD PROJETO'!Z74)</f>
        <v>#DIV/0!</v>
      </c>
      <c r="Z29" s="155" t="e">
        <f>('FCD PROJETO'!AA71+'FCD PROJETO'!AA73+'FCD PROJETO'!AA74)</f>
        <v>#DIV/0!</v>
      </c>
      <c r="AA29" s="155" t="e">
        <f>('FCD PROJETO'!AB71+'FCD PROJETO'!AB73+'FCD PROJETO'!AB74)</f>
        <v>#DIV/0!</v>
      </c>
      <c r="AB29" s="155" t="e">
        <f>('FCD PROJETO'!AC71+'FCD PROJETO'!AC73+'FCD PROJETO'!AC74)</f>
        <v>#DIV/0!</v>
      </c>
      <c r="AC29" s="155" t="e">
        <f>('FCD PROJETO'!AD71+'FCD PROJETO'!AD73+'FCD PROJETO'!AD74)</f>
        <v>#DIV/0!</v>
      </c>
      <c r="AD29" s="155" t="e">
        <f>('FCD PROJETO'!AE71+'FCD PROJETO'!AE73+'FCD PROJETO'!AE74)</f>
        <v>#DIV/0!</v>
      </c>
      <c r="AE29" s="155" t="e">
        <f>('FCD PROJETO'!AF71+'FCD PROJETO'!AF73+'FCD PROJETO'!AF74)</f>
        <v>#DIV/0!</v>
      </c>
      <c r="AF29" s="155" t="e">
        <f>('FCD PROJETO'!AG71+'FCD PROJETO'!AG73+'FCD PROJETO'!AG74)</f>
        <v>#DIV/0!</v>
      </c>
      <c r="AG29" s="155" t="e">
        <f>('FCD PROJETO'!AH71+'FCD PROJETO'!AH73+'FCD PROJETO'!AH74)</f>
        <v>#DIV/0!</v>
      </c>
      <c r="AH29" s="155" t="e">
        <f>('FCD PROJETO'!AI71+'FCD PROJETO'!AI73+'FCD PROJETO'!AI74)</f>
        <v>#DIV/0!</v>
      </c>
      <c r="AI29" s="155" t="e">
        <f>('FCD PROJETO'!AJ71+'FCD PROJETO'!AJ73+'FCD PROJETO'!AJ74)</f>
        <v>#DIV/0!</v>
      </c>
      <c r="AJ29" s="155" t="e">
        <f>('FCD PROJETO'!AK71+'FCD PROJETO'!AK73+'FCD PROJETO'!AK74)</f>
        <v>#DIV/0!</v>
      </c>
      <c r="AK29" s="155" t="e">
        <f>('FCD PROJETO'!AL71+'FCD PROJETO'!AL73+'FCD PROJETO'!AL74)</f>
        <v>#DIV/0!</v>
      </c>
      <c r="AL29" s="155" t="e">
        <f>('FCD PROJETO'!AM71+'FCD PROJETO'!AM73+'FCD PROJETO'!AM74)</f>
        <v>#DIV/0!</v>
      </c>
      <c r="AM29" s="155" t="e">
        <f>('FCD PROJETO'!AN71+'FCD PROJETO'!AN73+'FCD PROJETO'!AN74)</f>
        <v>#DIV/0!</v>
      </c>
      <c r="AN29" s="155" t="e">
        <f t="shared" si="49"/>
        <v>#DIV/0!</v>
      </c>
    </row>
    <row r="30" spans="2:40" ht="16.5" x14ac:dyDescent="0.3">
      <c r="B30" s="158" t="s">
        <v>249</v>
      </c>
      <c r="C30" s="158"/>
      <c r="D30" s="158"/>
      <c r="E30" s="155" t="e">
        <f>'FCD PROJETO'!F72</f>
        <v>#DIV/0!</v>
      </c>
      <c r="F30" s="155" t="e">
        <f>'FCD PROJETO'!G72</f>
        <v>#DIV/0!</v>
      </c>
      <c r="G30" s="155" t="e">
        <f>'FCD PROJETO'!H72</f>
        <v>#DIV/0!</v>
      </c>
      <c r="H30" s="155" t="e">
        <f>'FCD PROJETO'!I72</f>
        <v>#DIV/0!</v>
      </c>
      <c r="I30" s="155" t="e">
        <f>'FCD PROJETO'!J72</f>
        <v>#DIV/0!</v>
      </c>
      <c r="J30" s="155" t="e">
        <f>'FCD PROJETO'!K72</f>
        <v>#DIV/0!</v>
      </c>
      <c r="K30" s="155" t="e">
        <f>'FCD PROJETO'!L72</f>
        <v>#DIV/0!</v>
      </c>
      <c r="L30" s="155" t="e">
        <f>'FCD PROJETO'!M72</f>
        <v>#DIV/0!</v>
      </c>
      <c r="M30" s="155" t="e">
        <f>'FCD PROJETO'!N72</f>
        <v>#DIV/0!</v>
      </c>
      <c r="N30" s="155" t="e">
        <f>'FCD PROJETO'!O72</f>
        <v>#DIV/0!</v>
      </c>
      <c r="O30" s="155" t="e">
        <f>'FCD PROJETO'!P72</f>
        <v>#DIV/0!</v>
      </c>
      <c r="P30" s="155" t="e">
        <f>'FCD PROJETO'!Q72</f>
        <v>#DIV/0!</v>
      </c>
      <c r="Q30" s="155" t="e">
        <f>'FCD PROJETO'!R72</f>
        <v>#DIV/0!</v>
      </c>
      <c r="R30" s="155" t="e">
        <f>'FCD PROJETO'!S72</f>
        <v>#DIV/0!</v>
      </c>
      <c r="S30" s="155" t="e">
        <f>'FCD PROJETO'!T72</f>
        <v>#DIV/0!</v>
      </c>
      <c r="T30" s="155" t="e">
        <f>'FCD PROJETO'!U72</f>
        <v>#DIV/0!</v>
      </c>
      <c r="U30" s="155" t="e">
        <f>'FCD PROJETO'!V72</f>
        <v>#DIV/0!</v>
      </c>
      <c r="V30" s="155" t="e">
        <f>'FCD PROJETO'!W72</f>
        <v>#DIV/0!</v>
      </c>
      <c r="W30" s="155" t="e">
        <f>'FCD PROJETO'!X72</f>
        <v>#DIV/0!</v>
      </c>
      <c r="X30" s="155" t="e">
        <f>'FCD PROJETO'!Y72</f>
        <v>#DIV/0!</v>
      </c>
      <c r="Y30" s="155" t="e">
        <f>'FCD PROJETO'!Z72</f>
        <v>#DIV/0!</v>
      </c>
      <c r="Z30" s="155" t="e">
        <f>'FCD PROJETO'!AA72</f>
        <v>#DIV/0!</v>
      </c>
      <c r="AA30" s="155" t="e">
        <f>'FCD PROJETO'!AB72</f>
        <v>#DIV/0!</v>
      </c>
      <c r="AB30" s="155" t="e">
        <f>'FCD PROJETO'!AC72</f>
        <v>#DIV/0!</v>
      </c>
      <c r="AC30" s="155" t="e">
        <f>'FCD PROJETO'!AD72</f>
        <v>#DIV/0!</v>
      </c>
      <c r="AD30" s="155" t="e">
        <f>'FCD PROJETO'!AE72</f>
        <v>#DIV/0!</v>
      </c>
      <c r="AE30" s="155" t="e">
        <f>'FCD PROJETO'!AF72</f>
        <v>#DIV/0!</v>
      </c>
      <c r="AF30" s="155" t="e">
        <f>'FCD PROJETO'!AG72</f>
        <v>#DIV/0!</v>
      </c>
      <c r="AG30" s="155" t="e">
        <f>'FCD PROJETO'!AH72</f>
        <v>#DIV/0!</v>
      </c>
      <c r="AH30" s="155" t="e">
        <f>'FCD PROJETO'!AI72</f>
        <v>#DIV/0!</v>
      </c>
      <c r="AI30" s="155" t="e">
        <f>'FCD PROJETO'!AJ72</f>
        <v>#DIV/0!</v>
      </c>
      <c r="AJ30" s="155" t="e">
        <f>'FCD PROJETO'!AK72</f>
        <v>#DIV/0!</v>
      </c>
      <c r="AK30" s="155" t="e">
        <f>'FCD PROJETO'!AL72</f>
        <v>#DIV/0!</v>
      </c>
      <c r="AL30" s="155" t="e">
        <f>'FCD PROJETO'!AM72</f>
        <v>#DIV/0!</v>
      </c>
      <c r="AM30" s="155" t="e">
        <f>'FCD PROJETO'!AN72</f>
        <v>#DIV/0!</v>
      </c>
      <c r="AN30" s="155" t="e">
        <f t="shared" si="49"/>
        <v>#DIV/0!</v>
      </c>
    </row>
    <row r="31" spans="2:40" ht="16.5" x14ac:dyDescent="0.3">
      <c r="B31" s="158" t="s">
        <v>466</v>
      </c>
      <c r="C31" s="158"/>
      <c r="D31" s="158"/>
      <c r="E31" s="155" t="e">
        <f>'FCD PROJETO'!F76</f>
        <v>#DIV/0!</v>
      </c>
      <c r="F31" s="155" t="e">
        <f>'FCD PROJETO'!G76</f>
        <v>#DIV/0!</v>
      </c>
      <c r="G31" s="155" t="e">
        <f>'FCD PROJETO'!H76</f>
        <v>#DIV/0!</v>
      </c>
      <c r="H31" s="155" t="e">
        <f>'FCD PROJETO'!I76</f>
        <v>#DIV/0!</v>
      </c>
      <c r="I31" s="155" t="e">
        <f>'FCD PROJETO'!J76</f>
        <v>#DIV/0!</v>
      </c>
      <c r="J31" s="155" t="e">
        <f>'FCD PROJETO'!K76</f>
        <v>#DIV/0!</v>
      </c>
      <c r="K31" s="155" t="e">
        <f>'FCD PROJETO'!L76</f>
        <v>#DIV/0!</v>
      </c>
      <c r="L31" s="155" t="e">
        <f>'FCD PROJETO'!M76</f>
        <v>#DIV/0!</v>
      </c>
      <c r="M31" s="155" t="e">
        <f>'FCD PROJETO'!N76</f>
        <v>#DIV/0!</v>
      </c>
      <c r="N31" s="155" t="e">
        <f>'FCD PROJETO'!O76</f>
        <v>#DIV/0!</v>
      </c>
      <c r="O31" s="155" t="e">
        <f>'FCD PROJETO'!P76</f>
        <v>#DIV/0!</v>
      </c>
      <c r="P31" s="155" t="e">
        <f>'FCD PROJETO'!Q76</f>
        <v>#DIV/0!</v>
      </c>
      <c r="Q31" s="155" t="e">
        <f>'FCD PROJETO'!R76</f>
        <v>#DIV/0!</v>
      </c>
      <c r="R31" s="155" t="e">
        <f>'FCD PROJETO'!S76</f>
        <v>#DIV/0!</v>
      </c>
      <c r="S31" s="155" t="e">
        <f>'FCD PROJETO'!T76</f>
        <v>#DIV/0!</v>
      </c>
      <c r="T31" s="155" t="e">
        <f>'FCD PROJETO'!U76</f>
        <v>#DIV/0!</v>
      </c>
      <c r="U31" s="155" t="e">
        <f>'FCD PROJETO'!V76</f>
        <v>#DIV/0!</v>
      </c>
      <c r="V31" s="155" t="e">
        <f>'FCD PROJETO'!W76</f>
        <v>#DIV/0!</v>
      </c>
      <c r="W31" s="155" t="e">
        <f>'FCD PROJETO'!X76</f>
        <v>#DIV/0!</v>
      </c>
      <c r="X31" s="155" t="e">
        <f>'FCD PROJETO'!Y76</f>
        <v>#DIV/0!</v>
      </c>
      <c r="Y31" s="155" t="e">
        <f>'FCD PROJETO'!Z76</f>
        <v>#DIV/0!</v>
      </c>
      <c r="Z31" s="155" t="e">
        <f>'FCD PROJETO'!AA76</f>
        <v>#DIV/0!</v>
      </c>
      <c r="AA31" s="155" t="e">
        <f>'FCD PROJETO'!AB76</f>
        <v>#DIV/0!</v>
      </c>
      <c r="AB31" s="155" t="e">
        <f>'FCD PROJETO'!AC76</f>
        <v>#DIV/0!</v>
      </c>
      <c r="AC31" s="155" t="e">
        <f>'FCD PROJETO'!AD76</f>
        <v>#DIV/0!</v>
      </c>
      <c r="AD31" s="155" t="e">
        <f>'FCD PROJETO'!AE76</f>
        <v>#DIV/0!</v>
      </c>
      <c r="AE31" s="155" t="e">
        <f>'FCD PROJETO'!AF76</f>
        <v>#DIV/0!</v>
      </c>
      <c r="AF31" s="155" t="e">
        <f>'FCD PROJETO'!AG76</f>
        <v>#DIV/0!</v>
      </c>
      <c r="AG31" s="155" t="e">
        <f>'FCD PROJETO'!AH76</f>
        <v>#DIV/0!</v>
      </c>
      <c r="AH31" s="155" t="e">
        <f>'FCD PROJETO'!AI76</f>
        <v>#DIV/0!</v>
      </c>
      <c r="AI31" s="155" t="e">
        <f>'FCD PROJETO'!AJ76</f>
        <v>#DIV/0!</v>
      </c>
      <c r="AJ31" s="155" t="e">
        <f>'FCD PROJETO'!AK76</f>
        <v>#DIV/0!</v>
      </c>
      <c r="AK31" s="155" t="e">
        <f>'FCD PROJETO'!AL76</f>
        <v>#DIV/0!</v>
      </c>
      <c r="AL31" s="155" t="e">
        <f>'FCD PROJETO'!AM76</f>
        <v>#DIV/0!</v>
      </c>
      <c r="AM31" s="155" t="e">
        <f>'FCD PROJETO'!AN76</f>
        <v>#DIV/0!</v>
      </c>
      <c r="AN31" s="155" t="e">
        <f t="shared" si="49"/>
        <v>#DIV/0!</v>
      </c>
    </row>
    <row r="32" spans="2:40" ht="16.5" x14ac:dyDescent="0.3">
      <c r="B32" s="89"/>
      <c r="C32" s="89"/>
      <c r="D32" s="89"/>
      <c r="E32" s="90"/>
      <c r="F32" s="90"/>
      <c r="G32" s="90"/>
      <c r="H32" s="90"/>
      <c r="I32" s="90"/>
      <c r="J32" s="90"/>
      <c r="K32" s="90"/>
      <c r="L32" s="90"/>
      <c r="M32" s="90"/>
      <c r="N32" s="90"/>
      <c r="O32" s="90"/>
      <c r="P32" s="90"/>
      <c r="Q32" s="90"/>
      <c r="R32" s="90"/>
      <c r="S32" s="90"/>
      <c r="T32" s="90"/>
      <c r="U32" s="90"/>
      <c r="V32" s="90"/>
      <c r="W32" s="90"/>
      <c r="X32" s="90"/>
      <c r="Y32" s="90"/>
      <c r="Z32" s="90"/>
      <c r="AA32" s="90"/>
      <c r="AB32" s="90"/>
      <c r="AC32" s="90"/>
      <c r="AD32" s="90"/>
      <c r="AE32" s="90"/>
      <c r="AF32" s="90"/>
      <c r="AG32" s="90"/>
      <c r="AH32" s="90"/>
      <c r="AI32" s="90"/>
      <c r="AJ32" s="90"/>
      <c r="AK32" s="90"/>
      <c r="AL32" s="90"/>
      <c r="AM32" s="90"/>
      <c r="AN32" s="90">
        <f t="shared" ref="AN32" si="50">SUM(E32:AH32)</f>
        <v>0</v>
      </c>
    </row>
    <row r="33" spans="2:43" ht="16.5" x14ac:dyDescent="0.3">
      <c r="B33" s="89"/>
      <c r="E33" s="91" t="e">
        <f>E15-'FCD PROJETO'!F53</f>
        <v>#DIV/0!</v>
      </c>
      <c r="F33" s="91" t="e">
        <f>F15-'FCD PROJETO'!G53</f>
        <v>#DIV/0!</v>
      </c>
      <c r="G33" s="91" t="e">
        <f>G15-'FCD PROJETO'!H53</f>
        <v>#DIV/0!</v>
      </c>
      <c r="H33" s="91" t="e">
        <f>H15-'FCD PROJETO'!I53</f>
        <v>#DIV/0!</v>
      </c>
      <c r="I33" s="91" t="e">
        <f>I15-'FCD PROJETO'!J53</f>
        <v>#DIV/0!</v>
      </c>
      <c r="J33" s="91" t="e">
        <f>J15-'FCD PROJETO'!K53</f>
        <v>#DIV/0!</v>
      </c>
      <c r="K33" s="91" t="e">
        <f>K15-'FCD PROJETO'!L53</f>
        <v>#DIV/0!</v>
      </c>
      <c r="L33" s="91" t="e">
        <f>L15-'FCD PROJETO'!M53</f>
        <v>#DIV/0!</v>
      </c>
      <c r="M33" s="91" t="e">
        <f>M15-'FCD PROJETO'!N53</f>
        <v>#DIV/0!</v>
      </c>
      <c r="N33" s="91" t="e">
        <f>N15-'FCD PROJETO'!O53</f>
        <v>#DIV/0!</v>
      </c>
      <c r="O33" s="91" t="e">
        <f>O15-'FCD PROJETO'!P53</f>
        <v>#DIV/0!</v>
      </c>
      <c r="P33" s="91" t="e">
        <f>P15-'FCD PROJETO'!Q53</f>
        <v>#DIV/0!</v>
      </c>
      <c r="Q33" s="91" t="e">
        <f>Q15-'FCD PROJETO'!R53</f>
        <v>#DIV/0!</v>
      </c>
      <c r="R33" s="91" t="e">
        <f>R15-'FCD PROJETO'!S53</f>
        <v>#DIV/0!</v>
      </c>
      <c r="S33" s="91" t="e">
        <f>S15-'FCD PROJETO'!T53</f>
        <v>#DIV/0!</v>
      </c>
      <c r="T33" s="91" t="e">
        <f>T15-'FCD PROJETO'!U53</f>
        <v>#DIV/0!</v>
      </c>
      <c r="U33" s="91" t="e">
        <f>U15-'FCD PROJETO'!V53</f>
        <v>#DIV/0!</v>
      </c>
      <c r="V33" s="91" t="e">
        <f>V15-'FCD PROJETO'!W53</f>
        <v>#DIV/0!</v>
      </c>
      <c r="W33" s="91" t="e">
        <f>W15-'FCD PROJETO'!X53</f>
        <v>#DIV/0!</v>
      </c>
      <c r="X33" s="91" t="e">
        <f>X15-'FCD PROJETO'!Y53</f>
        <v>#DIV/0!</v>
      </c>
      <c r="Y33" s="91" t="e">
        <f>Y15-'FCD PROJETO'!Z53</f>
        <v>#DIV/0!</v>
      </c>
      <c r="Z33" s="91" t="e">
        <f>Z15-'FCD PROJETO'!AA53</f>
        <v>#DIV/0!</v>
      </c>
      <c r="AA33" s="91" t="e">
        <f>AA15-'FCD PROJETO'!AB53</f>
        <v>#DIV/0!</v>
      </c>
      <c r="AB33" s="91" t="e">
        <f>AB15-'FCD PROJETO'!AC53</f>
        <v>#DIV/0!</v>
      </c>
      <c r="AC33" s="91" t="e">
        <f>AC15-'FCD PROJETO'!AD53</f>
        <v>#DIV/0!</v>
      </c>
      <c r="AD33" s="91" t="e">
        <f>AD15-'FCD PROJETO'!AE53</f>
        <v>#DIV/0!</v>
      </c>
      <c r="AE33" s="91" t="e">
        <f>AE15-'FCD PROJETO'!AF53</f>
        <v>#DIV/0!</v>
      </c>
      <c r="AF33" s="91" t="e">
        <f>AF15-'FCD PROJETO'!AG53</f>
        <v>#DIV/0!</v>
      </c>
      <c r="AG33" s="91" t="e">
        <f>AG15-'FCD PROJETO'!AH53</f>
        <v>#DIV/0!</v>
      </c>
      <c r="AH33" s="91" t="e">
        <f>AH15-'FCD PROJETO'!AI53</f>
        <v>#DIV/0!</v>
      </c>
      <c r="AI33" s="91" t="e">
        <f>AI15-'FCD PROJETO'!AJ53</f>
        <v>#DIV/0!</v>
      </c>
      <c r="AJ33" s="91" t="e">
        <f>AJ15-'FCD PROJETO'!AK53</f>
        <v>#DIV/0!</v>
      </c>
      <c r="AK33" s="91" t="e">
        <f>AK15-'FCD PROJETO'!AL53</f>
        <v>#DIV/0!</v>
      </c>
      <c r="AL33" s="91" t="e">
        <f>AL15-'FCD PROJETO'!AM53</f>
        <v>#DIV/0!</v>
      </c>
      <c r="AM33" s="91" t="e">
        <f>AM15-'FCD PROJETO'!AN53</f>
        <v>#DIV/0!</v>
      </c>
    </row>
    <row r="34" spans="2:43" ht="16.5" x14ac:dyDescent="0.3">
      <c r="B34" s="157" t="s">
        <v>446</v>
      </c>
      <c r="C34" s="158"/>
      <c r="D34" s="158"/>
      <c r="E34" s="154" t="e">
        <f t="shared" ref="E34" si="51">E13+E15</f>
        <v>#DIV/0!</v>
      </c>
      <c r="F34" s="154" t="e">
        <f t="shared" ref="F34:R34" si="52">F13+F15</f>
        <v>#DIV/0!</v>
      </c>
      <c r="G34" s="154" t="e">
        <f t="shared" si="52"/>
        <v>#DIV/0!</v>
      </c>
      <c r="H34" s="154" t="e">
        <f t="shared" si="52"/>
        <v>#DIV/0!</v>
      </c>
      <c r="I34" s="154" t="e">
        <f t="shared" si="52"/>
        <v>#DIV/0!</v>
      </c>
      <c r="J34" s="154" t="e">
        <f t="shared" si="52"/>
        <v>#DIV/0!</v>
      </c>
      <c r="K34" s="154" t="e">
        <f t="shared" si="52"/>
        <v>#DIV/0!</v>
      </c>
      <c r="L34" s="154" t="e">
        <f t="shared" si="52"/>
        <v>#DIV/0!</v>
      </c>
      <c r="M34" s="154" t="e">
        <f t="shared" si="52"/>
        <v>#DIV/0!</v>
      </c>
      <c r="N34" s="154" t="e">
        <f t="shared" si="52"/>
        <v>#DIV/0!</v>
      </c>
      <c r="O34" s="154" t="e">
        <f t="shared" si="52"/>
        <v>#DIV/0!</v>
      </c>
      <c r="P34" s="154" t="e">
        <f t="shared" si="52"/>
        <v>#DIV/0!</v>
      </c>
      <c r="Q34" s="154" t="e">
        <f t="shared" si="52"/>
        <v>#DIV/0!</v>
      </c>
      <c r="R34" s="154" t="e">
        <f t="shared" si="52"/>
        <v>#DIV/0!</v>
      </c>
      <c r="S34" s="154" t="e">
        <f t="shared" ref="S34:AM34" si="53">S13+S15</f>
        <v>#DIV/0!</v>
      </c>
      <c r="T34" s="154" t="e">
        <f t="shared" si="53"/>
        <v>#DIV/0!</v>
      </c>
      <c r="U34" s="154" t="e">
        <f t="shared" si="53"/>
        <v>#DIV/0!</v>
      </c>
      <c r="V34" s="154" t="e">
        <f t="shared" si="53"/>
        <v>#DIV/0!</v>
      </c>
      <c r="W34" s="154" t="e">
        <f t="shared" si="53"/>
        <v>#DIV/0!</v>
      </c>
      <c r="X34" s="154" t="e">
        <f t="shared" si="53"/>
        <v>#DIV/0!</v>
      </c>
      <c r="Y34" s="154" t="e">
        <f t="shared" si="53"/>
        <v>#DIV/0!</v>
      </c>
      <c r="Z34" s="154" t="e">
        <f t="shared" si="53"/>
        <v>#DIV/0!</v>
      </c>
      <c r="AA34" s="154" t="e">
        <f t="shared" si="53"/>
        <v>#DIV/0!</v>
      </c>
      <c r="AB34" s="154" t="e">
        <f t="shared" si="53"/>
        <v>#DIV/0!</v>
      </c>
      <c r="AC34" s="154" t="e">
        <f t="shared" si="53"/>
        <v>#DIV/0!</v>
      </c>
      <c r="AD34" s="154" t="e">
        <f t="shared" si="53"/>
        <v>#DIV/0!</v>
      </c>
      <c r="AE34" s="154" t="e">
        <f t="shared" si="53"/>
        <v>#DIV/0!</v>
      </c>
      <c r="AF34" s="154" t="e">
        <f t="shared" si="53"/>
        <v>#DIV/0!</v>
      </c>
      <c r="AG34" s="154" t="e">
        <f t="shared" si="53"/>
        <v>#DIV/0!</v>
      </c>
      <c r="AH34" s="154" t="e">
        <f t="shared" si="53"/>
        <v>#DIV/0!</v>
      </c>
      <c r="AI34" s="154" t="e">
        <f t="shared" si="53"/>
        <v>#DIV/0!</v>
      </c>
      <c r="AJ34" s="154" t="e">
        <f t="shared" si="53"/>
        <v>#DIV/0!</v>
      </c>
      <c r="AK34" s="154" t="e">
        <f t="shared" si="53"/>
        <v>#DIV/0!</v>
      </c>
      <c r="AL34" s="154" t="e">
        <f t="shared" si="53"/>
        <v>#DIV/0!</v>
      </c>
      <c r="AM34" s="154" t="e">
        <f t="shared" si="53"/>
        <v>#DIV/0!</v>
      </c>
      <c r="AN34" s="154" t="e">
        <f>SUM(E34:AM34)</f>
        <v>#DIV/0!</v>
      </c>
    </row>
    <row r="35" spans="2:43" ht="16.5" x14ac:dyDescent="0.3">
      <c r="B35" s="158" t="s">
        <v>467</v>
      </c>
      <c r="C35" s="4"/>
      <c r="D35" s="4"/>
      <c r="E35" s="156" t="e">
        <f t="shared" ref="E35:AN35" si="54">E34/E4</f>
        <v>#DIV/0!</v>
      </c>
      <c r="F35" s="156" t="e">
        <f t="shared" ref="F35:R35" si="55">F34/F4</f>
        <v>#DIV/0!</v>
      </c>
      <c r="G35" s="156" t="e">
        <f t="shared" si="55"/>
        <v>#DIV/0!</v>
      </c>
      <c r="H35" s="156" t="e">
        <f t="shared" si="55"/>
        <v>#DIV/0!</v>
      </c>
      <c r="I35" s="156" t="e">
        <f t="shared" si="55"/>
        <v>#DIV/0!</v>
      </c>
      <c r="J35" s="156" t="e">
        <f t="shared" si="55"/>
        <v>#DIV/0!</v>
      </c>
      <c r="K35" s="156" t="e">
        <f t="shared" si="55"/>
        <v>#DIV/0!</v>
      </c>
      <c r="L35" s="156" t="e">
        <f t="shared" si="55"/>
        <v>#DIV/0!</v>
      </c>
      <c r="M35" s="156" t="e">
        <f t="shared" si="55"/>
        <v>#DIV/0!</v>
      </c>
      <c r="N35" s="156" t="e">
        <f t="shared" si="55"/>
        <v>#DIV/0!</v>
      </c>
      <c r="O35" s="156" t="e">
        <f t="shared" si="55"/>
        <v>#DIV/0!</v>
      </c>
      <c r="P35" s="156" t="e">
        <f t="shared" si="55"/>
        <v>#DIV/0!</v>
      </c>
      <c r="Q35" s="156" t="e">
        <f t="shared" si="55"/>
        <v>#DIV/0!</v>
      </c>
      <c r="R35" s="156" t="e">
        <f t="shared" si="55"/>
        <v>#DIV/0!</v>
      </c>
      <c r="S35" s="156" t="e">
        <f t="shared" ref="S35:AM35" si="56">S34/S4</f>
        <v>#DIV/0!</v>
      </c>
      <c r="T35" s="156" t="e">
        <f t="shared" si="56"/>
        <v>#DIV/0!</v>
      </c>
      <c r="U35" s="156" t="e">
        <f t="shared" si="56"/>
        <v>#DIV/0!</v>
      </c>
      <c r="V35" s="156" t="e">
        <f t="shared" si="56"/>
        <v>#DIV/0!</v>
      </c>
      <c r="W35" s="156" t="e">
        <f t="shared" si="56"/>
        <v>#DIV/0!</v>
      </c>
      <c r="X35" s="156" t="e">
        <f t="shared" si="56"/>
        <v>#DIV/0!</v>
      </c>
      <c r="Y35" s="156" t="e">
        <f t="shared" si="56"/>
        <v>#DIV/0!</v>
      </c>
      <c r="Z35" s="156" t="e">
        <f t="shared" si="56"/>
        <v>#DIV/0!</v>
      </c>
      <c r="AA35" s="156" t="e">
        <f t="shared" si="56"/>
        <v>#DIV/0!</v>
      </c>
      <c r="AB35" s="156" t="e">
        <f t="shared" si="56"/>
        <v>#DIV/0!</v>
      </c>
      <c r="AC35" s="156" t="e">
        <f t="shared" si="56"/>
        <v>#DIV/0!</v>
      </c>
      <c r="AD35" s="156" t="e">
        <f t="shared" si="56"/>
        <v>#DIV/0!</v>
      </c>
      <c r="AE35" s="156" t="e">
        <f t="shared" si="56"/>
        <v>#DIV/0!</v>
      </c>
      <c r="AF35" s="156" t="e">
        <f t="shared" si="56"/>
        <v>#DIV/0!</v>
      </c>
      <c r="AG35" s="156" t="e">
        <f t="shared" si="56"/>
        <v>#DIV/0!</v>
      </c>
      <c r="AH35" s="156" t="e">
        <f t="shared" si="56"/>
        <v>#DIV/0!</v>
      </c>
      <c r="AI35" s="156" t="e">
        <f t="shared" si="56"/>
        <v>#DIV/0!</v>
      </c>
      <c r="AJ35" s="156" t="e">
        <f t="shared" si="56"/>
        <v>#DIV/0!</v>
      </c>
      <c r="AK35" s="156" t="e">
        <f t="shared" si="56"/>
        <v>#DIV/0!</v>
      </c>
      <c r="AL35" s="156" t="e">
        <f t="shared" si="56"/>
        <v>#DIV/0!</v>
      </c>
      <c r="AM35" s="156" t="e">
        <f t="shared" si="56"/>
        <v>#DIV/0!</v>
      </c>
      <c r="AN35" s="156" t="e">
        <f t="shared" si="54"/>
        <v>#DIV/0!</v>
      </c>
    </row>
    <row r="36" spans="2:43" ht="16.5" x14ac:dyDescent="0.3">
      <c r="B36" s="158" t="s">
        <v>447</v>
      </c>
      <c r="C36" s="4"/>
      <c r="D36" s="4"/>
      <c r="E36" s="155">
        <f>'FCD PROJETO'!F88</f>
        <v>0</v>
      </c>
      <c r="F36" s="155">
        <f>'FCD PROJETO'!G88</f>
        <v>0</v>
      </c>
      <c r="G36" s="155">
        <f>'FCD PROJETO'!H88</f>
        <v>0</v>
      </c>
      <c r="H36" s="155">
        <f>'FCD PROJETO'!I88</f>
        <v>0</v>
      </c>
      <c r="I36" s="155">
        <f>'FCD PROJETO'!J88</f>
        <v>0</v>
      </c>
      <c r="J36" s="155">
        <f>'FCD PROJETO'!K88</f>
        <v>0</v>
      </c>
      <c r="K36" s="155">
        <f>'FCD PROJETO'!L88</f>
        <v>0</v>
      </c>
      <c r="L36" s="155">
        <f>'FCD PROJETO'!M88</f>
        <v>0</v>
      </c>
      <c r="M36" s="155">
        <f>'FCD PROJETO'!N88</f>
        <v>0</v>
      </c>
      <c r="N36" s="155">
        <f>'FCD PROJETO'!O88</f>
        <v>0</v>
      </c>
      <c r="O36" s="155">
        <f>'FCD PROJETO'!P88</f>
        <v>0</v>
      </c>
      <c r="P36" s="155">
        <f>'FCD PROJETO'!Q88</f>
        <v>0</v>
      </c>
      <c r="Q36" s="155">
        <f>'FCD PROJETO'!R88</f>
        <v>0</v>
      </c>
      <c r="R36" s="155">
        <f>'FCD PROJETO'!S88</f>
        <v>0</v>
      </c>
      <c r="S36" s="155">
        <f>'FCD PROJETO'!T88</f>
        <v>0</v>
      </c>
      <c r="T36" s="155">
        <f>'FCD PROJETO'!U88</f>
        <v>0</v>
      </c>
      <c r="U36" s="155">
        <f>'FCD PROJETO'!V88</f>
        <v>0</v>
      </c>
      <c r="V36" s="155">
        <f>'FCD PROJETO'!W88</f>
        <v>0</v>
      </c>
      <c r="W36" s="155">
        <f>'FCD PROJETO'!X88</f>
        <v>0</v>
      </c>
      <c r="X36" s="155">
        <f>'FCD PROJETO'!Y88</f>
        <v>0</v>
      </c>
      <c r="Y36" s="155">
        <f>'FCD PROJETO'!Z88</f>
        <v>0</v>
      </c>
      <c r="Z36" s="155">
        <f>'FCD PROJETO'!AA88</f>
        <v>0</v>
      </c>
      <c r="AA36" s="155">
        <f>'FCD PROJETO'!AB88</f>
        <v>0</v>
      </c>
      <c r="AB36" s="155">
        <f>'FCD PROJETO'!AC88</f>
        <v>0</v>
      </c>
      <c r="AC36" s="155">
        <f>'FCD PROJETO'!AD88</f>
        <v>0</v>
      </c>
      <c r="AD36" s="155">
        <f>'FCD PROJETO'!AE88</f>
        <v>0</v>
      </c>
      <c r="AE36" s="155">
        <f>'FCD PROJETO'!AF88</f>
        <v>0</v>
      </c>
      <c r="AF36" s="155">
        <f>'FCD PROJETO'!AG88</f>
        <v>0</v>
      </c>
      <c r="AG36" s="155">
        <f>'FCD PROJETO'!AH88</f>
        <v>0</v>
      </c>
      <c r="AH36" s="155">
        <f>'FCD PROJETO'!AI88</f>
        <v>0</v>
      </c>
      <c r="AI36" s="155">
        <f>'FCD PROJETO'!AJ88</f>
        <v>0</v>
      </c>
      <c r="AJ36" s="155">
        <f>'FCD PROJETO'!AK88</f>
        <v>0</v>
      </c>
      <c r="AK36" s="155">
        <f>'FCD PROJETO'!AL88</f>
        <v>0</v>
      </c>
      <c r="AL36" s="155">
        <f>'FCD PROJETO'!AM88</f>
        <v>0</v>
      </c>
      <c r="AM36" s="155">
        <f>'FCD PROJETO'!AN88</f>
        <v>0</v>
      </c>
      <c r="AN36" s="155">
        <f>SUM(E36:AM36)</f>
        <v>0</v>
      </c>
    </row>
    <row r="37" spans="2:43" ht="16.5" x14ac:dyDescent="0.3">
      <c r="B37" s="89"/>
    </row>
    <row r="38" spans="2:43" ht="16.5" x14ac:dyDescent="0.3">
      <c r="B38" s="157" t="s">
        <v>448</v>
      </c>
      <c r="C38" s="158"/>
      <c r="D38" s="158"/>
      <c r="E38" s="154" t="e">
        <f>E34+E36</f>
        <v>#DIV/0!</v>
      </c>
      <c r="F38" s="154" t="e">
        <f t="shared" ref="F38:R38" si="57">F34+F36</f>
        <v>#DIV/0!</v>
      </c>
      <c r="G38" s="154" t="e">
        <f t="shared" si="57"/>
        <v>#DIV/0!</v>
      </c>
      <c r="H38" s="154" t="e">
        <f t="shared" si="57"/>
        <v>#DIV/0!</v>
      </c>
      <c r="I38" s="154" t="e">
        <f t="shared" si="57"/>
        <v>#DIV/0!</v>
      </c>
      <c r="J38" s="154" t="e">
        <f t="shared" si="57"/>
        <v>#DIV/0!</v>
      </c>
      <c r="K38" s="154" t="e">
        <f t="shared" si="57"/>
        <v>#DIV/0!</v>
      </c>
      <c r="L38" s="154" t="e">
        <f t="shared" si="57"/>
        <v>#DIV/0!</v>
      </c>
      <c r="M38" s="154" t="e">
        <f t="shared" si="57"/>
        <v>#DIV/0!</v>
      </c>
      <c r="N38" s="154" t="e">
        <f t="shared" si="57"/>
        <v>#DIV/0!</v>
      </c>
      <c r="O38" s="154" t="e">
        <f t="shared" si="57"/>
        <v>#DIV/0!</v>
      </c>
      <c r="P38" s="154" t="e">
        <f t="shared" si="57"/>
        <v>#DIV/0!</v>
      </c>
      <c r="Q38" s="154" t="e">
        <f t="shared" si="57"/>
        <v>#DIV/0!</v>
      </c>
      <c r="R38" s="154" t="e">
        <f t="shared" si="57"/>
        <v>#DIV/0!</v>
      </c>
      <c r="S38" s="154" t="e">
        <f t="shared" ref="S38:AM38" si="58">S34+S36</f>
        <v>#DIV/0!</v>
      </c>
      <c r="T38" s="154" t="e">
        <f t="shared" si="58"/>
        <v>#DIV/0!</v>
      </c>
      <c r="U38" s="154" t="e">
        <f t="shared" si="58"/>
        <v>#DIV/0!</v>
      </c>
      <c r="V38" s="154" t="e">
        <f t="shared" si="58"/>
        <v>#DIV/0!</v>
      </c>
      <c r="W38" s="154" t="e">
        <f t="shared" si="58"/>
        <v>#DIV/0!</v>
      </c>
      <c r="X38" s="154" t="e">
        <f t="shared" si="58"/>
        <v>#DIV/0!</v>
      </c>
      <c r="Y38" s="154" t="e">
        <f t="shared" si="58"/>
        <v>#DIV/0!</v>
      </c>
      <c r="Z38" s="154" t="e">
        <f t="shared" si="58"/>
        <v>#DIV/0!</v>
      </c>
      <c r="AA38" s="154" t="e">
        <f t="shared" si="58"/>
        <v>#DIV/0!</v>
      </c>
      <c r="AB38" s="154" t="e">
        <f t="shared" si="58"/>
        <v>#DIV/0!</v>
      </c>
      <c r="AC38" s="154" t="e">
        <f t="shared" si="58"/>
        <v>#DIV/0!</v>
      </c>
      <c r="AD38" s="154" t="e">
        <f t="shared" si="58"/>
        <v>#DIV/0!</v>
      </c>
      <c r="AE38" s="154" t="e">
        <f t="shared" si="58"/>
        <v>#DIV/0!</v>
      </c>
      <c r="AF38" s="154" t="e">
        <f t="shared" si="58"/>
        <v>#DIV/0!</v>
      </c>
      <c r="AG38" s="154" t="e">
        <f t="shared" si="58"/>
        <v>#DIV/0!</v>
      </c>
      <c r="AH38" s="154" t="e">
        <f t="shared" si="58"/>
        <v>#DIV/0!</v>
      </c>
      <c r="AI38" s="154" t="e">
        <f t="shared" si="58"/>
        <v>#DIV/0!</v>
      </c>
      <c r="AJ38" s="154" t="e">
        <f t="shared" si="58"/>
        <v>#DIV/0!</v>
      </c>
      <c r="AK38" s="154" t="e">
        <f t="shared" si="58"/>
        <v>#DIV/0!</v>
      </c>
      <c r="AL38" s="154" t="e">
        <f t="shared" si="58"/>
        <v>#DIV/0!</v>
      </c>
      <c r="AM38" s="154" t="e">
        <f t="shared" si="58"/>
        <v>#DIV/0!</v>
      </c>
      <c r="AN38" s="154" t="e">
        <f>SUM(E38:AM38)</f>
        <v>#DIV/0!</v>
      </c>
    </row>
    <row r="39" spans="2:43" ht="16.5" x14ac:dyDescent="0.3">
      <c r="B39" s="158" t="s">
        <v>467</v>
      </c>
      <c r="C39" s="4"/>
      <c r="D39" s="4"/>
      <c r="E39" s="156" t="e">
        <f>E38/E4</f>
        <v>#DIV/0!</v>
      </c>
      <c r="F39" s="156" t="e">
        <f t="shared" ref="F39:R39" si="59">F38/F4</f>
        <v>#DIV/0!</v>
      </c>
      <c r="G39" s="156" t="e">
        <f t="shared" si="59"/>
        <v>#DIV/0!</v>
      </c>
      <c r="H39" s="156" t="e">
        <f t="shared" si="59"/>
        <v>#DIV/0!</v>
      </c>
      <c r="I39" s="156" t="e">
        <f t="shared" si="59"/>
        <v>#DIV/0!</v>
      </c>
      <c r="J39" s="156" t="e">
        <f t="shared" si="59"/>
        <v>#DIV/0!</v>
      </c>
      <c r="K39" s="156" t="e">
        <f t="shared" si="59"/>
        <v>#DIV/0!</v>
      </c>
      <c r="L39" s="156" t="e">
        <f t="shared" si="59"/>
        <v>#DIV/0!</v>
      </c>
      <c r="M39" s="156" t="e">
        <f t="shared" si="59"/>
        <v>#DIV/0!</v>
      </c>
      <c r="N39" s="156" t="e">
        <f t="shared" si="59"/>
        <v>#DIV/0!</v>
      </c>
      <c r="O39" s="156" t="e">
        <f t="shared" si="59"/>
        <v>#DIV/0!</v>
      </c>
      <c r="P39" s="156" t="e">
        <f t="shared" si="59"/>
        <v>#DIV/0!</v>
      </c>
      <c r="Q39" s="156" t="e">
        <f t="shared" si="59"/>
        <v>#DIV/0!</v>
      </c>
      <c r="R39" s="156" t="e">
        <f t="shared" si="59"/>
        <v>#DIV/0!</v>
      </c>
      <c r="S39" s="156" t="e">
        <f t="shared" ref="S39" si="60">S38/S4</f>
        <v>#DIV/0!</v>
      </c>
      <c r="T39" s="156" t="e">
        <f t="shared" ref="T39" si="61">T38/T4</f>
        <v>#DIV/0!</v>
      </c>
      <c r="U39" s="156" t="e">
        <f t="shared" ref="U39" si="62">U38/U4</f>
        <v>#DIV/0!</v>
      </c>
      <c r="V39" s="156" t="e">
        <f t="shared" ref="V39" si="63">V38/V4</f>
        <v>#DIV/0!</v>
      </c>
      <c r="W39" s="156" t="e">
        <f t="shared" ref="W39" si="64">W38/W4</f>
        <v>#DIV/0!</v>
      </c>
      <c r="X39" s="156" t="e">
        <f t="shared" ref="X39" si="65">X38/X4</f>
        <v>#DIV/0!</v>
      </c>
      <c r="Y39" s="156" t="e">
        <f t="shared" ref="Y39" si="66">Y38/Y4</f>
        <v>#DIV/0!</v>
      </c>
      <c r="Z39" s="156" t="e">
        <f t="shared" ref="Z39" si="67">Z38/Z4</f>
        <v>#DIV/0!</v>
      </c>
      <c r="AA39" s="156" t="e">
        <f t="shared" ref="AA39" si="68">AA38/AA4</f>
        <v>#DIV/0!</v>
      </c>
      <c r="AB39" s="156" t="e">
        <f t="shared" ref="AB39" si="69">AB38/AB4</f>
        <v>#DIV/0!</v>
      </c>
      <c r="AC39" s="156" t="e">
        <f t="shared" ref="AC39" si="70">AC38/AC4</f>
        <v>#DIV/0!</v>
      </c>
      <c r="AD39" s="156" t="e">
        <f t="shared" ref="AD39:AE39" si="71">AD38/AD4</f>
        <v>#DIV/0!</v>
      </c>
      <c r="AE39" s="156" t="e">
        <f t="shared" si="71"/>
        <v>#DIV/0!</v>
      </c>
      <c r="AF39" s="156" t="e">
        <f t="shared" ref="AF39" si="72">AF38/AF4</f>
        <v>#DIV/0!</v>
      </c>
      <c r="AG39" s="156" t="e">
        <f t="shared" ref="AG39" si="73">AG38/AG4</f>
        <v>#DIV/0!</v>
      </c>
      <c r="AH39" s="156" t="e">
        <f t="shared" ref="AH39" si="74">AH38/AH4</f>
        <v>#DIV/0!</v>
      </c>
      <c r="AI39" s="156" t="e">
        <f t="shared" ref="AI39" si="75">AI38/AI4</f>
        <v>#DIV/0!</v>
      </c>
      <c r="AJ39" s="156" t="e">
        <f t="shared" ref="AJ39" si="76">AJ38/AJ4</f>
        <v>#DIV/0!</v>
      </c>
      <c r="AK39" s="156" t="e">
        <f t="shared" ref="AK39" si="77">AK38/AK4</f>
        <v>#DIV/0!</v>
      </c>
      <c r="AL39" s="156" t="e">
        <f t="shared" ref="AL39" si="78">AL38/AL4</f>
        <v>#DIV/0!</v>
      </c>
      <c r="AM39" s="156" t="e">
        <f t="shared" ref="AM39" si="79">AM38/AM4</f>
        <v>#DIV/0!</v>
      </c>
      <c r="AN39" s="156" t="e">
        <f>AN38/AN4</f>
        <v>#DIV/0!</v>
      </c>
    </row>
    <row r="40" spans="2:43" ht="16.5" x14ac:dyDescent="0.3">
      <c r="B40" s="158" t="s">
        <v>378</v>
      </c>
      <c r="C40" s="4"/>
      <c r="D40" s="161"/>
      <c r="E40" s="155"/>
      <c r="F40" s="155"/>
      <c r="G40" s="155"/>
      <c r="H40" s="155"/>
      <c r="I40" s="155"/>
      <c r="J40" s="155"/>
      <c r="K40" s="155"/>
      <c r="L40" s="155"/>
      <c r="M40" s="155"/>
      <c r="N40" s="155"/>
      <c r="O40" s="155"/>
      <c r="P40" s="155"/>
      <c r="Q40" s="155"/>
      <c r="R40" s="155"/>
      <c r="S40" s="155"/>
      <c r="T40" s="155"/>
      <c r="U40" s="155"/>
      <c r="V40" s="155"/>
      <c r="W40" s="155"/>
      <c r="X40" s="155"/>
      <c r="Y40" s="155"/>
      <c r="Z40" s="155"/>
      <c r="AA40" s="155"/>
      <c r="AB40" s="155"/>
      <c r="AC40" s="155"/>
      <c r="AD40" s="155"/>
      <c r="AE40" s="155"/>
      <c r="AF40" s="155"/>
      <c r="AG40" s="155"/>
      <c r="AH40" s="155"/>
      <c r="AI40" s="155"/>
      <c r="AJ40" s="155"/>
      <c r="AK40" s="155"/>
      <c r="AL40" s="155"/>
      <c r="AM40" s="155"/>
      <c r="AN40" s="155">
        <f t="shared" ref="AN40" si="80">SUM(E40:AH40)</f>
        <v>0</v>
      </c>
    </row>
    <row r="41" spans="2:43" ht="16.5" x14ac:dyDescent="0.3">
      <c r="B41" s="89"/>
    </row>
    <row r="42" spans="2:43" ht="16.5" x14ac:dyDescent="0.3">
      <c r="B42" s="157" t="s">
        <v>449</v>
      </c>
      <c r="C42" s="158"/>
      <c r="D42" s="158"/>
      <c r="E42" s="154" t="e">
        <f>E38+E40</f>
        <v>#DIV/0!</v>
      </c>
      <c r="F42" s="154" t="e">
        <f t="shared" ref="F42:R42" si="81">F38+F40</f>
        <v>#DIV/0!</v>
      </c>
      <c r="G42" s="154" t="e">
        <f t="shared" si="81"/>
        <v>#DIV/0!</v>
      </c>
      <c r="H42" s="154" t="e">
        <f t="shared" si="81"/>
        <v>#DIV/0!</v>
      </c>
      <c r="I42" s="154" t="e">
        <f t="shared" si="81"/>
        <v>#DIV/0!</v>
      </c>
      <c r="J42" s="154" t="e">
        <f t="shared" si="81"/>
        <v>#DIV/0!</v>
      </c>
      <c r="K42" s="154" t="e">
        <f t="shared" si="81"/>
        <v>#DIV/0!</v>
      </c>
      <c r="L42" s="154" t="e">
        <f t="shared" si="81"/>
        <v>#DIV/0!</v>
      </c>
      <c r="M42" s="154" t="e">
        <f t="shared" si="81"/>
        <v>#DIV/0!</v>
      </c>
      <c r="N42" s="154" t="e">
        <f t="shared" si="81"/>
        <v>#DIV/0!</v>
      </c>
      <c r="O42" s="154" t="e">
        <f t="shared" si="81"/>
        <v>#DIV/0!</v>
      </c>
      <c r="P42" s="154" t="e">
        <f t="shared" si="81"/>
        <v>#DIV/0!</v>
      </c>
      <c r="Q42" s="154" t="e">
        <f t="shared" si="81"/>
        <v>#DIV/0!</v>
      </c>
      <c r="R42" s="154" t="e">
        <f t="shared" si="81"/>
        <v>#DIV/0!</v>
      </c>
      <c r="S42" s="154" t="e">
        <f t="shared" ref="S42:AM42" si="82">S38+S40</f>
        <v>#DIV/0!</v>
      </c>
      <c r="T42" s="154" t="e">
        <f t="shared" si="82"/>
        <v>#DIV/0!</v>
      </c>
      <c r="U42" s="154" t="e">
        <f t="shared" si="82"/>
        <v>#DIV/0!</v>
      </c>
      <c r="V42" s="154" t="e">
        <f t="shared" si="82"/>
        <v>#DIV/0!</v>
      </c>
      <c r="W42" s="154" t="e">
        <f t="shared" si="82"/>
        <v>#DIV/0!</v>
      </c>
      <c r="X42" s="154" t="e">
        <f t="shared" si="82"/>
        <v>#DIV/0!</v>
      </c>
      <c r="Y42" s="154" t="e">
        <f t="shared" si="82"/>
        <v>#DIV/0!</v>
      </c>
      <c r="Z42" s="154" t="e">
        <f t="shared" si="82"/>
        <v>#DIV/0!</v>
      </c>
      <c r="AA42" s="154" t="e">
        <f t="shared" si="82"/>
        <v>#DIV/0!</v>
      </c>
      <c r="AB42" s="154" t="e">
        <f t="shared" si="82"/>
        <v>#DIV/0!</v>
      </c>
      <c r="AC42" s="154" t="e">
        <f t="shared" si="82"/>
        <v>#DIV/0!</v>
      </c>
      <c r="AD42" s="154" t="e">
        <f t="shared" si="82"/>
        <v>#DIV/0!</v>
      </c>
      <c r="AE42" s="154" t="e">
        <f t="shared" si="82"/>
        <v>#DIV/0!</v>
      </c>
      <c r="AF42" s="154" t="e">
        <f t="shared" si="82"/>
        <v>#DIV/0!</v>
      </c>
      <c r="AG42" s="154" t="e">
        <f t="shared" si="82"/>
        <v>#DIV/0!</v>
      </c>
      <c r="AH42" s="154" t="e">
        <f t="shared" si="82"/>
        <v>#DIV/0!</v>
      </c>
      <c r="AI42" s="154" t="e">
        <f t="shared" si="82"/>
        <v>#DIV/0!</v>
      </c>
      <c r="AJ42" s="154" t="e">
        <f t="shared" si="82"/>
        <v>#DIV/0!</v>
      </c>
      <c r="AK42" s="154" t="e">
        <f t="shared" si="82"/>
        <v>#DIV/0!</v>
      </c>
      <c r="AL42" s="154" t="e">
        <f t="shared" si="82"/>
        <v>#DIV/0!</v>
      </c>
      <c r="AM42" s="154" t="e">
        <f t="shared" si="82"/>
        <v>#DIV/0!</v>
      </c>
      <c r="AN42" s="154" t="e">
        <f>SUM(E42:AM42)</f>
        <v>#DIV/0!</v>
      </c>
    </row>
    <row r="43" spans="2:43" ht="16.5" x14ac:dyDescent="0.3">
      <c r="B43" s="158" t="s">
        <v>450</v>
      </c>
      <c r="C43" s="4"/>
      <c r="D43" s="4"/>
      <c r="E43" s="155" t="e">
        <f>IF(E42&gt;0,-E42*'FCD PROJETO'!$C$102,0)+-IF(E42&gt;0,IF(E42&gt;240000,240000*'FCD PROJETO'!$C$103+(E42-(240000))*'FCD PROJETO'!$C$104,E42*'FCD PROJETO'!$C$103),0)</f>
        <v>#DIV/0!</v>
      </c>
      <c r="F43" s="155" t="e">
        <f>IF(F42&gt;0,-F42*'FCD PROJETO'!$C$102,0)+-IF(F42&gt;0,IF(F42&gt;240000,240000*'FCD PROJETO'!$C$103+(F42-(240000))*'FCD PROJETO'!$C$104,F42*'FCD PROJETO'!$C$103),0)</f>
        <v>#DIV/0!</v>
      </c>
      <c r="G43" s="155" t="e">
        <f>IF(G42&gt;0,-G42*'FCD PROJETO'!$C$102,0)+-IF(G42&gt;0,IF(G42&gt;240000,240000*'FCD PROJETO'!$C$103+(G42-(240000))*'FCD PROJETO'!$C$104,G42*'FCD PROJETO'!$C$103),0)</f>
        <v>#DIV/0!</v>
      </c>
      <c r="H43" s="155" t="e">
        <f>IF(H42&gt;0,-H42*'FCD PROJETO'!$C$102,0)+-IF(H42&gt;0,IF(H42&gt;240000,240000*'FCD PROJETO'!$C$103+(H42-(240000))*'FCD PROJETO'!$C$104,H42*'FCD PROJETO'!$C$103),0)</f>
        <v>#DIV/0!</v>
      </c>
      <c r="I43" s="155" t="e">
        <f>IF(I42&gt;0,-I42*'FCD PROJETO'!$C$102,0)+-IF(I42&gt;0,IF(I42&gt;240000,240000*'FCD PROJETO'!$C$103+(I42-(240000))*'FCD PROJETO'!$C$104,I42*'FCD PROJETO'!$C$103),0)</f>
        <v>#DIV/0!</v>
      </c>
      <c r="J43" s="155" t="e">
        <f>IF(J42&gt;0,-J42*'FCD PROJETO'!$C$102,0)+-IF(J42&gt;0,IF(J42&gt;240000,240000*'FCD PROJETO'!$C$103+(J42-(240000))*'FCD PROJETO'!$C$104,J42*'FCD PROJETO'!$C$103),0)</f>
        <v>#DIV/0!</v>
      </c>
      <c r="K43" s="155" t="e">
        <f>IF(K42&gt;0,-K42*'FCD PROJETO'!$C$102,0)+-IF(K42&gt;0,IF(K42&gt;240000,240000*'FCD PROJETO'!$C$103+(K42-(240000))*'FCD PROJETO'!$C$104,K42*'FCD PROJETO'!$C$103),0)</f>
        <v>#DIV/0!</v>
      </c>
      <c r="L43" s="155" t="e">
        <f>IF(L42&gt;0,-L42*'FCD PROJETO'!$C$102,0)+-IF(L42&gt;0,IF(L42&gt;240000,240000*'FCD PROJETO'!$C$103+(L42-(240000))*'FCD PROJETO'!$C$104,L42*'FCD PROJETO'!$C$103),0)</f>
        <v>#DIV/0!</v>
      </c>
      <c r="M43" s="155" t="e">
        <f>IF(M42&gt;0,-M42*'FCD PROJETO'!$C$102,0)+-IF(M42&gt;0,IF(M42&gt;240000,240000*'FCD PROJETO'!$C$103+(M42-(240000))*'FCD PROJETO'!$C$104,M42*'FCD PROJETO'!$C$103),0)</f>
        <v>#DIV/0!</v>
      </c>
      <c r="N43" s="155" t="e">
        <f>IF(N42&gt;0,-N42*'FCD PROJETO'!$C$102,0)+-IF(N42&gt;0,IF(N42&gt;240000,240000*'FCD PROJETO'!$C$103+(N42-(240000))*'FCD PROJETO'!$C$104,N42*'FCD PROJETO'!$C$103),0)</f>
        <v>#DIV/0!</v>
      </c>
      <c r="O43" s="155" t="e">
        <f>IF(O42&gt;0,-O42*'FCD PROJETO'!$C$102,0)+-IF(O42&gt;0,IF(O42&gt;240000,240000*'FCD PROJETO'!$C$103+(O42-(240000))*'FCD PROJETO'!$C$104,O42*'FCD PROJETO'!$C$103),0)</f>
        <v>#DIV/0!</v>
      </c>
      <c r="P43" s="155" t="e">
        <f>IF(P42&gt;0,-P42*'FCD PROJETO'!$C$102,0)+-IF(P42&gt;0,IF(P42&gt;240000,240000*'FCD PROJETO'!$C$103+(P42-(240000))*'FCD PROJETO'!$C$104,P42*'FCD PROJETO'!$C$103),0)</f>
        <v>#DIV/0!</v>
      </c>
      <c r="Q43" s="155" t="e">
        <f>IF(Q42&gt;0,-Q42*'FCD PROJETO'!$C$102,0)+-IF(Q42&gt;0,IF(Q42&gt;240000,240000*'FCD PROJETO'!$C$103+(Q42-(240000))*'FCD PROJETO'!$C$104,Q42*'FCD PROJETO'!$C$103),0)</f>
        <v>#DIV/0!</v>
      </c>
      <c r="R43" s="155" t="e">
        <f>IF(R42&gt;0,-R42*'FCD PROJETO'!$C$102,0)+-IF(R42&gt;0,IF(R42&gt;240000,240000*'FCD PROJETO'!$C$103+(R42-(240000))*'FCD PROJETO'!$C$104,R42*'FCD PROJETO'!$C$103),0)</f>
        <v>#DIV/0!</v>
      </c>
      <c r="S43" s="155" t="e">
        <f>IF(S42&gt;0,-S42*'FCD PROJETO'!$C$102,0)+-IF(S42&gt;0,IF(S42&gt;240000,240000*'FCD PROJETO'!$C$103+(S42-(240000))*'FCD PROJETO'!$C$104,S42*'FCD PROJETO'!$C$103),0)</f>
        <v>#DIV/0!</v>
      </c>
      <c r="T43" s="155" t="e">
        <f>IF(T42&gt;0,-T42*'FCD PROJETO'!$C$102,0)+-IF(T42&gt;0,IF(T42&gt;240000,240000*'FCD PROJETO'!$C$103+(T42-(240000))*'FCD PROJETO'!$C$104,T42*'FCD PROJETO'!$C$103),0)</f>
        <v>#DIV/0!</v>
      </c>
      <c r="U43" s="155" t="e">
        <f>IF(U42&gt;0,-U42*'FCD PROJETO'!$C$102,0)+-IF(U42&gt;0,IF(U42&gt;240000,240000*'FCD PROJETO'!$C$103+(U42-(240000))*'FCD PROJETO'!$C$104,U42*'FCD PROJETO'!$C$103),0)</f>
        <v>#DIV/0!</v>
      </c>
      <c r="V43" s="155" t="e">
        <f>IF(V42&gt;0,-V42*'FCD PROJETO'!$C$102,0)+-IF(V42&gt;0,IF(V42&gt;240000,240000*'FCD PROJETO'!$C$103+(V42-(240000))*'FCD PROJETO'!$C$104,V42*'FCD PROJETO'!$C$103),0)</f>
        <v>#DIV/0!</v>
      </c>
      <c r="W43" s="155" t="e">
        <f>IF(W42&gt;0,-W42*'FCD PROJETO'!$C$102,0)+-IF(W42&gt;0,IF(W42&gt;240000,240000*'FCD PROJETO'!$C$103+(W42-(240000))*'FCD PROJETO'!$C$104,W42*'FCD PROJETO'!$C$103),0)</f>
        <v>#DIV/0!</v>
      </c>
      <c r="X43" s="155" t="e">
        <f>IF(X42&gt;0,-X42*'FCD PROJETO'!$C$102,0)+-IF(X42&gt;0,IF(X42&gt;240000,240000*'FCD PROJETO'!$C$103+(X42-(240000))*'FCD PROJETO'!$C$104,X42*'FCD PROJETO'!$C$103),0)</f>
        <v>#DIV/0!</v>
      </c>
      <c r="Y43" s="155" t="e">
        <f>IF(Y42&gt;0,-Y42*'FCD PROJETO'!$C$102,0)+-IF(Y42&gt;0,IF(Y42&gt;240000,240000*'FCD PROJETO'!$C$103+(Y42-(240000))*'FCD PROJETO'!$C$104,Y42*'FCD PROJETO'!$C$103),0)</f>
        <v>#DIV/0!</v>
      </c>
      <c r="Z43" s="155" t="e">
        <f>IF(Z42&gt;0,-Z42*'FCD PROJETO'!$C$102,0)+-IF(Z42&gt;0,IF(Z42&gt;240000,240000*'FCD PROJETO'!$C$103+(Z42-(240000))*'FCD PROJETO'!$C$104,Z42*'FCD PROJETO'!$C$103),0)</f>
        <v>#DIV/0!</v>
      </c>
      <c r="AA43" s="155" t="e">
        <f>IF(AA42&gt;0,-AA42*'FCD PROJETO'!$C$102,0)+-IF(AA42&gt;0,IF(AA42&gt;240000,240000*'FCD PROJETO'!$C$103+(AA42-(240000))*'FCD PROJETO'!$C$104,AA42*'FCD PROJETO'!$C$103),0)</f>
        <v>#DIV/0!</v>
      </c>
      <c r="AB43" s="155" t="e">
        <f>IF(AB42&gt;0,-AB42*'FCD PROJETO'!$C$102,0)+-IF(AB42&gt;0,IF(AB42&gt;240000,240000*'FCD PROJETO'!$C$103+(AB42-(240000))*'FCD PROJETO'!$C$104,AB42*'FCD PROJETO'!$C$103),0)</f>
        <v>#DIV/0!</v>
      </c>
      <c r="AC43" s="155" t="e">
        <f>IF(AC42&gt;0,-AC42*'FCD PROJETO'!$C$102,0)+-IF(AC42&gt;0,IF(AC42&gt;240000,240000*'FCD PROJETO'!$C$103+(AC42-(240000))*'FCD PROJETO'!$C$104,AC42*'FCD PROJETO'!$C$103),0)</f>
        <v>#DIV/0!</v>
      </c>
      <c r="AD43" s="155" t="e">
        <f>IF(AD42&gt;0,-AD42*'FCD PROJETO'!$C$102,0)+-IF(AD42&gt;0,IF(AD42&gt;240000,240000*'FCD PROJETO'!$C$103+(AD42-(240000))*'FCD PROJETO'!$C$104,AD42*'FCD PROJETO'!$C$103),0)</f>
        <v>#DIV/0!</v>
      </c>
      <c r="AE43" s="155" t="e">
        <f>IF(AE42&gt;0,-AE42*'FCD PROJETO'!$C$102,0)+-IF(AE42&gt;0,IF(AE42&gt;240000,240000*'FCD PROJETO'!$C$103+(AE42-(240000))*'FCD PROJETO'!$C$104,AE42*'FCD PROJETO'!$C$103),0)</f>
        <v>#DIV/0!</v>
      </c>
      <c r="AF43" s="155" t="e">
        <f>IF(AF42&gt;0,-AF42*'FCD PROJETO'!$C$102,0)+-IF(AF42&gt;0,IF(AF42&gt;240000,240000*'FCD PROJETO'!$C$103+(AF42-(240000))*'FCD PROJETO'!$C$104,AF42*'FCD PROJETO'!$C$103),0)</f>
        <v>#DIV/0!</v>
      </c>
      <c r="AG43" s="155" t="e">
        <f>IF(AG42&gt;0,-AG42*'FCD PROJETO'!$C$102,0)+-IF(AG42&gt;0,IF(AG42&gt;240000,240000*'FCD PROJETO'!$C$103+(AG42-(240000))*'FCD PROJETO'!$C$104,AG42*'FCD PROJETO'!$C$103),0)</f>
        <v>#DIV/0!</v>
      </c>
      <c r="AH43" s="155" t="e">
        <f>IF(AH42&gt;0,-AH42*'FCD PROJETO'!$C$102,0)+-IF(AH42&gt;0,IF(AH42&gt;240000,240000*'FCD PROJETO'!$C$103+(AH42-(240000))*'FCD PROJETO'!$C$104,AH42*'FCD PROJETO'!$C$103),0)</f>
        <v>#DIV/0!</v>
      </c>
      <c r="AI43" s="155" t="e">
        <f>IF(AI42&gt;0,-AI42*'FCD PROJETO'!$C$102,0)+-IF(AI42&gt;0,IF(AI42&gt;240000,240000*'FCD PROJETO'!$C$103+(AI42-(240000))*'FCD PROJETO'!$C$104,AI42*'FCD PROJETO'!$C$103),0)</f>
        <v>#DIV/0!</v>
      </c>
      <c r="AJ43" s="155" t="e">
        <f>IF(AJ42&gt;0,-AJ42*'FCD PROJETO'!$C$102,0)+-IF(AJ42&gt;0,IF(AJ42&gt;240000,240000*'FCD PROJETO'!$C$103+(AJ42-(240000))*'FCD PROJETO'!$C$104,AJ42*'FCD PROJETO'!$C$103),0)</f>
        <v>#DIV/0!</v>
      </c>
      <c r="AK43" s="155" t="e">
        <f>IF(AK42&gt;0,-AK42*'FCD PROJETO'!$C$102,0)+-IF(AK42&gt;0,IF(AK42&gt;240000,240000*'FCD PROJETO'!$C$103+(AK42-(240000))*'FCD PROJETO'!$C$104,AK42*'FCD PROJETO'!$C$103),0)</f>
        <v>#DIV/0!</v>
      </c>
      <c r="AL43" s="155" t="e">
        <f>IF(AL42&gt;0,-AL42*'FCD PROJETO'!$C$102,0)+-IF(AL42&gt;0,IF(AL42&gt;240000,240000*'FCD PROJETO'!$C$103+(AL42-(240000))*'FCD PROJETO'!$C$104,AL42*'FCD PROJETO'!$C$103),0)</f>
        <v>#DIV/0!</v>
      </c>
      <c r="AM43" s="155" t="e">
        <f>IF(AM42&gt;0,-AM42*'FCD PROJETO'!$C$102,0)+-IF(AM42&gt;0,IF(AM42&gt;240000,240000*'FCD PROJETO'!$C$103+(AM42-(240000))*'FCD PROJETO'!$C$104,AM42*'FCD PROJETO'!$C$103),0)</f>
        <v>#DIV/0!</v>
      </c>
      <c r="AN43" s="155" t="e">
        <f>SUM(E43:AM43)</f>
        <v>#DIV/0!</v>
      </c>
      <c r="AP43" s="90"/>
      <c r="AQ43" s="92"/>
    </row>
    <row r="44" spans="2:43" ht="16.5" x14ac:dyDescent="0.3">
      <c r="B44" s="89"/>
    </row>
    <row r="45" spans="2:43" ht="16.5" x14ac:dyDescent="0.3">
      <c r="B45" s="157" t="s">
        <v>374</v>
      </c>
      <c r="C45" s="158"/>
      <c r="D45" s="158"/>
      <c r="E45" s="154" t="e">
        <f>E42+E43</f>
        <v>#DIV/0!</v>
      </c>
      <c r="F45" s="154" t="e">
        <f t="shared" ref="F45:R45" si="83">F42+F43</f>
        <v>#DIV/0!</v>
      </c>
      <c r="G45" s="154" t="e">
        <f t="shared" si="83"/>
        <v>#DIV/0!</v>
      </c>
      <c r="H45" s="154" t="e">
        <f t="shared" si="83"/>
        <v>#DIV/0!</v>
      </c>
      <c r="I45" s="154" t="e">
        <f t="shared" si="83"/>
        <v>#DIV/0!</v>
      </c>
      <c r="J45" s="154" t="e">
        <f t="shared" si="83"/>
        <v>#DIV/0!</v>
      </c>
      <c r="K45" s="154" t="e">
        <f t="shared" si="83"/>
        <v>#DIV/0!</v>
      </c>
      <c r="L45" s="154" t="e">
        <f t="shared" si="83"/>
        <v>#DIV/0!</v>
      </c>
      <c r="M45" s="154" t="e">
        <f t="shared" si="83"/>
        <v>#DIV/0!</v>
      </c>
      <c r="N45" s="154" t="e">
        <f t="shared" si="83"/>
        <v>#DIV/0!</v>
      </c>
      <c r="O45" s="154" t="e">
        <f t="shared" si="83"/>
        <v>#DIV/0!</v>
      </c>
      <c r="P45" s="154" t="e">
        <f t="shared" si="83"/>
        <v>#DIV/0!</v>
      </c>
      <c r="Q45" s="154" t="e">
        <f t="shared" si="83"/>
        <v>#DIV/0!</v>
      </c>
      <c r="R45" s="154" t="e">
        <f t="shared" si="83"/>
        <v>#DIV/0!</v>
      </c>
      <c r="S45" s="154" t="e">
        <f t="shared" ref="S45:AM45" si="84">S42+S43</f>
        <v>#DIV/0!</v>
      </c>
      <c r="T45" s="154" t="e">
        <f t="shared" si="84"/>
        <v>#DIV/0!</v>
      </c>
      <c r="U45" s="154" t="e">
        <f t="shared" si="84"/>
        <v>#DIV/0!</v>
      </c>
      <c r="V45" s="154" t="e">
        <f t="shared" si="84"/>
        <v>#DIV/0!</v>
      </c>
      <c r="W45" s="154" t="e">
        <f t="shared" si="84"/>
        <v>#DIV/0!</v>
      </c>
      <c r="X45" s="154" t="e">
        <f t="shared" si="84"/>
        <v>#DIV/0!</v>
      </c>
      <c r="Y45" s="154" t="e">
        <f t="shared" si="84"/>
        <v>#DIV/0!</v>
      </c>
      <c r="Z45" s="154" t="e">
        <f t="shared" si="84"/>
        <v>#DIV/0!</v>
      </c>
      <c r="AA45" s="154" t="e">
        <f t="shared" si="84"/>
        <v>#DIV/0!</v>
      </c>
      <c r="AB45" s="154" t="e">
        <f t="shared" si="84"/>
        <v>#DIV/0!</v>
      </c>
      <c r="AC45" s="154" t="e">
        <f t="shared" si="84"/>
        <v>#DIV/0!</v>
      </c>
      <c r="AD45" s="154" t="e">
        <f t="shared" si="84"/>
        <v>#DIV/0!</v>
      </c>
      <c r="AE45" s="154" t="e">
        <f t="shared" si="84"/>
        <v>#DIV/0!</v>
      </c>
      <c r="AF45" s="154" t="e">
        <f t="shared" si="84"/>
        <v>#DIV/0!</v>
      </c>
      <c r="AG45" s="154" t="e">
        <f t="shared" si="84"/>
        <v>#DIV/0!</v>
      </c>
      <c r="AH45" s="154" t="e">
        <f t="shared" si="84"/>
        <v>#DIV/0!</v>
      </c>
      <c r="AI45" s="154" t="e">
        <f t="shared" si="84"/>
        <v>#DIV/0!</v>
      </c>
      <c r="AJ45" s="154" t="e">
        <f t="shared" si="84"/>
        <v>#DIV/0!</v>
      </c>
      <c r="AK45" s="154" t="e">
        <f t="shared" si="84"/>
        <v>#DIV/0!</v>
      </c>
      <c r="AL45" s="154" t="e">
        <f t="shared" si="84"/>
        <v>#DIV/0!</v>
      </c>
      <c r="AM45" s="154" t="e">
        <f t="shared" si="84"/>
        <v>#DIV/0!</v>
      </c>
      <c r="AN45" s="154" t="e">
        <f>SUM(E45:AM45)</f>
        <v>#DIV/0!</v>
      </c>
    </row>
    <row r="46" spans="2:43" x14ac:dyDescent="0.25">
      <c r="B46" s="4" t="s">
        <v>465</v>
      </c>
      <c r="C46" s="4"/>
      <c r="D46" s="4"/>
      <c r="E46" s="156" t="e">
        <f>E45/E13</f>
        <v>#DIV/0!</v>
      </c>
      <c r="F46" s="156" t="e">
        <f t="shared" ref="F46:R46" si="85">F45/F13</f>
        <v>#DIV/0!</v>
      </c>
      <c r="G46" s="156" t="e">
        <f t="shared" si="85"/>
        <v>#DIV/0!</v>
      </c>
      <c r="H46" s="156" t="e">
        <f t="shared" si="85"/>
        <v>#DIV/0!</v>
      </c>
      <c r="I46" s="156" t="e">
        <f t="shared" si="85"/>
        <v>#DIV/0!</v>
      </c>
      <c r="J46" s="156" t="e">
        <f t="shared" si="85"/>
        <v>#DIV/0!</v>
      </c>
      <c r="K46" s="156" t="e">
        <f t="shared" si="85"/>
        <v>#DIV/0!</v>
      </c>
      <c r="L46" s="156" t="e">
        <f t="shared" si="85"/>
        <v>#DIV/0!</v>
      </c>
      <c r="M46" s="156" t="e">
        <f t="shared" si="85"/>
        <v>#DIV/0!</v>
      </c>
      <c r="N46" s="156" t="e">
        <f t="shared" si="85"/>
        <v>#DIV/0!</v>
      </c>
      <c r="O46" s="156" t="e">
        <f t="shared" si="85"/>
        <v>#DIV/0!</v>
      </c>
      <c r="P46" s="156" t="e">
        <f t="shared" si="85"/>
        <v>#DIV/0!</v>
      </c>
      <c r="Q46" s="156" t="e">
        <f t="shared" si="85"/>
        <v>#DIV/0!</v>
      </c>
      <c r="R46" s="156" t="e">
        <f t="shared" si="85"/>
        <v>#DIV/0!</v>
      </c>
      <c r="S46" s="156" t="e">
        <f t="shared" ref="S46" si="86">S45/S13</f>
        <v>#DIV/0!</v>
      </c>
      <c r="T46" s="156" t="e">
        <f t="shared" ref="T46" si="87">T45/T13</f>
        <v>#DIV/0!</v>
      </c>
      <c r="U46" s="156" t="e">
        <f t="shared" ref="U46" si="88">U45/U13</f>
        <v>#DIV/0!</v>
      </c>
      <c r="V46" s="156" t="e">
        <f t="shared" ref="V46" si="89">V45/V13</f>
        <v>#DIV/0!</v>
      </c>
      <c r="W46" s="156" t="e">
        <f t="shared" ref="W46" si="90">W45/W13</f>
        <v>#DIV/0!</v>
      </c>
      <c r="X46" s="156" t="e">
        <f t="shared" ref="X46" si="91">X45/X13</f>
        <v>#DIV/0!</v>
      </c>
      <c r="Y46" s="156" t="e">
        <f t="shared" ref="Y46" si="92">Y45/Y13</f>
        <v>#DIV/0!</v>
      </c>
      <c r="Z46" s="156" t="e">
        <f t="shared" ref="Z46" si="93">Z45/Z13</f>
        <v>#DIV/0!</v>
      </c>
      <c r="AA46" s="156" t="e">
        <f t="shared" ref="AA46" si="94">AA45/AA13</f>
        <v>#DIV/0!</v>
      </c>
      <c r="AB46" s="156" t="e">
        <f t="shared" ref="AB46" si="95">AB45/AB13</f>
        <v>#DIV/0!</v>
      </c>
      <c r="AC46" s="156" t="e">
        <f t="shared" ref="AC46" si="96">AC45/AC13</f>
        <v>#DIV/0!</v>
      </c>
      <c r="AD46" s="156" t="e">
        <f t="shared" ref="AD46:AE46" si="97">AD45/AD13</f>
        <v>#DIV/0!</v>
      </c>
      <c r="AE46" s="156" t="e">
        <f t="shared" si="97"/>
        <v>#DIV/0!</v>
      </c>
      <c r="AF46" s="156" t="e">
        <f t="shared" ref="AF46" si="98">AF45/AF13</f>
        <v>#DIV/0!</v>
      </c>
      <c r="AG46" s="156" t="e">
        <f t="shared" ref="AG46" si="99">AG45/AG13</f>
        <v>#DIV/0!</v>
      </c>
      <c r="AH46" s="156" t="e">
        <f t="shared" ref="AH46" si="100">AH45/AH13</f>
        <v>#DIV/0!</v>
      </c>
      <c r="AI46" s="156" t="e">
        <f t="shared" ref="AI46" si="101">AI45/AI13</f>
        <v>#DIV/0!</v>
      </c>
      <c r="AJ46" s="156" t="e">
        <f t="shared" ref="AJ46" si="102">AJ45/AJ13</f>
        <v>#DIV/0!</v>
      </c>
      <c r="AK46" s="156" t="e">
        <f t="shared" ref="AK46" si="103">AK45/AK13</f>
        <v>#DIV/0!</v>
      </c>
      <c r="AL46" s="156" t="e">
        <f t="shared" ref="AL46" si="104">AL45/AL13</f>
        <v>#DIV/0!</v>
      </c>
      <c r="AM46" s="156" t="e">
        <f t="shared" ref="AM46" si="105">AM45/AM13</f>
        <v>#DIV/0!</v>
      </c>
      <c r="AN46" s="156" t="e">
        <f>AN45/AN13</f>
        <v>#DIV/0!</v>
      </c>
    </row>
    <row r="48" spans="2:43" x14ac:dyDescent="0.25">
      <c r="D48" t="s">
        <v>1391</v>
      </c>
      <c r="E48" s="955" t="e">
        <f ca="1">(E34+'FCD Acionista'!F34-IF('FCD Acionista'!F45&gt;0='FCD Acionista'!F45,0))/-('FCD Acionista'!F34+'FCD Acionista'!F35)</f>
        <v>#DIV/0!</v>
      </c>
      <c r="F48" s="955" t="e">
        <f ca="1">(F34+'FCD Acionista'!G34-IF('FCD Acionista'!G45&gt;0='FCD Acionista'!G45,0))/-('FCD Acionista'!G34+'FCD Acionista'!G35)</f>
        <v>#DIV/0!</v>
      </c>
      <c r="G48" s="955" t="e">
        <f ca="1">(G34+'FCD Acionista'!H34-IF('FCD Acionista'!H45&gt;0='FCD Acionista'!H45,0))/-('FCD Acionista'!H34+'FCD Acionista'!H35)</f>
        <v>#DIV/0!</v>
      </c>
      <c r="H48" s="955" t="e">
        <f ca="1">(H34+'FCD Acionista'!I34-IF('FCD Acionista'!I45&gt;0='FCD Acionista'!I45,0))/-('FCD Acionista'!I34+'FCD Acionista'!I35)</f>
        <v>#DIV/0!</v>
      </c>
      <c r="I48" s="955" t="e">
        <f ca="1">(I34+'FCD Acionista'!J34-IF('FCD Acionista'!J45&gt;0='FCD Acionista'!J45,0))/-('FCD Acionista'!J34+'FCD Acionista'!J35)</f>
        <v>#DIV/0!</v>
      </c>
      <c r="J48" s="955" t="e">
        <f ca="1">(J34+'FCD Acionista'!K34-IF('FCD Acionista'!K45&gt;0='FCD Acionista'!K45,0))/-('FCD Acionista'!K34+'FCD Acionista'!K35)</f>
        <v>#DIV/0!</v>
      </c>
      <c r="K48" s="955" t="e">
        <f ca="1">(K34+'FCD Acionista'!L34-IF('FCD Acionista'!L45&gt;0='FCD Acionista'!L45,0))/-('FCD Acionista'!L34+'FCD Acionista'!L35)</f>
        <v>#DIV/0!</v>
      </c>
      <c r="L48" s="955" t="e">
        <f ca="1">(L34+'FCD Acionista'!M34-IF('FCD Acionista'!M45&gt;0='FCD Acionista'!M45,0))/-('FCD Acionista'!M34+'FCD Acionista'!M35)</f>
        <v>#DIV/0!</v>
      </c>
      <c r="M48" s="955" t="e">
        <f ca="1">(M34+'FCD Acionista'!N34-IF('FCD Acionista'!N45&gt;0='FCD Acionista'!N45,0))/-('FCD Acionista'!N34+'FCD Acionista'!N35)</f>
        <v>#DIV/0!</v>
      </c>
      <c r="N48" s="955" t="e">
        <f ca="1">(N34+'FCD Acionista'!O34-IF('FCD Acionista'!O45&gt;0='FCD Acionista'!O45,0))/-('FCD Acionista'!O34+'FCD Acionista'!O35)</f>
        <v>#DIV/0!</v>
      </c>
      <c r="O48" s="955" t="e">
        <f ca="1">(O34+'FCD Acionista'!P34-IF('FCD Acionista'!P45&gt;0='FCD Acionista'!P45,0))/-('FCD Acionista'!P34+'FCD Acionista'!P35)</f>
        <v>#DIV/0!</v>
      </c>
      <c r="P48" s="955" t="e">
        <f ca="1">(P34+'FCD Acionista'!Q34-IF('FCD Acionista'!Q45&gt;0='FCD Acionista'!Q45,0))/-('FCD Acionista'!Q34+'FCD Acionista'!Q35)</f>
        <v>#DIV/0!</v>
      </c>
      <c r="Q48" s="955" t="e">
        <f ca="1">(Q34+'FCD Acionista'!R34-IF('FCD Acionista'!R45&gt;0='FCD Acionista'!R45,0))/-('FCD Acionista'!R34+'FCD Acionista'!R35)</f>
        <v>#DIV/0!</v>
      </c>
      <c r="R48" s="955" t="e">
        <f ca="1">(R34+'FCD Acionista'!S34-IF('FCD Acionista'!S45&gt;0='FCD Acionista'!S45,0))/-('FCD Acionista'!S34+'FCD Acionista'!S35)</f>
        <v>#DIV/0!</v>
      </c>
      <c r="S48" s="955" t="e">
        <f ca="1">(S34+'FCD Acionista'!T34-IF('FCD Acionista'!T45&gt;0='FCD Acionista'!T45,0))/-('FCD Acionista'!T34+'FCD Acionista'!T35)</f>
        <v>#DIV/0!</v>
      </c>
      <c r="T48" s="955" t="e">
        <f ca="1">(T34+'FCD Acionista'!U34-IF('FCD Acionista'!U45&gt;0='FCD Acionista'!U45,0))/-('FCD Acionista'!U34+'FCD Acionista'!U35)</f>
        <v>#DIV/0!</v>
      </c>
      <c r="U48" s="955" t="e">
        <f ca="1">(U34+'FCD Acionista'!V34-IF('FCD Acionista'!V45&gt;0='FCD Acionista'!V45,0))/-('FCD Acionista'!V34+'FCD Acionista'!V35)</f>
        <v>#DIV/0!</v>
      </c>
      <c r="V48" s="955" t="e">
        <f ca="1">(V34+'FCD Acionista'!W34-IF('FCD Acionista'!W45&gt;0='FCD Acionista'!W45,0))/-('FCD Acionista'!W34+'FCD Acionista'!W35)</f>
        <v>#DIV/0!</v>
      </c>
      <c r="W48" s="955" t="e">
        <f ca="1">(W34+'FCD Acionista'!X34-IF('FCD Acionista'!X45&gt;0='FCD Acionista'!X45,0))/-('FCD Acionista'!X34+'FCD Acionista'!X35)</f>
        <v>#DIV/0!</v>
      </c>
      <c r="X48" s="955" t="e">
        <f ca="1">(X34+'FCD Acionista'!Y34-IF('FCD Acionista'!Y45&gt;0='FCD Acionista'!Y45,0))/-('FCD Acionista'!Y34+'FCD Acionista'!Y35)</f>
        <v>#DIV/0!</v>
      </c>
      <c r="Y48" s="955" t="e">
        <f ca="1">(Y34+'FCD Acionista'!Z34-IF('FCD Acionista'!Z45&gt;0='FCD Acionista'!Z45,0))/-('FCD Acionista'!Z34+'FCD Acionista'!Z35)</f>
        <v>#DIV/0!</v>
      </c>
      <c r="Z48" s="955" t="e">
        <f ca="1">(Z34+'FCD Acionista'!AA34-IF('FCD Acionista'!AA45&gt;0='FCD Acionista'!AA45,0))/-('FCD Acionista'!AA34+'FCD Acionista'!AA35)</f>
        <v>#DIV/0!</v>
      </c>
      <c r="AA48" s="955" t="e">
        <f ca="1">(AA34+'FCD Acionista'!AB34-IF('FCD Acionista'!AB45&gt;0='FCD Acionista'!AB45,0))/-('FCD Acionista'!AB34+'FCD Acionista'!AB35)</f>
        <v>#DIV/0!</v>
      </c>
      <c r="AB48" s="955" t="e">
        <f ca="1">(AB34+'FCD Acionista'!AC34-IF('FCD Acionista'!AC45&gt;0='FCD Acionista'!AC45,0))/-('FCD Acionista'!AC34+'FCD Acionista'!AC35)</f>
        <v>#DIV/0!</v>
      </c>
      <c r="AC48" s="955" t="e">
        <f ca="1">(AC34+'FCD Acionista'!AD34-IF('FCD Acionista'!AD45&gt;0='FCD Acionista'!AD45,0))/-('FCD Acionista'!AD34+'FCD Acionista'!AD35)</f>
        <v>#DIV/0!</v>
      </c>
      <c r="AD48" s="955" t="e">
        <f ca="1">(AD34+'FCD Acionista'!AE34-IF('FCD Acionista'!AE45&gt;0='FCD Acionista'!AE45,0))/-('FCD Acionista'!AE34+'FCD Acionista'!AE35)</f>
        <v>#DIV/0!</v>
      </c>
      <c r="AE48" s="955" t="e">
        <f ca="1">(AE34+'FCD Acionista'!AF34-IF('FCD Acionista'!AF45&gt;0='FCD Acionista'!AF45,0))/-('FCD Acionista'!AF34+'FCD Acionista'!AF35)</f>
        <v>#DIV/0!</v>
      </c>
      <c r="AF48" s="955" t="e">
        <f ca="1">(AF34+'FCD Acionista'!AG34-IF('FCD Acionista'!AG45&gt;0='FCD Acionista'!AG45,0))/-('FCD Acionista'!AG34+'FCD Acionista'!AG35)</f>
        <v>#DIV/0!</v>
      </c>
      <c r="AG48" s="955" t="e">
        <f ca="1">(AG34+'FCD Acionista'!AH34-IF('FCD Acionista'!AH45&gt;0='FCD Acionista'!AH45,0))/-('FCD Acionista'!AH34+'FCD Acionista'!AH35)</f>
        <v>#DIV/0!</v>
      </c>
      <c r="AH48" s="955" t="e">
        <f ca="1">(AH34+'FCD Acionista'!AI34-IF('FCD Acionista'!AI45&gt;0='FCD Acionista'!AI45,0))/-('FCD Acionista'!AI34+'FCD Acionista'!AI35)</f>
        <v>#DIV/0!</v>
      </c>
      <c r="AI48" s="955" t="e">
        <f ca="1">(AI34+'FCD Acionista'!AJ34-IF('FCD Acionista'!AJ45&gt;0='FCD Acionista'!AJ45,0))/-('FCD Acionista'!AJ34+'FCD Acionista'!AJ35)</f>
        <v>#DIV/0!</v>
      </c>
      <c r="AJ48" s="955" t="e">
        <f ca="1">(AJ34+'FCD Acionista'!AK34-IF('FCD Acionista'!AK45&gt;0='FCD Acionista'!AK45,0))/-('FCD Acionista'!AK34+'FCD Acionista'!AK35)</f>
        <v>#DIV/0!</v>
      </c>
      <c r="AK48" s="955" t="e">
        <f ca="1">(AK34+'FCD Acionista'!AL34-IF('FCD Acionista'!AL45&gt;0='FCD Acionista'!AL45,0))/-('FCD Acionista'!AL34+'FCD Acionista'!AL35)</f>
        <v>#DIV/0!</v>
      </c>
      <c r="AL48" s="955" t="e">
        <f ca="1">(AL34+'FCD Acionista'!AM34-IF('FCD Acionista'!AM45&gt;0='FCD Acionista'!AM45,0))/-('FCD Acionista'!AM34+'FCD Acionista'!AM35)</f>
        <v>#DIV/0!</v>
      </c>
      <c r="AM48" s="955" t="e">
        <f ca="1">(AM34+'FCD Acionista'!AN34-IF('FCD Acionista'!AN45&gt;0='FCD Acionista'!AN45,0))/-('FCD Acionista'!AN34+'FCD Acionista'!AN35)</f>
        <v>#DIV/0!</v>
      </c>
    </row>
    <row r="104" spans="5:40" x14ac:dyDescent="0.25">
      <c r="E104" s="151"/>
      <c r="F104" s="151"/>
      <c r="G104" s="151"/>
      <c r="H104" s="151"/>
      <c r="I104" s="151"/>
      <c r="J104" s="151"/>
      <c r="K104" s="151"/>
      <c r="L104" s="151"/>
      <c r="M104" s="151"/>
      <c r="N104" s="151"/>
      <c r="O104" s="151"/>
      <c r="P104" s="151"/>
      <c r="Q104" s="151"/>
      <c r="R104" s="151"/>
      <c r="S104" s="151"/>
      <c r="T104" s="151"/>
      <c r="U104" s="151"/>
      <c r="V104" s="151"/>
      <c r="W104" s="151"/>
      <c r="X104" s="151"/>
      <c r="Y104" s="151"/>
      <c r="Z104" s="151"/>
      <c r="AA104" s="151"/>
      <c r="AB104" s="151"/>
      <c r="AC104" s="151"/>
      <c r="AD104" s="151"/>
      <c r="AE104" s="151"/>
      <c r="AF104" s="151"/>
      <c r="AG104" s="151"/>
      <c r="AH104" s="151"/>
      <c r="AI104" s="151"/>
      <c r="AJ104" s="151"/>
      <c r="AK104" s="151"/>
      <c r="AL104" s="151"/>
      <c r="AM104" s="151"/>
      <c r="AN104" s="151"/>
    </row>
    <row r="105" spans="5:40" x14ac:dyDescent="0.25">
      <c r="E105" s="151"/>
      <c r="F105" s="151"/>
      <c r="G105" s="151"/>
      <c r="H105" s="151"/>
      <c r="I105" s="151"/>
      <c r="J105" s="151"/>
      <c r="K105" s="151"/>
      <c r="L105" s="151"/>
      <c r="M105" s="151"/>
      <c r="N105" s="151"/>
      <c r="O105" s="151"/>
      <c r="P105" s="151"/>
      <c r="Q105" s="151"/>
      <c r="R105" s="151"/>
      <c r="S105" s="151"/>
      <c r="T105" s="151"/>
      <c r="U105" s="151"/>
      <c r="V105" s="151"/>
      <c r="W105" s="151"/>
      <c r="X105" s="151"/>
      <c r="Y105" s="151"/>
      <c r="Z105" s="151"/>
      <c r="AA105" s="151"/>
      <c r="AB105" s="151"/>
      <c r="AC105" s="151"/>
      <c r="AD105" s="151"/>
      <c r="AE105" s="151"/>
      <c r="AF105" s="151"/>
      <c r="AG105" s="151"/>
      <c r="AH105" s="151"/>
      <c r="AI105" s="151"/>
      <c r="AJ105" s="151"/>
      <c r="AK105" s="151"/>
      <c r="AL105" s="151"/>
      <c r="AM105" s="151"/>
      <c r="AN105" s="151"/>
    </row>
    <row r="106" spans="5:40" x14ac:dyDescent="0.25">
      <c r="E106" s="151"/>
      <c r="F106" s="151"/>
      <c r="G106" s="151"/>
      <c r="H106" s="151"/>
      <c r="I106" s="151"/>
      <c r="J106" s="151"/>
      <c r="K106" s="151"/>
      <c r="L106" s="151"/>
      <c r="M106" s="151"/>
      <c r="N106" s="151"/>
      <c r="O106" s="151"/>
      <c r="P106" s="151"/>
      <c r="Q106" s="151"/>
      <c r="R106" s="151"/>
      <c r="S106" s="151"/>
      <c r="T106" s="151"/>
      <c r="U106" s="151"/>
      <c r="V106" s="151"/>
      <c r="W106" s="151"/>
      <c r="X106" s="151"/>
      <c r="Y106" s="151"/>
      <c r="Z106" s="151"/>
      <c r="AA106" s="151"/>
      <c r="AB106" s="151"/>
      <c r="AC106" s="151"/>
      <c r="AD106" s="151"/>
      <c r="AE106" s="151"/>
      <c r="AF106" s="151"/>
      <c r="AG106" s="151"/>
      <c r="AH106" s="151"/>
      <c r="AI106" s="151"/>
      <c r="AJ106" s="151"/>
      <c r="AK106" s="151"/>
      <c r="AL106" s="151"/>
      <c r="AM106" s="151"/>
      <c r="AN106" s="151"/>
    </row>
    <row r="107" spans="5:40" x14ac:dyDescent="0.25">
      <c r="E107" s="151"/>
      <c r="F107" s="151"/>
      <c r="G107" s="151"/>
      <c r="H107" s="151"/>
      <c r="I107" s="151"/>
      <c r="J107" s="151"/>
      <c r="K107" s="151"/>
      <c r="L107" s="151"/>
      <c r="M107" s="151"/>
      <c r="N107" s="151"/>
      <c r="O107" s="151"/>
      <c r="P107" s="151"/>
      <c r="Q107" s="151"/>
      <c r="R107" s="151"/>
      <c r="S107" s="151"/>
      <c r="T107" s="151"/>
      <c r="U107" s="151"/>
      <c r="V107" s="151"/>
      <c r="W107" s="151"/>
      <c r="X107" s="151"/>
      <c r="Y107" s="151"/>
      <c r="Z107" s="151"/>
      <c r="AA107" s="151"/>
      <c r="AB107" s="151"/>
      <c r="AC107" s="151"/>
      <c r="AD107" s="151"/>
      <c r="AE107" s="151"/>
      <c r="AF107" s="151"/>
      <c r="AG107" s="151"/>
      <c r="AH107" s="151"/>
      <c r="AI107" s="151"/>
      <c r="AJ107" s="151"/>
      <c r="AK107" s="151"/>
      <c r="AL107" s="151"/>
      <c r="AM107" s="151"/>
      <c r="AN107" s="151"/>
    </row>
    <row r="108" spans="5:40" x14ac:dyDescent="0.25">
      <c r="E108" s="151"/>
      <c r="F108" s="151"/>
      <c r="G108" s="151"/>
      <c r="H108" s="151"/>
      <c r="I108" s="151"/>
      <c r="J108" s="151"/>
      <c r="K108" s="151"/>
      <c r="L108" s="151"/>
      <c r="M108" s="151"/>
      <c r="N108" s="151"/>
      <c r="O108" s="151"/>
      <c r="P108" s="151"/>
      <c r="Q108" s="151"/>
      <c r="R108" s="151"/>
      <c r="S108" s="151"/>
      <c r="T108" s="151"/>
      <c r="U108" s="151"/>
      <c r="V108" s="151"/>
      <c r="W108" s="151"/>
      <c r="X108" s="151"/>
      <c r="Y108" s="151"/>
      <c r="Z108" s="151"/>
      <c r="AA108" s="151"/>
      <c r="AB108" s="151"/>
      <c r="AC108" s="151"/>
      <c r="AD108" s="151"/>
      <c r="AE108" s="151"/>
      <c r="AF108" s="151"/>
      <c r="AG108" s="151"/>
      <c r="AH108" s="151"/>
      <c r="AI108" s="151"/>
      <c r="AJ108" s="151"/>
      <c r="AK108" s="151"/>
      <c r="AL108" s="151"/>
      <c r="AM108" s="151"/>
      <c r="AN108" s="151"/>
    </row>
    <row r="109" spans="5:40" x14ac:dyDescent="0.25">
      <c r="E109" s="151"/>
      <c r="F109" s="151"/>
      <c r="G109" s="151"/>
      <c r="H109" s="151"/>
      <c r="I109" s="151"/>
      <c r="J109" s="151"/>
      <c r="K109" s="151"/>
      <c r="L109" s="151"/>
      <c r="M109" s="151"/>
      <c r="N109" s="151"/>
      <c r="O109" s="151"/>
      <c r="P109" s="151"/>
      <c r="Q109" s="151"/>
      <c r="R109" s="151"/>
      <c r="S109" s="151"/>
      <c r="T109" s="151"/>
      <c r="U109" s="151"/>
      <c r="V109" s="151"/>
      <c r="W109" s="151"/>
      <c r="X109" s="151"/>
      <c r="Y109" s="151"/>
      <c r="Z109" s="151"/>
      <c r="AA109" s="151"/>
      <c r="AB109" s="151"/>
      <c r="AC109" s="151"/>
      <c r="AD109" s="151"/>
      <c r="AE109" s="151"/>
      <c r="AF109" s="151"/>
      <c r="AG109" s="151"/>
      <c r="AH109" s="151"/>
      <c r="AI109" s="151"/>
      <c r="AJ109" s="151"/>
      <c r="AK109" s="151"/>
      <c r="AL109" s="151"/>
      <c r="AM109" s="151"/>
      <c r="AN109" s="151"/>
    </row>
    <row r="110" spans="5:40" x14ac:dyDescent="0.25">
      <c r="E110" s="151"/>
      <c r="F110" s="151"/>
      <c r="G110" s="151"/>
      <c r="H110" s="151"/>
      <c r="I110" s="151"/>
      <c r="J110" s="151"/>
      <c r="K110" s="151"/>
      <c r="L110" s="151"/>
      <c r="M110" s="151"/>
      <c r="N110" s="151"/>
      <c r="O110" s="151"/>
      <c r="P110" s="151"/>
      <c r="Q110" s="151"/>
      <c r="R110" s="151"/>
      <c r="S110" s="151"/>
      <c r="T110" s="151"/>
      <c r="U110" s="151"/>
      <c r="V110" s="151"/>
      <c r="W110" s="151"/>
      <c r="X110" s="151"/>
      <c r="Y110" s="151"/>
      <c r="Z110" s="151"/>
      <c r="AA110" s="151"/>
      <c r="AB110" s="151"/>
      <c r="AC110" s="151"/>
      <c r="AD110" s="151"/>
      <c r="AE110" s="151"/>
      <c r="AF110" s="151"/>
      <c r="AG110" s="151"/>
      <c r="AH110" s="151"/>
      <c r="AI110" s="151"/>
      <c r="AJ110" s="151"/>
      <c r="AK110" s="151"/>
      <c r="AL110" s="151"/>
      <c r="AM110" s="151"/>
      <c r="AN110" s="151"/>
    </row>
    <row r="111" spans="5:40" x14ac:dyDescent="0.25">
      <c r="E111" s="151"/>
      <c r="F111" s="151"/>
      <c r="G111" s="151"/>
      <c r="H111" s="151"/>
      <c r="I111" s="151"/>
      <c r="J111" s="151"/>
      <c r="K111" s="151"/>
      <c r="L111" s="151"/>
      <c r="M111" s="151"/>
      <c r="N111" s="151"/>
      <c r="O111" s="151"/>
      <c r="P111" s="151"/>
      <c r="Q111" s="151"/>
      <c r="R111" s="151"/>
      <c r="S111" s="151"/>
      <c r="T111" s="151"/>
      <c r="U111" s="151"/>
      <c r="V111" s="151"/>
      <c r="W111" s="151"/>
      <c r="X111" s="151"/>
      <c r="Y111" s="151"/>
      <c r="Z111" s="151"/>
      <c r="AA111" s="151"/>
      <c r="AB111" s="151"/>
      <c r="AC111" s="151"/>
      <c r="AD111" s="151"/>
      <c r="AE111" s="151"/>
      <c r="AF111" s="151"/>
      <c r="AG111" s="151"/>
      <c r="AH111" s="151"/>
      <c r="AI111" s="151"/>
      <c r="AJ111" s="151"/>
      <c r="AK111" s="151"/>
      <c r="AL111" s="151"/>
      <c r="AM111" s="151"/>
      <c r="AN111" s="151"/>
    </row>
    <row r="112" spans="5:40" x14ac:dyDescent="0.25">
      <c r="E112" s="151"/>
      <c r="F112" s="151"/>
      <c r="G112" s="151"/>
      <c r="H112" s="151"/>
      <c r="I112" s="151"/>
      <c r="J112" s="15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I112" s="151"/>
      <c r="AJ112" s="151"/>
      <c r="AK112" s="151"/>
      <c r="AL112" s="151"/>
      <c r="AM112" s="151"/>
      <c r="AN112" s="151"/>
    </row>
    <row r="113" spans="5:40" x14ac:dyDescent="0.25">
      <c r="E113" s="151"/>
      <c r="F113" s="151"/>
      <c r="G113" s="151"/>
      <c r="H113" s="151"/>
      <c r="I113" s="151"/>
      <c r="J113" s="15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I113" s="151"/>
      <c r="AJ113" s="151"/>
      <c r="AK113" s="151"/>
      <c r="AL113" s="151"/>
      <c r="AM113" s="151"/>
      <c r="AN113" s="151"/>
    </row>
    <row r="114" spans="5:40" x14ac:dyDescent="0.25">
      <c r="E114" s="151"/>
      <c r="F114" s="151"/>
      <c r="G114" s="151"/>
      <c r="H114" s="151"/>
      <c r="I114" s="151"/>
      <c r="J114" s="151"/>
      <c r="K114" s="151"/>
      <c r="L114" s="151"/>
      <c r="M114" s="151"/>
      <c r="N114" s="151"/>
      <c r="O114" s="151"/>
      <c r="P114" s="151"/>
      <c r="Q114" s="151"/>
      <c r="R114" s="151"/>
      <c r="S114" s="151"/>
      <c r="T114" s="151"/>
      <c r="U114" s="151"/>
      <c r="V114" s="151"/>
      <c r="W114" s="151"/>
      <c r="X114" s="151"/>
      <c r="Y114" s="151"/>
      <c r="Z114" s="151"/>
      <c r="AA114" s="151"/>
      <c r="AB114" s="151"/>
      <c r="AC114" s="151"/>
      <c r="AD114" s="151"/>
      <c r="AE114" s="151"/>
      <c r="AF114" s="151"/>
      <c r="AG114" s="151"/>
      <c r="AH114" s="151"/>
      <c r="AI114" s="151"/>
      <c r="AJ114" s="151"/>
      <c r="AK114" s="151"/>
      <c r="AL114" s="151"/>
      <c r="AM114" s="151"/>
      <c r="AN114" s="151"/>
    </row>
    <row r="115" spans="5:40" x14ac:dyDescent="0.25">
      <c r="E115" s="151"/>
      <c r="F115" s="151"/>
      <c r="G115" s="151"/>
      <c r="H115" s="151"/>
      <c r="I115" s="151"/>
      <c r="J115" s="151"/>
      <c r="K115" s="151"/>
      <c r="L115" s="151"/>
      <c r="M115" s="151"/>
      <c r="N115" s="151"/>
      <c r="O115" s="151"/>
      <c r="P115" s="151"/>
      <c r="Q115" s="151"/>
      <c r="R115" s="151"/>
      <c r="S115" s="151"/>
      <c r="T115" s="151"/>
      <c r="U115" s="151"/>
      <c r="V115" s="151"/>
      <c r="W115" s="151"/>
      <c r="X115" s="151"/>
      <c r="Y115" s="151"/>
      <c r="Z115" s="151"/>
      <c r="AA115" s="151"/>
      <c r="AB115" s="151"/>
      <c r="AC115" s="151"/>
      <c r="AD115" s="151"/>
      <c r="AE115" s="151"/>
      <c r="AF115" s="151"/>
      <c r="AG115" s="151"/>
      <c r="AH115" s="151"/>
      <c r="AI115" s="151"/>
      <c r="AJ115" s="151"/>
      <c r="AK115" s="151"/>
      <c r="AL115" s="151"/>
      <c r="AM115" s="151"/>
      <c r="AN115" s="151"/>
    </row>
    <row r="116" spans="5:40" x14ac:dyDescent="0.25">
      <c r="E116" s="151"/>
      <c r="F116" s="151"/>
      <c r="G116" s="151"/>
      <c r="H116" s="151"/>
      <c r="I116" s="151"/>
      <c r="J116" s="15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I116" s="151"/>
      <c r="AJ116" s="151"/>
      <c r="AK116" s="151"/>
      <c r="AL116" s="151"/>
      <c r="AM116" s="151"/>
      <c r="AN116" s="151"/>
    </row>
    <row r="117" spans="5:40" x14ac:dyDescent="0.25">
      <c r="E117" s="151"/>
      <c r="F117" s="151"/>
      <c r="G117" s="151"/>
      <c r="H117" s="151"/>
      <c r="I117" s="151"/>
      <c r="J117" s="15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I117" s="151"/>
      <c r="AJ117" s="151"/>
      <c r="AK117" s="151"/>
      <c r="AL117" s="151"/>
      <c r="AM117" s="151"/>
      <c r="AN117" s="151"/>
    </row>
    <row r="118" spans="5:40" x14ac:dyDescent="0.25">
      <c r="E118" s="151"/>
      <c r="F118" s="151"/>
      <c r="G118" s="151"/>
      <c r="H118" s="151"/>
      <c r="I118" s="151"/>
      <c r="J118" s="15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I118" s="151"/>
      <c r="AJ118" s="151"/>
      <c r="AK118" s="151"/>
      <c r="AL118" s="151"/>
      <c r="AM118" s="151"/>
      <c r="AN118" s="151"/>
    </row>
    <row r="119" spans="5:40" x14ac:dyDescent="0.25">
      <c r="E119" s="151"/>
      <c r="F119" s="151"/>
      <c r="G119" s="151"/>
      <c r="H119" s="151"/>
      <c r="I119" s="151"/>
      <c r="J119" s="15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I119" s="151"/>
      <c r="AJ119" s="151"/>
      <c r="AK119" s="151"/>
      <c r="AL119" s="151"/>
      <c r="AM119" s="151"/>
      <c r="AN119" s="151"/>
    </row>
    <row r="120" spans="5:40" x14ac:dyDescent="0.25">
      <c r="E120" s="151"/>
      <c r="F120" s="151"/>
      <c r="G120" s="151"/>
      <c r="H120" s="151"/>
      <c r="I120" s="151"/>
      <c r="J120" s="151"/>
      <c r="K120" s="151"/>
      <c r="L120" s="151"/>
      <c r="M120" s="151"/>
      <c r="N120" s="151"/>
      <c r="O120" s="151"/>
      <c r="P120" s="151"/>
      <c r="Q120" s="151"/>
      <c r="R120" s="151"/>
      <c r="S120" s="151"/>
      <c r="T120" s="151"/>
      <c r="U120" s="151"/>
      <c r="V120" s="151"/>
      <c r="W120" s="151"/>
      <c r="X120" s="151"/>
      <c r="Y120" s="151"/>
      <c r="Z120" s="151"/>
      <c r="AA120" s="151"/>
      <c r="AB120" s="151"/>
      <c r="AC120" s="151"/>
      <c r="AD120" s="151"/>
      <c r="AE120" s="151"/>
      <c r="AF120" s="151"/>
      <c r="AG120" s="151"/>
      <c r="AH120" s="151"/>
      <c r="AI120" s="151"/>
      <c r="AJ120" s="151"/>
      <c r="AK120" s="151"/>
      <c r="AL120" s="151"/>
      <c r="AM120" s="151"/>
      <c r="AN120" s="151"/>
    </row>
    <row r="121" spans="5:40" x14ac:dyDescent="0.25">
      <c r="E121" s="151"/>
      <c r="F121" s="151"/>
      <c r="G121" s="151"/>
      <c r="H121" s="151"/>
      <c r="I121" s="151"/>
      <c r="J121" s="151"/>
      <c r="K121" s="151"/>
      <c r="L121" s="151"/>
      <c r="M121" s="151"/>
      <c r="N121" s="151"/>
      <c r="O121" s="151"/>
      <c r="P121" s="151"/>
      <c r="Q121" s="151"/>
      <c r="R121" s="151"/>
      <c r="S121" s="151"/>
      <c r="T121" s="151"/>
      <c r="U121" s="151"/>
      <c r="V121" s="151"/>
      <c r="W121" s="151"/>
      <c r="X121" s="151"/>
      <c r="Y121" s="151"/>
      <c r="Z121" s="151"/>
      <c r="AA121" s="151"/>
      <c r="AB121" s="151"/>
      <c r="AC121" s="151"/>
      <c r="AD121" s="151"/>
      <c r="AE121" s="151"/>
      <c r="AF121" s="151"/>
      <c r="AG121" s="151"/>
      <c r="AH121" s="151"/>
      <c r="AI121" s="151"/>
      <c r="AJ121" s="151"/>
      <c r="AK121" s="151"/>
      <c r="AL121" s="151"/>
      <c r="AM121" s="151"/>
      <c r="AN121" s="151"/>
    </row>
    <row r="122" spans="5:40" x14ac:dyDescent="0.25">
      <c r="E122" s="151"/>
      <c r="F122" s="151"/>
      <c r="G122" s="151"/>
      <c r="H122" s="151"/>
      <c r="I122" s="151"/>
      <c r="J122" s="151"/>
      <c r="K122" s="151"/>
      <c r="L122" s="151"/>
      <c r="M122" s="151"/>
      <c r="N122" s="151"/>
      <c r="O122" s="151"/>
      <c r="P122" s="151"/>
      <c r="Q122" s="151"/>
      <c r="R122" s="151"/>
      <c r="S122" s="151"/>
      <c r="T122" s="151"/>
      <c r="U122" s="151"/>
      <c r="V122" s="151"/>
      <c r="W122" s="151"/>
      <c r="X122" s="151"/>
      <c r="Y122" s="151"/>
      <c r="Z122" s="151"/>
      <c r="AA122" s="151"/>
      <c r="AB122" s="151"/>
      <c r="AC122" s="151"/>
      <c r="AD122" s="151"/>
      <c r="AE122" s="151"/>
      <c r="AF122" s="151"/>
      <c r="AG122" s="151"/>
      <c r="AH122" s="151"/>
      <c r="AI122" s="151"/>
      <c r="AJ122" s="151"/>
      <c r="AK122" s="151"/>
      <c r="AL122" s="151"/>
      <c r="AM122" s="151"/>
      <c r="AN122" s="151"/>
    </row>
    <row r="123" spans="5:40" x14ac:dyDescent="0.25">
      <c r="E123" s="151"/>
      <c r="F123" s="151"/>
      <c r="G123" s="151"/>
      <c r="H123" s="151"/>
      <c r="I123" s="151"/>
      <c r="J123" s="151"/>
      <c r="K123" s="151"/>
      <c r="L123" s="151"/>
      <c r="M123" s="151"/>
      <c r="N123" s="151"/>
      <c r="O123" s="151"/>
      <c r="P123" s="151"/>
      <c r="Q123" s="151"/>
      <c r="R123" s="151"/>
      <c r="S123" s="151"/>
      <c r="T123" s="151"/>
      <c r="U123" s="151"/>
      <c r="V123" s="151"/>
      <c r="W123" s="151"/>
      <c r="X123" s="151"/>
      <c r="Y123" s="151"/>
      <c r="Z123" s="151"/>
      <c r="AA123" s="151"/>
      <c r="AB123" s="151"/>
      <c r="AC123" s="151"/>
      <c r="AD123" s="151"/>
      <c r="AE123" s="151"/>
      <c r="AF123" s="151"/>
      <c r="AG123" s="151"/>
      <c r="AH123" s="151"/>
      <c r="AI123" s="151"/>
      <c r="AJ123" s="151"/>
      <c r="AK123" s="151"/>
      <c r="AL123" s="151"/>
      <c r="AM123" s="151"/>
      <c r="AN123" s="151"/>
    </row>
    <row r="124" spans="5:40" x14ac:dyDescent="0.25">
      <c r="E124" s="151"/>
      <c r="F124" s="151"/>
      <c r="G124" s="151"/>
      <c r="H124" s="151"/>
      <c r="I124" s="151"/>
      <c r="J124" s="151"/>
      <c r="K124" s="151"/>
      <c r="L124" s="151"/>
      <c r="M124" s="151"/>
      <c r="N124" s="151"/>
      <c r="O124" s="151"/>
      <c r="P124" s="151"/>
      <c r="Q124" s="151"/>
      <c r="R124" s="151"/>
      <c r="S124" s="151"/>
      <c r="T124" s="151"/>
      <c r="U124" s="151"/>
      <c r="V124" s="151"/>
      <c r="W124" s="151"/>
      <c r="X124" s="151"/>
      <c r="Y124" s="151"/>
      <c r="Z124" s="151"/>
      <c r="AA124" s="151"/>
      <c r="AB124" s="151"/>
      <c r="AC124" s="151"/>
      <c r="AD124" s="151"/>
      <c r="AE124" s="151"/>
      <c r="AF124" s="151"/>
      <c r="AG124" s="151"/>
      <c r="AH124" s="151"/>
      <c r="AI124" s="151"/>
      <c r="AJ124" s="151"/>
      <c r="AK124" s="151"/>
      <c r="AL124" s="151"/>
      <c r="AM124" s="151"/>
      <c r="AN124" s="151"/>
    </row>
    <row r="125" spans="5:40" x14ac:dyDescent="0.25">
      <c r="E125" s="151"/>
      <c r="F125" s="151"/>
      <c r="G125" s="151"/>
      <c r="H125" s="151"/>
      <c r="I125" s="151"/>
      <c r="J125" s="151"/>
      <c r="K125" s="151"/>
      <c r="L125" s="151"/>
      <c r="M125" s="151"/>
      <c r="N125" s="151"/>
      <c r="O125" s="151"/>
      <c r="P125" s="151"/>
      <c r="Q125" s="151"/>
      <c r="R125" s="151"/>
      <c r="S125" s="151"/>
      <c r="T125" s="151"/>
      <c r="U125" s="151"/>
      <c r="V125" s="151"/>
      <c r="W125" s="151"/>
      <c r="X125" s="151"/>
      <c r="Y125" s="151"/>
      <c r="Z125" s="151"/>
      <c r="AA125" s="151"/>
      <c r="AB125" s="151"/>
      <c r="AC125" s="151"/>
      <c r="AD125" s="151"/>
      <c r="AE125" s="151"/>
      <c r="AF125" s="151"/>
      <c r="AG125" s="151"/>
      <c r="AH125" s="151"/>
      <c r="AI125" s="151"/>
      <c r="AJ125" s="151"/>
      <c r="AK125" s="151"/>
      <c r="AL125" s="151"/>
      <c r="AM125" s="151"/>
      <c r="AN125" s="151"/>
    </row>
    <row r="126" spans="5:40" x14ac:dyDescent="0.25">
      <c r="E126" s="151"/>
      <c r="F126" s="151"/>
      <c r="G126" s="151"/>
      <c r="H126" s="151"/>
      <c r="I126" s="151"/>
      <c r="J126" s="151"/>
      <c r="K126" s="151"/>
      <c r="L126" s="151"/>
      <c r="M126" s="151"/>
      <c r="N126" s="151"/>
      <c r="O126" s="151"/>
      <c r="P126" s="151"/>
      <c r="Q126" s="151"/>
      <c r="R126" s="151"/>
      <c r="S126" s="151"/>
      <c r="T126" s="151"/>
      <c r="U126" s="151"/>
      <c r="V126" s="151"/>
      <c r="W126" s="151"/>
      <c r="X126" s="151"/>
      <c r="Y126" s="151"/>
      <c r="Z126" s="151"/>
      <c r="AA126" s="151"/>
      <c r="AB126" s="151"/>
      <c r="AC126" s="151"/>
      <c r="AD126" s="151"/>
      <c r="AE126" s="151"/>
      <c r="AF126" s="151"/>
      <c r="AG126" s="151"/>
      <c r="AH126" s="151"/>
      <c r="AI126" s="151"/>
      <c r="AJ126" s="151"/>
      <c r="AK126" s="151"/>
      <c r="AL126" s="151"/>
      <c r="AM126" s="151"/>
      <c r="AN126" s="151"/>
    </row>
    <row r="127" spans="5:40" x14ac:dyDescent="0.25">
      <c r="E127" s="151"/>
      <c r="F127" s="151"/>
      <c r="G127" s="151"/>
      <c r="H127" s="151"/>
      <c r="I127" s="151"/>
      <c r="J127" s="151"/>
      <c r="K127" s="151"/>
      <c r="L127" s="151"/>
      <c r="M127" s="151"/>
      <c r="N127" s="151"/>
      <c r="O127" s="151"/>
      <c r="P127" s="151"/>
      <c r="Q127" s="151"/>
      <c r="R127" s="151"/>
      <c r="S127" s="151"/>
      <c r="T127" s="151"/>
      <c r="U127" s="151"/>
      <c r="V127" s="151"/>
      <c r="W127" s="151"/>
      <c r="X127" s="151"/>
      <c r="Y127" s="151"/>
      <c r="Z127" s="151"/>
      <c r="AA127" s="151"/>
      <c r="AB127" s="151"/>
      <c r="AC127" s="151"/>
      <c r="AD127" s="151"/>
      <c r="AE127" s="151"/>
      <c r="AF127" s="151"/>
      <c r="AG127" s="151"/>
      <c r="AH127" s="151"/>
      <c r="AI127" s="151"/>
      <c r="AJ127" s="151"/>
      <c r="AK127" s="151"/>
      <c r="AL127" s="151"/>
      <c r="AM127" s="151"/>
      <c r="AN127" s="151"/>
    </row>
    <row r="128" spans="5:40" x14ac:dyDescent="0.25">
      <c r="E128" s="151"/>
      <c r="F128" s="151"/>
      <c r="G128" s="151"/>
      <c r="H128" s="151"/>
      <c r="I128" s="151"/>
      <c r="J128" s="151"/>
      <c r="K128" s="151"/>
      <c r="L128" s="151"/>
      <c r="M128" s="151"/>
      <c r="N128" s="151"/>
      <c r="O128" s="151"/>
      <c r="P128" s="151"/>
      <c r="Q128" s="151"/>
      <c r="R128" s="151"/>
      <c r="S128" s="151"/>
      <c r="T128" s="151"/>
      <c r="U128" s="151"/>
      <c r="V128" s="151"/>
      <c r="W128" s="151"/>
      <c r="X128" s="151"/>
      <c r="Y128" s="151"/>
      <c r="Z128" s="151"/>
      <c r="AA128" s="151"/>
      <c r="AB128" s="151"/>
      <c r="AC128" s="151"/>
      <c r="AD128" s="151"/>
      <c r="AE128" s="151"/>
      <c r="AF128" s="151"/>
      <c r="AG128" s="151"/>
      <c r="AH128" s="151"/>
      <c r="AI128" s="151"/>
      <c r="AJ128" s="151"/>
      <c r="AK128" s="151"/>
      <c r="AL128" s="151"/>
      <c r="AM128" s="151"/>
      <c r="AN128" s="151"/>
    </row>
    <row r="129" spans="5:40" x14ac:dyDescent="0.25">
      <c r="E129" s="151"/>
      <c r="F129" s="151"/>
      <c r="G129" s="151"/>
      <c r="H129" s="151"/>
      <c r="I129" s="151"/>
      <c r="J129" s="151"/>
      <c r="K129" s="151"/>
      <c r="L129" s="151"/>
      <c r="M129" s="151"/>
      <c r="N129" s="151"/>
      <c r="O129" s="151"/>
      <c r="P129" s="151"/>
      <c r="Q129" s="151"/>
      <c r="R129" s="151"/>
      <c r="S129" s="151"/>
      <c r="T129" s="151"/>
      <c r="U129" s="151"/>
      <c r="V129" s="151"/>
      <c r="W129" s="151"/>
      <c r="X129" s="151"/>
      <c r="Y129" s="151"/>
      <c r="Z129" s="151"/>
      <c r="AA129" s="151"/>
      <c r="AB129" s="151"/>
      <c r="AC129" s="151"/>
      <c r="AD129" s="151"/>
      <c r="AE129" s="151"/>
      <c r="AF129" s="151"/>
      <c r="AG129" s="151"/>
      <c r="AH129" s="151"/>
      <c r="AI129" s="151"/>
      <c r="AJ129" s="151"/>
      <c r="AK129" s="151"/>
      <c r="AL129" s="151"/>
      <c r="AM129" s="151"/>
      <c r="AN129" s="151"/>
    </row>
    <row r="130" spans="5:40" x14ac:dyDescent="0.25">
      <c r="E130" s="151"/>
      <c r="F130" s="151"/>
      <c r="G130" s="151"/>
      <c r="H130" s="151"/>
      <c r="I130" s="151"/>
      <c r="J130" s="151"/>
      <c r="K130" s="151"/>
      <c r="L130" s="151"/>
      <c r="M130" s="151"/>
      <c r="N130" s="151"/>
      <c r="O130" s="151"/>
      <c r="P130" s="151"/>
      <c r="Q130" s="151"/>
      <c r="R130" s="151"/>
      <c r="S130" s="151"/>
      <c r="T130" s="151"/>
      <c r="U130" s="151"/>
      <c r="V130" s="151"/>
      <c r="W130" s="151"/>
      <c r="X130" s="151"/>
      <c r="Y130" s="151"/>
      <c r="Z130" s="151"/>
      <c r="AA130" s="151"/>
      <c r="AB130" s="151"/>
      <c r="AC130" s="151"/>
      <c r="AD130" s="151"/>
      <c r="AE130" s="151"/>
      <c r="AF130" s="151"/>
      <c r="AG130" s="151"/>
      <c r="AH130" s="151"/>
      <c r="AI130" s="151"/>
      <c r="AJ130" s="151"/>
      <c r="AK130" s="151"/>
      <c r="AL130" s="151"/>
      <c r="AM130" s="151"/>
      <c r="AN130" s="151"/>
    </row>
    <row r="131" spans="5:40" x14ac:dyDescent="0.25">
      <c r="E131" s="151"/>
      <c r="F131" s="151"/>
      <c r="G131" s="151"/>
      <c r="H131" s="151"/>
      <c r="I131" s="151"/>
      <c r="J131" s="151"/>
      <c r="K131" s="151"/>
      <c r="L131" s="151"/>
      <c r="M131" s="151"/>
      <c r="N131" s="151"/>
      <c r="O131" s="151"/>
      <c r="P131" s="151"/>
      <c r="Q131" s="151"/>
      <c r="R131" s="151"/>
      <c r="S131" s="151"/>
      <c r="T131" s="151"/>
      <c r="U131" s="151"/>
      <c r="V131" s="151"/>
      <c r="W131" s="151"/>
      <c r="X131" s="151"/>
      <c r="Y131" s="151"/>
      <c r="Z131" s="151"/>
      <c r="AA131" s="151"/>
      <c r="AB131" s="151"/>
      <c r="AC131" s="151"/>
      <c r="AD131" s="151"/>
      <c r="AE131" s="151"/>
      <c r="AF131" s="151"/>
      <c r="AG131" s="151"/>
      <c r="AH131" s="151"/>
      <c r="AI131" s="151"/>
      <c r="AJ131" s="151"/>
      <c r="AK131" s="151"/>
      <c r="AL131" s="151"/>
      <c r="AM131" s="151"/>
      <c r="AN131" s="151"/>
    </row>
    <row r="132" spans="5:40" x14ac:dyDescent="0.25">
      <c r="E132" s="151"/>
      <c r="F132" s="151"/>
      <c r="G132" s="151"/>
      <c r="H132" s="151"/>
      <c r="I132" s="151"/>
      <c r="J132" s="151"/>
      <c r="K132" s="151"/>
      <c r="L132" s="151"/>
      <c r="M132" s="151"/>
      <c r="N132" s="151"/>
      <c r="O132" s="151"/>
      <c r="P132" s="151"/>
      <c r="Q132" s="151"/>
      <c r="R132" s="151"/>
      <c r="S132" s="151"/>
      <c r="T132" s="151"/>
      <c r="U132" s="151"/>
      <c r="V132" s="151"/>
      <c r="W132" s="151"/>
      <c r="X132" s="151"/>
      <c r="Y132" s="151"/>
      <c r="Z132" s="151"/>
      <c r="AA132" s="151"/>
      <c r="AB132" s="151"/>
      <c r="AC132" s="151"/>
      <c r="AD132" s="151"/>
      <c r="AE132" s="151"/>
      <c r="AF132" s="151"/>
      <c r="AG132" s="151"/>
      <c r="AH132" s="151"/>
      <c r="AI132" s="151"/>
      <c r="AJ132" s="151"/>
      <c r="AK132" s="151"/>
      <c r="AL132" s="151"/>
      <c r="AM132" s="151"/>
      <c r="AN132" s="151"/>
    </row>
    <row r="133" spans="5:40" x14ac:dyDescent="0.25">
      <c r="E133" s="151"/>
      <c r="F133" s="151"/>
      <c r="G133" s="151"/>
      <c r="H133" s="151"/>
      <c r="I133" s="151"/>
      <c r="J133" s="151"/>
      <c r="K133" s="151"/>
      <c r="L133" s="151"/>
      <c r="M133" s="151"/>
      <c r="N133" s="151"/>
      <c r="O133" s="151"/>
      <c r="P133" s="151"/>
      <c r="Q133" s="151"/>
      <c r="R133" s="151"/>
      <c r="S133" s="151"/>
      <c r="T133" s="151"/>
      <c r="U133" s="151"/>
      <c r="V133" s="151"/>
      <c r="W133" s="151"/>
      <c r="X133" s="151"/>
      <c r="Y133" s="151"/>
      <c r="Z133" s="151"/>
      <c r="AA133" s="151"/>
      <c r="AB133" s="151"/>
      <c r="AC133" s="151"/>
      <c r="AD133" s="151"/>
      <c r="AE133" s="151"/>
      <c r="AF133" s="151"/>
      <c r="AG133" s="151"/>
      <c r="AH133" s="151"/>
      <c r="AI133" s="151"/>
      <c r="AJ133" s="151"/>
      <c r="AK133" s="151"/>
      <c r="AL133" s="151"/>
      <c r="AM133" s="151"/>
      <c r="AN133" s="151"/>
    </row>
    <row r="134" spans="5:40" x14ac:dyDescent="0.25">
      <c r="E134" s="151"/>
      <c r="F134" s="151"/>
      <c r="G134" s="151"/>
      <c r="H134" s="151"/>
      <c r="I134" s="151"/>
      <c r="J134" s="151"/>
      <c r="K134" s="151"/>
      <c r="L134" s="151"/>
      <c r="M134" s="151"/>
      <c r="N134" s="151"/>
      <c r="O134" s="151"/>
      <c r="P134" s="151"/>
      <c r="Q134" s="151"/>
      <c r="R134" s="151"/>
      <c r="S134" s="151"/>
      <c r="T134" s="151"/>
      <c r="U134" s="151"/>
      <c r="V134" s="151"/>
      <c r="W134" s="151"/>
      <c r="X134" s="151"/>
      <c r="Y134" s="151"/>
      <c r="Z134" s="151"/>
      <c r="AA134" s="151"/>
      <c r="AB134" s="151"/>
      <c r="AC134" s="151"/>
      <c r="AD134" s="151"/>
      <c r="AE134" s="151"/>
      <c r="AF134" s="151"/>
      <c r="AG134" s="151"/>
      <c r="AH134" s="151"/>
      <c r="AI134" s="151"/>
      <c r="AJ134" s="151"/>
      <c r="AK134" s="151"/>
      <c r="AL134" s="151"/>
      <c r="AM134" s="151"/>
      <c r="AN134" s="151"/>
    </row>
    <row r="135" spans="5:40" x14ac:dyDescent="0.25">
      <c r="E135" s="151"/>
      <c r="F135" s="151"/>
      <c r="G135" s="151"/>
      <c r="H135" s="151"/>
      <c r="I135" s="151"/>
      <c r="J135" s="151"/>
      <c r="K135" s="151"/>
      <c r="L135" s="151"/>
      <c r="M135" s="151"/>
      <c r="N135" s="151"/>
      <c r="O135" s="151"/>
      <c r="P135" s="151"/>
      <c r="Q135" s="151"/>
      <c r="R135" s="151"/>
      <c r="S135" s="151"/>
      <c r="T135" s="151"/>
      <c r="U135" s="151"/>
      <c r="V135" s="151"/>
      <c r="W135" s="151"/>
      <c r="X135" s="151"/>
      <c r="Y135" s="151"/>
      <c r="Z135" s="151"/>
      <c r="AA135" s="151"/>
      <c r="AB135" s="151"/>
      <c r="AC135" s="151"/>
      <c r="AD135" s="151"/>
      <c r="AE135" s="151"/>
      <c r="AF135" s="151"/>
      <c r="AG135" s="151"/>
      <c r="AH135" s="151"/>
      <c r="AI135" s="151"/>
      <c r="AJ135" s="151"/>
      <c r="AK135" s="151"/>
      <c r="AL135" s="151"/>
      <c r="AM135" s="151"/>
      <c r="AN135" s="151"/>
    </row>
    <row r="136" spans="5:40" x14ac:dyDescent="0.25">
      <c r="E136" s="151"/>
      <c r="F136" s="151"/>
      <c r="G136" s="151"/>
      <c r="H136" s="151"/>
      <c r="I136" s="151"/>
      <c r="J136" s="151"/>
      <c r="K136" s="151"/>
      <c r="L136" s="151"/>
      <c r="M136" s="151"/>
      <c r="N136" s="151"/>
      <c r="O136" s="151"/>
      <c r="P136" s="151"/>
      <c r="Q136" s="151"/>
      <c r="R136" s="151"/>
      <c r="S136" s="151"/>
      <c r="T136" s="151"/>
      <c r="U136" s="151"/>
      <c r="V136" s="151"/>
      <c r="W136" s="151"/>
      <c r="X136" s="151"/>
      <c r="Y136" s="151"/>
      <c r="Z136" s="151"/>
      <c r="AA136" s="151"/>
      <c r="AB136" s="151"/>
      <c r="AC136" s="151"/>
      <c r="AD136" s="151"/>
      <c r="AE136" s="151"/>
      <c r="AF136" s="151"/>
      <c r="AG136" s="151"/>
      <c r="AH136" s="151"/>
      <c r="AI136" s="151"/>
      <c r="AJ136" s="151"/>
      <c r="AK136" s="151"/>
      <c r="AL136" s="151"/>
      <c r="AM136" s="151"/>
      <c r="AN136" s="151"/>
    </row>
    <row r="137" spans="5:40" x14ac:dyDescent="0.25">
      <c r="E137" s="151"/>
      <c r="F137" s="151"/>
      <c r="G137" s="151"/>
      <c r="H137" s="151"/>
      <c r="I137" s="151"/>
      <c r="J137" s="151"/>
      <c r="K137" s="151"/>
      <c r="L137" s="151"/>
      <c r="M137" s="151"/>
      <c r="N137" s="151"/>
      <c r="O137" s="151"/>
      <c r="P137" s="151"/>
      <c r="Q137" s="151"/>
      <c r="R137" s="151"/>
      <c r="S137" s="151"/>
      <c r="T137" s="151"/>
      <c r="U137" s="151"/>
      <c r="V137" s="151"/>
      <c r="W137" s="151"/>
      <c r="X137" s="151"/>
      <c r="Y137" s="151"/>
      <c r="Z137" s="151"/>
      <c r="AA137" s="151"/>
      <c r="AB137" s="151"/>
      <c r="AC137" s="151"/>
      <c r="AD137" s="151"/>
      <c r="AE137" s="151"/>
      <c r="AF137" s="151"/>
      <c r="AG137" s="151"/>
      <c r="AH137" s="151"/>
      <c r="AI137" s="151"/>
      <c r="AJ137" s="151"/>
      <c r="AK137" s="151"/>
      <c r="AL137" s="151"/>
      <c r="AM137" s="151"/>
      <c r="AN137" s="151"/>
    </row>
    <row r="138" spans="5:40" x14ac:dyDescent="0.25">
      <c r="E138" s="151"/>
      <c r="F138" s="151"/>
      <c r="G138" s="151"/>
      <c r="H138" s="151"/>
      <c r="I138" s="151"/>
      <c r="J138" s="151"/>
      <c r="K138" s="151"/>
      <c r="L138" s="151"/>
      <c r="M138" s="151"/>
      <c r="N138" s="151"/>
      <c r="O138" s="151"/>
      <c r="P138" s="151"/>
      <c r="Q138" s="151"/>
      <c r="R138" s="151"/>
      <c r="S138" s="151"/>
      <c r="T138" s="151"/>
      <c r="U138" s="151"/>
      <c r="V138" s="151"/>
      <c r="W138" s="151"/>
      <c r="X138" s="151"/>
      <c r="Y138" s="151"/>
      <c r="Z138" s="151"/>
      <c r="AA138" s="151"/>
      <c r="AB138" s="151"/>
      <c r="AC138" s="151"/>
      <c r="AD138" s="151"/>
      <c r="AE138" s="151"/>
      <c r="AF138" s="151"/>
      <c r="AG138" s="151"/>
      <c r="AH138" s="151"/>
      <c r="AI138" s="151"/>
      <c r="AJ138" s="151"/>
      <c r="AK138" s="151"/>
      <c r="AL138" s="151"/>
      <c r="AM138" s="151"/>
      <c r="AN138" s="151"/>
    </row>
    <row r="139" spans="5:40" x14ac:dyDescent="0.25">
      <c r="E139" s="151"/>
      <c r="F139" s="151"/>
      <c r="G139" s="151"/>
      <c r="H139" s="151"/>
      <c r="I139" s="151"/>
      <c r="J139" s="151"/>
      <c r="K139" s="151"/>
      <c r="L139" s="151"/>
      <c r="M139" s="151"/>
      <c r="N139" s="151"/>
      <c r="O139" s="151"/>
      <c r="P139" s="151"/>
      <c r="Q139" s="151"/>
      <c r="R139" s="151"/>
      <c r="S139" s="151"/>
      <c r="T139" s="151"/>
      <c r="U139" s="151"/>
      <c r="V139" s="151"/>
      <c r="W139" s="151"/>
      <c r="X139" s="151"/>
      <c r="Y139" s="151"/>
      <c r="Z139" s="151"/>
      <c r="AA139" s="151"/>
      <c r="AB139" s="151"/>
      <c r="AC139" s="151"/>
      <c r="AD139" s="151"/>
      <c r="AE139" s="151"/>
      <c r="AF139" s="151"/>
      <c r="AG139" s="151"/>
      <c r="AH139" s="151"/>
      <c r="AI139" s="151"/>
      <c r="AJ139" s="151"/>
      <c r="AK139" s="151"/>
      <c r="AL139" s="151"/>
      <c r="AM139" s="151"/>
      <c r="AN139" s="151"/>
    </row>
    <row r="140" spans="5:40" x14ac:dyDescent="0.25">
      <c r="E140" s="151"/>
      <c r="F140" s="151"/>
      <c r="G140" s="151"/>
      <c r="H140" s="151"/>
      <c r="I140" s="151"/>
      <c r="J140" s="151"/>
      <c r="K140" s="151"/>
      <c r="L140" s="151"/>
      <c r="M140" s="151"/>
      <c r="N140" s="151"/>
      <c r="O140" s="151"/>
      <c r="P140" s="151"/>
      <c r="Q140" s="151"/>
      <c r="R140" s="151"/>
      <c r="S140" s="151"/>
      <c r="T140" s="151"/>
      <c r="U140" s="151"/>
      <c r="V140" s="151"/>
      <c r="W140" s="151"/>
      <c r="X140" s="151"/>
      <c r="Y140" s="151"/>
      <c r="Z140" s="151"/>
      <c r="AA140" s="151"/>
      <c r="AB140" s="151"/>
      <c r="AC140" s="151"/>
      <c r="AD140" s="151"/>
      <c r="AE140" s="151"/>
      <c r="AF140" s="151"/>
      <c r="AG140" s="151"/>
      <c r="AH140" s="151"/>
      <c r="AI140" s="151"/>
      <c r="AJ140" s="151"/>
      <c r="AK140" s="151"/>
      <c r="AL140" s="151"/>
      <c r="AM140" s="151"/>
      <c r="AN140" s="151"/>
    </row>
    <row r="141" spans="5:40" x14ac:dyDescent="0.25">
      <c r="E141" s="151"/>
      <c r="F141" s="151"/>
      <c r="G141" s="151"/>
      <c r="H141" s="151"/>
      <c r="I141" s="151"/>
      <c r="J141" s="151"/>
      <c r="K141" s="151"/>
      <c r="L141" s="151"/>
      <c r="M141" s="151"/>
      <c r="N141" s="151"/>
      <c r="O141" s="151"/>
      <c r="P141" s="151"/>
      <c r="Q141" s="151"/>
      <c r="R141" s="151"/>
      <c r="S141" s="151"/>
      <c r="T141" s="151"/>
      <c r="U141" s="151"/>
      <c r="V141" s="151"/>
      <c r="W141" s="151"/>
      <c r="X141" s="151"/>
      <c r="Y141" s="151"/>
      <c r="Z141" s="151"/>
      <c r="AA141" s="151"/>
      <c r="AB141" s="151"/>
      <c r="AC141" s="151"/>
      <c r="AD141" s="151"/>
      <c r="AE141" s="151"/>
      <c r="AF141" s="151"/>
      <c r="AG141" s="151"/>
      <c r="AH141" s="151"/>
      <c r="AI141" s="151"/>
      <c r="AJ141" s="151"/>
      <c r="AK141" s="151"/>
      <c r="AL141" s="151"/>
      <c r="AM141" s="151"/>
      <c r="AN141" s="151"/>
    </row>
    <row r="142" spans="5:40" x14ac:dyDescent="0.25">
      <c r="E142" s="151"/>
      <c r="F142" s="151"/>
      <c r="G142" s="151"/>
      <c r="H142" s="151"/>
      <c r="I142" s="151"/>
      <c r="J142" s="151"/>
      <c r="K142" s="151"/>
      <c r="L142" s="151"/>
      <c r="M142" s="151"/>
      <c r="N142" s="151"/>
      <c r="O142" s="151"/>
      <c r="P142" s="151"/>
      <c r="Q142" s="151"/>
      <c r="R142" s="151"/>
      <c r="S142" s="151"/>
      <c r="T142" s="151"/>
      <c r="U142" s="151"/>
      <c r="V142" s="151"/>
      <c r="W142" s="151"/>
      <c r="X142" s="151"/>
      <c r="Y142" s="151"/>
      <c r="Z142" s="151"/>
      <c r="AA142" s="151"/>
      <c r="AB142" s="151"/>
      <c r="AC142" s="151"/>
      <c r="AD142" s="151"/>
      <c r="AE142" s="151"/>
      <c r="AF142" s="151"/>
      <c r="AG142" s="151"/>
      <c r="AH142" s="151"/>
      <c r="AI142" s="151"/>
      <c r="AJ142" s="151"/>
      <c r="AK142" s="151"/>
      <c r="AL142" s="151"/>
      <c r="AM142" s="151"/>
      <c r="AN142" s="151"/>
    </row>
    <row r="143" spans="5:40" x14ac:dyDescent="0.25">
      <c r="E143" s="151"/>
      <c r="F143" s="151"/>
      <c r="G143" s="151"/>
      <c r="H143" s="151"/>
      <c r="I143" s="151"/>
      <c r="J143" s="151"/>
      <c r="K143" s="151"/>
      <c r="L143" s="151"/>
      <c r="M143" s="151"/>
      <c r="N143" s="151"/>
      <c r="O143" s="151"/>
      <c r="P143" s="151"/>
      <c r="Q143" s="151"/>
      <c r="R143" s="151"/>
      <c r="S143" s="151"/>
      <c r="T143" s="151"/>
      <c r="U143" s="151"/>
      <c r="V143" s="151"/>
      <c r="W143" s="151"/>
      <c r="X143" s="151"/>
      <c r="Y143" s="151"/>
      <c r="Z143" s="151"/>
      <c r="AA143" s="151"/>
      <c r="AB143" s="151"/>
      <c r="AC143" s="151"/>
      <c r="AD143" s="151"/>
      <c r="AE143" s="151"/>
      <c r="AF143" s="151"/>
      <c r="AG143" s="151"/>
      <c r="AH143" s="151"/>
      <c r="AI143" s="151"/>
      <c r="AJ143" s="151"/>
      <c r="AK143" s="151"/>
      <c r="AL143" s="151"/>
      <c r="AM143" s="151"/>
      <c r="AN143" s="151"/>
    </row>
    <row r="144" spans="5:40" x14ac:dyDescent="0.25">
      <c r="E144" s="151"/>
      <c r="F144" s="151"/>
      <c r="G144" s="151"/>
      <c r="H144" s="151"/>
      <c r="I144" s="151"/>
      <c r="J144" s="151"/>
      <c r="K144" s="151"/>
      <c r="L144" s="151"/>
      <c r="M144" s="151"/>
      <c r="N144" s="151"/>
      <c r="O144" s="151"/>
      <c r="P144" s="151"/>
      <c r="Q144" s="151"/>
      <c r="R144" s="151"/>
      <c r="S144" s="151"/>
      <c r="T144" s="151"/>
      <c r="U144" s="151"/>
      <c r="V144" s="151"/>
      <c r="W144" s="151"/>
      <c r="X144" s="151"/>
      <c r="Y144" s="151"/>
      <c r="Z144" s="151"/>
      <c r="AA144" s="151"/>
      <c r="AB144" s="151"/>
      <c r="AC144" s="151"/>
      <c r="AD144" s="151"/>
      <c r="AE144" s="151"/>
      <c r="AF144" s="151"/>
      <c r="AG144" s="151"/>
      <c r="AH144" s="151"/>
      <c r="AI144" s="151"/>
      <c r="AJ144" s="151"/>
      <c r="AK144" s="151"/>
      <c r="AL144" s="151"/>
      <c r="AM144" s="151"/>
      <c r="AN144" s="151"/>
    </row>
    <row r="145" spans="5:40" x14ac:dyDescent="0.25">
      <c r="E145" s="151"/>
      <c r="F145" s="151"/>
      <c r="G145" s="151"/>
      <c r="H145" s="151"/>
      <c r="I145" s="151"/>
      <c r="J145" s="151"/>
      <c r="K145" s="151"/>
      <c r="L145" s="151"/>
      <c r="M145" s="151"/>
      <c r="N145" s="151"/>
      <c r="O145" s="151"/>
      <c r="P145" s="151"/>
      <c r="Q145" s="151"/>
      <c r="R145" s="151"/>
      <c r="S145" s="151"/>
      <c r="T145" s="151"/>
      <c r="U145" s="151"/>
      <c r="V145" s="151"/>
      <c r="W145" s="151"/>
      <c r="X145" s="151"/>
      <c r="Y145" s="151"/>
      <c r="Z145" s="151"/>
      <c r="AA145" s="151"/>
      <c r="AB145" s="151"/>
      <c r="AC145" s="151"/>
      <c r="AD145" s="151"/>
      <c r="AE145" s="151"/>
      <c r="AF145" s="151"/>
      <c r="AG145" s="151"/>
      <c r="AH145" s="151"/>
      <c r="AI145" s="151"/>
      <c r="AJ145" s="151"/>
      <c r="AK145" s="151"/>
      <c r="AL145" s="151"/>
      <c r="AM145" s="151"/>
      <c r="AN145" s="151"/>
    </row>
    <row r="146" spans="5:40" x14ac:dyDescent="0.25">
      <c r="E146" s="151"/>
      <c r="F146" s="151"/>
      <c r="G146" s="151"/>
      <c r="H146" s="151"/>
      <c r="I146" s="151"/>
      <c r="J146" s="151"/>
      <c r="K146" s="151"/>
      <c r="L146" s="151"/>
      <c r="M146" s="151"/>
      <c r="N146" s="151"/>
      <c r="O146" s="151"/>
      <c r="P146" s="151"/>
      <c r="Q146" s="151"/>
      <c r="R146" s="151"/>
      <c r="S146" s="151"/>
      <c r="T146" s="151"/>
      <c r="U146" s="151"/>
      <c r="V146" s="151"/>
      <c r="W146" s="151"/>
      <c r="X146" s="151"/>
      <c r="Y146" s="151"/>
      <c r="Z146" s="151"/>
      <c r="AA146" s="151"/>
      <c r="AB146" s="151"/>
      <c r="AC146" s="151"/>
      <c r="AD146" s="151"/>
      <c r="AE146" s="151"/>
      <c r="AF146" s="151"/>
      <c r="AG146" s="151"/>
      <c r="AH146" s="151"/>
      <c r="AI146" s="151"/>
      <c r="AJ146" s="151"/>
      <c r="AK146" s="151"/>
      <c r="AL146" s="151"/>
      <c r="AM146" s="151"/>
      <c r="AN146" s="151"/>
    </row>
    <row r="147" spans="5:40" x14ac:dyDescent="0.25">
      <c r="E147" s="151"/>
      <c r="F147" s="151"/>
      <c r="G147" s="151"/>
      <c r="H147" s="151"/>
      <c r="I147" s="151"/>
      <c r="J147" s="151"/>
      <c r="K147" s="151"/>
      <c r="L147" s="151"/>
      <c r="M147" s="151"/>
      <c r="N147" s="151"/>
      <c r="O147" s="151"/>
      <c r="P147" s="151"/>
      <c r="Q147" s="151"/>
      <c r="R147" s="151"/>
      <c r="S147" s="151"/>
      <c r="T147" s="151"/>
      <c r="U147" s="151"/>
      <c r="V147" s="151"/>
      <c r="W147" s="151"/>
      <c r="X147" s="151"/>
      <c r="Y147" s="151"/>
      <c r="Z147" s="151"/>
      <c r="AA147" s="151"/>
      <c r="AB147" s="151"/>
      <c r="AC147" s="151"/>
      <c r="AD147" s="151"/>
      <c r="AE147" s="151"/>
      <c r="AF147" s="151"/>
      <c r="AG147" s="151"/>
      <c r="AH147" s="151"/>
      <c r="AI147" s="151"/>
      <c r="AJ147" s="151"/>
      <c r="AK147" s="151"/>
      <c r="AL147" s="151"/>
      <c r="AM147" s="151"/>
      <c r="AN147" s="151"/>
    </row>
    <row r="148" spans="5:40" x14ac:dyDescent="0.25">
      <c r="E148" s="151"/>
      <c r="F148" s="151"/>
      <c r="G148" s="151"/>
      <c r="H148" s="151"/>
      <c r="I148" s="151"/>
      <c r="J148" s="151"/>
      <c r="K148" s="151"/>
      <c r="L148" s="151"/>
      <c r="M148" s="151"/>
      <c r="N148" s="151"/>
      <c r="O148" s="151"/>
      <c r="P148" s="151"/>
      <c r="Q148" s="151"/>
      <c r="R148" s="151"/>
      <c r="S148" s="151"/>
      <c r="T148" s="151"/>
      <c r="U148" s="151"/>
      <c r="V148" s="151"/>
      <c r="W148" s="151"/>
      <c r="X148" s="151"/>
      <c r="Y148" s="151"/>
      <c r="Z148" s="151"/>
      <c r="AA148" s="151"/>
      <c r="AB148" s="151"/>
      <c r="AC148" s="151"/>
      <c r="AD148" s="151"/>
      <c r="AE148" s="151"/>
      <c r="AF148" s="151"/>
      <c r="AG148" s="151"/>
      <c r="AH148" s="151"/>
      <c r="AI148" s="151"/>
      <c r="AJ148" s="151"/>
      <c r="AK148" s="151"/>
      <c r="AL148" s="151"/>
      <c r="AM148" s="151"/>
      <c r="AN148" s="151"/>
    </row>
    <row r="149" spans="5:40" x14ac:dyDescent="0.25">
      <c r="E149" s="151"/>
      <c r="F149" s="151"/>
      <c r="G149" s="151"/>
      <c r="H149" s="151"/>
      <c r="I149" s="151"/>
      <c r="J149" s="151"/>
      <c r="K149" s="151"/>
      <c r="L149" s="151"/>
      <c r="M149" s="151"/>
      <c r="N149" s="151"/>
      <c r="O149" s="151"/>
      <c r="P149" s="151"/>
      <c r="Q149" s="151"/>
      <c r="R149" s="151"/>
      <c r="S149" s="151"/>
      <c r="T149" s="151"/>
      <c r="U149" s="151"/>
      <c r="V149" s="151"/>
      <c r="W149" s="151"/>
      <c r="X149" s="151"/>
      <c r="Y149" s="151"/>
      <c r="Z149" s="151"/>
      <c r="AA149" s="151"/>
      <c r="AB149" s="151"/>
      <c r="AC149" s="151"/>
      <c r="AD149" s="151"/>
      <c r="AE149" s="151"/>
      <c r="AF149" s="151"/>
      <c r="AG149" s="151"/>
      <c r="AH149" s="151"/>
      <c r="AI149" s="151"/>
      <c r="AJ149" s="151"/>
      <c r="AK149" s="151"/>
      <c r="AL149" s="151"/>
      <c r="AM149" s="151"/>
      <c r="AN149" s="151"/>
    </row>
    <row r="150" spans="5:40" x14ac:dyDescent="0.25">
      <c r="E150" s="151"/>
      <c r="F150" s="151"/>
      <c r="G150" s="151"/>
      <c r="H150" s="151"/>
      <c r="I150" s="151"/>
      <c r="J150" s="151"/>
      <c r="K150" s="151"/>
      <c r="L150" s="151"/>
      <c r="M150" s="151"/>
      <c r="N150" s="151"/>
      <c r="O150" s="151"/>
      <c r="P150" s="151"/>
      <c r="Q150" s="151"/>
      <c r="R150" s="151"/>
      <c r="S150" s="151"/>
      <c r="T150" s="151"/>
      <c r="U150" s="151"/>
      <c r="V150" s="151"/>
      <c r="W150" s="151"/>
      <c r="X150" s="151"/>
      <c r="Y150" s="151"/>
      <c r="Z150" s="151"/>
      <c r="AA150" s="151"/>
      <c r="AB150" s="151"/>
      <c r="AC150" s="151"/>
      <c r="AD150" s="151"/>
      <c r="AE150" s="151"/>
      <c r="AF150" s="151"/>
      <c r="AG150" s="151"/>
      <c r="AH150" s="151"/>
      <c r="AI150" s="151"/>
      <c r="AJ150" s="151"/>
      <c r="AK150" s="151"/>
      <c r="AL150" s="151"/>
      <c r="AM150" s="151"/>
      <c r="AN150" s="151"/>
    </row>
    <row r="151" spans="5:40" x14ac:dyDescent="0.25">
      <c r="E151" s="151"/>
    </row>
    <row r="152" spans="5:40" x14ac:dyDescent="0.25">
      <c r="E152" s="151"/>
    </row>
  </sheetData>
  <mergeCells count="2">
    <mergeCell ref="B2:B3"/>
    <mergeCell ref="AN2:AN3"/>
  </mergeCells>
  <pageMargins left="0.511811024" right="0.511811024" top="0.78740157499999996" bottom="0.78740157499999996" header="0.31496062000000002" footer="0.31496062000000002"/>
  <pageSetup paperSize="8" scale="8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S66"/>
  <sheetViews>
    <sheetView showGridLines="0" zoomScale="80" zoomScaleNormal="80" workbookViewId="0">
      <selection activeCell="J14" sqref="J14"/>
    </sheetView>
  </sheetViews>
  <sheetFormatPr defaultRowHeight="15" x14ac:dyDescent="0.25"/>
  <cols>
    <col min="1" max="1" width="16.42578125" customWidth="1"/>
    <col min="2" max="2" width="51.7109375" customWidth="1"/>
    <col min="3" max="3" width="21" customWidth="1"/>
    <col min="4" max="4" width="19.42578125" customWidth="1"/>
    <col min="5" max="5" width="19.28515625" customWidth="1"/>
    <col min="6" max="40" width="17.7109375" customWidth="1"/>
    <col min="41" max="41" width="17.7109375" style="46" customWidth="1"/>
    <col min="42" max="42" width="15.28515625" bestFit="1" customWidth="1"/>
  </cols>
  <sheetData>
    <row r="1" spans="1:43" x14ac:dyDescent="0.25">
      <c r="A1" s="309" t="s">
        <v>520</v>
      </c>
      <c r="B1" s="970" t="s">
        <v>387</v>
      </c>
      <c r="C1" s="971"/>
      <c r="D1" s="971"/>
      <c r="E1" s="972"/>
      <c r="G1" s="971" t="s">
        <v>105</v>
      </c>
      <c r="H1" s="971"/>
      <c r="I1" s="971"/>
      <c r="J1" s="971"/>
      <c r="AP1" s="93"/>
      <c r="AQ1" s="93"/>
    </row>
    <row r="2" spans="1:43" ht="15" customHeight="1" x14ac:dyDescent="0.25">
      <c r="A2" s="145" t="s">
        <v>521</v>
      </c>
      <c r="B2" s="522" t="s">
        <v>102</v>
      </c>
      <c r="C2" s="523"/>
      <c r="D2" s="764">
        <f>H6</f>
        <v>0</v>
      </c>
      <c r="E2" s="765"/>
      <c r="G2" s="94" t="s">
        <v>154</v>
      </c>
      <c r="H2" s="463">
        <f>'FCD PROJETO'!H4</f>
        <v>0</v>
      </c>
      <c r="I2" s="94" t="s">
        <v>76</v>
      </c>
      <c r="J2" s="463">
        <f>'FCD PROJETO'!J4</f>
        <v>0</v>
      </c>
      <c r="L2" s="2"/>
      <c r="M2" s="2"/>
      <c r="AP2" s="93"/>
      <c r="AQ2" s="93"/>
    </row>
    <row r="3" spans="1:43" ht="15" customHeight="1" x14ac:dyDescent="0.25">
      <c r="A3" s="213" t="s">
        <v>522</v>
      </c>
      <c r="B3" s="524" t="s">
        <v>168</v>
      </c>
      <c r="C3" s="525"/>
      <c r="D3" s="766" t="e">
        <f ca="1">IRR(F45:AN45)</f>
        <v>#VALUE!</v>
      </c>
      <c r="E3" s="767"/>
      <c r="F3" s="503"/>
      <c r="G3" s="94" t="s">
        <v>104</v>
      </c>
      <c r="H3" s="464">
        <f>'FCD PROJETO'!H5</f>
        <v>0</v>
      </c>
      <c r="I3" s="94" t="s">
        <v>84</v>
      </c>
      <c r="J3" s="465">
        <f>'FCD PROJETO'!J5</f>
        <v>0</v>
      </c>
      <c r="L3" s="2"/>
      <c r="M3" s="2"/>
      <c r="AP3" s="93"/>
      <c r="AQ3" s="93"/>
    </row>
    <row r="4" spans="1:43" ht="15" customHeight="1" x14ac:dyDescent="0.25">
      <c r="B4" s="522" t="s">
        <v>233</v>
      </c>
      <c r="C4" s="523"/>
      <c r="D4" s="768" t="e">
        <f ca="1">ROUND(NPV(D2,F45:AN45),2)</f>
        <v>#DIV/0!</v>
      </c>
      <c r="E4" s="769"/>
      <c r="F4" s="503"/>
      <c r="G4" s="94" t="s">
        <v>102</v>
      </c>
      <c r="H4" s="462" t="e">
        <f ca="1">'FCD PROJETO'!H6</f>
        <v>#DIV/0!</v>
      </c>
      <c r="I4" s="94" t="s">
        <v>85</v>
      </c>
      <c r="J4" s="526">
        <f>'FCD PROJETO'!J6</f>
        <v>0</v>
      </c>
      <c r="L4" s="3"/>
      <c r="M4" s="3"/>
      <c r="AP4" s="93"/>
      <c r="AQ4" s="93"/>
    </row>
    <row r="5" spans="1:43" ht="15" customHeight="1" x14ac:dyDescent="0.25">
      <c r="B5" s="524" t="s">
        <v>77</v>
      </c>
      <c r="C5" s="525"/>
      <c r="D5" s="770" t="e">
        <f ca="1">MATCH(0,F46:AN46,1)</f>
        <v>#N/A</v>
      </c>
      <c r="E5" s="771"/>
      <c r="G5" s="94" t="s">
        <v>19</v>
      </c>
      <c r="H5" s="466">
        <f>'FCD PROJETO'!H7</f>
        <v>0</v>
      </c>
      <c r="I5" s="94" t="s">
        <v>86</v>
      </c>
      <c r="J5" s="467">
        <f>'FCD PROJETO'!J7</f>
        <v>0</v>
      </c>
      <c r="AP5" s="93"/>
      <c r="AQ5" s="93"/>
    </row>
    <row r="6" spans="1:43" ht="15" customHeight="1" x14ac:dyDescent="0.25">
      <c r="B6" s="524" t="s">
        <v>234</v>
      </c>
      <c r="C6" s="525"/>
      <c r="D6" s="770" t="e">
        <f ca="1">IF(AN48&gt;=0,35,MATCH(0,F48:AN48,1)+1)</f>
        <v>#DIV/0!</v>
      </c>
      <c r="E6" s="771"/>
      <c r="F6" s="71"/>
      <c r="G6" s="94" t="s">
        <v>155</v>
      </c>
      <c r="H6" s="467">
        <f>'FCD PROJETO'!H8</f>
        <v>0</v>
      </c>
      <c r="I6" s="94" t="s">
        <v>87</v>
      </c>
      <c r="J6" s="465">
        <f>'FCD PROJETO'!J8</f>
        <v>0</v>
      </c>
      <c r="AP6" s="93"/>
      <c r="AQ6" s="93"/>
    </row>
    <row r="7" spans="1:43" ht="15" customHeight="1" x14ac:dyDescent="0.25">
      <c r="B7" s="990" t="s">
        <v>89</v>
      </c>
      <c r="C7" s="991"/>
      <c r="D7" s="468" t="s">
        <v>96</v>
      </c>
      <c r="E7" s="469" t="s">
        <v>22</v>
      </c>
      <c r="F7" s="71"/>
      <c r="G7" s="94" t="s">
        <v>156</v>
      </c>
      <c r="H7" s="467">
        <f>'FCD PROJETO'!H9</f>
        <v>0</v>
      </c>
      <c r="I7" s="94" t="s">
        <v>113</v>
      </c>
      <c r="J7" s="466">
        <f>'FCD PROJETO'!J9</f>
        <v>0.34</v>
      </c>
      <c r="AP7" s="93"/>
      <c r="AQ7" s="93"/>
    </row>
    <row r="8" spans="1:43" ht="15" customHeight="1" x14ac:dyDescent="0.25">
      <c r="B8" s="988" t="s">
        <v>169</v>
      </c>
      <c r="C8" s="989"/>
      <c r="D8" s="527" t="e">
        <f>AO23</f>
        <v>#DIV/0!</v>
      </c>
      <c r="E8" s="528" t="e">
        <f>NPV(D2,F23:AN23)</f>
        <v>#DIV/0!</v>
      </c>
      <c r="F8" s="71"/>
      <c r="G8" s="987" t="s">
        <v>531</v>
      </c>
      <c r="H8" s="987"/>
      <c r="I8" s="987"/>
      <c r="J8" s="529" t="e">
        <f ca="1">'FCD PROJETO'!J10</f>
        <v>#DIV/0!</v>
      </c>
      <c r="AP8" s="93"/>
      <c r="AQ8" s="93"/>
    </row>
    <row r="9" spans="1:43" ht="15" customHeight="1" x14ac:dyDescent="0.25">
      <c r="B9" s="985" t="s">
        <v>7</v>
      </c>
      <c r="C9" s="986"/>
      <c r="D9" s="527" t="e">
        <f>AO24</f>
        <v>#DIV/0!</v>
      </c>
      <c r="E9" s="527" t="e">
        <f>NPV(D2,F24:AN24)</f>
        <v>#DIV/0!</v>
      </c>
      <c r="F9" s="71"/>
      <c r="AP9" s="93"/>
      <c r="AQ9" s="93"/>
    </row>
    <row r="10" spans="1:43" ht="15" customHeight="1" x14ac:dyDescent="0.25">
      <c r="B10" s="985" t="s">
        <v>518</v>
      </c>
      <c r="C10" s="986"/>
      <c r="D10" s="527" t="e">
        <f>(AO26)</f>
        <v>#DIV/0!</v>
      </c>
      <c r="E10" s="527" t="e">
        <f>NPV(D2,F26:AN26)</f>
        <v>#DIV/0!</v>
      </c>
      <c r="F10" s="71"/>
      <c r="AP10" s="93"/>
      <c r="AQ10" s="93"/>
    </row>
    <row r="11" spans="1:43" ht="15" customHeight="1" x14ac:dyDescent="0.25">
      <c r="B11" s="985" t="s">
        <v>106</v>
      </c>
      <c r="C11" s="986"/>
      <c r="D11" s="527">
        <f ca="1">(AO34)</f>
        <v>0</v>
      </c>
      <c r="E11" s="527">
        <f ca="1">NPV(D2,F34:AN34)</f>
        <v>0</v>
      </c>
      <c r="F11" s="71"/>
      <c r="AP11" s="93"/>
      <c r="AQ11" s="93"/>
    </row>
    <row r="12" spans="1:43" ht="15" customHeight="1" x14ac:dyDescent="0.25">
      <c r="B12" s="985" t="s">
        <v>213</v>
      </c>
      <c r="C12" s="986"/>
      <c r="D12" s="527">
        <f ca="1">(AO35)</f>
        <v>0</v>
      </c>
      <c r="E12" s="527">
        <f ca="1">NPV(D2,F35:AN35)</f>
        <v>0</v>
      </c>
      <c r="F12" s="71"/>
      <c r="K12" s="3"/>
      <c r="AP12" s="93"/>
      <c r="AQ12" s="93"/>
    </row>
    <row r="13" spans="1:43" ht="15" customHeight="1" x14ac:dyDescent="0.25">
      <c r="B13" s="985" t="s">
        <v>101</v>
      </c>
      <c r="C13" s="986"/>
      <c r="D13" s="530">
        <f ca="1">AO36</f>
        <v>0</v>
      </c>
      <c r="E13" s="527">
        <f ca="1">NPV(D2,F36:AN36)</f>
        <v>0</v>
      </c>
      <c r="F13" s="71"/>
      <c r="AP13" s="93"/>
      <c r="AQ13" s="93"/>
    </row>
    <row r="14" spans="1:43" ht="15" customHeight="1" x14ac:dyDescent="0.25">
      <c r="B14" s="985" t="s">
        <v>471</v>
      </c>
      <c r="C14" s="986"/>
      <c r="D14" s="530" t="e">
        <f ca="1">AO38</f>
        <v>#DIV/0!</v>
      </c>
      <c r="E14" s="527" t="e">
        <f ca="1">NPV(D2,F38:AN38)</f>
        <v>#DIV/0!</v>
      </c>
      <c r="F14" s="87"/>
      <c r="G14" s="966" t="s">
        <v>289</v>
      </c>
      <c r="H14" s="966"/>
      <c r="I14" s="966"/>
      <c r="J14" s="531"/>
      <c r="K14" s="45"/>
      <c r="AP14" s="93"/>
      <c r="AQ14" s="93"/>
    </row>
    <row r="15" spans="1:43" ht="15" customHeight="1" x14ac:dyDescent="0.25">
      <c r="B15" s="985" t="s">
        <v>472</v>
      </c>
      <c r="C15" s="986"/>
      <c r="D15" s="530" t="e">
        <f>AO42</f>
        <v>#DIV/0!</v>
      </c>
      <c r="E15" s="527" t="e">
        <f>NPV(D2,F42:AN42)</f>
        <v>#DIV/0!</v>
      </c>
      <c r="F15" s="71"/>
      <c r="G15" s="966" t="s">
        <v>372</v>
      </c>
      <c r="H15" s="966"/>
      <c r="I15" s="966"/>
      <c r="J15" s="532">
        <v>6.0215318342250659E-4</v>
      </c>
      <c r="AP15" s="93"/>
      <c r="AQ15" s="93"/>
    </row>
    <row r="16" spans="1:43" ht="15" customHeight="1" x14ac:dyDescent="0.25">
      <c r="B16" s="985" t="s">
        <v>374</v>
      </c>
      <c r="C16" s="986"/>
      <c r="D16" s="533" t="e">
        <f>SUM(D8:D15)</f>
        <v>#DIV/0!</v>
      </c>
      <c r="E16" s="533" t="e">
        <f>ROUND(SUM(E8:E15),2)</f>
        <v>#DIV/0!</v>
      </c>
      <c r="AP16" s="93"/>
      <c r="AQ16" s="93"/>
    </row>
    <row r="17" spans="2:43" ht="15" customHeight="1" x14ac:dyDescent="0.25">
      <c r="B17" s="985" t="s">
        <v>352</v>
      </c>
      <c r="C17" s="986"/>
      <c r="D17" s="534" t="e">
        <f>D16/D8</f>
        <v>#DIV/0!</v>
      </c>
      <c r="E17" s="534" t="e">
        <f>E16/E8</f>
        <v>#DIV/0!</v>
      </c>
      <c r="AP17" s="93"/>
      <c r="AQ17" s="93"/>
    </row>
    <row r="18" spans="2:43" ht="15.75" thickBot="1" x14ac:dyDescent="0.3">
      <c r="AP18" s="93"/>
      <c r="AQ18" s="93"/>
    </row>
    <row r="19" spans="2:43" ht="15.75" thickBot="1" x14ac:dyDescent="0.3">
      <c r="B19" s="477" t="s">
        <v>163</v>
      </c>
      <c r="C19" s="478"/>
      <c r="D19" s="478"/>
      <c r="E19" s="478"/>
      <c r="F19" s="478"/>
      <c r="G19" s="478"/>
      <c r="H19" s="478"/>
      <c r="I19" s="478"/>
      <c r="J19" s="478"/>
      <c r="K19" s="478"/>
      <c r="L19" s="478"/>
      <c r="M19" s="478"/>
      <c r="N19" s="478"/>
      <c r="O19" s="478"/>
      <c r="P19" s="478"/>
      <c r="Q19" s="478"/>
      <c r="R19" s="478"/>
      <c r="S19" s="478"/>
      <c r="T19" s="478"/>
      <c r="U19" s="478"/>
      <c r="V19" s="478"/>
      <c r="W19" s="478"/>
      <c r="X19" s="478"/>
      <c r="Y19" s="478"/>
      <c r="Z19" s="478"/>
      <c r="AA19" s="478"/>
      <c r="AB19" s="478"/>
      <c r="AC19" s="478"/>
      <c r="AD19" s="478"/>
      <c r="AE19" s="478"/>
      <c r="AF19" s="478"/>
      <c r="AG19" s="478"/>
      <c r="AH19" s="478"/>
      <c r="AI19" s="478"/>
      <c r="AJ19" s="478"/>
      <c r="AK19" s="478"/>
      <c r="AL19" s="478"/>
      <c r="AM19" s="478"/>
      <c r="AN19" s="478"/>
      <c r="AO19" s="479"/>
      <c r="AP19" s="93"/>
      <c r="AQ19" s="93"/>
    </row>
    <row r="20" spans="2:43" ht="15.75" thickBot="1" x14ac:dyDescent="0.3">
      <c r="B20" s="480" t="s">
        <v>17</v>
      </c>
      <c r="C20" s="481"/>
      <c r="D20" s="481" t="str">
        <f>'FCD PROJETO'!D23</f>
        <v>Base</v>
      </c>
      <c r="E20" s="481">
        <f>'FCD PROJETO'!E23</f>
        <v>0</v>
      </c>
      <c r="F20" s="481">
        <f>'FCD PROJETO'!F23</f>
        <v>1</v>
      </c>
      <c r="G20" s="481">
        <f>'FCD PROJETO'!G23</f>
        <v>2</v>
      </c>
      <c r="H20" s="481">
        <f>'FCD PROJETO'!H23</f>
        <v>3</v>
      </c>
      <c r="I20" s="481">
        <f>'FCD PROJETO'!I23</f>
        <v>4</v>
      </c>
      <c r="J20" s="481">
        <f>'FCD PROJETO'!J23</f>
        <v>5</v>
      </c>
      <c r="K20" s="481">
        <f>'FCD PROJETO'!K23</f>
        <v>6</v>
      </c>
      <c r="L20" s="481">
        <f>'FCD PROJETO'!L23</f>
        <v>7</v>
      </c>
      <c r="M20" s="481">
        <f>'FCD PROJETO'!M23</f>
        <v>8</v>
      </c>
      <c r="N20" s="481">
        <f>'FCD PROJETO'!N23</f>
        <v>9</v>
      </c>
      <c r="O20" s="481">
        <f>'FCD PROJETO'!O23</f>
        <v>10</v>
      </c>
      <c r="P20" s="481">
        <f>'FCD PROJETO'!P23</f>
        <v>11</v>
      </c>
      <c r="Q20" s="481">
        <f>'FCD PROJETO'!Q23</f>
        <v>12</v>
      </c>
      <c r="R20" s="481">
        <f>'FCD PROJETO'!R23</f>
        <v>13</v>
      </c>
      <c r="S20" s="481">
        <f>'FCD PROJETO'!S23</f>
        <v>14</v>
      </c>
      <c r="T20" s="481">
        <f>'FCD PROJETO'!T23</f>
        <v>15</v>
      </c>
      <c r="U20" s="481">
        <f>'FCD PROJETO'!U23</f>
        <v>16</v>
      </c>
      <c r="V20" s="481">
        <f>'FCD PROJETO'!V23</f>
        <v>17</v>
      </c>
      <c r="W20" s="481">
        <f>'FCD PROJETO'!W23</f>
        <v>18</v>
      </c>
      <c r="X20" s="481">
        <f>'FCD PROJETO'!X23</f>
        <v>19</v>
      </c>
      <c r="Y20" s="481">
        <f>'FCD PROJETO'!Y23</f>
        <v>20</v>
      </c>
      <c r="Z20" s="481">
        <f>'FCD PROJETO'!Z23</f>
        <v>21</v>
      </c>
      <c r="AA20" s="481">
        <f>'FCD PROJETO'!AA23</f>
        <v>22</v>
      </c>
      <c r="AB20" s="481">
        <f>'FCD PROJETO'!AB23</f>
        <v>23</v>
      </c>
      <c r="AC20" s="481">
        <f>'FCD PROJETO'!AC23</f>
        <v>24</v>
      </c>
      <c r="AD20" s="481">
        <f>'FCD PROJETO'!AD23</f>
        <v>25</v>
      </c>
      <c r="AE20" s="481">
        <f>'FCD PROJETO'!AE23</f>
        <v>26</v>
      </c>
      <c r="AF20" s="481">
        <f>'FCD PROJETO'!AF23</f>
        <v>27</v>
      </c>
      <c r="AG20" s="481">
        <f>'FCD PROJETO'!AG23</f>
        <v>28</v>
      </c>
      <c r="AH20" s="481">
        <f>'FCD PROJETO'!AH23</f>
        <v>29</v>
      </c>
      <c r="AI20" s="481">
        <f>'FCD PROJETO'!AI23</f>
        <v>30</v>
      </c>
      <c r="AJ20" s="481">
        <f>'FCD PROJETO'!AJ23</f>
        <v>31</v>
      </c>
      <c r="AK20" s="481">
        <f>'FCD PROJETO'!AK23</f>
        <v>32</v>
      </c>
      <c r="AL20" s="481">
        <f>'FCD PROJETO'!AL23</f>
        <v>33</v>
      </c>
      <c r="AM20" s="481">
        <f>'FCD PROJETO'!AM23</f>
        <v>34</v>
      </c>
      <c r="AN20" s="481">
        <f>'FCD PROJETO'!AN23</f>
        <v>35</v>
      </c>
      <c r="AO20" s="482"/>
      <c r="AP20" s="93"/>
      <c r="AQ20" s="93"/>
    </row>
    <row r="21" spans="2:43" ht="15.75" thickBot="1" x14ac:dyDescent="0.3">
      <c r="B21" s="483"/>
      <c r="C21" s="484"/>
      <c r="D21" s="481">
        <f>'FCD PROJETO'!D24</f>
        <v>2025</v>
      </c>
      <c r="E21" s="481">
        <f>'FCD PROJETO'!E24</f>
        <v>2026</v>
      </c>
      <c r="F21" s="481">
        <f>'FCD PROJETO'!F24</f>
        <v>2027</v>
      </c>
      <c r="G21" s="481">
        <f>'FCD PROJETO'!G24</f>
        <v>2028</v>
      </c>
      <c r="H21" s="481">
        <f>'FCD PROJETO'!H24</f>
        <v>2029</v>
      </c>
      <c r="I21" s="481">
        <f>'FCD PROJETO'!I24</f>
        <v>2030</v>
      </c>
      <c r="J21" s="481">
        <f>'FCD PROJETO'!J24</f>
        <v>2031</v>
      </c>
      <c r="K21" s="481">
        <f>'FCD PROJETO'!K24</f>
        <v>2032</v>
      </c>
      <c r="L21" s="481">
        <f>'FCD PROJETO'!L24</f>
        <v>2033</v>
      </c>
      <c r="M21" s="481">
        <f>'FCD PROJETO'!M24</f>
        <v>2034</v>
      </c>
      <c r="N21" s="481">
        <f>'FCD PROJETO'!N24</f>
        <v>2035</v>
      </c>
      <c r="O21" s="481">
        <f>'FCD PROJETO'!O24</f>
        <v>2036</v>
      </c>
      <c r="P21" s="481">
        <f>'FCD PROJETO'!P24</f>
        <v>2037</v>
      </c>
      <c r="Q21" s="481">
        <f>'FCD PROJETO'!Q24</f>
        <v>2038</v>
      </c>
      <c r="R21" s="481">
        <f>'FCD PROJETO'!R24</f>
        <v>2039</v>
      </c>
      <c r="S21" s="481">
        <f>'FCD PROJETO'!S24</f>
        <v>2040</v>
      </c>
      <c r="T21" s="481">
        <f>'FCD PROJETO'!T24</f>
        <v>2041</v>
      </c>
      <c r="U21" s="481">
        <f>'FCD PROJETO'!U24</f>
        <v>2042</v>
      </c>
      <c r="V21" s="481">
        <f>'FCD PROJETO'!V24</f>
        <v>2043</v>
      </c>
      <c r="W21" s="481">
        <f>'FCD PROJETO'!W24</f>
        <v>2044</v>
      </c>
      <c r="X21" s="481">
        <f>'FCD PROJETO'!X24</f>
        <v>2045</v>
      </c>
      <c r="Y21" s="481">
        <f>'FCD PROJETO'!Y24</f>
        <v>2046</v>
      </c>
      <c r="Z21" s="481">
        <f>'FCD PROJETO'!Z24</f>
        <v>2047</v>
      </c>
      <c r="AA21" s="481">
        <f>'FCD PROJETO'!AA24</f>
        <v>2048</v>
      </c>
      <c r="AB21" s="481">
        <f>'FCD PROJETO'!AB24</f>
        <v>2049</v>
      </c>
      <c r="AC21" s="481">
        <f>'FCD PROJETO'!AC24</f>
        <v>2050</v>
      </c>
      <c r="AD21" s="481">
        <f>'FCD PROJETO'!AD24</f>
        <v>2051</v>
      </c>
      <c r="AE21" s="481">
        <f>'FCD PROJETO'!AE24</f>
        <v>2052</v>
      </c>
      <c r="AF21" s="481">
        <f>'FCD PROJETO'!AF24</f>
        <v>2053</v>
      </c>
      <c r="AG21" s="481">
        <f>'FCD PROJETO'!AG24</f>
        <v>2054</v>
      </c>
      <c r="AH21" s="481">
        <f>'FCD PROJETO'!AH24</f>
        <v>2055</v>
      </c>
      <c r="AI21" s="481">
        <f>'FCD PROJETO'!AI24</f>
        <v>2056</v>
      </c>
      <c r="AJ21" s="481">
        <f>'FCD PROJETO'!AJ24</f>
        <v>2057</v>
      </c>
      <c r="AK21" s="481">
        <f>'FCD PROJETO'!AK24</f>
        <v>2058</v>
      </c>
      <c r="AL21" s="481">
        <f>'FCD PROJETO'!AL24</f>
        <v>2059</v>
      </c>
      <c r="AM21" s="481">
        <f>'FCD PROJETO'!AM24</f>
        <v>2060</v>
      </c>
      <c r="AN21" s="481">
        <f>'FCD PROJETO'!AN24</f>
        <v>2061</v>
      </c>
      <c r="AO21" s="482" t="s">
        <v>23</v>
      </c>
      <c r="AP21" s="93"/>
      <c r="AQ21" s="93"/>
    </row>
    <row r="22" spans="2:43" x14ac:dyDescent="0.25">
      <c r="B22" s="485" t="s">
        <v>351</v>
      </c>
      <c r="C22" s="146" t="e">
        <f>AO22</f>
        <v>#DIV/0!</v>
      </c>
      <c r="D22" s="99"/>
      <c r="E22" s="99"/>
      <c r="F22" s="146" t="e">
        <f>'FCD PROJETO'!F107</f>
        <v>#DIV/0!</v>
      </c>
      <c r="G22" s="146" t="e">
        <f>'FCD PROJETO'!G107</f>
        <v>#DIV/0!</v>
      </c>
      <c r="H22" s="146" t="e">
        <f>'FCD PROJETO'!H107</f>
        <v>#DIV/0!</v>
      </c>
      <c r="I22" s="146" t="e">
        <f>'FCD PROJETO'!I107</f>
        <v>#DIV/0!</v>
      </c>
      <c r="J22" s="146" t="e">
        <f>'FCD PROJETO'!J107</f>
        <v>#DIV/0!</v>
      </c>
      <c r="K22" s="146" t="e">
        <f>'FCD PROJETO'!K107</f>
        <v>#DIV/0!</v>
      </c>
      <c r="L22" s="146" t="e">
        <f>'FCD PROJETO'!L107</f>
        <v>#DIV/0!</v>
      </c>
      <c r="M22" s="146" t="e">
        <f>'FCD PROJETO'!M107</f>
        <v>#DIV/0!</v>
      </c>
      <c r="N22" s="146" t="e">
        <f>'FCD PROJETO'!N107</f>
        <v>#DIV/0!</v>
      </c>
      <c r="O22" s="146" t="e">
        <f>'FCD PROJETO'!O107</f>
        <v>#DIV/0!</v>
      </c>
      <c r="P22" s="146" t="e">
        <f>'FCD PROJETO'!P107</f>
        <v>#DIV/0!</v>
      </c>
      <c r="Q22" s="146" t="e">
        <f>'FCD PROJETO'!Q107</f>
        <v>#DIV/0!</v>
      </c>
      <c r="R22" s="146" t="e">
        <f>'FCD PROJETO'!R107</f>
        <v>#DIV/0!</v>
      </c>
      <c r="S22" s="146" t="e">
        <f>'FCD PROJETO'!S107</f>
        <v>#DIV/0!</v>
      </c>
      <c r="T22" s="146" t="e">
        <f>'FCD PROJETO'!T107</f>
        <v>#DIV/0!</v>
      </c>
      <c r="U22" s="146" t="e">
        <f>'FCD PROJETO'!U107</f>
        <v>#DIV/0!</v>
      </c>
      <c r="V22" s="146" t="e">
        <f>'FCD PROJETO'!V107</f>
        <v>#DIV/0!</v>
      </c>
      <c r="W22" s="146" t="e">
        <f>'FCD PROJETO'!W107</f>
        <v>#DIV/0!</v>
      </c>
      <c r="X22" s="146" t="e">
        <f>'FCD PROJETO'!X107</f>
        <v>#DIV/0!</v>
      </c>
      <c r="Y22" s="146" t="e">
        <f>'FCD PROJETO'!Y107</f>
        <v>#DIV/0!</v>
      </c>
      <c r="Z22" s="146" t="e">
        <f>'FCD PROJETO'!Z107</f>
        <v>#DIV/0!</v>
      </c>
      <c r="AA22" s="146" t="e">
        <f>'FCD PROJETO'!AA107</f>
        <v>#DIV/0!</v>
      </c>
      <c r="AB22" s="146" t="e">
        <f>'FCD PROJETO'!AB107</f>
        <v>#DIV/0!</v>
      </c>
      <c r="AC22" s="146" t="e">
        <f>'FCD PROJETO'!AC107</f>
        <v>#DIV/0!</v>
      </c>
      <c r="AD22" s="146" t="e">
        <f>'FCD PROJETO'!AD107</f>
        <v>#DIV/0!</v>
      </c>
      <c r="AE22" s="146" t="e">
        <f>'FCD PROJETO'!AE107</f>
        <v>#DIV/0!</v>
      </c>
      <c r="AF22" s="146" t="e">
        <f>'FCD PROJETO'!AF107</f>
        <v>#DIV/0!</v>
      </c>
      <c r="AG22" s="146" t="e">
        <f>'FCD PROJETO'!AG107</f>
        <v>#DIV/0!</v>
      </c>
      <c r="AH22" s="146" t="e">
        <f>'FCD PROJETO'!AH107</f>
        <v>#DIV/0!</v>
      </c>
      <c r="AI22" s="146" t="e">
        <f>'FCD PROJETO'!AI107</f>
        <v>#DIV/0!</v>
      </c>
      <c r="AJ22" s="146" t="e">
        <f>'FCD PROJETO'!AJ107</f>
        <v>#DIV/0!</v>
      </c>
      <c r="AK22" s="146" t="e">
        <f>'FCD PROJETO'!AK107</f>
        <v>#DIV/0!</v>
      </c>
      <c r="AL22" s="146" t="e">
        <f>'FCD PROJETO'!AL107</f>
        <v>#DIV/0!</v>
      </c>
      <c r="AM22" s="146" t="e">
        <f>'FCD PROJETO'!AM107</f>
        <v>#DIV/0!</v>
      </c>
      <c r="AN22" s="146" t="e">
        <f>'FCD PROJETO'!AN107</f>
        <v>#DIV/0!</v>
      </c>
      <c r="AO22" s="146" t="e">
        <f>SUM(F22:AN22)</f>
        <v>#DIV/0!</v>
      </c>
      <c r="AP22" s="93"/>
      <c r="AQ22" s="93"/>
    </row>
    <row r="23" spans="2:43" x14ac:dyDescent="0.25">
      <c r="B23" s="535" t="s">
        <v>166</v>
      </c>
      <c r="C23" s="146" t="e">
        <f t="shared" ref="C23:C27" si="0">AO23</f>
        <v>#DIV/0!</v>
      </c>
      <c r="D23" s="99"/>
      <c r="E23" s="99"/>
      <c r="F23" s="146" t="e">
        <f>IF(F22&gt;0,F22,0)</f>
        <v>#DIV/0!</v>
      </c>
      <c r="G23" s="146" t="e">
        <f t="shared" ref="G23:AI23" si="1">IF(G22&gt;0,G22,0)</f>
        <v>#DIV/0!</v>
      </c>
      <c r="H23" s="146" t="e">
        <f t="shared" si="1"/>
        <v>#DIV/0!</v>
      </c>
      <c r="I23" s="146" t="e">
        <f t="shared" si="1"/>
        <v>#DIV/0!</v>
      </c>
      <c r="J23" s="146" t="e">
        <f t="shared" si="1"/>
        <v>#DIV/0!</v>
      </c>
      <c r="K23" s="146" t="e">
        <f t="shared" si="1"/>
        <v>#DIV/0!</v>
      </c>
      <c r="L23" s="146" t="e">
        <f t="shared" si="1"/>
        <v>#DIV/0!</v>
      </c>
      <c r="M23" s="146" t="e">
        <f t="shared" si="1"/>
        <v>#DIV/0!</v>
      </c>
      <c r="N23" s="146" t="e">
        <f t="shared" si="1"/>
        <v>#DIV/0!</v>
      </c>
      <c r="O23" s="146" t="e">
        <f t="shared" si="1"/>
        <v>#DIV/0!</v>
      </c>
      <c r="P23" s="146" t="e">
        <f t="shared" si="1"/>
        <v>#DIV/0!</v>
      </c>
      <c r="Q23" s="146" t="e">
        <f t="shared" si="1"/>
        <v>#DIV/0!</v>
      </c>
      <c r="R23" s="146" t="e">
        <f t="shared" si="1"/>
        <v>#DIV/0!</v>
      </c>
      <c r="S23" s="146" t="e">
        <f t="shared" si="1"/>
        <v>#DIV/0!</v>
      </c>
      <c r="T23" s="146" t="e">
        <f t="shared" si="1"/>
        <v>#DIV/0!</v>
      </c>
      <c r="U23" s="146" t="e">
        <f t="shared" si="1"/>
        <v>#DIV/0!</v>
      </c>
      <c r="V23" s="146" t="e">
        <f t="shared" si="1"/>
        <v>#DIV/0!</v>
      </c>
      <c r="W23" s="146" t="e">
        <f t="shared" si="1"/>
        <v>#DIV/0!</v>
      </c>
      <c r="X23" s="146" t="e">
        <f t="shared" si="1"/>
        <v>#DIV/0!</v>
      </c>
      <c r="Y23" s="146" t="e">
        <f t="shared" si="1"/>
        <v>#DIV/0!</v>
      </c>
      <c r="Z23" s="146" t="e">
        <f t="shared" si="1"/>
        <v>#DIV/0!</v>
      </c>
      <c r="AA23" s="146" t="e">
        <f t="shared" si="1"/>
        <v>#DIV/0!</v>
      </c>
      <c r="AB23" s="146" t="e">
        <f t="shared" si="1"/>
        <v>#DIV/0!</v>
      </c>
      <c r="AC23" s="146" t="e">
        <f t="shared" si="1"/>
        <v>#DIV/0!</v>
      </c>
      <c r="AD23" s="146" t="e">
        <f t="shared" si="1"/>
        <v>#DIV/0!</v>
      </c>
      <c r="AE23" s="146" t="e">
        <f t="shared" si="1"/>
        <v>#DIV/0!</v>
      </c>
      <c r="AF23" s="146" t="e">
        <f t="shared" si="1"/>
        <v>#DIV/0!</v>
      </c>
      <c r="AG23" s="146" t="e">
        <f t="shared" si="1"/>
        <v>#DIV/0!</v>
      </c>
      <c r="AH23" s="146" t="e">
        <f t="shared" si="1"/>
        <v>#DIV/0!</v>
      </c>
      <c r="AI23" s="146" t="e">
        <f t="shared" si="1"/>
        <v>#DIV/0!</v>
      </c>
      <c r="AJ23" s="146" t="e">
        <f t="shared" ref="AJ23:AN23" si="2">IF(AJ22&gt;0,AJ22,0)</f>
        <v>#DIV/0!</v>
      </c>
      <c r="AK23" s="146" t="e">
        <f t="shared" si="2"/>
        <v>#DIV/0!</v>
      </c>
      <c r="AL23" s="146" t="e">
        <f t="shared" si="2"/>
        <v>#DIV/0!</v>
      </c>
      <c r="AM23" s="146" t="e">
        <f t="shared" si="2"/>
        <v>#DIV/0!</v>
      </c>
      <c r="AN23" s="146" t="e">
        <f t="shared" si="2"/>
        <v>#DIV/0!</v>
      </c>
      <c r="AO23" s="146" t="e">
        <f t="shared" ref="AO23:AO24" si="3">SUM(F23:AN23)</f>
        <v>#DIV/0!</v>
      </c>
      <c r="AP23" s="93"/>
      <c r="AQ23" s="93"/>
    </row>
    <row r="24" spans="2:43" x14ac:dyDescent="0.25">
      <c r="B24" s="535" t="s">
        <v>272</v>
      </c>
      <c r="C24" s="146" t="e">
        <f t="shared" si="0"/>
        <v>#DIV/0!</v>
      </c>
      <c r="D24" s="99"/>
      <c r="E24" s="99"/>
      <c r="F24" s="146" t="e">
        <f>IF(F22&lt;0,F22,0)</f>
        <v>#DIV/0!</v>
      </c>
      <c r="G24" s="146" t="e">
        <f t="shared" ref="G24:AI24" si="4">IF(G22&lt;0,G22,0)</f>
        <v>#DIV/0!</v>
      </c>
      <c r="H24" s="146" t="e">
        <f t="shared" si="4"/>
        <v>#DIV/0!</v>
      </c>
      <c r="I24" s="146" t="e">
        <f t="shared" si="4"/>
        <v>#DIV/0!</v>
      </c>
      <c r="J24" s="146" t="e">
        <f t="shared" si="4"/>
        <v>#DIV/0!</v>
      </c>
      <c r="K24" s="146" t="e">
        <f t="shared" si="4"/>
        <v>#DIV/0!</v>
      </c>
      <c r="L24" s="146" t="e">
        <f t="shared" si="4"/>
        <v>#DIV/0!</v>
      </c>
      <c r="M24" s="146" t="e">
        <f t="shared" si="4"/>
        <v>#DIV/0!</v>
      </c>
      <c r="N24" s="146" t="e">
        <f t="shared" si="4"/>
        <v>#DIV/0!</v>
      </c>
      <c r="O24" s="146" t="e">
        <f t="shared" si="4"/>
        <v>#DIV/0!</v>
      </c>
      <c r="P24" s="146" t="e">
        <f t="shared" si="4"/>
        <v>#DIV/0!</v>
      </c>
      <c r="Q24" s="146" t="e">
        <f t="shared" si="4"/>
        <v>#DIV/0!</v>
      </c>
      <c r="R24" s="146" t="e">
        <f t="shared" si="4"/>
        <v>#DIV/0!</v>
      </c>
      <c r="S24" s="146" t="e">
        <f t="shared" si="4"/>
        <v>#DIV/0!</v>
      </c>
      <c r="T24" s="146" t="e">
        <f t="shared" si="4"/>
        <v>#DIV/0!</v>
      </c>
      <c r="U24" s="146" t="e">
        <f t="shared" si="4"/>
        <v>#DIV/0!</v>
      </c>
      <c r="V24" s="146" t="e">
        <f t="shared" si="4"/>
        <v>#DIV/0!</v>
      </c>
      <c r="W24" s="146" t="e">
        <f t="shared" si="4"/>
        <v>#DIV/0!</v>
      </c>
      <c r="X24" s="146" t="e">
        <f t="shared" si="4"/>
        <v>#DIV/0!</v>
      </c>
      <c r="Y24" s="146" t="e">
        <f t="shared" si="4"/>
        <v>#DIV/0!</v>
      </c>
      <c r="Z24" s="146" t="e">
        <f t="shared" si="4"/>
        <v>#DIV/0!</v>
      </c>
      <c r="AA24" s="146" t="e">
        <f t="shared" si="4"/>
        <v>#DIV/0!</v>
      </c>
      <c r="AB24" s="146" t="e">
        <f t="shared" si="4"/>
        <v>#DIV/0!</v>
      </c>
      <c r="AC24" s="146" t="e">
        <f t="shared" si="4"/>
        <v>#DIV/0!</v>
      </c>
      <c r="AD24" s="146" t="e">
        <f t="shared" si="4"/>
        <v>#DIV/0!</v>
      </c>
      <c r="AE24" s="146" t="e">
        <f t="shared" si="4"/>
        <v>#DIV/0!</v>
      </c>
      <c r="AF24" s="146" t="e">
        <f t="shared" si="4"/>
        <v>#DIV/0!</v>
      </c>
      <c r="AG24" s="146" t="e">
        <f t="shared" si="4"/>
        <v>#DIV/0!</v>
      </c>
      <c r="AH24" s="146" t="e">
        <f t="shared" si="4"/>
        <v>#DIV/0!</v>
      </c>
      <c r="AI24" s="146" t="e">
        <f t="shared" si="4"/>
        <v>#DIV/0!</v>
      </c>
      <c r="AJ24" s="146" t="e">
        <f t="shared" ref="AJ24:AN24" si="5">IF(AJ22&lt;0,AJ22,0)</f>
        <v>#DIV/0!</v>
      </c>
      <c r="AK24" s="146" t="e">
        <f t="shared" si="5"/>
        <v>#DIV/0!</v>
      </c>
      <c r="AL24" s="146" t="e">
        <f t="shared" si="5"/>
        <v>#DIV/0!</v>
      </c>
      <c r="AM24" s="146" t="e">
        <f t="shared" si="5"/>
        <v>#DIV/0!</v>
      </c>
      <c r="AN24" s="146" t="e">
        <f t="shared" si="5"/>
        <v>#DIV/0!</v>
      </c>
      <c r="AO24" s="146" t="e">
        <f t="shared" si="3"/>
        <v>#DIV/0!</v>
      </c>
      <c r="AP24" s="93"/>
      <c r="AQ24" s="93"/>
    </row>
    <row r="25" spans="2:43" x14ac:dyDescent="0.25">
      <c r="B25" s="485"/>
      <c r="C25" s="99"/>
      <c r="D25" s="99"/>
      <c r="E25" s="99"/>
      <c r="F25" s="99"/>
      <c r="G25" s="99"/>
      <c r="H25" s="99"/>
      <c r="I25" s="99"/>
      <c r="J25" s="99"/>
      <c r="K25" s="99"/>
      <c r="L25" s="99"/>
      <c r="M25" s="99"/>
      <c r="N25" s="99"/>
      <c r="O25" s="99"/>
      <c r="P25" s="99"/>
      <c r="Q25" s="99"/>
      <c r="R25" s="99"/>
      <c r="S25" s="99"/>
      <c r="T25" s="99"/>
      <c r="U25" s="99"/>
      <c r="V25" s="99"/>
      <c r="W25" s="99"/>
      <c r="X25" s="99"/>
      <c r="Y25" s="99"/>
      <c r="Z25" s="99"/>
      <c r="AA25" s="99"/>
      <c r="AB25" s="99"/>
      <c r="AC25" s="99"/>
      <c r="AD25" s="99"/>
      <c r="AE25" s="99"/>
      <c r="AF25" s="99"/>
      <c r="AG25" s="99"/>
      <c r="AH25" s="99"/>
      <c r="AI25" s="99"/>
      <c r="AJ25" s="99"/>
      <c r="AK25" s="99"/>
      <c r="AL25" s="99"/>
      <c r="AM25" s="99"/>
      <c r="AN25" s="99"/>
      <c r="AO25" s="99"/>
      <c r="AP25" s="93"/>
      <c r="AQ25" s="93"/>
    </row>
    <row r="26" spans="2:43" x14ac:dyDescent="0.25">
      <c r="B26" s="485" t="s">
        <v>167</v>
      </c>
      <c r="C26" s="146" t="e">
        <f t="shared" si="0"/>
        <v>#DIV/0!</v>
      </c>
      <c r="D26" s="99"/>
      <c r="E26" s="99"/>
      <c r="F26" s="146" t="e">
        <f t="shared" ref="F26:AN26" si="6">SUM(F27:F28)</f>
        <v>#DIV/0!</v>
      </c>
      <c r="G26" s="146" t="e">
        <f t="shared" si="6"/>
        <v>#DIV/0!</v>
      </c>
      <c r="H26" s="146" t="e">
        <f t="shared" si="6"/>
        <v>#DIV/0!</v>
      </c>
      <c r="I26" s="146" t="e">
        <f t="shared" si="6"/>
        <v>#DIV/0!</v>
      </c>
      <c r="J26" s="146" t="e">
        <f t="shared" si="6"/>
        <v>#DIV/0!</v>
      </c>
      <c r="K26" s="146" t="e">
        <f t="shared" si="6"/>
        <v>#DIV/0!</v>
      </c>
      <c r="L26" s="146" t="e">
        <f t="shared" si="6"/>
        <v>#DIV/0!</v>
      </c>
      <c r="M26" s="146" t="e">
        <f t="shared" si="6"/>
        <v>#DIV/0!</v>
      </c>
      <c r="N26" s="146" t="e">
        <f t="shared" si="6"/>
        <v>#DIV/0!</v>
      </c>
      <c r="O26" s="146" t="e">
        <f t="shared" si="6"/>
        <v>#DIV/0!</v>
      </c>
      <c r="P26" s="146" t="e">
        <f t="shared" si="6"/>
        <v>#DIV/0!</v>
      </c>
      <c r="Q26" s="146" t="e">
        <f t="shared" si="6"/>
        <v>#DIV/0!</v>
      </c>
      <c r="R26" s="146" t="e">
        <f t="shared" si="6"/>
        <v>#DIV/0!</v>
      </c>
      <c r="S26" s="146" t="e">
        <f t="shared" si="6"/>
        <v>#DIV/0!</v>
      </c>
      <c r="T26" s="146" t="e">
        <f t="shared" si="6"/>
        <v>#DIV/0!</v>
      </c>
      <c r="U26" s="146" t="e">
        <f t="shared" si="6"/>
        <v>#DIV/0!</v>
      </c>
      <c r="V26" s="146" t="e">
        <f t="shared" si="6"/>
        <v>#DIV/0!</v>
      </c>
      <c r="W26" s="146" t="e">
        <f t="shared" si="6"/>
        <v>#DIV/0!</v>
      </c>
      <c r="X26" s="146" t="e">
        <f t="shared" si="6"/>
        <v>#DIV/0!</v>
      </c>
      <c r="Y26" s="146" t="e">
        <f t="shared" si="6"/>
        <v>#DIV/0!</v>
      </c>
      <c r="Z26" s="146" t="e">
        <f t="shared" si="6"/>
        <v>#DIV/0!</v>
      </c>
      <c r="AA26" s="146" t="e">
        <f t="shared" si="6"/>
        <v>#DIV/0!</v>
      </c>
      <c r="AB26" s="146" t="e">
        <f t="shared" si="6"/>
        <v>#DIV/0!</v>
      </c>
      <c r="AC26" s="146" t="e">
        <f t="shared" si="6"/>
        <v>#DIV/0!</v>
      </c>
      <c r="AD26" s="146" t="e">
        <f t="shared" si="6"/>
        <v>#DIV/0!</v>
      </c>
      <c r="AE26" s="146" t="e">
        <f t="shared" si="6"/>
        <v>#DIV/0!</v>
      </c>
      <c r="AF26" s="146" t="e">
        <f t="shared" si="6"/>
        <v>#DIV/0!</v>
      </c>
      <c r="AG26" s="146" t="e">
        <f t="shared" si="6"/>
        <v>#DIV/0!</v>
      </c>
      <c r="AH26" s="146" t="e">
        <f t="shared" si="6"/>
        <v>#DIV/0!</v>
      </c>
      <c r="AI26" s="146" t="e">
        <f t="shared" si="6"/>
        <v>#DIV/0!</v>
      </c>
      <c r="AJ26" s="146" t="e">
        <f t="shared" si="6"/>
        <v>#DIV/0!</v>
      </c>
      <c r="AK26" s="146" t="e">
        <f t="shared" si="6"/>
        <v>#DIV/0!</v>
      </c>
      <c r="AL26" s="146" t="e">
        <f t="shared" si="6"/>
        <v>#DIV/0!</v>
      </c>
      <c r="AM26" s="146" t="e">
        <f t="shared" si="6"/>
        <v>#DIV/0!</v>
      </c>
      <c r="AN26" s="146" t="e">
        <f t="shared" si="6"/>
        <v>#DIV/0!</v>
      </c>
      <c r="AO26" s="146" t="e">
        <f t="shared" ref="AO26:AO27" si="7">SUM(F26:AN26)</f>
        <v>#DIV/0!</v>
      </c>
      <c r="AP26" s="93"/>
      <c r="AQ26" s="93"/>
    </row>
    <row r="27" spans="2:43" x14ac:dyDescent="0.25">
      <c r="B27" s="535" t="s">
        <v>639</v>
      </c>
      <c r="C27" s="146" t="e">
        <f t="shared" si="0"/>
        <v>#DIV/0!</v>
      </c>
      <c r="D27" s="99"/>
      <c r="E27" s="99"/>
      <c r="F27" s="146" t="e">
        <f>-$J$15*'FCD PROJETO'!$D$10</f>
        <v>#DIV/0!</v>
      </c>
      <c r="G27" s="146" t="e">
        <f>-$J$15*'FCD PROJETO'!$D$10</f>
        <v>#DIV/0!</v>
      </c>
      <c r="H27" s="146" t="e">
        <f>-$J$15*'FCD PROJETO'!$D$10</f>
        <v>#DIV/0!</v>
      </c>
      <c r="I27" s="146" t="e">
        <f>-$J$15*'FCD PROJETO'!$D$10</f>
        <v>#DIV/0!</v>
      </c>
      <c r="J27" s="146" t="e">
        <f>-$J$15*'FCD PROJETO'!$D$10</f>
        <v>#DIV/0!</v>
      </c>
      <c r="K27" s="146" t="e">
        <f>-$J$15*'FCD PROJETO'!$D$10</f>
        <v>#DIV/0!</v>
      </c>
      <c r="L27" s="146" t="e">
        <f>-$J$15*'FCD PROJETO'!$D$10</f>
        <v>#DIV/0!</v>
      </c>
      <c r="M27" s="146" t="e">
        <f>-$J$15*'FCD PROJETO'!$D$10</f>
        <v>#DIV/0!</v>
      </c>
      <c r="N27" s="146" t="e">
        <f>-$J$15*'FCD PROJETO'!$D$10</f>
        <v>#DIV/0!</v>
      </c>
      <c r="O27" s="146" t="e">
        <f>-$J$15*'FCD PROJETO'!$D$10</f>
        <v>#DIV/0!</v>
      </c>
      <c r="P27" s="146" t="e">
        <f>-$J$15*'FCD PROJETO'!$D$10</f>
        <v>#DIV/0!</v>
      </c>
      <c r="Q27" s="146" t="e">
        <f>-$J$15*'FCD PROJETO'!$D$10</f>
        <v>#DIV/0!</v>
      </c>
      <c r="R27" s="146" t="e">
        <f>-$J$15*'FCD PROJETO'!$D$10</f>
        <v>#DIV/0!</v>
      </c>
      <c r="S27" s="146" t="e">
        <f>-$J$15*'FCD PROJETO'!$D$10</f>
        <v>#DIV/0!</v>
      </c>
      <c r="T27" s="146" t="e">
        <f>-$J$15*'FCD PROJETO'!$D$10</f>
        <v>#DIV/0!</v>
      </c>
      <c r="U27" s="146" t="e">
        <f>-$J$15*'FCD PROJETO'!$D$10</f>
        <v>#DIV/0!</v>
      </c>
      <c r="V27" s="146" t="e">
        <f>-$J$15*'FCD PROJETO'!$D$10</f>
        <v>#DIV/0!</v>
      </c>
      <c r="W27" s="146" t="e">
        <f>-$J$15*'FCD PROJETO'!$D$10</f>
        <v>#DIV/0!</v>
      </c>
      <c r="X27" s="146" t="e">
        <f>-$J$15*'FCD PROJETO'!$D$10</f>
        <v>#DIV/0!</v>
      </c>
      <c r="Y27" s="146" t="e">
        <f>-$J$15*'FCD PROJETO'!$D$10</f>
        <v>#DIV/0!</v>
      </c>
      <c r="Z27" s="146" t="e">
        <f>-$J$15*'FCD PROJETO'!$D$10</f>
        <v>#DIV/0!</v>
      </c>
      <c r="AA27" s="146" t="e">
        <f>-$J$15*'FCD PROJETO'!$D$10</f>
        <v>#DIV/0!</v>
      </c>
      <c r="AB27" s="146" t="e">
        <f>-$J$15*'FCD PROJETO'!$D$10</f>
        <v>#DIV/0!</v>
      </c>
      <c r="AC27" s="146" t="e">
        <f>-$J$15*'FCD PROJETO'!$D$10</f>
        <v>#DIV/0!</v>
      </c>
      <c r="AD27" s="146" t="e">
        <f>-$J$15*'FCD PROJETO'!$D$10</f>
        <v>#DIV/0!</v>
      </c>
      <c r="AE27" s="146" t="e">
        <f>-$J$15*'FCD PROJETO'!$D$10</f>
        <v>#DIV/0!</v>
      </c>
      <c r="AF27" s="146" t="e">
        <f>-$J$15*'FCD PROJETO'!$D$10</f>
        <v>#DIV/0!</v>
      </c>
      <c r="AG27" s="146" t="e">
        <f>-$J$15*'FCD PROJETO'!$D$10</f>
        <v>#DIV/0!</v>
      </c>
      <c r="AH27" s="146" t="e">
        <f>-$J$15*'FCD PROJETO'!$D$10</f>
        <v>#DIV/0!</v>
      </c>
      <c r="AI27" s="146" t="e">
        <f>-$J$15*'FCD PROJETO'!$D$10</f>
        <v>#DIV/0!</v>
      </c>
      <c r="AJ27" s="146" t="e">
        <f>-$J$15*'FCD PROJETO'!$D$10</f>
        <v>#DIV/0!</v>
      </c>
      <c r="AK27" s="146" t="e">
        <f>-$J$15*'FCD PROJETO'!$D$10</f>
        <v>#DIV/0!</v>
      </c>
      <c r="AL27" s="146" t="e">
        <f>-$J$15*'FCD PROJETO'!$D$10</f>
        <v>#DIV/0!</v>
      </c>
      <c r="AM27" s="146" t="e">
        <f>-$J$15*'FCD PROJETO'!$D$10</f>
        <v>#DIV/0!</v>
      </c>
      <c r="AN27" s="146" t="e">
        <f>-$J$15*'FCD PROJETO'!$D$10</f>
        <v>#DIV/0!</v>
      </c>
      <c r="AO27" s="146" t="e">
        <f t="shared" si="7"/>
        <v>#DIV/0!</v>
      </c>
      <c r="AP27" s="93"/>
      <c r="AQ27" s="93"/>
    </row>
    <row r="28" spans="2:43" x14ac:dyDescent="0.25">
      <c r="B28" s="535"/>
      <c r="C28" s="99"/>
      <c r="D28" s="99"/>
      <c r="E28" s="99"/>
      <c r="F28" s="99"/>
      <c r="G28" s="99"/>
      <c r="H28" s="99"/>
      <c r="I28" s="99"/>
      <c r="J28" s="99"/>
      <c r="K28" s="99"/>
      <c r="L28" s="99"/>
      <c r="M28" s="99"/>
      <c r="N28" s="99"/>
      <c r="O28" s="99"/>
      <c r="P28" s="99"/>
      <c r="Q28" s="99"/>
      <c r="R28" s="99"/>
      <c r="S28" s="99"/>
      <c r="T28" s="99"/>
      <c r="U28" s="99"/>
      <c r="V28" s="99"/>
      <c r="W28" s="99"/>
      <c r="X28" s="99"/>
      <c r="Y28" s="99"/>
      <c r="Z28" s="99"/>
      <c r="AA28" s="99"/>
      <c r="AB28" s="99"/>
      <c r="AC28" s="99"/>
      <c r="AD28" s="99"/>
      <c r="AE28" s="99"/>
      <c r="AF28" s="99"/>
      <c r="AG28" s="99"/>
      <c r="AH28" s="99"/>
      <c r="AI28" s="99"/>
      <c r="AJ28" s="99"/>
      <c r="AK28" s="99"/>
      <c r="AL28" s="99"/>
      <c r="AM28" s="99"/>
      <c r="AN28" s="99"/>
      <c r="AO28" s="99"/>
      <c r="AP28" s="93"/>
      <c r="AQ28" s="93"/>
    </row>
    <row r="29" spans="2:43" x14ac:dyDescent="0.25">
      <c r="B29" s="485"/>
      <c r="C29" s="99"/>
      <c r="D29" s="99"/>
      <c r="E29" s="99"/>
      <c r="F29" s="99"/>
      <c r="G29" s="99"/>
      <c r="H29" s="99"/>
      <c r="I29" s="99"/>
      <c r="J29" s="99"/>
      <c r="K29" s="99"/>
      <c r="L29" s="99"/>
      <c r="M29" s="99"/>
      <c r="N29" s="99"/>
      <c r="O29" s="99"/>
      <c r="P29" s="99"/>
      <c r="Q29" s="99"/>
      <c r="R29" s="99"/>
      <c r="S29" s="99"/>
      <c r="T29" s="99"/>
      <c r="U29" s="99"/>
      <c r="V29" s="99"/>
      <c r="W29" s="99"/>
      <c r="X29" s="99"/>
      <c r="Y29" s="99"/>
      <c r="Z29" s="99"/>
      <c r="AA29" s="99"/>
      <c r="AB29" s="99"/>
      <c r="AC29" s="99"/>
      <c r="AD29" s="99"/>
      <c r="AE29" s="99"/>
      <c r="AF29" s="99"/>
      <c r="AG29" s="99"/>
      <c r="AH29" s="99"/>
      <c r="AI29" s="99"/>
      <c r="AJ29" s="99"/>
      <c r="AK29" s="99"/>
      <c r="AL29" s="99"/>
      <c r="AM29" s="99"/>
      <c r="AN29" s="99"/>
      <c r="AO29" s="99"/>
      <c r="AP29" s="93"/>
      <c r="AQ29" s="93"/>
    </row>
    <row r="30" spans="2:43" x14ac:dyDescent="0.25">
      <c r="B30" s="485" t="s">
        <v>165</v>
      </c>
      <c r="C30" s="146" t="e">
        <f t="shared" ref="C30:C42" si="8">AO30</f>
        <v>#DIV/0!</v>
      </c>
      <c r="D30" s="99"/>
      <c r="E30" s="99"/>
      <c r="F30" s="146" t="e">
        <f t="shared" ref="F30:AN30" si="9">F23+F26</f>
        <v>#DIV/0!</v>
      </c>
      <c r="G30" s="146" t="e">
        <f t="shared" si="9"/>
        <v>#DIV/0!</v>
      </c>
      <c r="H30" s="146" t="e">
        <f t="shared" si="9"/>
        <v>#DIV/0!</v>
      </c>
      <c r="I30" s="146" t="e">
        <f t="shared" si="9"/>
        <v>#DIV/0!</v>
      </c>
      <c r="J30" s="146" t="e">
        <f t="shared" si="9"/>
        <v>#DIV/0!</v>
      </c>
      <c r="K30" s="146" t="e">
        <f t="shared" si="9"/>
        <v>#DIV/0!</v>
      </c>
      <c r="L30" s="146" t="e">
        <f t="shared" si="9"/>
        <v>#DIV/0!</v>
      </c>
      <c r="M30" s="146" t="e">
        <f t="shared" si="9"/>
        <v>#DIV/0!</v>
      </c>
      <c r="N30" s="146" t="e">
        <f t="shared" si="9"/>
        <v>#DIV/0!</v>
      </c>
      <c r="O30" s="146" t="e">
        <f t="shared" si="9"/>
        <v>#DIV/0!</v>
      </c>
      <c r="P30" s="146" t="e">
        <f t="shared" si="9"/>
        <v>#DIV/0!</v>
      </c>
      <c r="Q30" s="146" t="e">
        <f t="shared" si="9"/>
        <v>#DIV/0!</v>
      </c>
      <c r="R30" s="146" t="e">
        <f t="shared" si="9"/>
        <v>#DIV/0!</v>
      </c>
      <c r="S30" s="146" t="e">
        <f t="shared" si="9"/>
        <v>#DIV/0!</v>
      </c>
      <c r="T30" s="146" t="e">
        <f t="shared" si="9"/>
        <v>#DIV/0!</v>
      </c>
      <c r="U30" s="146" t="e">
        <f t="shared" si="9"/>
        <v>#DIV/0!</v>
      </c>
      <c r="V30" s="146" t="e">
        <f t="shared" si="9"/>
        <v>#DIV/0!</v>
      </c>
      <c r="W30" s="146" t="e">
        <f t="shared" si="9"/>
        <v>#DIV/0!</v>
      </c>
      <c r="X30" s="146" t="e">
        <f t="shared" si="9"/>
        <v>#DIV/0!</v>
      </c>
      <c r="Y30" s="146" t="e">
        <f t="shared" si="9"/>
        <v>#DIV/0!</v>
      </c>
      <c r="Z30" s="146" t="e">
        <f t="shared" si="9"/>
        <v>#DIV/0!</v>
      </c>
      <c r="AA30" s="146" t="e">
        <f t="shared" si="9"/>
        <v>#DIV/0!</v>
      </c>
      <c r="AB30" s="146" t="e">
        <f t="shared" si="9"/>
        <v>#DIV/0!</v>
      </c>
      <c r="AC30" s="146" t="e">
        <f t="shared" si="9"/>
        <v>#DIV/0!</v>
      </c>
      <c r="AD30" s="146" t="e">
        <f t="shared" si="9"/>
        <v>#DIV/0!</v>
      </c>
      <c r="AE30" s="146" t="e">
        <f t="shared" si="9"/>
        <v>#DIV/0!</v>
      </c>
      <c r="AF30" s="146" t="e">
        <f t="shared" si="9"/>
        <v>#DIV/0!</v>
      </c>
      <c r="AG30" s="146" t="e">
        <f t="shared" si="9"/>
        <v>#DIV/0!</v>
      </c>
      <c r="AH30" s="146" t="e">
        <f t="shared" si="9"/>
        <v>#DIV/0!</v>
      </c>
      <c r="AI30" s="146" t="e">
        <f t="shared" si="9"/>
        <v>#DIV/0!</v>
      </c>
      <c r="AJ30" s="146" t="e">
        <f t="shared" si="9"/>
        <v>#DIV/0!</v>
      </c>
      <c r="AK30" s="146" t="e">
        <f t="shared" si="9"/>
        <v>#DIV/0!</v>
      </c>
      <c r="AL30" s="146" t="e">
        <f t="shared" si="9"/>
        <v>#DIV/0!</v>
      </c>
      <c r="AM30" s="146" t="e">
        <f t="shared" si="9"/>
        <v>#DIV/0!</v>
      </c>
      <c r="AN30" s="146" t="e">
        <f t="shared" si="9"/>
        <v>#DIV/0!</v>
      </c>
      <c r="AO30" s="146" t="e">
        <f>SUM(F30:AN30)</f>
        <v>#DIV/0!</v>
      </c>
      <c r="AP30" s="93"/>
      <c r="AQ30" s="93"/>
    </row>
    <row r="31" spans="2:43" x14ac:dyDescent="0.25">
      <c r="B31" s="485" t="s">
        <v>164</v>
      </c>
      <c r="C31" s="99"/>
      <c r="D31" s="99"/>
      <c r="E31" s="99"/>
      <c r="F31" s="99" t="e">
        <f>F30</f>
        <v>#DIV/0!</v>
      </c>
      <c r="G31" s="99" t="e">
        <f>F31+G30</f>
        <v>#DIV/0!</v>
      </c>
      <c r="H31" s="99" t="e">
        <f t="shared" ref="H31:AI31" si="10">G31+H30</f>
        <v>#DIV/0!</v>
      </c>
      <c r="I31" s="99" t="e">
        <f t="shared" si="10"/>
        <v>#DIV/0!</v>
      </c>
      <c r="J31" s="99" t="e">
        <f t="shared" si="10"/>
        <v>#DIV/0!</v>
      </c>
      <c r="K31" s="99" t="e">
        <f t="shared" si="10"/>
        <v>#DIV/0!</v>
      </c>
      <c r="L31" s="99" t="e">
        <f t="shared" si="10"/>
        <v>#DIV/0!</v>
      </c>
      <c r="M31" s="99" t="e">
        <f t="shared" si="10"/>
        <v>#DIV/0!</v>
      </c>
      <c r="N31" s="99" t="e">
        <f t="shared" si="10"/>
        <v>#DIV/0!</v>
      </c>
      <c r="O31" s="99" t="e">
        <f t="shared" si="10"/>
        <v>#DIV/0!</v>
      </c>
      <c r="P31" s="99" t="e">
        <f t="shared" si="10"/>
        <v>#DIV/0!</v>
      </c>
      <c r="Q31" s="99" t="e">
        <f t="shared" si="10"/>
        <v>#DIV/0!</v>
      </c>
      <c r="R31" s="99" t="e">
        <f t="shared" si="10"/>
        <v>#DIV/0!</v>
      </c>
      <c r="S31" s="99" t="e">
        <f t="shared" si="10"/>
        <v>#DIV/0!</v>
      </c>
      <c r="T31" s="99" t="e">
        <f t="shared" si="10"/>
        <v>#DIV/0!</v>
      </c>
      <c r="U31" s="99" t="e">
        <f t="shared" si="10"/>
        <v>#DIV/0!</v>
      </c>
      <c r="V31" s="99" t="e">
        <f t="shared" si="10"/>
        <v>#DIV/0!</v>
      </c>
      <c r="W31" s="99" t="e">
        <f t="shared" si="10"/>
        <v>#DIV/0!</v>
      </c>
      <c r="X31" s="99" t="e">
        <f t="shared" si="10"/>
        <v>#DIV/0!</v>
      </c>
      <c r="Y31" s="99" t="e">
        <f t="shared" si="10"/>
        <v>#DIV/0!</v>
      </c>
      <c r="Z31" s="99" t="e">
        <f t="shared" si="10"/>
        <v>#DIV/0!</v>
      </c>
      <c r="AA31" s="99" t="e">
        <f t="shared" si="10"/>
        <v>#DIV/0!</v>
      </c>
      <c r="AB31" s="99" t="e">
        <f t="shared" si="10"/>
        <v>#DIV/0!</v>
      </c>
      <c r="AC31" s="99" t="e">
        <f t="shared" si="10"/>
        <v>#DIV/0!</v>
      </c>
      <c r="AD31" s="99" t="e">
        <f t="shared" si="10"/>
        <v>#DIV/0!</v>
      </c>
      <c r="AE31" s="99" t="e">
        <f t="shared" si="10"/>
        <v>#DIV/0!</v>
      </c>
      <c r="AF31" s="99" t="e">
        <f t="shared" si="10"/>
        <v>#DIV/0!</v>
      </c>
      <c r="AG31" s="99" t="e">
        <f t="shared" si="10"/>
        <v>#DIV/0!</v>
      </c>
      <c r="AH31" s="99" t="e">
        <f t="shared" si="10"/>
        <v>#DIV/0!</v>
      </c>
      <c r="AI31" s="99" t="e">
        <f t="shared" si="10"/>
        <v>#DIV/0!</v>
      </c>
      <c r="AJ31" s="99" t="e">
        <f t="shared" ref="AJ31" si="11">AI31+AJ30</f>
        <v>#DIV/0!</v>
      </c>
      <c r="AK31" s="99" t="e">
        <f t="shared" ref="AK31" si="12">AJ31+AK30</f>
        <v>#DIV/0!</v>
      </c>
      <c r="AL31" s="99" t="e">
        <f t="shared" ref="AL31" si="13">AK31+AL30</f>
        <v>#DIV/0!</v>
      </c>
      <c r="AM31" s="99" t="e">
        <f t="shared" ref="AM31" si="14">AL31+AM30</f>
        <v>#DIV/0!</v>
      </c>
      <c r="AN31" s="99" t="e">
        <f t="shared" ref="AN31" si="15">AM31+AN30</f>
        <v>#DIV/0!</v>
      </c>
      <c r="AO31" s="99"/>
      <c r="AP31" s="93"/>
      <c r="AQ31" s="93"/>
    </row>
    <row r="32" spans="2:43" x14ac:dyDescent="0.25">
      <c r="B32" s="485"/>
      <c r="C32" s="99"/>
      <c r="D32" s="99"/>
      <c r="E32" s="99"/>
      <c r="F32" s="99"/>
      <c r="G32" s="99"/>
      <c r="H32" s="99"/>
      <c r="I32" s="99"/>
      <c r="J32" s="99"/>
      <c r="K32" s="99"/>
      <c r="L32" s="99"/>
      <c r="M32" s="99"/>
      <c r="N32" s="99"/>
      <c r="O32" s="99"/>
      <c r="P32" s="99"/>
      <c r="Q32" s="99"/>
      <c r="R32" s="99"/>
      <c r="S32" s="99"/>
      <c r="T32" s="99"/>
      <c r="U32" s="99"/>
      <c r="V32" s="99"/>
      <c r="W32" s="99"/>
      <c r="X32" s="99"/>
      <c r="Y32" s="99"/>
      <c r="Z32" s="99"/>
      <c r="AA32" s="99"/>
      <c r="AB32" s="99"/>
      <c r="AC32" s="99"/>
      <c r="AD32" s="99"/>
      <c r="AE32" s="99"/>
      <c r="AF32" s="99"/>
      <c r="AG32" s="99"/>
      <c r="AH32" s="99"/>
      <c r="AI32" s="99"/>
      <c r="AJ32" s="99"/>
      <c r="AK32" s="99"/>
      <c r="AL32" s="99"/>
      <c r="AM32" s="99"/>
      <c r="AN32" s="99"/>
      <c r="AO32" s="99"/>
      <c r="AP32" s="93"/>
      <c r="AQ32" s="93"/>
    </row>
    <row r="33" spans="1:45" x14ac:dyDescent="0.25">
      <c r="B33" s="485" t="s">
        <v>170</v>
      </c>
      <c r="C33" s="146">
        <f t="shared" ca="1" si="8"/>
        <v>0</v>
      </c>
      <c r="D33" s="99"/>
      <c r="E33" s="99"/>
      <c r="F33" s="146">
        <f ca="1">F34+F35+F36</f>
        <v>0</v>
      </c>
      <c r="G33" s="146">
        <f t="shared" ref="G33:AA33" ca="1" si="16">G34+G35+G36</f>
        <v>0</v>
      </c>
      <c r="H33" s="146">
        <f t="shared" ca="1" si="16"/>
        <v>0</v>
      </c>
      <c r="I33" s="146">
        <f t="shared" ca="1" si="16"/>
        <v>0</v>
      </c>
      <c r="J33" s="146">
        <f t="shared" ca="1" si="16"/>
        <v>0</v>
      </c>
      <c r="K33" s="146">
        <f t="shared" ca="1" si="16"/>
        <v>0</v>
      </c>
      <c r="L33" s="146">
        <f t="shared" ca="1" si="16"/>
        <v>0</v>
      </c>
      <c r="M33" s="146">
        <f t="shared" ca="1" si="16"/>
        <v>0</v>
      </c>
      <c r="N33" s="146">
        <f t="shared" ca="1" si="16"/>
        <v>0</v>
      </c>
      <c r="O33" s="146">
        <f t="shared" ca="1" si="16"/>
        <v>0</v>
      </c>
      <c r="P33" s="146">
        <f t="shared" ca="1" si="16"/>
        <v>0</v>
      </c>
      <c r="Q33" s="146">
        <f t="shared" ca="1" si="16"/>
        <v>0</v>
      </c>
      <c r="R33" s="146">
        <f t="shared" ca="1" si="16"/>
        <v>0</v>
      </c>
      <c r="S33" s="146">
        <f t="shared" ca="1" si="16"/>
        <v>0</v>
      </c>
      <c r="T33" s="146">
        <f t="shared" ca="1" si="16"/>
        <v>0</v>
      </c>
      <c r="U33" s="146">
        <f t="shared" ca="1" si="16"/>
        <v>0</v>
      </c>
      <c r="V33" s="146">
        <f t="shared" ca="1" si="16"/>
        <v>0</v>
      </c>
      <c r="W33" s="146">
        <f t="shared" ca="1" si="16"/>
        <v>0</v>
      </c>
      <c r="X33" s="146">
        <f t="shared" ca="1" si="16"/>
        <v>0</v>
      </c>
      <c r="Y33" s="146">
        <f t="shared" ca="1" si="16"/>
        <v>0</v>
      </c>
      <c r="Z33" s="146">
        <f t="shared" ca="1" si="16"/>
        <v>0</v>
      </c>
      <c r="AA33" s="146">
        <f t="shared" ca="1" si="16"/>
        <v>0</v>
      </c>
      <c r="AB33" s="146">
        <f t="shared" ref="AB33:AH33" ca="1" si="17">AB34+AB35+AB36</f>
        <v>0</v>
      </c>
      <c r="AC33" s="146">
        <f t="shared" ca="1" si="17"/>
        <v>0</v>
      </c>
      <c r="AD33" s="146">
        <f t="shared" ca="1" si="17"/>
        <v>0</v>
      </c>
      <c r="AE33" s="146">
        <f t="shared" ca="1" si="17"/>
        <v>0</v>
      </c>
      <c r="AF33" s="146">
        <f t="shared" ca="1" si="17"/>
        <v>0</v>
      </c>
      <c r="AG33" s="146">
        <f t="shared" ca="1" si="17"/>
        <v>0</v>
      </c>
      <c r="AH33" s="146">
        <f t="shared" ca="1" si="17"/>
        <v>0</v>
      </c>
      <c r="AI33" s="146">
        <f t="shared" ref="AI33:AN33" ca="1" si="18">AI34+AI35+AI36</f>
        <v>0</v>
      </c>
      <c r="AJ33" s="146">
        <f t="shared" ca="1" si="18"/>
        <v>0</v>
      </c>
      <c r="AK33" s="146">
        <f t="shared" ca="1" si="18"/>
        <v>0</v>
      </c>
      <c r="AL33" s="146">
        <f t="shared" ca="1" si="18"/>
        <v>0</v>
      </c>
      <c r="AM33" s="146">
        <f t="shared" ca="1" si="18"/>
        <v>0</v>
      </c>
      <c r="AN33" s="146">
        <f t="shared" ca="1" si="18"/>
        <v>0</v>
      </c>
      <c r="AO33" s="146">
        <f t="shared" ref="AO33:AO36" ca="1" si="19">SUM(F33:AN33)</f>
        <v>0</v>
      </c>
      <c r="AP33" s="93"/>
      <c r="AQ33" s="93"/>
    </row>
    <row r="34" spans="1:45" x14ac:dyDescent="0.25">
      <c r="B34" s="535" t="s">
        <v>481</v>
      </c>
      <c r="C34" s="146">
        <f t="shared" ca="1" si="8"/>
        <v>0</v>
      </c>
      <c r="D34" s="99"/>
      <c r="E34" s="99"/>
      <c r="F34" s="146">
        <f ca="1">'Financiamento '!D96</f>
        <v>0</v>
      </c>
      <c r="G34" s="146">
        <f ca="1">'Financiamento '!E96</f>
        <v>0</v>
      </c>
      <c r="H34" s="146">
        <f ca="1">'Financiamento '!F96</f>
        <v>0</v>
      </c>
      <c r="I34" s="146">
        <f ca="1">'Financiamento '!G96</f>
        <v>0</v>
      </c>
      <c r="J34" s="146">
        <f ca="1">'Financiamento '!H96</f>
        <v>0</v>
      </c>
      <c r="K34" s="146">
        <f ca="1">'Financiamento '!I96</f>
        <v>0</v>
      </c>
      <c r="L34" s="146">
        <f ca="1">'Financiamento '!J96</f>
        <v>0</v>
      </c>
      <c r="M34" s="146">
        <f ca="1">'Financiamento '!K96</f>
        <v>0</v>
      </c>
      <c r="N34" s="146">
        <f ca="1">'Financiamento '!L96</f>
        <v>0</v>
      </c>
      <c r="O34" s="146">
        <f ca="1">'Financiamento '!M96</f>
        <v>0</v>
      </c>
      <c r="P34" s="146">
        <f ca="1">'Financiamento '!N96</f>
        <v>0</v>
      </c>
      <c r="Q34" s="146">
        <f ca="1">'Financiamento '!O96</f>
        <v>0</v>
      </c>
      <c r="R34" s="146">
        <f ca="1">'Financiamento '!P96</f>
        <v>0</v>
      </c>
      <c r="S34" s="146">
        <f ca="1">'Financiamento '!Q96</f>
        <v>0</v>
      </c>
      <c r="T34" s="146">
        <f ca="1">'Financiamento '!R96</f>
        <v>0</v>
      </c>
      <c r="U34" s="146">
        <f ca="1">'Financiamento '!S96</f>
        <v>0</v>
      </c>
      <c r="V34" s="146">
        <f ca="1">'Financiamento '!T96</f>
        <v>0</v>
      </c>
      <c r="W34" s="146">
        <f ca="1">'Financiamento '!U96</f>
        <v>0</v>
      </c>
      <c r="X34" s="146">
        <f ca="1">'Financiamento '!V96</f>
        <v>0</v>
      </c>
      <c r="Y34" s="146">
        <f ca="1">'Financiamento '!W96</f>
        <v>0</v>
      </c>
      <c r="Z34" s="146">
        <f ca="1">'Financiamento '!X96</f>
        <v>0</v>
      </c>
      <c r="AA34" s="146">
        <f ca="1">'Financiamento '!Y96</f>
        <v>0</v>
      </c>
      <c r="AB34" s="146">
        <f ca="1">'Financiamento '!Z96</f>
        <v>0</v>
      </c>
      <c r="AC34" s="146">
        <f ca="1">'Financiamento '!AA96</f>
        <v>0</v>
      </c>
      <c r="AD34" s="146">
        <f ca="1">'Financiamento '!AB96</f>
        <v>0</v>
      </c>
      <c r="AE34" s="146">
        <f ca="1">'Financiamento '!AC96</f>
        <v>0</v>
      </c>
      <c r="AF34" s="146">
        <f ca="1">'Financiamento '!AD96</f>
        <v>0</v>
      </c>
      <c r="AG34" s="146">
        <f ca="1">'Financiamento '!AE96</f>
        <v>0</v>
      </c>
      <c r="AH34" s="146">
        <f>'Financiamento '!AF96</f>
        <v>0</v>
      </c>
      <c r="AI34" s="146">
        <f>'Financiamento '!AG96</f>
        <v>0</v>
      </c>
      <c r="AJ34" s="146">
        <f>'Financiamento '!AH96</f>
        <v>0</v>
      </c>
      <c r="AK34" s="146">
        <f>'Financiamento '!AI96</f>
        <v>0</v>
      </c>
      <c r="AL34" s="146">
        <f>'Financiamento '!AJ96</f>
        <v>0</v>
      </c>
      <c r="AM34" s="146">
        <f>'Financiamento '!AK96</f>
        <v>0</v>
      </c>
      <c r="AN34" s="146">
        <f>'Financiamento '!AL96</f>
        <v>0</v>
      </c>
      <c r="AO34" s="146">
        <f t="shared" ca="1" si="19"/>
        <v>0</v>
      </c>
      <c r="AP34" s="93"/>
      <c r="AQ34" s="93"/>
    </row>
    <row r="35" spans="1:45" x14ac:dyDescent="0.25">
      <c r="B35" s="535" t="s">
        <v>482</v>
      </c>
      <c r="C35" s="146">
        <f t="shared" ca="1" si="8"/>
        <v>0</v>
      </c>
      <c r="D35" s="99"/>
      <c r="E35" s="99"/>
      <c r="F35" s="146">
        <f ca="1">-('Financiamento '!D99+'Financiamento '!D100+'Financiamento '!D101)</f>
        <v>0</v>
      </c>
      <c r="G35" s="146">
        <f ca="1">-('Financiamento '!E99+'Financiamento '!E100+'Financiamento '!E101)</f>
        <v>0</v>
      </c>
      <c r="H35" s="146">
        <f ca="1">-('Financiamento '!F99+'Financiamento '!F100+'Financiamento '!F101)</f>
        <v>0</v>
      </c>
      <c r="I35" s="146">
        <f ca="1">-('Financiamento '!G99+'Financiamento '!G100+'Financiamento '!G101)</f>
        <v>0</v>
      </c>
      <c r="J35" s="146">
        <f ca="1">-('Financiamento '!H99+'Financiamento '!H100+'Financiamento '!H101)</f>
        <v>0</v>
      </c>
      <c r="K35" s="146">
        <f ca="1">-('Financiamento '!I99+'Financiamento '!I100+'Financiamento '!I101)</f>
        <v>0</v>
      </c>
      <c r="L35" s="146">
        <f ca="1">-('Financiamento '!J99+'Financiamento '!J100+'Financiamento '!J101)</f>
        <v>0</v>
      </c>
      <c r="M35" s="146">
        <f ca="1">-('Financiamento '!K99+'Financiamento '!K100+'Financiamento '!K101)</f>
        <v>0</v>
      </c>
      <c r="N35" s="146">
        <f ca="1">-('Financiamento '!L99+'Financiamento '!L100+'Financiamento '!L101)</f>
        <v>0</v>
      </c>
      <c r="O35" s="146">
        <f ca="1">-('Financiamento '!M99+'Financiamento '!M100+'Financiamento '!M101)</f>
        <v>0</v>
      </c>
      <c r="P35" s="146">
        <f ca="1">-('Financiamento '!N99+'Financiamento '!N100+'Financiamento '!N101)</f>
        <v>0</v>
      </c>
      <c r="Q35" s="146">
        <f ca="1">-('Financiamento '!O99+'Financiamento '!O100+'Financiamento '!O101)</f>
        <v>0</v>
      </c>
      <c r="R35" s="146">
        <f ca="1">-('Financiamento '!P99+'Financiamento '!P100+'Financiamento '!P101)</f>
        <v>0</v>
      </c>
      <c r="S35" s="146">
        <f ca="1">-('Financiamento '!Q99+'Financiamento '!Q100+'Financiamento '!Q101)</f>
        <v>0</v>
      </c>
      <c r="T35" s="146">
        <f ca="1">-('Financiamento '!R99+'Financiamento '!R100+'Financiamento '!R101)</f>
        <v>0</v>
      </c>
      <c r="U35" s="146">
        <f ca="1">-('Financiamento '!S99+'Financiamento '!S100+'Financiamento '!S101)</f>
        <v>0</v>
      </c>
      <c r="V35" s="146">
        <f ca="1">-('Financiamento '!T99+'Financiamento '!T100+'Financiamento '!T101)</f>
        <v>0</v>
      </c>
      <c r="W35" s="146">
        <f ca="1">-('Financiamento '!U99+'Financiamento '!U100+'Financiamento '!U101)</f>
        <v>0</v>
      </c>
      <c r="X35" s="146">
        <f ca="1">-('Financiamento '!V99+'Financiamento '!V100+'Financiamento '!V101)</f>
        <v>0</v>
      </c>
      <c r="Y35" s="146">
        <f ca="1">-('Financiamento '!W99+'Financiamento '!W100+'Financiamento '!W101)</f>
        <v>0</v>
      </c>
      <c r="Z35" s="146">
        <f ca="1">-('Financiamento '!X99+'Financiamento '!X100+'Financiamento '!X101)</f>
        <v>0</v>
      </c>
      <c r="AA35" s="146">
        <f ca="1">-('Financiamento '!Y99+'Financiamento '!Y100+'Financiamento '!Y101)</f>
        <v>0</v>
      </c>
      <c r="AB35" s="146">
        <f ca="1">-('Financiamento '!Z99+'Financiamento '!Z100+'Financiamento '!Z101)</f>
        <v>0</v>
      </c>
      <c r="AC35" s="146">
        <f ca="1">-('Financiamento '!AA99+'Financiamento '!AA100+'Financiamento '!AA101)</f>
        <v>0</v>
      </c>
      <c r="AD35" s="146">
        <f ca="1">-('Financiamento '!AB99+'Financiamento '!AB100+'Financiamento '!AB101)</f>
        <v>0</v>
      </c>
      <c r="AE35" s="146">
        <f ca="1">-('Financiamento '!AC99+'Financiamento '!AC100+'Financiamento '!AC101)</f>
        <v>0</v>
      </c>
      <c r="AF35" s="146">
        <f ca="1">-('Financiamento '!AD99+'Financiamento '!AD100+'Financiamento '!AD101)</f>
        <v>0</v>
      </c>
      <c r="AG35" s="146">
        <f ca="1">-('Financiamento '!AE99+'Financiamento '!AE100+'Financiamento '!AE101)</f>
        <v>0</v>
      </c>
      <c r="AH35" s="146">
        <f ca="1">-('Financiamento '!AF99+'Financiamento '!AF100+'Financiamento '!AF101)</f>
        <v>0</v>
      </c>
      <c r="AI35" s="146">
        <f ca="1">-('Financiamento '!AG99+'Financiamento '!AG100+'Financiamento '!AG101)</f>
        <v>0</v>
      </c>
      <c r="AJ35" s="146">
        <f ca="1">-('Financiamento '!AH99+'Financiamento '!AH100+'Financiamento '!AH101)</f>
        <v>0</v>
      </c>
      <c r="AK35" s="146">
        <f ca="1">-('Financiamento '!AI99+'Financiamento '!AI100+'Financiamento '!AI101)</f>
        <v>0</v>
      </c>
      <c r="AL35" s="146">
        <f ca="1">-('Financiamento '!AJ99+'Financiamento '!AJ100+'Financiamento '!AJ101)</f>
        <v>0</v>
      </c>
      <c r="AM35" s="146">
        <f ca="1">-('Financiamento '!AK99+'Financiamento '!AK100+'Financiamento '!AK101)</f>
        <v>0</v>
      </c>
      <c r="AN35" s="146">
        <f ca="1">-('Financiamento '!AL99+'Financiamento '!AL100+'Financiamento '!AL101)</f>
        <v>0</v>
      </c>
      <c r="AO35" s="146">
        <f t="shared" ca="1" si="19"/>
        <v>0</v>
      </c>
      <c r="AP35" s="93"/>
      <c r="AQ35" s="93"/>
    </row>
    <row r="36" spans="1:45" x14ac:dyDescent="0.25">
      <c r="B36" s="535" t="s">
        <v>171</v>
      </c>
      <c r="C36" s="146">
        <f t="shared" ca="1" si="8"/>
        <v>0</v>
      </c>
      <c r="D36" s="99"/>
      <c r="E36" s="99"/>
      <c r="F36" s="146">
        <f>-'Financiamento '!D102</f>
        <v>0</v>
      </c>
      <c r="G36" s="146">
        <f>-'Financiamento '!E102</f>
        <v>0</v>
      </c>
      <c r="H36" s="146">
        <f>-'Financiamento '!F102</f>
        <v>0</v>
      </c>
      <c r="I36" s="146">
        <f>-'Financiamento '!G102</f>
        <v>0</v>
      </c>
      <c r="J36" s="146">
        <f ca="1">-'Financiamento '!H102</f>
        <v>0</v>
      </c>
      <c r="K36" s="146">
        <f ca="1">-'Financiamento '!I102</f>
        <v>0</v>
      </c>
      <c r="L36" s="146">
        <f ca="1">-'Financiamento '!J102</f>
        <v>0</v>
      </c>
      <c r="M36" s="146">
        <f ca="1">-'Financiamento '!K102</f>
        <v>0</v>
      </c>
      <c r="N36" s="146">
        <f ca="1">-'Financiamento '!L102</f>
        <v>0</v>
      </c>
      <c r="O36" s="146">
        <f ca="1">-'Financiamento '!M102</f>
        <v>0</v>
      </c>
      <c r="P36" s="146">
        <f ca="1">-'Financiamento '!N102</f>
        <v>0</v>
      </c>
      <c r="Q36" s="146">
        <f ca="1">-'Financiamento '!O102</f>
        <v>0</v>
      </c>
      <c r="R36" s="146">
        <f ca="1">-'Financiamento '!P102</f>
        <v>0</v>
      </c>
      <c r="S36" s="146">
        <f ca="1">-'Financiamento '!Q102</f>
        <v>0</v>
      </c>
      <c r="T36" s="146">
        <f ca="1">-'Financiamento '!R102</f>
        <v>0</v>
      </c>
      <c r="U36" s="146">
        <f ca="1">-'Financiamento '!S102</f>
        <v>0</v>
      </c>
      <c r="V36" s="146">
        <f ca="1">-'Financiamento '!T102</f>
        <v>0</v>
      </c>
      <c r="W36" s="146">
        <f ca="1">-'Financiamento '!U102</f>
        <v>0</v>
      </c>
      <c r="X36" s="146">
        <f ca="1">-'Financiamento '!V102</f>
        <v>0</v>
      </c>
      <c r="Y36" s="146">
        <f ca="1">-'Financiamento '!W102</f>
        <v>0</v>
      </c>
      <c r="Z36" s="146">
        <f ca="1">-'Financiamento '!X102</f>
        <v>0</v>
      </c>
      <c r="AA36" s="146">
        <f ca="1">-'Financiamento '!Y102</f>
        <v>0</v>
      </c>
      <c r="AB36" s="146">
        <f ca="1">-'Financiamento '!Z102</f>
        <v>0</v>
      </c>
      <c r="AC36" s="146">
        <f ca="1">-'Financiamento '!AA102</f>
        <v>0</v>
      </c>
      <c r="AD36" s="146">
        <f ca="1">-'Financiamento '!AB102</f>
        <v>0</v>
      </c>
      <c r="AE36" s="146">
        <f ca="1">-'Financiamento '!AC102</f>
        <v>0</v>
      </c>
      <c r="AF36" s="146">
        <f ca="1">-'Financiamento '!AD102</f>
        <v>0</v>
      </c>
      <c r="AG36" s="146">
        <f ca="1">-'Financiamento '!AE102</f>
        <v>0</v>
      </c>
      <c r="AH36" s="146">
        <f ca="1">-'Financiamento '!AF102</f>
        <v>0</v>
      </c>
      <c r="AI36" s="146">
        <f ca="1">-'Financiamento '!AG102</f>
        <v>0</v>
      </c>
      <c r="AJ36" s="146">
        <f ca="1">-'Financiamento '!AH102</f>
        <v>0</v>
      </c>
      <c r="AK36" s="146">
        <f ca="1">-'Financiamento '!AI102</f>
        <v>0</v>
      </c>
      <c r="AL36" s="146">
        <f ca="1">-'Financiamento '!AJ102</f>
        <v>0</v>
      </c>
      <c r="AM36" s="146">
        <f ca="1">-'Financiamento '!AK102</f>
        <v>0</v>
      </c>
      <c r="AN36" s="146">
        <f ca="1">-'Financiamento '!AL102</f>
        <v>0</v>
      </c>
      <c r="AO36" s="146">
        <f t="shared" ca="1" si="19"/>
        <v>0</v>
      </c>
      <c r="AP36" s="93"/>
      <c r="AQ36" s="93"/>
    </row>
    <row r="37" spans="1:45" x14ac:dyDescent="0.25">
      <c r="B37" s="535"/>
      <c r="C37" s="99"/>
      <c r="D37" s="99"/>
      <c r="E37" s="99"/>
      <c r="F37" s="99"/>
      <c r="G37" s="99"/>
      <c r="H37" s="99"/>
      <c r="I37" s="99"/>
      <c r="J37" s="99"/>
      <c r="K37" s="99"/>
      <c r="L37" s="99"/>
      <c r="M37" s="99"/>
      <c r="N37" s="99"/>
      <c r="O37" s="99"/>
      <c r="P37" s="99"/>
      <c r="Q37" s="99"/>
      <c r="R37" s="99"/>
      <c r="S37" s="99"/>
      <c r="T37" s="99"/>
      <c r="U37" s="99"/>
      <c r="V37" s="99"/>
      <c r="W37" s="99"/>
      <c r="X37" s="99"/>
      <c r="Y37" s="99"/>
      <c r="Z37" s="99"/>
      <c r="AA37" s="99"/>
      <c r="AB37" s="99"/>
      <c r="AC37" s="99"/>
      <c r="AD37" s="99"/>
      <c r="AE37" s="99"/>
      <c r="AF37" s="99"/>
      <c r="AG37" s="99"/>
      <c r="AH37" s="99"/>
      <c r="AI37" s="99"/>
      <c r="AJ37" s="99"/>
      <c r="AK37" s="99"/>
      <c r="AL37" s="99"/>
      <c r="AM37" s="99"/>
      <c r="AN37" s="99"/>
      <c r="AO37" s="99"/>
      <c r="AP37" s="93"/>
      <c r="AQ37" s="93"/>
    </row>
    <row r="38" spans="1:45" x14ac:dyDescent="0.25">
      <c r="B38" s="485" t="s">
        <v>267</v>
      </c>
      <c r="C38" s="146" t="e">
        <f t="shared" ca="1" si="8"/>
        <v>#DIV/0!</v>
      </c>
      <c r="D38" s="99"/>
      <c r="E38" s="99"/>
      <c r="F38" s="146" t="e">
        <f t="shared" ref="F38:AN38" ca="1" si="20">F39+F40</f>
        <v>#DIV/0!</v>
      </c>
      <c r="G38" s="146" t="e">
        <f t="shared" ca="1" si="20"/>
        <v>#DIV/0!</v>
      </c>
      <c r="H38" s="146" t="e">
        <f t="shared" ca="1" si="20"/>
        <v>#DIV/0!</v>
      </c>
      <c r="I38" s="146" t="e">
        <f t="shared" ca="1" si="20"/>
        <v>#DIV/0!</v>
      </c>
      <c r="J38" s="146" t="e">
        <f t="shared" ca="1" si="20"/>
        <v>#DIV/0!</v>
      </c>
      <c r="K38" s="146" t="e">
        <f t="shared" ca="1" si="20"/>
        <v>#DIV/0!</v>
      </c>
      <c r="L38" s="146" t="e">
        <f t="shared" ca="1" si="20"/>
        <v>#DIV/0!</v>
      </c>
      <c r="M38" s="146" t="e">
        <f t="shared" ca="1" si="20"/>
        <v>#DIV/0!</v>
      </c>
      <c r="N38" s="146" t="e">
        <f t="shared" ca="1" si="20"/>
        <v>#DIV/0!</v>
      </c>
      <c r="O38" s="146" t="e">
        <f t="shared" ca="1" si="20"/>
        <v>#DIV/0!</v>
      </c>
      <c r="P38" s="146" t="e">
        <f t="shared" ca="1" si="20"/>
        <v>#DIV/0!</v>
      </c>
      <c r="Q38" s="146" t="e">
        <f t="shared" ca="1" si="20"/>
        <v>#DIV/0!</v>
      </c>
      <c r="R38" s="146" t="e">
        <f t="shared" ca="1" si="20"/>
        <v>#DIV/0!</v>
      </c>
      <c r="S38" s="146" t="e">
        <f t="shared" ca="1" si="20"/>
        <v>#DIV/0!</v>
      </c>
      <c r="T38" s="146" t="e">
        <f t="shared" ca="1" si="20"/>
        <v>#DIV/0!</v>
      </c>
      <c r="U38" s="146" t="e">
        <f t="shared" ca="1" si="20"/>
        <v>#DIV/0!</v>
      </c>
      <c r="V38" s="146" t="e">
        <f t="shared" ca="1" si="20"/>
        <v>#DIV/0!</v>
      </c>
      <c r="W38" s="146" t="e">
        <f t="shared" ca="1" si="20"/>
        <v>#DIV/0!</v>
      </c>
      <c r="X38" s="146" t="e">
        <f t="shared" ca="1" si="20"/>
        <v>#DIV/0!</v>
      </c>
      <c r="Y38" s="146" t="e">
        <f t="shared" ca="1" si="20"/>
        <v>#DIV/0!</v>
      </c>
      <c r="Z38" s="146" t="e">
        <f t="shared" ca="1" si="20"/>
        <v>#DIV/0!</v>
      </c>
      <c r="AA38" s="146" t="e">
        <f t="shared" ca="1" si="20"/>
        <v>#DIV/0!</v>
      </c>
      <c r="AB38" s="146" t="e">
        <f t="shared" ca="1" si="20"/>
        <v>#DIV/0!</v>
      </c>
      <c r="AC38" s="146" t="e">
        <f t="shared" ca="1" si="20"/>
        <v>#DIV/0!</v>
      </c>
      <c r="AD38" s="146" t="e">
        <f t="shared" ca="1" si="20"/>
        <v>#DIV/0!</v>
      </c>
      <c r="AE38" s="146" t="e">
        <f t="shared" ca="1" si="20"/>
        <v>#DIV/0!</v>
      </c>
      <c r="AF38" s="146" t="e">
        <f t="shared" ca="1" si="20"/>
        <v>#DIV/0!</v>
      </c>
      <c r="AG38" s="146" t="e">
        <f t="shared" ca="1" si="20"/>
        <v>#DIV/0!</v>
      </c>
      <c r="AH38" s="146" t="e">
        <f t="shared" ca="1" si="20"/>
        <v>#DIV/0!</v>
      </c>
      <c r="AI38" s="146" t="e">
        <f t="shared" ca="1" si="20"/>
        <v>#DIV/0!</v>
      </c>
      <c r="AJ38" s="146" t="e">
        <f t="shared" ca="1" si="20"/>
        <v>#DIV/0!</v>
      </c>
      <c r="AK38" s="146" t="e">
        <f t="shared" ca="1" si="20"/>
        <v>#DIV/0!</v>
      </c>
      <c r="AL38" s="146" t="e">
        <f t="shared" ca="1" si="20"/>
        <v>#DIV/0!</v>
      </c>
      <c r="AM38" s="146" t="e">
        <f t="shared" ca="1" si="20"/>
        <v>#DIV/0!</v>
      </c>
      <c r="AN38" s="146" t="e">
        <f t="shared" ca="1" si="20"/>
        <v>#DIV/0!</v>
      </c>
      <c r="AO38" s="146" t="e">
        <f t="shared" ref="AO38:AO40" ca="1" si="21">SUM(F38:AN38)</f>
        <v>#DIV/0!</v>
      </c>
      <c r="AP38" s="93"/>
      <c r="AQ38" s="93"/>
    </row>
    <row r="39" spans="1:45" x14ac:dyDescent="0.25">
      <c r="B39" s="535" t="s">
        <v>483</v>
      </c>
      <c r="C39" s="146">
        <f t="shared" ca="1" si="8"/>
        <v>0</v>
      </c>
      <c r="D39" s="99"/>
      <c r="E39" s="99"/>
      <c r="F39" s="146">
        <f ca="1">-(IF(F35&gt;240000,240000*15%+(F35-240000)*10%,F35*15%)+F35*9%)</f>
        <v>0</v>
      </c>
      <c r="G39" s="146">
        <f t="shared" ref="G39:AI39" ca="1" si="22">-(IF(G35&gt;240000,240000*15%+(G35-240000)*10%,G35*15%)+G35*9%)</f>
        <v>0</v>
      </c>
      <c r="H39" s="146">
        <f t="shared" ca="1" si="22"/>
        <v>0</v>
      </c>
      <c r="I39" s="146">
        <f t="shared" ca="1" si="22"/>
        <v>0</v>
      </c>
      <c r="J39" s="146">
        <f t="shared" ca="1" si="22"/>
        <v>0</v>
      </c>
      <c r="K39" s="146">
        <f t="shared" ca="1" si="22"/>
        <v>0</v>
      </c>
      <c r="L39" s="146">
        <f t="shared" ca="1" si="22"/>
        <v>0</v>
      </c>
      <c r="M39" s="146">
        <f t="shared" ca="1" si="22"/>
        <v>0</v>
      </c>
      <c r="N39" s="146">
        <f t="shared" ca="1" si="22"/>
        <v>0</v>
      </c>
      <c r="O39" s="146">
        <f t="shared" ca="1" si="22"/>
        <v>0</v>
      </c>
      <c r="P39" s="146">
        <f t="shared" ca="1" si="22"/>
        <v>0</v>
      </c>
      <c r="Q39" s="146">
        <f t="shared" ca="1" si="22"/>
        <v>0</v>
      </c>
      <c r="R39" s="146">
        <f t="shared" ca="1" si="22"/>
        <v>0</v>
      </c>
      <c r="S39" s="146">
        <f t="shared" ca="1" si="22"/>
        <v>0</v>
      </c>
      <c r="T39" s="146">
        <f t="shared" ca="1" si="22"/>
        <v>0</v>
      </c>
      <c r="U39" s="146">
        <f t="shared" ca="1" si="22"/>
        <v>0</v>
      </c>
      <c r="V39" s="146">
        <f t="shared" ca="1" si="22"/>
        <v>0</v>
      </c>
      <c r="W39" s="146">
        <f t="shared" ca="1" si="22"/>
        <v>0</v>
      </c>
      <c r="X39" s="146">
        <f t="shared" ca="1" si="22"/>
        <v>0</v>
      </c>
      <c r="Y39" s="146">
        <f t="shared" ca="1" si="22"/>
        <v>0</v>
      </c>
      <c r="Z39" s="146">
        <f t="shared" ca="1" si="22"/>
        <v>0</v>
      </c>
      <c r="AA39" s="146">
        <f t="shared" ca="1" si="22"/>
        <v>0</v>
      </c>
      <c r="AB39" s="146">
        <f t="shared" ca="1" si="22"/>
        <v>0</v>
      </c>
      <c r="AC39" s="146">
        <f t="shared" ca="1" si="22"/>
        <v>0</v>
      </c>
      <c r="AD39" s="146">
        <f t="shared" ca="1" si="22"/>
        <v>0</v>
      </c>
      <c r="AE39" s="146">
        <f t="shared" ca="1" si="22"/>
        <v>0</v>
      </c>
      <c r="AF39" s="146">
        <f t="shared" ca="1" si="22"/>
        <v>0</v>
      </c>
      <c r="AG39" s="146">
        <f t="shared" ca="1" si="22"/>
        <v>0</v>
      </c>
      <c r="AH39" s="146">
        <f t="shared" ca="1" si="22"/>
        <v>0</v>
      </c>
      <c r="AI39" s="146">
        <f t="shared" ca="1" si="22"/>
        <v>0</v>
      </c>
      <c r="AJ39" s="146">
        <f t="shared" ref="AJ39:AN39" ca="1" si="23">-(IF(AJ35&gt;240000,240000*15%+(AJ35-240000)*10%,AJ35*15%)+AJ35*9%)</f>
        <v>0</v>
      </c>
      <c r="AK39" s="146">
        <f t="shared" ca="1" si="23"/>
        <v>0</v>
      </c>
      <c r="AL39" s="146">
        <f t="shared" ca="1" si="23"/>
        <v>0</v>
      </c>
      <c r="AM39" s="146">
        <f t="shared" ca="1" si="23"/>
        <v>0</v>
      </c>
      <c r="AN39" s="146">
        <f t="shared" ca="1" si="23"/>
        <v>0</v>
      </c>
      <c r="AO39" s="146">
        <f t="shared" ca="1" si="21"/>
        <v>0</v>
      </c>
      <c r="AP39" s="93"/>
      <c r="AQ39" s="93"/>
    </row>
    <row r="40" spans="1:45" x14ac:dyDescent="0.25">
      <c r="B40" s="535" t="s">
        <v>638</v>
      </c>
      <c r="C40" s="146" t="e">
        <f t="shared" si="8"/>
        <v>#DIV/0!</v>
      </c>
      <c r="D40" s="99"/>
      <c r="E40" s="99"/>
      <c r="F40" s="146" t="e">
        <f>-(IF((F27)&gt;240000,240000*15%+((+F27)-240000)*10%,(+F27)*15%)+(+F27)*9%)</f>
        <v>#DIV/0!</v>
      </c>
      <c r="G40" s="146" t="e">
        <f t="shared" ref="G40:AN40" si="24">-(IF((G27)&gt;240000,240000*15%+((+G27)-240000)*10%,(+G27)*15%)+(+G27)*9%)</f>
        <v>#DIV/0!</v>
      </c>
      <c r="H40" s="146" t="e">
        <f t="shared" si="24"/>
        <v>#DIV/0!</v>
      </c>
      <c r="I40" s="146" t="e">
        <f t="shared" si="24"/>
        <v>#DIV/0!</v>
      </c>
      <c r="J40" s="146" t="e">
        <f t="shared" si="24"/>
        <v>#DIV/0!</v>
      </c>
      <c r="K40" s="146" t="e">
        <f t="shared" si="24"/>
        <v>#DIV/0!</v>
      </c>
      <c r="L40" s="146" t="e">
        <f t="shared" si="24"/>
        <v>#DIV/0!</v>
      </c>
      <c r="M40" s="146" t="e">
        <f t="shared" si="24"/>
        <v>#DIV/0!</v>
      </c>
      <c r="N40" s="146" t="e">
        <f t="shared" si="24"/>
        <v>#DIV/0!</v>
      </c>
      <c r="O40" s="146" t="e">
        <f t="shared" si="24"/>
        <v>#DIV/0!</v>
      </c>
      <c r="P40" s="146" t="e">
        <f t="shared" si="24"/>
        <v>#DIV/0!</v>
      </c>
      <c r="Q40" s="146" t="e">
        <f t="shared" si="24"/>
        <v>#DIV/0!</v>
      </c>
      <c r="R40" s="146" t="e">
        <f t="shared" si="24"/>
        <v>#DIV/0!</v>
      </c>
      <c r="S40" s="146" t="e">
        <f t="shared" si="24"/>
        <v>#DIV/0!</v>
      </c>
      <c r="T40" s="146" t="e">
        <f t="shared" si="24"/>
        <v>#DIV/0!</v>
      </c>
      <c r="U40" s="146" t="e">
        <f t="shared" si="24"/>
        <v>#DIV/0!</v>
      </c>
      <c r="V40" s="146" t="e">
        <f t="shared" si="24"/>
        <v>#DIV/0!</v>
      </c>
      <c r="W40" s="146" t="e">
        <f t="shared" si="24"/>
        <v>#DIV/0!</v>
      </c>
      <c r="X40" s="146" t="e">
        <f t="shared" si="24"/>
        <v>#DIV/0!</v>
      </c>
      <c r="Y40" s="146" t="e">
        <f t="shared" si="24"/>
        <v>#DIV/0!</v>
      </c>
      <c r="Z40" s="146" t="e">
        <f t="shared" si="24"/>
        <v>#DIV/0!</v>
      </c>
      <c r="AA40" s="146" t="e">
        <f t="shared" si="24"/>
        <v>#DIV/0!</v>
      </c>
      <c r="AB40" s="146" t="e">
        <f t="shared" si="24"/>
        <v>#DIV/0!</v>
      </c>
      <c r="AC40" s="146" t="e">
        <f t="shared" si="24"/>
        <v>#DIV/0!</v>
      </c>
      <c r="AD40" s="146" t="e">
        <f t="shared" si="24"/>
        <v>#DIV/0!</v>
      </c>
      <c r="AE40" s="146" t="e">
        <f t="shared" si="24"/>
        <v>#DIV/0!</v>
      </c>
      <c r="AF40" s="146" t="e">
        <f t="shared" si="24"/>
        <v>#DIV/0!</v>
      </c>
      <c r="AG40" s="146" t="e">
        <f t="shared" si="24"/>
        <v>#DIV/0!</v>
      </c>
      <c r="AH40" s="146" t="e">
        <f t="shared" si="24"/>
        <v>#DIV/0!</v>
      </c>
      <c r="AI40" s="146" t="e">
        <f t="shared" si="24"/>
        <v>#DIV/0!</v>
      </c>
      <c r="AJ40" s="146" t="e">
        <f t="shared" si="24"/>
        <v>#DIV/0!</v>
      </c>
      <c r="AK40" s="146" t="e">
        <f t="shared" si="24"/>
        <v>#DIV/0!</v>
      </c>
      <c r="AL40" s="146" t="e">
        <f t="shared" si="24"/>
        <v>#DIV/0!</v>
      </c>
      <c r="AM40" s="146" t="e">
        <f t="shared" si="24"/>
        <v>#DIV/0!</v>
      </c>
      <c r="AN40" s="146" t="e">
        <f t="shared" si="24"/>
        <v>#DIV/0!</v>
      </c>
      <c r="AO40" s="146" t="e">
        <f t="shared" si="21"/>
        <v>#DIV/0!</v>
      </c>
      <c r="AP40" s="93"/>
      <c r="AQ40" s="93"/>
    </row>
    <row r="41" spans="1:45" x14ac:dyDescent="0.25">
      <c r="B41" s="535"/>
      <c r="C41" s="99"/>
      <c r="D41" s="99"/>
      <c r="E41" s="99"/>
      <c r="F41" s="99"/>
      <c r="G41" s="99"/>
      <c r="H41" s="99"/>
      <c r="I41" s="99"/>
      <c r="J41" s="99"/>
      <c r="K41" s="99"/>
      <c r="L41" s="99"/>
      <c r="M41" s="99"/>
      <c r="N41" s="99"/>
      <c r="O41" s="99"/>
      <c r="P41" s="99"/>
      <c r="Q41" s="99"/>
      <c r="R41" s="99"/>
      <c r="S41" s="99"/>
      <c r="T41" s="99"/>
      <c r="U41" s="99"/>
      <c r="V41" s="99"/>
      <c r="W41" s="99"/>
      <c r="X41" s="99"/>
      <c r="Y41" s="99"/>
      <c r="Z41" s="99"/>
      <c r="AA41" s="99"/>
      <c r="AB41" s="99"/>
      <c r="AC41" s="99"/>
      <c r="AD41" s="99"/>
      <c r="AE41" s="99"/>
      <c r="AF41" s="99"/>
      <c r="AG41" s="99"/>
      <c r="AH41" s="99"/>
      <c r="AI41" s="99"/>
      <c r="AJ41" s="99"/>
      <c r="AK41" s="99"/>
      <c r="AL41" s="99"/>
      <c r="AM41" s="99"/>
      <c r="AN41" s="99"/>
      <c r="AO41" s="99"/>
      <c r="AP41" s="93"/>
      <c r="AQ41" s="93"/>
    </row>
    <row r="42" spans="1:45" x14ac:dyDescent="0.25">
      <c r="B42" s="485" t="s">
        <v>271</v>
      </c>
      <c r="C42" s="146" t="e">
        <f t="shared" si="8"/>
        <v>#DIV/0!</v>
      </c>
      <c r="D42" s="99"/>
      <c r="E42" s="99"/>
      <c r="F42" s="146" t="e">
        <f t="shared" ref="F42:AN42" si="25">-IF(F23&lt;0,0,F23*$J$14)</f>
        <v>#DIV/0!</v>
      </c>
      <c r="G42" s="146" t="e">
        <f t="shared" si="25"/>
        <v>#DIV/0!</v>
      </c>
      <c r="H42" s="146" t="e">
        <f t="shared" si="25"/>
        <v>#DIV/0!</v>
      </c>
      <c r="I42" s="146" t="e">
        <f t="shared" si="25"/>
        <v>#DIV/0!</v>
      </c>
      <c r="J42" s="146" t="e">
        <f t="shared" si="25"/>
        <v>#DIV/0!</v>
      </c>
      <c r="K42" s="146" t="e">
        <f t="shared" si="25"/>
        <v>#DIV/0!</v>
      </c>
      <c r="L42" s="146" t="e">
        <f t="shared" si="25"/>
        <v>#DIV/0!</v>
      </c>
      <c r="M42" s="146" t="e">
        <f t="shared" si="25"/>
        <v>#DIV/0!</v>
      </c>
      <c r="N42" s="146" t="e">
        <f t="shared" si="25"/>
        <v>#DIV/0!</v>
      </c>
      <c r="O42" s="146" t="e">
        <f t="shared" si="25"/>
        <v>#DIV/0!</v>
      </c>
      <c r="P42" s="146" t="e">
        <f t="shared" si="25"/>
        <v>#DIV/0!</v>
      </c>
      <c r="Q42" s="146" t="e">
        <f t="shared" si="25"/>
        <v>#DIV/0!</v>
      </c>
      <c r="R42" s="146" t="e">
        <f t="shared" si="25"/>
        <v>#DIV/0!</v>
      </c>
      <c r="S42" s="146" t="e">
        <f t="shared" si="25"/>
        <v>#DIV/0!</v>
      </c>
      <c r="T42" s="146" t="e">
        <f t="shared" si="25"/>
        <v>#DIV/0!</v>
      </c>
      <c r="U42" s="146" t="e">
        <f t="shared" si="25"/>
        <v>#DIV/0!</v>
      </c>
      <c r="V42" s="146" t="e">
        <f t="shared" si="25"/>
        <v>#DIV/0!</v>
      </c>
      <c r="W42" s="146" t="e">
        <f t="shared" si="25"/>
        <v>#DIV/0!</v>
      </c>
      <c r="X42" s="146" t="e">
        <f t="shared" si="25"/>
        <v>#DIV/0!</v>
      </c>
      <c r="Y42" s="146" t="e">
        <f t="shared" si="25"/>
        <v>#DIV/0!</v>
      </c>
      <c r="Z42" s="146" t="e">
        <f t="shared" si="25"/>
        <v>#DIV/0!</v>
      </c>
      <c r="AA42" s="146" t="e">
        <f t="shared" si="25"/>
        <v>#DIV/0!</v>
      </c>
      <c r="AB42" s="146" t="e">
        <f t="shared" si="25"/>
        <v>#DIV/0!</v>
      </c>
      <c r="AC42" s="146" t="e">
        <f t="shared" si="25"/>
        <v>#DIV/0!</v>
      </c>
      <c r="AD42" s="146" t="e">
        <f t="shared" si="25"/>
        <v>#DIV/0!</v>
      </c>
      <c r="AE42" s="146" t="e">
        <f t="shared" si="25"/>
        <v>#DIV/0!</v>
      </c>
      <c r="AF42" s="146" t="e">
        <f t="shared" si="25"/>
        <v>#DIV/0!</v>
      </c>
      <c r="AG42" s="146" t="e">
        <f t="shared" si="25"/>
        <v>#DIV/0!</v>
      </c>
      <c r="AH42" s="146" t="e">
        <f t="shared" si="25"/>
        <v>#DIV/0!</v>
      </c>
      <c r="AI42" s="146" t="e">
        <f t="shared" si="25"/>
        <v>#DIV/0!</v>
      </c>
      <c r="AJ42" s="146" t="e">
        <f t="shared" si="25"/>
        <v>#DIV/0!</v>
      </c>
      <c r="AK42" s="146" t="e">
        <f t="shared" si="25"/>
        <v>#DIV/0!</v>
      </c>
      <c r="AL42" s="146" t="e">
        <f t="shared" si="25"/>
        <v>#DIV/0!</v>
      </c>
      <c r="AM42" s="146" t="e">
        <f t="shared" si="25"/>
        <v>#DIV/0!</v>
      </c>
      <c r="AN42" s="146" t="e">
        <f t="shared" si="25"/>
        <v>#DIV/0!</v>
      </c>
      <c r="AO42" s="146" t="e">
        <f>SUM(F42:AN42)</f>
        <v>#DIV/0!</v>
      </c>
      <c r="AP42" s="93"/>
      <c r="AQ42" s="93"/>
    </row>
    <row r="43" spans="1:45" x14ac:dyDescent="0.25">
      <c r="B43" s="535"/>
      <c r="C43" s="99"/>
      <c r="D43" s="99"/>
      <c r="E43" s="99"/>
      <c r="F43" s="99"/>
      <c r="G43" s="99"/>
      <c r="H43" s="99"/>
      <c r="I43" s="99"/>
      <c r="J43" s="99"/>
      <c r="K43" s="99"/>
      <c r="L43" s="99"/>
      <c r="M43" s="99"/>
      <c r="N43" s="99"/>
      <c r="O43" s="99"/>
      <c r="P43" s="99"/>
      <c r="Q43" s="99"/>
      <c r="R43" s="99"/>
      <c r="S43" s="99"/>
      <c r="T43" s="99"/>
      <c r="U43" s="99"/>
      <c r="V43" s="99"/>
      <c r="W43" s="99"/>
      <c r="X43" s="99"/>
      <c r="Y43" s="99"/>
      <c r="Z43" s="99"/>
      <c r="AA43" s="99"/>
      <c r="AB43" s="99"/>
      <c r="AC43" s="99"/>
      <c r="AD43" s="99"/>
      <c r="AE43" s="99"/>
      <c r="AF43" s="99"/>
      <c r="AG43" s="99"/>
      <c r="AH43" s="99"/>
      <c r="AI43" s="99"/>
      <c r="AJ43" s="99"/>
      <c r="AK43" s="99"/>
      <c r="AL43" s="99"/>
      <c r="AM43" s="99"/>
      <c r="AN43" s="99"/>
      <c r="AO43" s="490"/>
      <c r="AP43" s="93"/>
      <c r="AQ43" s="93"/>
    </row>
    <row r="44" spans="1:45" s="18" customFormat="1" x14ac:dyDescent="0.25">
      <c r="A44" s="66"/>
      <c r="B44" s="536"/>
      <c r="C44" s="537"/>
      <c r="D44" s="537"/>
      <c r="E44" s="537"/>
      <c r="F44" s="537"/>
      <c r="G44" s="537"/>
      <c r="H44" s="537"/>
      <c r="I44" s="537"/>
      <c r="J44" s="537"/>
      <c r="K44" s="537"/>
      <c r="L44" s="537"/>
      <c r="M44" s="537"/>
      <c r="N44" s="537"/>
      <c r="O44" s="537"/>
      <c r="P44" s="537"/>
      <c r="Q44" s="537"/>
      <c r="R44" s="537"/>
      <c r="S44" s="537"/>
      <c r="T44" s="537"/>
      <c r="U44" s="537"/>
      <c r="V44" s="537"/>
      <c r="W44" s="537"/>
      <c r="X44" s="537"/>
      <c r="Y44" s="537"/>
      <c r="Z44" s="537"/>
      <c r="AA44" s="537"/>
      <c r="AB44" s="537"/>
      <c r="AC44" s="537"/>
      <c r="AD44" s="537"/>
      <c r="AE44" s="537"/>
      <c r="AF44" s="537"/>
      <c r="AG44" s="537"/>
      <c r="AH44" s="537"/>
      <c r="AI44" s="537"/>
      <c r="AJ44" s="537"/>
      <c r="AK44" s="537"/>
      <c r="AL44" s="537"/>
      <c r="AM44" s="537"/>
      <c r="AN44" s="537"/>
      <c r="AO44" s="538"/>
      <c r="AP44" s="75"/>
      <c r="AQ44" s="75"/>
      <c r="AR44" s="23"/>
      <c r="AS44" s="28"/>
    </row>
    <row r="45" spans="1:45" s="18" customFormat="1" x14ac:dyDescent="0.25">
      <c r="A45" s="66"/>
      <c r="B45" s="517" t="s">
        <v>257</v>
      </c>
      <c r="C45" s="517"/>
      <c r="D45" s="518" t="e">
        <f ca="1">MATCH(0,F45:AN45,1)+1</f>
        <v>#N/A</v>
      </c>
      <c r="E45" s="517"/>
      <c r="F45" s="519" t="e">
        <f t="shared" ref="F45:AN45" ca="1" si="26">F22+F26+F33+F38+F42</f>
        <v>#DIV/0!</v>
      </c>
      <c r="G45" s="519" t="e">
        <f t="shared" ca="1" si="26"/>
        <v>#DIV/0!</v>
      </c>
      <c r="H45" s="519" t="e">
        <f t="shared" ca="1" si="26"/>
        <v>#DIV/0!</v>
      </c>
      <c r="I45" s="519" t="e">
        <f t="shared" ca="1" si="26"/>
        <v>#DIV/0!</v>
      </c>
      <c r="J45" s="519" t="e">
        <f t="shared" ca="1" si="26"/>
        <v>#DIV/0!</v>
      </c>
      <c r="K45" s="519" t="e">
        <f t="shared" ca="1" si="26"/>
        <v>#DIV/0!</v>
      </c>
      <c r="L45" s="519" t="e">
        <f t="shared" ca="1" si="26"/>
        <v>#DIV/0!</v>
      </c>
      <c r="M45" s="519" t="e">
        <f t="shared" ca="1" si="26"/>
        <v>#DIV/0!</v>
      </c>
      <c r="N45" s="519" t="e">
        <f t="shared" ca="1" si="26"/>
        <v>#DIV/0!</v>
      </c>
      <c r="O45" s="519" t="e">
        <f t="shared" ca="1" si="26"/>
        <v>#DIV/0!</v>
      </c>
      <c r="P45" s="519" t="e">
        <f t="shared" ca="1" si="26"/>
        <v>#DIV/0!</v>
      </c>
      <c r="Q45" s="519" t="e">
        <f t="shared" ca="1" si="26"/>
        <v>#DIV/0!</v>
      </c>
      <c r="R45" s="519" t="e">
        <f t="shared" ca="1" si="26"/>
        <v>#DIV/0!</v>
      </c>
      <c r="S45" s="519" t="e">
        <f t="shared" ca="1" si="26"/>
        <v>#DIV/0!</v>
      </c>
      <c r="T45" s="519" t="e">
        <f t="shared" ca="1" si="26"/>
        <v>#DIV/0!</v>
      </c>
      <c r="U45" s="519" t="e">
        <f t="shared" ca="1" si="26"/>
        <v>#DIV/0!</v>
      </c>
      <c r="V45" s="519" t="e">
        <f t="shared" ca="1" si="26"/>
        <v>#DIV/0!</v>
      </c>
      <c r="W45" s="519" t="e">
        <f t="shared" ca="1" si="26"/>
        <v>#DIV/0!</v>
      </c>
      <c r="X45" s="519" t="e">
        <f t="shared" ca="1" si="26"/>
        <v>#DIV/0!</v>
      </c>
      <c r="Y45" s="519" t="e">
        <f t="shared" ca="1" si="26"/>
        <v>#DIV/0!</v>
      </c>
      <c r="Z45" s="519" t="e">
        <f t="shared" ca="1" si="26"/>
        <v>#DIV/0!</v>
      </c>
      <c r="AA45" s="519" t="e">
        <f t="shared" ca="1" si="26"/>
        <v>#DIV/0!</v>
      </c>
      <c r="AB45" s="519" t="e">
        <f t="shared" ca="1" si="26"/>
        <v>#DIV/0!</v>
      </c>
      <c r="AC45" s="519" t="e">
        <f t="shared" ca="1" si="26"/>
        <v>#DIV/0!</v>
      </c>
      <c r="AD45" s="519" t="e">
        <f t="shared" ca="1" si="26"/>
        <v>#DIV/0!</v>
      </c>
      <c r="AE45" s="519" t="e">
        <f t="shared" ca="1" si="26"/>
        <v>#DIV/0!</v>
      </c>
      <c r="AF45" s="519" t="e">
        <f t="shared" ca="1" si="26"/>
        <v>#DIV/0!</v>
      </c>
      <c r="AG45" s="519" t="e">
        <f t="shared" ca="1" si="26"/>
        <v>#DIV/0!</v>
      </c>
      <c r="AH45" s="519" t="e">
        <f t="shared" ca="1" si="26"/>
        <v>#DIV/0!</v>
      </c>
      <c r="AI45" s="519" t="e">
        <f t="shared" ca="1" si="26"/>
        <v>#DIV/0!</v>
      </c>
      <c r="AJ45" s="519" t="e">
        <f t="shared" ca="1" si="26"/>
        <v>#DIV/0!</v>
      </c>
      <c r="AK45" s="519" t="e">
        <f t="shared" ca="1" si="26"/>
        <v>#DIV/0!</v>
      </c>
      <c r="AL45" s="519" t="e">
        <f t="shared" ca="1" si="26"/>
        <v>#DIV/0!</v>
      </c>
      <c r="AM45" s="519" t="e">
        <f t="shared" ca="1" si="26"/>
        <v>#DIV/0!</v>
      </c>
      <c r="AN45" s="519" t="e">
        <f t="shared" ca="1" si="26"/>
        <v>#DIV/0!</v>
      </c>
      <c r="AO45" s="516" t="e">
        <f ca="1">SUM(F45:AN45)</f>
        <v>#DIV/0!</v>
      </c>
      <c r="AP45" s="361" t="e">
        <f ca="1">AO45-D16</f>
        <v>#DIV/0!</v>
      </c>
      <c r="AQ45" s="362"/>
      <c r="AR45" s="34"/>
      <c r="AS45" s="28"/>
    </row>
    <row r="46" spans="1:45" s="18" customFormat="1" x14ac:dyDescent="0.25">
      <c r="A46" s="66"/>
      <c r="B46" s="517" t="s">
        <v>268</v>
      </c>
      <c r="C46" s="517"/>
      <c r="D46" s="518" t="e">
        <f ca="1">MATCH(0,F46:AN46,1)+1</f>
        <v>#N/A</v>
      </c>
      <c r="E46" s="517"/>
      <c r="F46" s="519" t="e">
        <f ca="1">F45</f>
        <v>#DIV/0!</v>
      </c>
      <c r="G46" s="519" t="e">
        <f ca="1">F46+G45</f>
        <v>#DIV/0!</v>
      </c>
      <c r="H46" s="519" t="e">
        <f t="shared" ref="H46:AI46" ca="1" si="27">G46+H45</f>
        <v>#DIV/0!</v>
      </c>
      <c r="I46" s="519" t="e">
        <f t="shared" ca="1" si="27"/>
        <v>#DIV/0!</v>
      </c>
      <c r="J46" s="519" t="e">
        <f t="shared" ca="1" si="27"/>
        <v>#DIV/0!</v>
      </c>
      <c r="K46" s="519" t="e">
        <f t="shared" ca="1" si="27"/>
        <v>#DIV/0!</v>
      </c>
      <c r="L46" s="519" t="e">
        <f t="shared" ca="1" si="27"/>
        <v>#DIV/0!</v>
      </c>
      <c r="M46" s="519" t="e">
        <f t="shared" ca="1" si="27"/>
        <v>#DIV/0!</v>
      </c>
      <c r="N46" s="519" t="e">
        <f t="shared" ca="1" si="27"/>
        <v>#DIV/0!</v>
      </c>
      <c r="O46" s="519" t="e">
        <f t="shared" ca="1" si="27"/>
        <v>#DIV/0!</v>
      </c>
      <c r="P46" s="519" t="e">
        <f t="shared" ca="1" si="27"/>
        <v>#DIV/0!</v>
      </c>
      <c r="Q46" s="519" t="e">
        <f t="shared" ca="1" si="27"/>
        <v>#DIV/0!</v>
      </c>
      <c r="R46" s="519" t="e">
        <f t="shared" ca="1" si="27"/>
        <v>#DIV/0!</v>
      </c>
      <c r="S46" s="519" t="e">
        <f t="shared" ca="1" si="27"/>
        <v>#DIV/0!</v>
      </c>
      <c r="T46" s="519" t="e">
        <f t="shared" ca="1" si="27"/>
        <v>#DIV/0!</v>
      </c>
      <c r="U46" s="519" t="e">
        <f t="shared" ca="1" si="27"/>
        <v>#DIV/0!</v>
      </c>
      <c r="V46" s="519" t="e">
        <f t="shared" ca="1" si="27"/>
        <v>#DIV/0!</v>
      </c>
      <c r="W46" s="519" t="e">
        <f t="shared" ca="1" si="27"/>
        <v>#DIV/0!</v>
      </c>
      <c r="X46" s="519" t="e">
        <f t="shared" ca="1" si="27"/>
        <v>#DIV/0!</v>
      </c>
      <c r="Y46" s="519" t="e">
        <f t="shared" ca="1" si="27"/>
        <v>#DIV/0!</v>
      </c>
      <c r="Z46" s="519" t="e">
        <f t="shared" ca="1" si="27"/>
        <v>#DIV/0!</v>
      </c>
      <c r="AA46" s="519" t="e">
        <f t="shared" ca="1" si="27"/>
        <v>#DIV/0!</v>
      </c>
      <c r="AB46" s="519" t="e">
        <f t="shared" ca="1" si="27"/>
        <v>#DIV/0!</v>
      </c>
      <c r="AC46" s="519" t="e">
        <f t="shared" ca="1" si="27"/>
        <v>#DIV/0!</v>
      </c>
      <c r="AD46" s="519" t="e">
        <f t="shared" ca="1" si="27"/>
        <v>#DIV/0!</v>
      </c>
      <c r="AE46" s="519" t="e">
        <f t="shared" ca="1" si="27"/>
        <v>#DIV/0!</v>
      </c>
      <c r="AF46" s="519" t="e">
        <f t="shared" ca="1" si="27"/>
        <v>#DIV/0!</v>
      </c>
      <c r="AG46" s="519" t="e">
        <f t="shared" ca="1" si="27"/>
        <v>#DIV/0!</v>
      </c>
      <c r="AH46" s="519" t="e">
        <f t="shared" ca="1" si="27"/>
        <v>#DIV/0!</v>
      </c>
      <c r="AI46" s="519" t="e">
        <f t="shared" ca="1" si="27"/>
        <v>#DIV/0!</v>
      </c>
      <c r="AJ46" s="519" t="e">
        <f t="shared" ref="AJ46" ca="1" si="28">AI46+AJ45</f>
        <v>#DIV/0!</v>
      </c>
      <c r="AK46" s="519" t="e">
        <f t="shared" ref="AK46" ca="1" si="29">AJ46+AK45</f>
        <v>#DIV/0!</v>
      </c>
      <c r="AL46" s="519" t="e">
        <f t="shared" ref="AL46" ca="1" si="30">AK46+AL45</f>
        <v>#DIV/0!</v>
      </c>
      <c r="AM46" s="519" t="e">
        <f t="shared" ref="AM46" ca="1" si="31">AL46+AM45</f>
        <v>#DIV/0!</v>
      </c>
      <c r="AN46" s="519" t="e">
        <f t="shared" ref="AN46" ca="1" si="32">AM46+AN45</f>
        <v>#DIV/0!</v>
      </c>
      <c r="AO46" s="539"/>
      <c r="AP46" s="93"/>
      <c r="AQ46" s="362"/>
      <c r="AR46" s="34"/>
      <c r="AS46" s="28"/>
    </row>
    <row r="47" spans="1:45" s="18" customFormat="1" x14ac:dyDescent="0.25">
      <c r="A47" s="66"/>
      <c r="B47" s="517" t="s">
        <v>269</v>
      </c>
      <c r="C47" s="517"/>
      <c r="D47" s="518" t="e">
        <f ca="1">MATCH(0,F47:AN47,1)+1</f>
        <v>#N/A</v>
      </c>
      <c r="E47" s="517"/>
      <c r="F47" s="519" t="e">
        <f t="shared" ref="F47:AN47" ca="1" si="33">F45/(1+$D$2)^F20</f>
        <v>#DIV/0!</v>
      </c>
      <c r="G47" s="519" t="e">
        <f t="shared" ca="1" si="33"/>
        <v>#DIV/0!</v>
      </c>
      <c r="H47" s="519" t="e">
        <f t="shared" ca="1" si="33"/>
        <v>#DIV/0!</v>
      </c>
      <c r="I47" s="519" t="e">
        <f t="shared" ca="1" si="33"/>
        <v>#DIV/0!</v>
      </c>
      <c r="J47" s="519" t="e">
        <f t="shared" ca="1" si="33"/>
        <v>#DIV/0!</v>
      </c>
      <c r="K47" s="519" t="e">
        <f t="shared" ca="1" si="33"/>
        <v>#DIV/0!</v>
      </c>
      <c r="L47" s="519" t="e">
        <f t="shared" ca="1" si="33"/>
        <v>#DIV/0!</v>
      </c>
      <c r="M47" s="519" t="e">
        <f t="shared" ca="1" si="33"/>
        <v>#DIV/0!</v>
      </c>
      <c r="N47" s="519" t="e">
        <f t="shared" ca="1" si="33"/>
        <v>#DIV/0!</v>
      </c>
      <c r="O47" s="519" t="e">
        <f t="shared" ca="1" si="33"/>
        <v>#DIV/0!</v>
      </c>
      <c r="P47" s="519" t="e">
        <f t="shared" ca="1" si="33"/>
        <v>#DIV/0!</v>
      </c>
      <c r="Q47" s="519" t="e">
        <f t="shared" ca="1" si="33"/>
        <v>#DIV/0!</v>
      </c>
      <c r="R47" s="519" t="e">
        <f t="shared" ca="1" si="33"/>
        <v>#DIV/0!</v>
      </c>
      <c r="S47" s="519" t="e">
        <f t="shared" ca="1" si="33"/>
        <v>#DIV/0!</v>
      </c>
      <c r="T47" s="519" t="e">
        <f t="shared" ca="1" si="33"/>
        <v>#DIV/0!</v>
      </c>
      <c r="U47" s="519" t="e">
        <f t="shared" ca="1" si="33"/>
        <v>#DIV/0!</v>
      </c>
      <c r="V47" s="519" t="e">
        <f t="shared" ca="1" si="33"/>
        <v>#DIV/0!</v>
      </c>
      <c r="W47" s="519" t="e">
        <f t="shared" ca="1" si="33"/>
        <v>#DIV/0!</v>
      </c>
      <c r="X47" s="519" t="e">
        <f t="shared" ca="1" si="33"/>
        <v>#DIV/0!</v>
      </c>
      <c r="Y47" s="519" t="e">
        <f t="shared" ca="1" si="33"/>
        <v>#DIV/0!</v>
      </c>
      <c r="Z47" s="519" t="e">
        <f t="shared" ca="1" si="33"/>
        <v>#DIV/0!</v>
      </c>
      <c r="AA47" s="519" t="e">
        <f t="shared" ca="1" si="33"/>
        <v>#DIV/0!</v>
      </c>
      <c r="AB47" s="519" t="e">
        <f t="shared" ca="1" si="33"/>
        <v>#DIV/0!</v>
      </c>
      <c r="AC47" s="519" t="e">
        <f t="shared" ca="1" si="33"/>
        <v>#DIV/0!</v>
      </c>
      <c r="AD47" s="519" t="e">
        <f t="shared" ca="1" si="33"/>
        <v>#DIV/0!</v>
      </c>
      <c r="AE47" s="519" t="e">
        <f t="shared" ca="1" si="33"/>
        <v>#DIV/0!</v>
      </c>
      <c r="AF47" s="519" t="e">
        <f t="shared" ca="1" si="33"/>
        <v>#DIV/0!</v>
      </c>
      <c r="AG47" s="519" t="e">
        <f t="shared" ca="1" si="33"/>
        <v>#DIV/0!</v>
      </c>
      <c r="AH47" s="519" t="e">
        <f t="shared" ca="1" si="33"/>
        <v>#DIV/0!</v>
      </c>
      <c r="AI47" s="519" t="e">
        <f t="shared" ca="1" si="33"/>
        <v>#DIV/0!</v>
      </c>
      <c r="AJ47" s="519" t="e">
        <f t="shared" ca="1" si="33"/>
        <v>#DIV/0!</v>
      </c>
      <c r="AK47" s="519" t="e">
        <f t="shared" ca="1" si="33"/>
        <v>#DIV/0!</v>
      </c>
      <c r="AL47" s="519" t="e">
        <f t="shared" ca="1" si="33"/>
        <v>#DIV/0!</v>
      </c>
      <c r="AM47" s="519" t="e">
        <f t="shared" ca="1" si="33"/>
        <v>#DIV/0!</v>
      </c>
      <c r="AN47" s="519" t="e">
        <f t="shared" ca="1" si="33"/>
        <v>#DIV/0!</v>
      </c>
      <c r="AO47" s="516" t="e">
        <f ca="1">SUM(F47:AN47)</f>
        <v>#DIV/0!</v>
      </c>
      <c r="AP47" s="93"/>
      <c r="AQ47" s="362"/>
      <c r="AR47" s="34"/>
      <c r="AS47" s="28"/>
    </row>
    <row r="48" spans="1:45" s="18" customFormat="1" x14ac:dyDescent="0.25">
      <c r="A48"/>
      <c r="B48" s="517" t="s">
        <v>270</v>
      </c>
      <c r="C48" s="517"/>
      <c r="D48" s="518" t="e">
        <f ca="1">IF(AN48&gt;=0,35,MATCH(0,F48:AN48,1)+1)</f>
        <v>#DIV/0!</v>
      </c>
      <c r="E48" s="517"/>
      <c r="F48" s="519" t="e">
        <f ca="1">F47</f>
        <v>#DIV/0!</v>
      </c>
      <c r="G48" s="519" t="e">
        <f ca="1">F48+G47</f>
        <v>#DIV/0!</v>
      </c>
      <c r="H48" s="519" t="e">
        <f t="shared" ref="H48:AI48" ca="1" si="34">G48+H47</f>
        <v>#DIV/0!</v>
      </c>
      <c r="I48" s="519" t="e">
        <f t="shared" ca="1" si="34"/>
        <v>#DIV/0!</v>
      </c>
      <c r="J48" s="519" t="e">
        <f t="shared" ca="1" si="34"/>
        <v>#DIV/0!</v>
      </c>
      <c r="K48" s="519" t="e">
        <f t="shared" ca="1" si="34"/>
        <v>#DIV/0!</v>
      </c>
      <c r="L48" s="519" t="e">
        <f t="shared" ca="1" si="34"/>
        <v>#DIV/0!</v>
      </c>
      <c r="M48" s="519" t="e">
        <f t="shared" ca="1" si="34"/>
        <v>#DIV/0!</v>
      </c>
      <c r="N48" s="519" t="e">
        <f t="shared" ca="1" si="34"/>
        <v>#DIV/0!</v>
      </c>
      <c r="O48" s="519" t="e">
        <f t="shared" ca="1" si="34"/>
        <v>#DIV/0!</v>
      </c>
      <c r="P48" s="519" t="e">
        <f t="shared" ca="1" si="34"/>
        <v>#DIV/0!</v>
      </c>
      <c r="Q48" s="519" t="e">
        <f t="shared" ca="1" si="34"/>
        <v>#DIV/0!</v>
      </c>
      <c r="R48" s="519" t="e">
        <f t="shared" ca="1" si="34"/>
        <v>#DIV/0!</v>
      </c>
      <c r="S48" s="519" t="e">
        <f t="shared" ca="1" si="34"/>
        <v>#DIV/0!</v>
      </c>
      <c r="T48" s="519" t="e">
        <f t="shared" ca="1" si="34"/>
        <v>#DIV/0!</v>
      </c>
      <c r="U48" s="519" t="e">
        <f t="shared" ca="1" si="34"/>
        <v>#DIV/0!</v>
      </c>
      <c r="V48" s="519" t="e">
        <f t="shared" ca="1" si="34"/>
        <v>#DIV/0!</v>
      </c>
      <c r="W48" s="519" t="e">
        <f t="shared" ca="1" si="34"/>
        <v>#DIV/0!</v>
      </c>
      <c r="X48" s="519" t="e">
        <f t="shared" ca="1" si="34"/>
        <v>#DIV/0!</v>
      </c>
      <c r="Y48" s="519" t="e">
        <f t="shared" ca="1" si="34"/>
        <v>#DIV/0!</v>
      </c>
      <c r="Z48" s="519" t="e">
        <f t="shared" ca="1" si="34"/>
        <v>#DIV/0!</v>
      </c>
      <c r="AA48" s="519" t="e">
        <f t="shared" ca="1" si="34"/>
        <v>#DIV/0!</v>
      </c>
      <c r="AB48" s="519" t="e">
        <f t="shared" ca="1" si="34"/>
        <v>#DIV/0!</v>
      </c>
      <c r="AC48" s="519" t="e">
        <f t="shared" ca="1" si="34"/>
        <v>#DIV/0!</v>
      </c>
      <c r="AD48" s="519" t="e">
        <f t="shared" ca="1" si="34"/>
        <v>#DIV/0!</v>
      </c>
      <c r="AE48" s="519" t="e">
        <f t="shared" ca="1" si="34"/>
        <v>#DIV/0!</v>
      </c>
      <c r="AF48" s="519" t="e">
        <f t="shared" ca="1" si="34"/>
        <v>#DIV/0!</v>
      </c>
      <c r="AG48" s="519" t="e">
        <f t="shared" ca="1" si="34"/>
        <v>#DIV/0!</v>
      </c>
      <c r="AH48" s="519" t="e">
        <f t="shared" ca="1" si="34"/>
        <v>#DIV/0!</v>
      </c>
      <c r="AI48" s="519" t="e">
        <f t="shared" ca="1" si="34"/>
        <v>#DIV/0!</v>
      </c>
      <c r="AJ48" s="519" t="e">
        <f t="shared" ref="AJ48" ca="1" si="35">AI48+AJ47</f>
        <v>#DIV/0!</v>
      </c>
      <c r="AK48" s="519" t="e">
        <f t="shared" ref="AK48" ca="1" si="36">AJ48+AK47</f>
        <v>#DIV/0!</v>
      </c>
      <c r="AL48" s="519" t="e">
        <f t="shared" ref="AL48" ca="1" si="37">AK48+AL47</f>
        <v>#DIV/0!</v>
      </c>
      <c r="AM48" s="519" t="e">
        <f t="shared" ref="AM48" ca="1" si="38">AL48+AM47</f>
        <v>#DIV/0!</v>
      </c>
      <c r="AN48" s="519" t="e">
        <f t="shared" ref="AN48" ca="1" si="39">AM48+AN47</f>
        <v>#DIV/0!</v>
      </c>
      <c r="AO48" s="539"/>
      <c r="AP48" s="93"/>
      <c r="AQ48" s="93"/>
    </row>
    <row r="49" spans="2:43" x14ac:dyDescent="0.25">
      <c r="AP49" s="93"/>
      <c r="AQ49" s="93"/>
    </row>
    <row r="50" spans="2:43" x14ac:dyDescent="0.25">
      <c r="B50" s="4" t="s">
        <v>530</v>
      </c>
      <c r="C50" s="359" t="e">
        <f ca="1">IRR(F33:AI33)</f>
        <v>#NUM!</v>
      </c>
      <c r="AN50" s="860" t="e">
        <f ca="1">ROUND(AN48,5)</f>
        <v>#DIV/0!</v>
      </c>
      <c r="AO50"/>
      <c r="AP50" s="93"/>
      <c r="AQ50" s="93"/>
    </row>
    <row r="51" spans="2:43" x14ac:dyDescent="0.25">
      <c r="B51" s="363" t="s">
        <v>258</v>
      </c>
      <c r="C51" s="359" t="e">
        <f ca="1">IRR(F45:AN45)</f>
        <v>#VALUE!</v>
      </c>
      <c r="D51" s="93"/>
      <c r="E51" s="93"/>
      <c r="F51" s="93"/>
      <c r="G51" s="93"/>
      <c r="H51" s="93"/>
      <c r="I51" s="93"/>
      <c r="J51" s="93"/>
      <c r="K51" s="93"/>
      <c r="L51" s="93"/>
      <c r="M51" s="93"/>
      <c r="N51" s="93"/>
      <c r="O51" s="93"/>
      <c r="P51" s="93"/>
      <c r="Q51" s="93"/>
      <c r="R51" s="93"/>
      <c r="S51" s="93"/>
      <c r="T51" s="93"/>
      <c r="U51" s="93"/>
      <c r="V51" s="93"/>
      <c r="W51" s="93"/>
      <c r="X51" s="93"/>
      <c r="Y51" s="93"/>
      <c r="Z51" s="93"/>
      <c r="AA51" s="93"/>
      <c r="AB51" s="93"/>
      <c r="AC51" s="93"/>
      <c r="AD51" s="93"/>
      <c r="AE51" s="93"/>
      <c r="AF51" s="93"/>
      <c r="AG51" s="93"/>
      <c r="AH51" s="93"/>
      <c r="AI51" s="93"/>
      <c r="AJ51" s="93"/>
      <c r="AK51" s="93"/>
      <c r="AL51" s="93"/>
      <c r="AM51" s="93"/>
      <c r="AN51" s="93"/>
      <c r="AO51" s="358"/>
      <c r="AP51" s="93"/>
      <c r="AQ51" s="93"/>
    </row>
    <row r="52" spans="2:43" x14ac:dyDescent="0.25">
      <c r="B52" s="363" t="s">
        <v>529</v>
      </c>
      <c r="C52" s="359" t="e" cm="1">
        <f t="array" ref="C52">'FCD PROJETO'!D5:D5</f>
        <v>#VALUE!</v>
      </c>
      <c r="D52" s="93"/>
      <c r="E52" s="93"/>
      <c r="F52" s="93"/>
      <c r="G52" s="93"/>
      <c r="H52" s="93"/>
      <c r="I52" s="93"/>
      <c r="J52" s="93"/>
      <c r="K52" s="93"/>
      <c r="L52" s="93"/>
      <c r="M52" s="93"/>
      <c r="N52" s="93"/>
      <c r="O52" s="93"/>
      <c r="P52" s="93"/>
      <c r="Q52" s="93"/>
      <c r="R52" s="93"/>
      <c r="S52" s="93"/>
      <c r="T52" s="93"/>
      <c r="U52" s="93"/>
      <c r="V52" s="93"/>
      <c r="W52" s="93"/>
      <c r="X52" s="93"/>
      <c r="Y52" s="93"/>
      <c r="Z52" s="93"/>
      <c r="AA52" s="93"/>
      <c r="AB52" s="93"/>
      <c r="AC52" s="93"/>
      <c r="AD52" s="93"/>
      <c r="AE52" s="93"/>
      <c r="AF52" s="93"/>
      <c r="AG52" s="93"/>
      <c r="AH52" s="93"/>
      <c r="AI52" s="93"/>
      <c r="AJ52" s="93"/>
      <c r="AK52" s="93"/>
      <c r="AL52" s="93"/>
      <c r="AM52" s="93"/>
      <c r="AN52" s="93"/>
      <c r="AO52" s="358"/>
      <c r="AP52" s="93"/>
      <c r="AQ52" s="93"/>
    </row>
    <row r="53" spans="2:43" x14ac:dyDescent="0.25">
      <c r="B53" s="363" t="s">
        <v>259</v>
      </c>
      <c r="C53" s="364" t="e">
        <f>-SUM(F24:AN24)</f>
        <v>#DIV/0!</v>
      </c>
      <c r="D53" s="365" t="e">
        <f ca="1">1-D54</f>
        <v>#DIV/0!</v>
      </c>
      <c r="E53" s="93"/>
      <c r="F53" s="93"/>
      <c r="G53" s="93"/>
      <c r="H53" s="93"/>
      <c r="I53" s="93"/>
      <c r="J53" s="93"/>
      <c r="K53" s="93"/>
      <c r="L53" s="93"/>
      <c r="M53" s="93"/>
      <c r="N53" s="93"/>
      <c r="O53" s="93"/>
      <c r="P53" s="93"/>
      <c r="Q53" s="93"/>
      <c r="R53" s="93"/>
      <c r="S53" s="93"/>
      <c r="T53" s="93"/>
      <c r="U53" s="93"/>
      <c r="V53" s="93"/>
      <c r="W53" s="93"/>
      <c r="X53" s="93"/>
      <c r="Y53" s="93"/>
      <c r="Z53" s="93"/>
      <c r="AA53" s="93"/>
      <c r="AB53" s="93"/>
      <c r="AC53" s="93"/>
      <c r="AD53" s="93"/>
      <c r="AE53" s="93"/>
      <c r="AF53" s="93"/>
      <c r="AG53" s="93"/>
      <c r="AH53" s="93"/>
      <c r="AI53" s="93"/>
      <c r="AJ53" s="93"/>
      <c r="AK53" s="93"/>
      <c r="AL53" s="93"/>
      <c r="AM53" s="93"/>
      <c r="AN53" s="93"/>
      <c r="AO53" s="358"/>
      <c r="AP53" s="93"/>
      <c r="AQ53" s="93"/>
    </row>
    <row r="54" spans="2:43" x14ac:dyDescent="0.25">
      <c r="B54" s="363" t="s">
        <v>260</v>
      </c>
      <c r="C54" s="364">
        <f ca="1">SUM(F34:AN34)</f>
        <v>0</v>
      </c>
      <c r="D54" s="365" t="e">
        <f ca="1">C54/(C54+C53)</f>
        <v>#DIV/0!</v>
      </c>
      <c r="E54" s="93"/>
      <c r="F54" s="93"/>
      <c r="G54" s="93"/>
      <c r="H54" s="93"/>
      <c r="I54" s="93"/>
      <c r="J54" s="93"/>
      <c r="K54" s="93"/>
      <c r="L54" s="93"/>
      <c r="M54" s="93"/>
      <c r="N54" s="93"/>
      <c r="O54" s="93"/>
      <c r="P54" s="93"/>
      <c r="Q54" s="93"/>
      <c r="R54" s="93"/>
      <c r="S54" s="93"/>
      <c r="T54" s="93"/>
      <c r="U54" s="93"/>
      <c r="V54" s="93"/>
      <c r="W54" s="93"/>
      <c r="X54" s="93"/>
      <c r="Y54" s="93"/>
      <c r="Z54" s="93"/>
      <c r="AA54" s="93"/>
      <c r="AB54" s="93"/>
      <c r="AC54" s="93"/>
      <c r="AD54" s="93"/>
      <c r="AE54" s="93"/>
      <c r="AF54" s="93"/>
      <c r="AG54" s="93"/>
      <c r="AH54" s="93"/>
      <c r="AI54" s="93"/>
      <c r="AJ54" s="93"/>
      <c r="AK54" s="93"/>
      <c r="AL54" s="93"/>
      <c r="AM54" s="93"/>
      <c r="AN54" s="93"/>
      <c r="AO54" s="358"/>
      <c r="AP54" s="93"/>
      <c r="AQ54" s="93"/>
    </row>
    <row r="55" spans="2:43" x14ac:dyDescent="0.25">
      <c r="B55" s="363" t="s">
        <v>261</v>
      </c>
      <c r="C55" s="360">
        <f>'FCD PROJETO'!$H$8</f>
        <v>0</v>
      </c>
      <c r="D55" s="93"/>
      <c r="E55" s="93"/>
      <c r="F55" s="93"/>
      <c r="G55" s="93"/>
      <c r="H55" s="93"/>
      <c r="I55" s="93"/>
      <c r="J55" s="93"/>
      <c r="K55" s="93"/>
      <c r="L55" s="93"/>
      <c r="M55" s="93"/>
      <c r="N55" s="93"/>
      <c r="O55" s="93"/>
      <c r="P55" s="93"/>
      <c r="Q55" s="93"/>
      <c r="R55" s="93"/>
      <c r="S55" s="93"/>
      <c r="T55" s="93"/>
      <c r="U55" s="93"/>
      <c r="V55" s="93"/>
      <c r="W55" s="93"/>
      <c r="X55" s="93"/>
      <c r="Y55" s="93"/>
      <c r="Z55" s="93"/>
      <c r="AA55" s="93"/>
      <c r="AB55" s="93"/>
      <c r="AC55" s="93"/>
      <c r="AD55" s="93"/>
      <c r="AE55" s="93"/>
      <c r="AF55" s="93"/>
      <c r="AG55" s="93"/>
      <c r="AH55" s="93"/>
      <c r="AI55" s="93"/>
      <c r="AJ55" s="93"/>
      <c r="AK55" s="93"/>
      <c r="AL55" s="93"/>
      <c r="AM55" s="93"/>
      <c r="AN55" s="93"/>
      <c r="AO55" s="358"/>
      <c r="AP55" s="93"/>
      <c r="AQ55" s="93"/>
    </row>
    <row r="56" spans="2:43" x14ac:dyDescent="0.25">
      <c r="B56" s="363" t="s">
        <v>262</v>
      </c>
      <c r="C56" s="360">
        <f>'FCD PROJETO'!$H$9</f>
        <v>0</v>
      </c>
      <c r="D56" s="93"/>
      <c r="E56" s="93"/>
      <c r="F56" s="93"/>
      <c r="G56" s="93"/>
      <c r="H56" s="93"/>
      <c r="I56" s="93"/>
      <c r="J56" s="93"/>
      <c r="K56" s="93"/>
      <c r="L56" s="93"/>
      <c r="M56" s="93"/>
      <c r="N56" s="93"/>
      <c r="O56" s="93"/>
      <c r="P56" s="93"/>
      <c r="Q56" s="93"/>
      <c r="R56" s="93"/>
      <c r="S56" s="93"/>
      <c r="T56" s="93"/>
      <c r="U56" s="93"/>
      <c r="V56" s="93"/>
      <c r="W56" s="93"/>
      <c r="X56" s="93"/>
      <c r="Y56" s="93"/>
      <c r="Z56" s="93"/>
      <c r="AA56" s="93"/>
      <c r="AB56" s="93"/>
      <c r="AC56" s="93"/>
      <c r="AD56" s="93"/>
      <c r="AE56" s="93"/>
      <c r="AF56" s="93"/>
      <c r="AG56" s="93"/>
      <c r="AH56" s="93"/>
      <c r="AI56" s="93"/>
      <c r="AJ56" s="93"/>
      <c r="AK56" s="93"/>
      <c r="AL56" s="93"/>
      <c r="AM56" s="93"/>
      <c r="AN56" s="93"/>
      <c r="AO56" s="358"/>
      <c r="AP56" s="93"/>
      <c r="AQ56" s="93"/>
    </row>
    <row r="57" spans="2:43" x14ac:dyDescent="0.25">
      <c r="B57" s="363" t="s">
        <v>263</v>
      </c>
      <c r="C57" s="360" t="e">
        <f ca="1">C53/(C53+C54)*C55+C54/(C53+C54)*C56*(1-'FCD PROJETO'!J9)</f>
        <v>#DIV/0!</v>
      </c>
      <c r="D57" s="93"/>
      <c r="E57" s="93"/>
      <c r="F57" s="93"/>
      <c r="G57" s="93"/>
      <c r="H57" s="93"/>
      <c r="I57" s="93"/>
      <c r="J57" s="93"/>
      <c r="K57" s="93"/>
      <c r="L57" s="93"/>
      <c r="M57" s="93"/>
      <c r="N57" s="93"/>
      <c r="O57" s="93"/>
      <c r="P57" s="93"/>
      <c r="Q57" s="93"/>
      <c r="R57" s="93"/>
      <c r="S57" s="93"/>
      <c r="T57" s="93"/>
      <c r="U57" s="93"/>
      <c r="V57" s="93"/>
      <c r="W57" s="93"/>
      <c r="X57" s="93"/>
      <c r="Y57" s="93"/>
      <c r="Z57" s="93"/>
      <c r="AA57" s="93"/>
      <c r="AB57" s="93"/>
      <c r="AC57" s="93"/>
      <c r="AD57" s="93"/>
      <c r="AE57" s="93"/>
      <c r="AF57" s="93"/>
      <c r="AG57" s="93"/>
      <c r="AH57" s="93"/>
      <c r="AI57" s="93"/>
      <c r="AJ57" s="93"/>
      <c r="AK57" s="93"/>
      <c r="AL57" s="93"/>
      <c r="AM57" s="93"/>
      <c r="AN57" s="93"/>
      <c r="AO57" s="358"/>
      <c r="AP57" s="93"/>
      <c r="AQ57" s="93"/>
    </row>
    <row r="59" spans="2:43" x14ac:dyDescent="0.25">
      <c r="AO59"/>
    </row>
    <row r="60" spans="2:43" x14ac:dyDescent="0.25">
      <c r="AO60"/>
    </row>
    <row r="61" spans="2:43" x14ac:dyDescent="0.25">
      <c r="AN61" s="71"/>
      <c r="AO61"/>
    </row>
    <row r="62" spans="2:43" x14ac:dyDescent="0.25">
      <c r="AN62" s="71"/>
      <c r="AO62"/>
    </row>
    <row r="63" spans="2:43" x14ac:dyDescent="0.25">
      <c r="AN63" s="71"/>
      <c r="AO63"/>
    </row>
    <row r="64" spans="2:43" x14ac:dyDescent="0.25">
      <c r="AN64" s="71"/>
      <c r="AO64"/>
    </row>
    <row r="65" spans="40:41" x14ac:dyDescent="0.25">
      <c r="AN65" s="71"/>
      <c r="AO65"/>
    </row>
    <row r="66" spans="40:41" x14ac:dyDescent="0.25">
      <c r="AN66" s="71"/>
      <c r="AO66"/>
    </row>
  </sheetData>
  <mergeCells count="16">
    <mergeCell ref="B16:C16"/>
    <mergeCell ref="B17:C17"/>
    <mergeCell ref="B15:C15"/>
    <mergeCell ref="G14:I14"/>
    <mergeCell ref="G15:I15"/>
    <mergeCell ref="B12:C12"/>
    <mergeCell ref="B13:C13"/>
    <mergeCell ref="B14:C14"/>
    <mergeCell ref="B1:E1"/>
    <mergeCell ref="G1:J1"/>
    <mergeCell ref="G8:I8"/>
    <mergeCell ref="B8:C8"/>
    <mergeCell ref="B11:C11"/>
    <mergeCell ref="B9:C9"/>
    <mergeCell ref="B7:C7"/>
    <mergeCell ref="B10:C10"/>
  </mergeCells>
  <phoneticPr fontId="2" type="noConversion"/>
  <pageMargins left="0.511811024" right="0.511811024" top="0.78740157499999996" bottom="0.78740157499999996" header="0.31496062000000002" footer="0.31496062000000002"/>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468900-314D-4F0D-809B-D162F94530C2}">
  <dimension ref="A1:Y178"/>
  <sheetViews>
    <sheetView tabSelected="1" workbookViewId="0">
      <selection activeCell="Z149" sqref="Z149"/>
    </sheetView>
  </sheetViews>
  <sheetFormatPr defaultRowHeight="15" x14ac:dyDescent="0.25"/>
  <cols>
    <col min="1" max="1" width="17.140625" customWidth="1"/>
    <col min="2" max="2" width="15.5703125" customWidth="1"/>
    <col min="3" max="3" width="20.85546875" customWidth="1"/>
    <col min="4" max="4" width="14.28515625" customWidth="1"/>
    <col min="5" max="5" width="14.42578125" customWidth="1"/>
    <col min="6" max="6" width="13.28515625" customWidth="1"/>
    <col min="8" max="8" width="20.140625" customWidth="1"/>
    <col min="9" max="9" width="9.7109375" customWidth="1"/>
    <col min="10" max="15" width="10.7109375" customWidth="1"/>
    <col min="16" max="16" width="10.28515625" customWidth="1"/>
    <col min="23" max="23" width="157.140625" customWidth="1"/>
    <col min="24" max="24" width="23.85546875" style="14" customWidth="1"/>
    <col min="25" max="25" width="13.28515625" customWidth="1"/>
    <col min="26" max="26" width="6.42578125" customWidth="1"/>
  </cols>
  <sheetData>
    <row r="1" spans="1:25" ht="16.5" thickTop="1" thickBot="1" x14ac:dyDescent="0.3">
      <c r="A1" s="309" t="s">
        <v>520</v>
      </c>
      <c r="B1" s="992" t="s">
        <v>26</v>
      </c>
      <c r="C1" s="993"/>
      <c r="D1" s="993"/>
      <c r="E1" s="993"/>
      <c r="F1" s="994"/>
      <c r="V1" s="830" t="s">
        <v>1063</v>
      </c>
      <c r="W1" s="830"/>
      <c r="X1" s="830"/>
      <c r="Y1" s="830"/>
    </row>
    <row r="2" spans="1:25" ht="16.5" thickTop="1" thickBot="1" x14ac:dyDescent="0.3">
      <c r="A2" s="145" t="s">
        <v>526</v>
      </c>
      <c r="B2" s="995" t="s">
        <v>28</v>
      </c>
      <c r="C2" s="997" t="s">
        <v>29</v>
      </c>
      <c r="D2" s="998">
        <v>0</v>
      </c>
      <c r="E2" s="558" t="s">
        <v>30</v>
      </c>
      <c r="F2" s="559" t="s">
        <v>31</v>
      </c>
      <c r="H2" s="797" t="s">
        <v>993</v>
      </c>
      <c r="I2" s="797"/>
      <c r="J2" s="797"/>
      <c r="K2" s="797"/>
      <c r="L2" s="797"/>
      <c r="M2" s="797"/>
      <c r="N2" s="797"/>
      <c r="O2" s="797"/>
      <c r="P2" s="797"/>
      <c r="Q2" s="797"/>
      <c r="V2" s="953" t="s">
        <v>1389</v>
      </c>
      <c r="W2" s="953"/>
      <c r="X2" s="830"/>
      <c r="Y2" s="830"/>
    </row>
    <row r="3" spans="1:25" ht="16.5" thickTop="1" thickBot="1" x14ac:dyDescent="0.3">
      <c r="A3" s="213" t="s">
        <v>522</v>
      </c>
      <c r="B3" s="996">
        <v>0</v>
      </c>
      <c r="C3" s="555" t="s">
        <v>40</v>
      </c>
      <c r="D3" s="555" t="s">
        <v>41</v>
      </c>
      <c r="E3" s="560" t="s">
        <v>42</v>
      </c>
      <c r="F3" s="561" t="s">
        <v>43</v>
      </c>
      <c r="H3" s="995" t="s">
        <v>28</v>
      </c>
      <c r="I3" s="798" t="s">
        <v>909</v>
      </c>
      <c r="J3" s="799" t="s">
        <v>991</v>
      </c>
      <c r="K3" s="798"/>
      <c r="L3" s="800"/>
      <c r="M3" s="825" t="s">
        <v>992</v>
      </c>
      <c r="N3" s="826"/>
      <c r="O3" s="827"/>
      <c r="P3" s="798"/>
      <c r="Q3" s="798"/>
      <c r="V3" s="4" t="s">
        <v>89</v>
      </c>
      <c r="W3" s="4" t="s">
        <v>895</v>
      </c>
      <c r="X3" s="369" t="s">
        <v>18</v>
      </c>
      <c r="Y3" s="369" t="s">
        <v>1064</v>
      </c>
    </row>
    <row r="4" spans="1:25" ht="16.5" thickTop="1" thickBot="1" x14ac:dyDescent="0.3">
      <c r="B4" s="999" t="s">
        <v>1270</v>
      </c>
      <c r="C4" s="556" t="s">
        <v>487</v>
      </c>
      <c r="D4" s="556" t="s">
        <v>487</v>
      </c>
      <c r="E4" s="562">
        <f>Histograma!F4</f>
        <v>0</v>
      </c>
      <c r="F4" s="563">
        <f>Histograma!G4</f>
        <v>0</v>
      </c>
      <c r="H4" s="996">
        <v>0</v>
      </c>
      <c r="I4" s="951" t="s">
        <v>990</v>
      </c>
      <c r="J4" s="780" t="s">
        <v>3</v>
      </c>
      <c r="K4" s="780" t="s">
        <v>4</v>
      </c>
      <c r="L4" s="780" t="s">
        <v>5</v>
      </c>
      <c r="M4" s="780" t="s">
        <v>3</v>
      </c>
      <c r="N4" s="780" t="s">
        <v>4</v>
      </c>
      <c r="O4" s="780" t="s">
        <v>5</v>
      </c>
      <c r="P4" s="822" t="s">
        <v>1059</v>
      </c>
      <c r="Q4" s="822" t="s">
        <v>15</v>
      </c>
      <c r="V4" s="94">
        <v>1</v>
      </c>
      <c r="W4" s="94" t="s">
        <v>1065</v>
      </c>
      <c r="X4" s="369"/>
      <c r="Y4" s="4"/>
    </row>
    <row r="5" spans="1:25" ht="15" customHeight="1" thickTop="1" x14ac:dyDescent="0.25">
      <c r="B5" s="1000"/>
      <c r="C5" s="556">
        <v>0.01</v>
      </c>
      <c r="D5" s="556">
        <v>10</v>
      </c>
      <c r="E5" s="562">
        <f>Histograma!F5</f>
        <v>0</v>
      </c>
      <c r="F5" s="563">
        <f>Histograma!G5</f>
        <v>0</v>
      </c>
      <c r="H5" s="999" t="s">
        <v>1376</v>
      </c>
      <c r="I5" s="952" t="s">
        <v>904</v>
      </c>
      <c r="J5" s="263">
        <f>E4+10*(E5)</f>
        <v>0</v>
      </c>
      <c r="K5" s="263">
        <f>F4+10*(F5)</f>
        <v>0</v>
      </c>
      <c r="L5" s="263">
        <f t="shared" ref="L5:L11" si="0">SUM(J5:K5)</f>
        <v>0</v>
      </c>
      <c r="M5" s="263">
        <f>6.35+10*1.14</f>
        <v>17.75</v>
      </c>
      <c r="N5" s="263">
        <f>6.35+10*1.14</f>
        <v>17.75</v>
      </c>
      <c r="O5" s="263">
        <f>M5+N5</f>
        <v>35.5</v>
      </c>
      <c r="P5" s="823">
        <f>L5-O5</f>
        <v>-35.5</v>
      </c>
      <c r="Q5" s="824">
        <f>P5/O5</f>
        <v>-1</v>
      </c>
      <c r="V5" s="4" t="s">
        <v>1066</v>
      </c>
      <c r="W5" s="4" t="s">
        <v>1067</v>
      </c>
      <c r="X5" s="369" t="s">
        <v>229</v>
      </c>
      <c r="Y5" s="828">
        <v>79.94</v>
      </c>
    </row>
    <row r="6" spans="1:25" x14ac:dyDescent="0.25">
      <c r="B6" s="1000"/>
      <c r="C6" s="557">
        <v>10.01</v>
      </c>
      <c r="D6" s="557">
        <v>15</v>
      </c>
      <c r="E6" s="564">
        <f>Histograma!F6</f>
        <v>0</v>
      </c>
      <c r="F6" s="565">
        <f>Histograma!G6</f>
        <v>0</v>
      </c>
      <c r="H6" s="1000"/>
      <c r="I6" s="952" t="s">
        <v>905</v>
      </c>
      <c r="J6" s="263">
        <f t="shared" ref="J6:K8" si="1">J5+5*E6</f>
        <v>0</v>
      </c>
      <c r="K6" s="263">
        <f t="shared" si="1"/>
        <v>0</v>
      </c>
      <c r="L6" s="263">
        <f t="shared" si="0"/>
        <v>0</v>
      </c>
      <c r="M6" s="263">
        <f>M5+5*2.02</f>
        <v>27.85</v>
      </c>
      <c r="N6" s="263">
        <f>N5+5*2.02</f>
        <v>27.85</v>
      </c>
      <c r="O6" s="263">
        <f t="shared" ref="O6:O11" si="2">M6+N6</f>
        <v>55.7</v>
      </c>
      <c r="P6" s="823">
        <f t="shared" ref="P6:P51" si="3">L6-O6</f>
        <v>-55.7</v>
      </c>
      <c r="Q6" s="824">
        <f t="shared" ref="Q6:Q51" si="4">P6/O6</f>
        <v>-1</v>
      </c>
      <c r="V6" s="4" t="s">
        <v>1068</v>
      </c>
      <c r="W6" s="4" t="s">
        <v>1069</v>
      </c>
      <c r="X6" s="369" t="s">
        <v>229</v>
      </c>
      <c r="Y6" s="828">
        <v>71.239999999999995</v>
      </c>
    </row>
    <row r="7" spans="1:25" x14ac:dyDescent="0.25">
      <c r="B7" s="1000"/>
      <c r="C7" s="557">
        <v>15.01</v>
      </c>
      <c r="D7" s="557">
        <v>20</v>
      </c>
      <c r="E7" s="564">
        <f>Histograma!F7</f>
        <v>0</v>
      </c>
      <c r="F7" s="565">
        <f>Histograma!G7</f>
        <v>0</v>
      </c>
      <c r="H7" s="1000"/>
      <c r="I7" s="952" t="s">
        <v>906</v>
      </c>
      <c r="J7" s="263">
        <f t="shared" si="1"/>
        <v>0</v>
      </c>
      <c r="K7" s="263">
        <f t="shared" si="1"/>
        <v>0</v>
      </c>
      <c r="L7" s="263">
        <f t="shared" si="0"/>
        <v>0</v>
      </c>
      <c r="M7" s="263">
        <f>M6+5*2.02</f>
        <v>37.950000000000003</v>
      </c>
      <c r="N7" s="263">
        <f>N6+5*2.02</f>
        <v>37.950000000000003</v>
      </c>
      <c r="O7" s="263">
        <f t="shared" si="2"/>
        <v>75.900000000000006</v>
      </c>
      <c r="P7" s="823">
        <f t="shared" si="3"/>
        <v>-75.900000000000006</v>
      </c>
      <c r="Q7" s="824">
        <f t="shared" si="4"/>
        <v>-1</v>
      </c>
      <c r="V7" s="4" t="s">
        <v>1070</v>
      </c>
      <c r="W7" s="4" t="s">
        <v>1071</v>
      </c>
      <c r="X7" s="369" t="s">
        <v>229</v>
      </c>
      <c r="Y7" s="828">
        <v>91.15</v>
      </c>
    </row>
    <row r="8" spans="1:25" x14ac:dyDescent="0.25">
      <c r="B8" s="1000"/>
      <c r="C8" s="557">
        <v>20.010000000000002</v>
      </c>
      <c r="D8" s="557">
        <v>30</v>
      </c>
      <c r="E8" s="564">
        <f>Histograma!F8</f>
        <v>0</v>
      </c>
      <c r="F8" s="565">
        <f>Histograma!G8</f>
        <v>0</v>
      </c>
      <c r="H8" s="1000"/>
      <c r="I8" s="952" t="s">
        <v>907</v>
      </c>
      <c r="J8" s="263">
        <f t="shared" si="1"/>
        <v>0</v>
      </c>
      <c r="K8" s="263">
        <f t="shared" si="1"/>
        <v>0</v>
      </c>
      <c r="L8" s="263">
        <f t="shared" si="0"/>
        <v>0</v>
      </c>
      <c r="M8" s="263">
        <f>M7+5*2.8</f>
        <v>51.95</v>
      </c>
      <c r="N8" s="263">
        <f>N7+5*2.8</f>
        <v>51.95</v>
      </c>
      <c r="O8" s="263">
        <f t="shared" si="2"/>
        <v>103.9</v>
      </c>
      <c r="P8" s="823">
        <f t="shared" si="3"/>
        <v>-103.9</v>
      </c>
      <c r="Q8" s="824">
        <f t="shared" si="4"/>
        <v>-1</v>
      </c>
      <c r="V8" s="4" t="s">
        <v>1072</v>
      </c>
      <c r="W8" s="4" t="s">
        <v>1073</v>
      </c>
      <c r="X8" s="369" t="s">
        <v>229</v>
      </c>
      <c r="Y8" s="828">
        <v>96.87</v>
      </c>
    </row>
    <row r="9" spans="1:25" x14ac:dyDescent="0.25">
      <c r="B9" s="1000"/>
      <c r="C9" s="557">
        <v>30.01</v>
      </c>
      <c r="D9" s="557">
        <v>50</v>
      </c>
      <c r="E9" s="564">
        <f>Histograma!F9</f>
        <v>0</v>
      </c>
      <c r="F9" s="565">
        <f>Histograma!G9</f>
        <v>0</v>
      </c>
      <c r="H9" s="1000"/>
      <c r="I9" s="952" t="s">
        <v>908</v>
      </c>
      <c r="J9" s="263">
        <f>J8+5*E8</f>
        <v>0</v>
      </c>
      <c r="K9" s="263">
        <f>K8+5*F8</f>
        <v>0</v>
      </c>
      <c r="L9" s="263">
        <f t="shared" si="0"/>
        <v>0</v>
      </c>
      <c r="M9" s="263">
        <f>M8+5*2.8</f>
        <v>65.95</v>
      </c>
      <c r="N9" s="263">
        <f>N8+5*2.8</f>
        <v>65.95</v>
      </c>
      <c r="O9" s="263">
        <f t="shared" si="2"/>
        <v>131.9</v>
      </c>
      <c r="P9" s="823">
        <f t="shared" si="3"/>
        <v>-131.9</v>
      </c>
      <c r="Q9" s="824">
        <f t="shared" si="4"/>
        <v>-1</v>
      </c>
      <c r="V9" s="4" t="s">
        <v>1074</v>
      </c>
      <c r="W9" s="4" t="s">
        <v>1075</v>
      </c>
      <c r="X9" s="369" t="s">
        <v>229</v>
      </c>
      <c r="Y9" s="828">
        <v>94.61</v>
      </c>
    </row>
    <row r="10" spans="1:25" x14ac:dyDescent="0.25">
      <c r="B10" s="1000"/>
      <c r="C10" s="557">
        <v>50.01</v>
      </c>
      <c r="D10" s="557">
        <v>100</v>
      </c>
      <c r="E10" s="564">
        <f>Histograma!F10</f>
        <v>0</v>
      </c>
      <c r="F10" s="565">
        <f>Histograma!G10</f>
        <v>0</v>
      </c>
      <c r="H10" s="1000"/>
      <c r="I10" s="952" t="s">
        <v>910</v>
      </c>
      <c r="J10" s="263">
        <f>J9+10*E9</f>
        <v>0</v>
      </c>
      <c r="K10" s="263">
        <f>K9+10*F9</f>
        <v>0</v>
      </c>
      <c r="L10" s="263">
        <f t="shared" si="0"/>
        <v>0</v>
      </c>
      <c r="M10" s="263">
        <f>M9+10*3.5</f>
        <v>100.95</v>
      </c>
      <c r="N10" s="263">
        <f>N9+10*3.5</f>
        <v>100.95</v>
      </c>
      <c r="O10" s="263">
        <f t="shared" si="2"/>
        <v>201.9</v>
      </c>
      <c r="P10" s="823">
        <f t="shared" si="3"/>
        <v>-201.9</v>
      </c>
      <c r="Q10" s="824">
        <f t="shared" si="4"/>
        <v>-1</v>
      </c>
      <c r="V10" s="4" t="s">
        <v>1076</v>
      </c>
      <c r="W10" s="4" t="s">
        <v>1077</v>
      </c>
      <c r="X10" s="369" t="s">
        <v>229</v>
      </c>
      <c r="Y10" s="828">
        <v>84.28</v>
      </c>
    </row>
    <row r="11" spans="1:25" ht="15.75" thickBot="1" x14ac:dyDescent="0.3">
      <c r="B11" s="1001"/>
      <c r="C11" s="1002" t="s">
        <v>47</v>
      </c>
      <c r="D11" s="1003">
        <v>0</v>
      </c>
      <c r="E11" s="566">
        <f>Histograma!F11</f>
        <v>0</v>
      </c>
      <c r="F11" s="567">
        <f>Histograma!G11</f>
        <v>0</v>
      </c>
      <c r="H11" s="1000"/>
      <c r="I11" s="952" t="s">
        <v>911</v>
      </c>
      <c r="J11" s="263">
        <f>J10+10*E10</f>
        <v>0</v>
      </c>
      <c r="K11" s="263">
        <f>K10+10*F10</f>
        <v>0</v>
      </c>
      <c r="L11" s="263">
        <f t="shared" si="0"/>
        <v>0</v>
      </c>
      <c r="M11" s="263">
        <f>M10+10*3.5</f>
        <v>135.94999999999999</v>
      </c>
      <c r="N11" s="263">
        <f>N10+10*3.5</f>
        <v>135.94999999999999</v>
      </c>
      <c r="O11" s="263">
        <f t="shared" si="2"/>
        <v>271.89999999999998</v>
      </c>
      <c r="P11" s="823">
        <f t="shared" si="3"/>
        <v>-271.89999999999998</v>
      </c>
      <c r="Q11" s="824">
        <f t="shared" si="4"/>
        <v>-1</v>
      </c>
      <c r="V11" s="4" t="s">
        <v>1078</v>
      </c>
      <c r="W11" s="4" t="s">
        <v>1079</v>
      </c>
      <c r="X11" s="369" t="s">
        <v>229</v>
      </c>
      <c r="Y11" s="828">
        <v>64.28</v>
      </c>
    </row>
    <row r="12" spans="1:25" ht="16.5" thickTop="1" thickBot="1" x14ac:dyDescent="0.3">
      <c r="B12" s="1004" t="s">
        <v>670</v>
      </c>
      <c r="C12" s="556" t="s">
        <v>487</v>
      </c>
      <c r="D12" s="556" t="s">
        <v>487</v>
      </c>
      <c r="E12" s="562">
        <f>Histograma!F28</f>
        <v>0</v>
      </c>
      <c r="F12" s="563">
        <f>Histograma!G28</f>
        <v>0</v>
      </c>
      <c r="H12" s="801"/>
      <c r="I12" s="951" t="s">
        <v>909</v>
      </c>
      <c r="J12" s="780" t="s">
        <v>3</v>
      </c>
      <c r="K12" s="780" t="s">
        <v>4</v>
      </c>
      <c r="L12" s="780" t="s">
        <v>5</v>
      </c>
      <c r="M12" s="780" t="s">
        <v>3</v>
      </c>
      <c r="N12" s="780" t="s">
        <v>4</v>
      </c>
      <c r="O12" s="780" t="s">
        <v>5</v>
      </c>
      <c r="P12" s="822" t="s">
        <v>1059</v>
      </c>
      <c r="Q12" s="822" t="s">
        <v>15</v>
      </c>
      <c r="V12" s="4" t="s">
        <v>1080</v>
      </c>
      <c r="W12" s="4" t="s">
        <v>1081</v>
      </c>
      <c r="X12" s="369" t="s">
        <v>229</v>
      </c>
      <c r="Y12" s="828">
        <v>8.69</v>
      </c>
    </row>
    <row r="13" spans="1:25" ht="15.75" thickTop="1" x14ac:dyDescent="0.25">
      <c r="B13" s="1000"/>
      <c r="C13" s="556">
        <v>0.01</v>
      </c>
      <c r="D13" s="556">
        <v>10</v>
      </c>
      <c r="E13" s="562">
        <f>Histograma!F29</f>
        <v>0</v>
      </c>
      <c r="F13" s="563">
        <f>Histograma!G29</f>
        <v>0</v>
      </c>
      <c r="H13" s="1004" t="s">
        <v>670</v>
      </c>
      <c r="I13" s="952" t="s">
        <v>904</v>
      </c>
      <c r="J13" s="263">
        <f>E12+10*(E13)</f>
        <v>0</v>
      </c>
      <c r="K13" s="263">
        <f>F12+10*(F13)</f>
        <v>0</v>
      </c>
      <c r="L13" s="263">
        <f t="shared" ref="L13:L19" si="5">SUM(J13:K13)</f>
        <v>0</v>
      </c>
      <c r="M13" s="263">
        <f>15.99+10*2.85</f>
        <v>44.49</v>
      </c>
      <c r="N13" s="263">
        <f>15.99+10*2.85</f>
        <v>44.49</v>
      </c>
      <c r="O13" s="263">
        <f>M13+N13</f>
        <v>88.98</v>
      </c>
      <c r="P13" s="823">
        <f t="shared" si="3"/>
        <v>-88.98</v>
      </c>
      <c r="Q13" s="824">
        <f t="shared" si="4"/>
        <v>-1</v>
      </c>
      <c r="V13" s="4" t="s">
        <v>1082</v>
      </c>
      <c r="W13" s="4" t="s">
        <v>1083</v>
      </c>
      <c r="X13" s="369" t="s">
        <v>1084</v>
      </c>
      <c r="Y13" s="828">
        <v>18.75</v>
      </c>
    </row>
    <row r="14" spans="1:25" x14ac:dyDescent="0.25">
      <c r="B14" s="1000"/>
      <c r="C14" s="557">
        <v>10.01</v>
      </c>
      <c r="D14" s="557">
        <v>15</v>
      </c>
      <c r="E14" s="564">
        <f>Histograma!F30</f>
        <v>0</v>
      </c>
      <c r="F14" s="565">
        <f>Histograma!G30</f>
        <v>0</v>
      </c>
      <c r="H14" s="1000"/>
      <c r="I14" s="952" t="s">
        <v>905</v>
      </c>
      <c r="J14" s="263">
        <f t="shared" ref="J14:K16" si="6">J13+5*E14</f>
        <v>0</v>
      </c>
      <c r="K14" s="263">
        <f t="shared" si="6"/>
        <v>0</v>
      </c>
      <c r="L14" s="263">
        <f t="shared" si="5"/>
        <v>0</v>
      </c>
      <c r="M14" s="263">
        <f>M13+5*5.05</f>
        <v>69.740000000000009</v>
      </c>
      <c r="N14" s="263">
        <f>N13+5*5.05</f>
        <v>69.740000000000009</v>
      </c>
      <c r="O14" s="263">
        <f t="shared" ref="O14:O19" si="7">M14+N14</f>
        <v>139.48000000000002</v>
      </c>
      <c r="P14" s="823">
        <f t="shared" si="3"/>
        <v>-139.48000000000002</v>
      </c>
      <c r="Q14" s="824">
        <f t="shared" si="4"/>
        <v>-1</v>
      </c>
      <c r="V14" s="4" t="s">
        <v>1085</v>
      </c>
      <c r="W14" s="4" t="s">
        <v>1086</v>
      </c>
      <c r="X14" s="369" t="s">
        <v>229</v>
      </c>
      <c r="Y14" s="828">
        <v>34.33</v>
      </c>
    </row>
    <row r="15" spans="1:25" x14ac:dyDescent="0.25">
      <c r="B15" s="1000"/>
      <c r="C15" s="557">
        <v>15.01</v>
      </c>
      <c r="D15" s="557">
        <v>20</v>
      </c>
      <c r="E15" s="564">
        <f>Histograma!F31</f>
        <v>0</v>
      </c>
      <c r="F15" s="565">
        <f>Histograma!G31</f>
        <v>0</v>
      </c>
      <c r="H15" s="1000"/>
      <c r="I15" s="952" t="s">
        <v>906</v>
      </c>
      <c r="J15" s="263">
        <f t="shared" si="6"/>
        <v>0</v>
      </c>
      <c r="K15" s="263">
        <f t="shared" si="6"/>
        <v>0</v>
      </c>
      <c r="L15" s="263">
        <f t="shared" si="5"/>
        <v>0</v>
      </c>
      <c r="M15" s="263">
        <f>M14+5*5.05</f>
        <v>94.990000000000009</v>
      </c>
      <c r="N15" s="263">
        <f>N14+5*5.05</f>
        <v>94.990000000000009</v>
      </c>
      <c r="O15" s="263">
        <f t="shared" si="7"/>
        <v>189.98000000000002</v>
      </c>
      <c r="P15" s="823">
        <f t="shared" si="3"/>
        <v>-189.98000000000002</v>
      </c>
      <c r="Q15" s="824">
        <f t="shared" si="4"/>
        <v>-1</v>
      </c>
      <c r="V15" s="4" t="s">
        <v>1087</v>
      </c>
      <c r="W15" s="4" t="s">
        <v>1088</v>
      </c>
      <c r="X15" s="369" t="s">
        <v>229</v>
      </c>
      <c r="Y15" s="828">
        <v>15.48</v>
      </c>
    </row>
    <row r="16" spans="1:25" x14ac:dyDescent="0.25">
      <c r="B16" s="1000"/>
      <c r="C16" s="557">
        <v>20.010000000000002</v>
      </c>
      <c r="D16" s="557">
        <v>30</v>
      </c>
      <c r="E16" s="564">
        <f>Histograma!F32</f>
        <v>0</v>
      </c>
      <c r="F16" s="565">
        <f>Histograma!G32</f>
        <v>0</v>
      </c>
      <c r="H16" s="1000"/>
      <c r="I16" s="952" t="s">
        <v>907</v>
      </c>
      <c r="J16" s="263">
        <f t="shared" si="6"/>
        <v>0</v>
      </c>
      <c r="K16" s="263">
        <f t="shared" si="6"/>
        <v>0</v>
      </c>
      <c r="L16" s="263">
        <f t="shared" si="5"/>
        <v>0</v>
      </c>
      <c r="M16" s="263">
        <f>M15+5*7.01</f>
        <v>130.04000000000002</v>
      </c>
      <c r="N16" s="263">
        <f>N15+5*7.01</f>
        <v>130.04000000000002</v>
      </c>
      <c r="O16" s="263">
        <f t="shared" si="7"/>
        <v>260.08000000000004</v>
      </c>
      <c r="P16" s="823">
        <f t="shared" si="3"/>
        <v>-260.08000000000004</v>
      </c>
      <c r="Q16" s="824">
        <f t="shared" si="4"/>
        <v>-1</v>
      </c>
      <c r="V16" s="94">
        <v>2</v>
      </c>
      <c r="W16" s="94" t="s">
        <v>1089</v>
      </c>
      <c r="X16" s="369"/>
      <c r="Y16" s="829"/>
    </row>
    <row r="17" spans="2:25" x14ac:dyDescent="0.25">
      <c r="B17" s="1000"/>
      <c r="C17" s="557">
        <v>30.01</v>
      </c>
      <c r="D17" s="557">
        <v>50</v>
      </c>
      <c r="E17" s="564">
        <f>Histograma!F33</f>
        <v>0</v>
      </c>
      <c r="F17" s="565">
        <f>Histograma!G33</f>
        <v>0</v>
      </c>
      <c r="H17" s="1000"/>
      <c r="I17" s="952" t="s">
        <v>908</v>
      </c>
      <c r="J17" s="263">
        <f>J16+5*E16</f>
        <v>0</v>
      </c>
      <c r="K17" s="263">
        <f>K16+5*F16</f>
        <v>0</v>
      </c>
      <c r="L17" s="263">
        <f t="shared" si="5"/>
        <v>0</v>
      </c>
      <c r="M17" s="263">
        <f>M16+5*7.01</f>
        <v>165.09000000000003</v>
      </c>
      <c r="N17" s="263">
        <f>N16+5*7.01</f>
        <v>165.09000000000003</v>
      </c>
      <c r="O17" s="263">
        <f t="shared" si="7"/>
        <v>330.18000000000006</v>
      </c>
      <c r="P17" s="823">
        <f t="shared" si="3"/>
        <v>-330.18000000000006</v>
      </c>
      <c r="Q17" s="824">
        <f t="shared" si="4"/>
        <v>-1</v>
      </c>
      <c r="V17" s="4" t="s">
        <v>1061</v>
      </c>
      <c r="W17" s="4" t="s">
        <v>1090</v>
      </c>
      <c r="X17" s="369" t="s">
        <v>229</v>
      </c>
      <c r="Y17" s="828">
        <v>116.25</v>
      </c>
    </row>
    <row r="18" spans="2:25" x14ac:dyDescent="0.25">
      <c r="B18" s="1000"/>
      <c r="C18" s="557">
        <v>50.01</v>
      </c>
      <c r="D18" s="557">
        <v>100</v>
      </c>
      <c r="E18" s="564">
        <f>Histograma!F34</f>
        <v>0</v>
      </c>
      <c r="F18" s="565">
        <f>Histograma!G34</f>
        <v>0</v>
      </c>
      <c r="H18" s="1000"/>
      <c r="I18" s="952" t="s">
        <v>910</v>
      </c>
      <c r="J18" s="263">
        <f>J17+10*E17</f>
        <v>0</v>
      </c>
      <c r="K18" s="263">
        <f>K17+10*F17</f>
        <v>0</v>
      </c>
      <c r="L18" s="263">
        <f t="shared" si="5"/>
        <v>0</v>
      </c>
      <c r="M18" s="263">
        <f>M17+10*8.76</f>
        <v>252.69000000000003</v>
      </c>
      <c r="N18" s="263">
        <f>N17+10*8.76</f>
        <v>252.69000000000003</v>
      </c>
      <c r="O18" s="263">
        <f t="shared" si="7"/>
        <v>505.38000000000005</v>
      </c>
      <c r="P18" s="823">
        <f t="shared" si="3"/>
        <v>-505.38000000000005</v>
      </c>
      <c r="Q18" s="824">
        <f t="shared" si="4"/>
        <v>-1</v>
      </c>
      <c r="V18" s="4" t="s">
        <v>1091</v>
      </c>
      <c r="W18" s="4" t="s">
        <v>1079</v>
      </c>
      <c r="X18" s="369" t="s">
        <v>229</v>
      </c>
      <c r="Y18" s="828">
        <v>77.14</v>
      </c>
    </row>
    <row r="19" spans="2:25" ht="15.75" thickBot="1" x14ac:dyDescent="0.3">
      <c r="B19" s="1001"/>
      <c r="C19" s="1002" t="s">
        <v>47</v>
      </c>
      <c r="D19" s="1003">
        <v>0</v>
      </c>
      <c r="E19" s="566">
        <f>Histograma!F35</f>
        <v>0</v>
      </c>
      <c r="F19" s="567">
        <f>Histograma!G35</f>
        <v>0</v>
      </c>
      <c r="H19" s="1000"/>
      <c r="I19" s="952" t="s">
        <v>911</v>
      </c>
      <c r="J19" s="263">
        <f>J18+10*E18</f>
        <v>0</v>
      </c>
      <c r="K19" s="263">
        <f>K18+10*F18</f>
        <v>0</v>
      </c>
      <c r="L19" s="263">
        <f t="shared" si="5"/>
        <v>0</v>
      </c>
      <c r="M19" s="263">
        <f>M18+10*8.76</f>
        <v>340.29</v>
      </c>
      <c r="N19" s="263">
        <f>N18+10*8.76</f>
        <v>340.29</v>
      </c>
      <c r="O19" s="263">
        <f t="shared" si="7"/>
        <v>680.58</v>
      </c>
      <c r="P19" s="823">
        <f t="shared" si="3"/>
        <v>-680.58</v>
      </c>
      <c r="Q19" s="824">
        <f t="shared" si="4"/>
        <v>-1</v>
      </c>
      <c r="V19" s="4" t="s">
        <v>1092</v>
      </c>
      <c r="W19" s="4" t="s">
        <v>1081</v>
      </c>
      <c r="X19" s="369" t="s">
        <v>229</v>
      </c>
      <c r="Y19" s="828">
        <v>10.42</v>
      </c>
    </row>
    <row r="20" spans="2:25" ht="16.5" thickTop="1" thickBot="1" x14ac:dyDescent="0.3">
      <c r="B20" s="1004" t="s">
        <v>493</v>
      </c>
      <c r="C20" s="556" t="s">
        <v>487</v>
      </c>
      <c r="D20" s="556" t="s">
        <v>487</v>
      </c>
      <c r="E20" s="562">
        <f>Histograma!F52</f>
        <v>0</v>
      </c>
      <c r="F20" s="563">
        <f>Histograma!G52</f>
        <v>0</v>
      </c>
      <c r="H20" s="801"/>
      <c r="I20" s="951" t="s">
        <v>909</v>
      </c>
      <c r="J20" s="780" t="s">
        <v>3</v>
      </c>
      <c r="K20" s="780" t="s">
        <v>4</v>
      </c>
      <c r="L20" s="780" t="s">
        <v>5</v>
      </c>
      <c r="M20" s="780" t="s">
        <v>3</v>
      </c>
      <c r="N20" s="780" t="s">
        <v>4</v>
      </c>
      <c r="O20" s="780" t="s">
        <v>5</v>
      </c>
      <c r="P20" s="822" t="s">
        <v>1059</v>
      </c>
      <c r="Q20" s="822" t="s">
        <v>15</v>
      </c>
      <c r="V20" s="4" t="s">
        <v>1093</v>
      </c>
      <c r="W20" s="4" t="s">
        <v>1083</v>
      </c>
      <c r="X20" s="369" t="s">
        <v>1084</v>
      </c>
      <c r="Y20" s="828">
        <v>18.75</v>
      </c>
    </row>
    <row r="21" spans="2:25" ht="15.75" thickTop="1" x14ac:dyDescent="0.25">
      <c r="B21" s="1000"/>
      <c r="C21" s="556">
        <v>0.01</v>
      </c>
      <c r="D21" s="556">
        <v>10</v>
      </c>
      <c r="E21" s="562">
        <f>Histograma!F53</f>
        <v>0</v>
      </c>
      <c r="F21" s="563">
        <f>Histograma!G53</f>
        <v>0</v>
      </c>
      <c r="H21" s="1004" t="s">
        <v>493</v>
      </c>
      <c r="I21" s="952" t="s">
        <v>904</v>
      </c>
      <c r="J21" s="263">
        <f>E20+10*(E21)</f>
        <v>0</v>
      </c>
      <c r="K21" s="263">
        <f>F20+10*(F21)</f>
        <v>0</v>
      </c>
      <c r="L21" s="263">
        <f t="shared" ref="L21:L27" si="8">SUM(J21:K21)</f>
        <v>0</v>
      </c>
      <c r="M21" s="263">
        <f>22.34+10*13.99</f>
        <v>162.24</v>
      </c>
      <c r="N21" s="263">
        <f>22.34+10*13.99</f>
        <v>162.24</v>
      </c>
      <c r="O21" s="263">
        <f>M21+N21</f>
        <v>324.48</v>
      </c>
      <c r="P21" s="823">
        <f t="shared" si="3"/>
        <v>-324.48</v>
      </c>
      <c r="Q21" s="824">
        <f t="shared" si="4"/>
        <v>-1</v>
      </c>
      <c r="V21" s="4" t="s">
        <v>1094</v>
      </c>
      <c r="W21" s="4" t="s">
        <v>1086</v>
      </c>
      <c r="X21" s="369" t="s">
        <v>229</v>
      </c>
      <c r="Y21" s="828">
        <v>41.2</v>
      </c>
    </row>
    <row r="22" spans="2:25" x14ac:dyDescent="0.25">
      <c r="B22" s="1000"/>
      <c r="C22" s="557">
        <v>10.01</v>
      </c>
      <c r="D22" s="557">
        <v>15</v>
      </c>
      <c r="E22" s="564">
        <f>Histograma!F54</f>
        <v>0</v>
      </c>
      <c r="F22" s="565">
        <f>Histograma!G54</f>
        <v>0</v>
      </c>
      <c r="H22" s="1000"/>
      <c r="I22" s="952" t="s">
        <v>905</v>
      </c>
      <c r="J22" s="263">
        <f t="shared" ref="J22:K24" si="9">J21+5*E22</f>
        <v>0</v>
      </c>
      <c r="K22" s="263">
        <f t="shared" si="9"/>
        <v>0</v>
      </c>
      <c r="L22" s="263">
        <f t="shared" si="8"/>
        <v>0</v>
      </c>
      <c r="M22" s="263">
        <f>M21+5*7.06</f>
        <v>197.54000000000002</v>
      </c>
      <c r="N22" s="263">
        <f>N21+5*7.06</f>
        <v>197.54000000000002</v>
      </c>
      <c r="O22" s="263">
        <f t="shared" ref="O22:O27" si="10">M22+N22</f>
        <v>395.08000000000004</v>
      </c>
      <c r="P22" s="823">
        <f t="shared" si="3"/>
        <v>-395.08000000000004</v>
      </c>
      <c r="Q22" s="824">
        <f t="shared" si="4"/>
        <v>-1</v>
      </c>
      <c r="V22" s="4" t="s">
        <v>1095</v>
      </c>
      <c r="W22" s="4" t="s">
        <v>1088</v>
      </c>
      <c r="X22" s="369" t="s">
        <v>229</v>
      </c>
      <c r="Y22" s="828">
        <v>18.57</v>
      </c>
    </row>
    <row r="23" spans="2:25" x14ac:dyDescent="0.25">
      <c r="B23" s="1000"/>
      <c r="C23" s="557">
        <v>15.01</v>
      </c>
      <c r="D23" s="557">
        <v>20</v>
      </c>
      <c r="E23" s="564">
        <f>Histograma!F55</f>
        <v>0</v>
      </c>
      <c r="F23" s="565">
        <f>Histograma!G55</f>
        <v>0</v>
      </c>
      <c r="H23" s="1000"/>
      <c r="I23" s="952" t="s">
        <v>906</v>
      </c>
      <c r="J23" s="263">
        <f t="shared" si="9"/>
        <v>0</v>
      </c>
      <c r="K23" s="263">
        <f t="shared" si="9"/>
        <v>0</v>
      </c>
      <c r="L23" s="263">
        <f t="shared" si="8"/>
        <v>0</v>
      </c>
      <c r="M23" s="263">
        <f>M22+5*7.06</f>
        <v>232.84000000000003</v>
      </c>
      <c r="N23" s="263">
        <f>N22+5*7.06</f>
        <v>232.84000000000003</v>
      </c>
      <c r="O23" s="263">
        <f t="shared" si="10"/>
        <v>465.68000000000006</v>
      </c>
      <c r="P23" s="823">
        <f t="shared" si="3"/>
        <v>-465.68000000000006</v>
      </c>
      <c r="Q23" s="824">
        <f t="shared" si="4"/>
        <v>-1</v>
      </c>
      <c r="X23"/>
    </row>
    <row r="24" spans="2:25" x14ac:dyDescent="0.25">
      <c r="B24" s="1000"/>
      <c r="C24" s="557">
        <v>20.010000000000002</v>
      </c>
      <c r="D24" s="557">
        <v>30</v>
      </c>
      <c r="E24" s="564">
        <f>Histograma!F56</f>
        <v>0</v>
      </c>
      <c r="F24" s="565">
        <f>Histograma!G56</f>
        <v>0</v>
      </c>
      <c r="H24" s="1000"/>
      <c r="I24" s="952" t="s">
        <v>907</v>
      </c>
      <c r="J24" s="263">
        <f t="shared" si="9"/>
        <v>0</v>
      </c>
      <c r="K24" s="263">
        <f t="shared" si="9"/>
        <v>0</v>
      </c>
      <c r="L24" s="263">
        <f t="shared" si="8"/>
        <v>0</v>
      </c>
      <c r="M24" s="263">
        <f>M23+5*9.81</f>
        <v>281.89000000000004</v>
      </c>
      <c r="N24" s="263">
        <f>N23+5*9.81</f>
        <v>281.89000000000004</v>
      </c>
      <c r="O24" s="263">
        <f t="shared" si="10"/>
        <v>563.78000000000009</v>
      </c>
      <c r="P24" s="823">
        <f t="shared" si="3"/>
        <v>-563.78000000000009</v>
      </c>
      <c r="Q24" s="824">
        <f t="shared" si="4"/>
        <v>-1</v>
      </c>
      <c r="V24" s="830" t="s">
        <v>1096</v>
      </c>
      <c r="W24" s="830"/>
      <c r="X24" s="830"/>
      <c r="Y24" s="830"/>
    </row>
    <row r="25" spans="2:25" x14ac:dyDescent="0.25">
      <c r="B25" s="1000"/>
      <c r="C25" s="557">
        <v>30.01</v>
      </c>
      <c r="D25" s="557">
        <v>50</v>
      </c>
      <c r="E25" s="564">
        <f>Histograma!F57</f>
        <v>0</v>
      </c>
      <c r="F25" s="565">
        <f>Histograma!G57</f>
        <v>0</v>
      </c>
      <c r="H25" s="1000"/>
      <c r="I25" s="952" t="s">
        <v>908</v>
      </c>
      <c r="J25" s="263">
        <f>J24+5*E24</f>
        <v>0</v>
      </c>
      <c r="K25" s="263">
        <f>K24+5*F24</f>
        <v>0</v>
      </c>
      <c r="L25" s="263">
        <f t="shared" si="8"/>
        <v>0</v>
      </c>
      <c r="M25" s="263">
        <f>M24+5*9.81</f>
        <v>330.94000000000005</v>
      </c>
      <c r="N25" s="263">
        <f>N24+5*9.81</f>
        <v>330.94000000000005</v>
      </c>
      <c r="O25" s="263">
        <f t="shared" si="10"/>
        <v>661.88000000000011</v>
      </c>
      <c r="P25" s="823">
        <f t="shared" si="3"/>
        <v>-661.88000000000011</v>
      </c>
      <c r="Q25" s="824">
        <f t="shared" si="4"/>
        <v>-1</v>
      </c>
      <c r="V25" s="953" t="s">
        <v>1097</v>
      </c>
      <c r="W25" s="954"/>
      <c r="X25" s="830"/>
      <c r="Y25" s="830"/>
    </row>
    <row r="26" spans="2:25" x14ac:dyDescent="0.25">
      <c r="B26" s="1000"/>
      <c r="C26" s="557">
        <v>50.01</v>
      </c>
      <c r="D26" s="557">
        <v>100</v>
      </c>
      <c r="E26" s="564">
        <f>Histograma!F58</f>
        <v>0</v>
      </c>
      <c r="F26" s="565">
        <f>Histograma!G58</f>
        <v>0</v>
      </c>
      <c r="H26" s="1000"/>
      <c r="I26" s="952" t="s">
        <v>910</v>
      </c>
      <c r="J26" s="263">
        <f>J25+10*E25</f>
        <v>0</v>
      </c>
      <c r="K26" s="263">
        <f>K25+10*F25</f>
        <v>0</v>
      </c>
      <c r="L26" s="263">
        <f t="shared" si="8"/>
        <v>0</v>
      </c>
      <c r="M26" s="263">
        <f>M25+10*12.26</f>
        <v>453.54000000000008</v>
      </c>
      <c r="N26" s="263">
        <f>N25+10*12.26</f>
        <v>453.54000000000008</v>
      </c>
      <c r="O26" s="263">
        <f t="shared" si="10"/>
        <v>907.08000000000015</v>
      </c>
      <c r="P26" s="823">
        <f t="shared" si="3"/>
        <v>-907.08000000000015</v>
      </c>
      <c r="Q26" s="824">
        <f t="shared" si="4"/>
        <v>-1</v>
      </c>
      <c r="V26" s="4" t="s">
        <v>89</v>
      </c>
      <c r="W26" s="4" t="s">
        <v>895</v>
      </c>
      <c r="X26" s="369" t="s">
        <v>18</v>
      </c>
      <c r="Y26" s="829" t="s">
        <v>1064</v>
      </c>
    </row>
    <row r="27" spans="2:25" ht="15.75" thickBot="1" x14ac:dyDescent="0.3">
      <c r="B27" s="1001"/>
      <c r="C27" s="1002" t="s">
        <v>47</v>
      </c>
      <c r="D27" s="1003">
        <v>0</v>
      </c>
      <c r="E27" s="566">
        <f>Histograma!F59</f>
        <v>0</v>
      </c>
      <c r="F27" s="567">
        <f>Histograma!G59</f>
        <v>0</v>
      </c>
      <c r="H27" s="1000"/>
      <c r="I27" s="952" t="s">
        <v>911</v>
      </c>
      <c r="J27" s="263">
        <f>J26+10*E26</f>
        <v>0</v>
      </c>
      <c r="K27" s="263">
        <f>K26+10*F26</f>
        <v>0</v>
      </c>
      <c r="L27" s="263">
        <f t="shared" si="8"/>
        <v>0</v>
      </c>
      <c r="M27" s="263">
        <f>M26+10*12.26</f>
        <v>576.1400000000001</v>
      </c>
      <c r="N27" s="263">
        <f>N26+10*12.26</f>
        <v>576.1400000000001</v>
      </c>
      <c r="O27" s="263">
        <f t="shared" si="10"/>
        <v>1152.2800000000002</v>
      </c>
      <c r="P27" s="823">
        <f t="shared" si="3"/>
        <v>-1152.2800000000002</v>
      </c>
      <c r="Q27" s="824">
        <f t="shared" si="4"/>
        <v>-1</v>
      </c>
      <c r="V27" s="94">
        <v>1</v>
      </c>
      <c r="W27" s="94" t="s">
        <v>1098</v>
      </c>
      <c r="X27" s="369" t="s">
        <v>1099</v>
      </c>
      <c r="Y27" s="829" t="s">
        <v>1099</v>
      </c>
    </row>
    <row r="28" spans="2:25" ht="16.5" thickTop="1" thickBot="1" x14ac:dyDescent="0.3">
      <c r="B28" s="1004" t="s">
        <v>499</v>
      </c>
      <c r="C28" s="556" t="s">
        <v>487</v>
      </c>
      <c r="D28" s="556" t="s">
        <v>487</v>
      </c>
      <c r="E28" s="562">
        <f>Histograma!F60</f>
        <v>0</v>
      </c>
      <c r="F28" s="563">
        <f>Histograma!G60</f>
        <v>0</v>
      </c>
      <c r="H28" s="801"/>
      <c r="I28" s="951" t="s">
        <v>909</v>
      </c>
      <c r="J28" s="780" t="s">
        <v>3</v>
      </c>
      <c r="K28" s="780" t="s">
        <v>4</v>
      </c>
      <c r="L28" s="780" t="s">
        <v>5</v>
      </c>
      <c r="M28" s="780" t="s">
        <v>3</v>
      </c>
      <c r="N28" s="780" t="s">
        <v>4</v>
      </c>
      <c r="O28" s="780" t="s">
        <v>5</v>
      </c>
      <c r="P28" s="822" t="s">
        <v>1059</v>
      </c>
      <c r="Q28" s="822" t="s">
        <v>15</v>
      </c>
      <c r="V28" s="4" t="s">
        <v>1068</v>
      </c>
      <c r="W28" s="4" t="s">
        <v>1100</v>
      </c>
      <c r="X28" s="369" t="s">
        <v>1101</v>
      </c>
      <c r="Y28" s="828">
        <v>355.84</v>
      </c>
    </row>
    <row r="29" spans="2:25" ht="15.75" thickTop="1" x14ac:dyDescent="0.25">
      <c r="B29" s="1000"/>
      <c r="C29" s="556">
        <v>0.01</v>
      </c>
      <c r="D29" s="556">
        <v>10</v>
      </c>
      <c r="E29" s="562">
        <f>Histograma!F61</f>
        <v>0</v>
      </c>
      <c r="F29" s="563">
        <f>Histograma!G61</f>
        <v>0</v>
      </c>
      <c r="H29" s="1004" t="s">
        <v>499</v>
      </c>
      <c r="I29" s="952" t="s">
        <v>904</v>
      </c>
      <c r="J29" s="263">
        <f>E28+10*(E29)</f>
        <v>0</v>
      </c>
      <c r="K29" s="263">
        <f>F28+10*(F29)</f>
        <v>0</v>
      </c>
      <c r="L29" s="263">
        <f t="shared" ref="L29:L35" si="11">SUM(J29:K29)</f>
        <v>0</v>
      </c>
      <c r="M29" s="263">
        <f>22.34+10*13.99</f>
        <v>162.24</v>
      </c>
      <c r="N29" s="263">
        <f>22.34+10*13.99</f>
        <v>162.24</v>
      </c>
      <c r="O29" s="263">
        <f>M29+N29</f>
        <v>324.48</v>
      </c>
      <c r="P29" s="823">
        <f t="shared" si="3"/>
        <v>-324.48</v>
      </c>
      <c r="Q29" s="824">
        <f t="shared" si="4"/>
        <v>-1</v>
      </c>
      <c r="V29" s="4" t="s">
        <v>1070</v>
      </c>
      <c r="W29" s="4" t="s">
        <v>1102</v>
      </c>
      <c r="X29" s="369" t="s">
        <v>1101</v>
      </c>
      <c r="Y29" s="828">
        <v>393.94</v>
      </c>
    </row>
    <row r="30" spans="2:25" x14ac:dyDescent="0.25">
      <c r="B30" s="1000"/>
      <c r="C30" s="557">
        <v>10.01</v>
      </c>
      <c r="D30" s="557">
        <v>15</v>
      </c>
      <c r="E30" s="564">
        <f>Histograma!F62</f>
        <v>0</v>
      </c>
      <c r="F30" s="565">
        <f>Histograma!G62</f>
        <v>0</v>
      </c>
      <c r="H30" s="1000"/>
      <c r="I30" s="952" t="s">
        <v>905</v>
      </c>
      <c r="J30" s="263">
        <f t="shared" ref="J30:K32" si="12">J29+5*E30</f>
        <v>0</v>
      </c>
      <c r="K30" s="263">
        <f t="shared" si="12"/>
        <v>0</v>
      </c>
      <c r="L30" s="263">
        <f t="shared" si="11"/>
        <v>0</v>
      </c>
      <c r="M30" s="263">
        <f>M29+5*7.06</f>
        <v>197.54000000000002</v>
      </c>
      <c r="N30" s="263">
        <f>N29+5*7.06</f>
        <v>197.54000000000002</v>
      </c>
      <c r="O30" s="263">
        <f t="shared" ref="O30:O35" si="13">M30+N30</f>
        <v>395.08000000000004</v>
      </c>
      <c r="P30" s="823">
        <f t="shared" si="3"/>
        <v>-395.08000000000004</v>
      </c>
      <c r="Q30" s="824">
        <f t="shared" si="4"/>
        <v>-1</v>
      </c>
      <c r="V30" s="4" t="s">
        <v>1072</v>
      </c>
      <c r="W30" s="4" t="s">
        <v>1103</v>
      </c>
      <c r="X30" s="369" t="s">
        <v>1101</v>
      </c>
      <c r="Y30" s="828">
        <v>437.14</v>
      </c>
    </row>
    <row r="31" spans="2:25" x14ac:dyDescent="0.25">
      <c r="B31" s="1000"/>
      <c r="C31" s="557">
        <v>15.01</v>
      </c>
      <c r="D31" s="557">
        <v>20</v>
      </c>
      <c r="E31" s="564">
        <f>Histograma!F63</f>
        <v>0</v>
      </c>
      <c r="F31" s="565">
        <f>Histograma!G63</f>
        <v>0</v>
      </c>
      <c r="H31" s="1000"/>
      <c r="I31" s="952" t="s">
        <v>906</v>
      </c>
      <c r="J31" s="263">
        <f t="shared" si="12"/>
        <v>0</v>
      </c>
      <c r="K31" s="263">
        <f t="shared" si="12"/>
        <v>0</v>
      </c>
      <c r="L31" s="263">
        <f t="shared" si="11"/>
        <v>0</v>
      </c>
      <c r="M31" s="263">
        <f>M30+5*7.06</f>
        <v>232.84000000000003</v>
      </c>
      <c r="N31" s="263">
        <f>N30+5*7.06</f>
        <v>232.84000000000003</v>
      </c>
      <c r="O31" s="263">
        <f t="shared" si="13"/>
        <v>465.68000000000006</v>
      </c>
      <c r="P31" s="823">
        <f t="shared" si="3"/>
        <v>-465.68000000000006</v>
      </c>
      <c r="Q31" s="824">
        <f t="shared" si="4"/>
        <v>-1</v>
      </c>
      <c r="V31" s="4" t="s">
        <v>1074</v>
      </c>
      <c r="W31" s="4" t="s">
        <v>1104</v>
      </c>
      <c r="X31" s="369" t="s">
        <v>1101</v>
      </c>
      <c r="Y31" s="828">
        <v>658.75</v>
      </c>
    </row>
    <row r="32" spans="2:25" x14ac:dyDescent="0.25">
      <c r="B32" s="1000"/>
      <c r="C32" s="557">
        <v>20.010000000000002</v>
      </c>
      <c r="D32" s="557">
        <v>30</v>
      </c>
      <c r="E32" s="564">
        <f>Histograma!F64</f>
        <v>0</v>
      </c>
      <c r="F32" s="565">
        <f>Histograma!G64</f>
        <v>0</v>
      </c>
      <c r="H32" s="1000"/>
      <c r="I32" s="952" t="s">
        <v>907</v>
      </c>
      <c r="J32" s="263">
        <f t="shared" si="12"/>
        <v>0</v>
      </c>
      <c r="K32" s="263">
        <f t="shared" si="12"/>
        <v>0</v>
      </c>
      <c r="L32" s="263">
        <f t="shared" si="11"/>
        <v>0</v>
      </c>
      <c r="M32" s="263">
        <f>M31+5*9.81</f>
        <v>281.89000000000004</v>
      </c>
      <c r="N32" s="263">
        <f>N31+5*9.81</f>
        <v>281.89000000000004</v>
      </c>
      <c r="O32" s="263">
        <f t="shared" si="13"/>
        <v>563.78000000000009</v>
      </c>
      <c r="P32" s="823">
        <f t="shared" si="3"/>
        <v>-563.78000000000009</v>
      </c>
      <c r="Q32" s="824">
        <f t="shared" si="4"/>
        <v>-1</v>
      </c>
      <c r="V32" s="4" t="s">
        <v>1076</v>
      </c>
      <c r="W32" s="4" t="s">
        <v>1105</v>
      </c>
      <c r="X32" s="369" t="s">
        <v>1101</v>
      </c>
      <c r="Y32" s="828">
        <v>988.13</v>
      </c>
    </row>
    <row r="33" spans="2:25" x14ac:dyDescent="0.25">
      <c r="B33" s="1000"/>
      <c r="C33" s="557">
        <v>30.01</v>
      </c>
      <c r="D33" s="557">
        <v>50</v>
      </c>
      <c r="E33" s="564">
        <f>Histograma!F65</f>
        <v>0</v>
      </c>
      <c r="F33" s="565">
        <f>Histograma!G65</f>
        <v>0</v>
      </c>
      <c r="H33" s="1000"/>
      <c r="I33" s="952" t="s">
        <v>908</v>
      </c>
      <c r="J33" s="263">
        <f>J32+5*E32</f>
        <v>0</v>
      </c>
      <c r="K33" s="263">
        <f>K32+5*F32</f>
        <v>0</v>
      </c>
      <c r="L33" s="263">
        <f t="shared" si="11"/>
        <v>0</v>
      </c>
      <c r="M33" s="263">
        <f>M32+5*9.81</f>
        <v>330.94000000000005</v>
      </c>
      <c r="N33" s="263">
        <f>N32+5*9.81</f>
        <v>330.94000000000005</v>
      </c>
      <c r="O33" s="263">
        <f t="shared" si="13"/>
        <v>661.88000000000011</v>
      </c>
      <c r="P33" s="823">
        <f t="shared" si="3"/>
        <v>-661.88000000000011</v>
      </c>
      <c r="Q33" s="824">
        <f t="shared" si="4"/>
        <v>-1</v>
      </c>
      <c r="V33" s="4" t="s">
        <v>1078</v>
      </c>
      <c r="W33" s="4" t="s">
        <v>1106</v>
      </c>
      <c r="X33" s="369" t="s">
        <v>1101</v>
      </c>
      <c r="Y33" s="828">
        <v>1119.8800000000001</v>
      </c>
    </row>
    <row r="34" spans="2:25" x14ac:dyDescent="0.25">
      <c r="B34" s="1000"/>
      <c r="C34" s="557">
        <v>50.01</v>
      </c>
      <c r="D34" s="557">
        <v>100</v>
      </c>
      <c r="E34" s="564">
        <f>Histograma!F66</f>
        <v>0</v>
      </c>
      <c r="F34" s="565">
        <f>Histograma!G66</f>
        <v>0</v>
      </c>
      <c r="H34" s="1000"/>
      <c r="I34" s="952" t="s">
        <v>910</v>
      </c>
      <c r="J34" s="263">
        <f>J33+10*E33</f>
        <v>0</v>
      </c>
      <c r="K34" s="263">
        <f>K33+10*F33</f>
        <v>0</v>
      </c>
      <c r="L34" s="263">
        <f t="shared" si="11"/>
        <v>0</v>
      </c>
      <c r="M34" s="263">
        <f>M33+10*12.26</f>
        <v>453.54000000000008</v>
      </c>
      <c r="N34" s="263">
        <f>N33+10*12.26</f>
        <v>453.54000000000008</v>
      </c>
      <c r="O34" s="263">
        <f t="shared" si="13"/>
        <v>907.08000000000015</v>
      </c>
      <c r="P34" s="823">
        <f t="shared" si="3"/>
        <v>-907.08000000000015</v>
      </c>
      <c r="Q34" s="824">
        <f t="shared" si="4"/>
        <v>-1</v>
      </c>
      <c r="V34" s="4" t="s">
        <v>1080</v>
      </c>
      <c r="W34" s="4" t="s">
        <v>1106</v>
      </c>
      <c r="X34" s="238" t="s">
        <v>1101</v>
      </c>
      <c r="Y34" s="828">
        <v>1317.5</v>
      </c>
    </row>
    <row r="35" spans="2:25" ht="15.75" thickBot="1" x14ac:dyDescent="0.3">
      <c r="B35" s="1001"/>
      <c r="C35" s="1002" t="s">
        <v>47</v>
      </c>
      <c r="D35" s="1003">
        <v>0</v>
      </c>
      <c r="E35" s="566">
        <f>Histograma!F67</f>
        <v>0</v>
      </c>
      <c r="F35" s="567">
        <f>Histograma!G67</f>
        <v>0</v>
      </c>
      <c r="H35" s="1000"/>
      <c r="I35" s="952" t="s">
        <v>911</v>
      </c>
      <c r="J35" s="263">
        <f>J34+10*E34</f>
        <v>0</v>
      </c>
      <c r="K35" s="263">
        <f>K34+10*F34</f>
        <v>0</v>
      </c>
      <c r="L35" s="263">
        <f t="shared" si="11"/>
        <v>0</v>
      </c>
      <c r="M35" s="263">
        <f>M34+10*12.26</f>
        <v>576.1400000000001</v>
      </c>
      <c r="N35" s="263">
        <f>N34+10*12.26</f>
        <v>576.1400000000001</v>
      </c>
      <c r="O35" s="263">
        <f t="shared" si="13"/>
        <v>1152.2800000000002</v>
      </c>
      <c r="P35" s="823">
        <f t="shared" si="3"/>
        <v>-1152.2800000000002</v>
      </c>
      <c r="Q35" s="824">
        <f t="shared" si="4"/>
        <v>-1</v>
      </c>
      <c r="V35" s="4" t="s">
        <v>1082</v>
      </c>
      <c r="W35" s="4" t="s">
        <v>1107</v>
      </c>
      <c r="X35" s="369" t="s">
        <v>1101</v>
      </c>
      <c r="Y35" s="828">
        <v>502.99</v>
      </c>
    </row>
    <row r="36" spans="2:25" ht="16.5" thickTop="1" thickBot="1" x14ac:dyDescent="0.3">
      <c r="B36" s="1004" t="s">
        <v>500</v>
      </c>
      <c r="C36" s="556" t="s">
        <v>487</v>
      </c>
      <c r="D36" s="556" t="s">
        <v>487</v>
      </c>
      <c r="E36" s="562">
        <f>Histograma!F68</f>
        <v>0</v>
      </c>
      <c r="F36" s="563">
        <f>Histograma!G68</f>
        <v>0</v>
      </c>
      <c r="H36" s="801"/>
      <c r="I36" s="951" t="s">
        <v>909</v>
      </c>
      <c r="J36" s="780" t="s">
        <v>3</v>
      </c>
      <c r="K36" s="780" t="s">
        <v>4</v>
      </c>
      <c r="L36" s="780" t="s">
        <v>5</v>
      </c>
      <c r="M36" s="780" t="s">
        <v>3</v>
      </c>
      <c r="N36" s="780" t="s">
        <v>4</v>
      </c>
      <c r="O36" s="780" t="s">
        <v>5</v>
      </c>
      <c r="P36" s="822" t="s">
        <v>1059</v>
      </c>
      <c r="Q36" s="822" t="s">
        <v>15</v>
      </c>
      <c r="V36" s="4" t="s">
        <v>1085</v>
      </c>
      <c r="W36" s="4" t="s">
        <v>1108</v>
      </c>
      <c r="X36" s="369" t="s">
        <v>1101</v>
      </c>
      <c r="Y36" s="828">
        <v>779.64</v>
      </c>
    </row>
    <row r="37" spans="2:25" ht="15.75" thickTop="1" x14ac:dyDescent="0.25">
      <c r="B37" s="1000"/>
      <c r="C37" s="556">
        <v>0.01</v>
      </c>
      <c r="D37" s="556">
        <v>10</v>
      </c>
      <c r="E37" s="562">
        <f>Histograma!F69</f>
        <v>0</v>
      </c>
      <c r="F37" s="563">
        <f>Histograma!G69</f>
        <v>0</v>
      </c>
      <c r="H37" s="1004" t="s">
        <v>500</v>
      </c>
      <c r="I37" s="952" t="s">
        <v>904</v>
      </c>
      <c r="J37" s="263">
        <f>E36+10*(E37)</f>
        <v>0</v>
      </c>
      <c r="K37" s="263">
        <f>F36+10*(F37)</f>
        <v>0</v>
      </c>
      <c r="L37" s="263">
        <f t="shared" ref="L37:L43" si="14">SUM(J37:K37)</f>
        <v>0</v>
      </c>
      <c r="M37" s="263">
        <f>15.99+10*2.85</f>
        <v>44.49</v>
      </c>
      <c r="N37" s="263">
        <f>15.99+10*2.85</f>
        <v>44.49</v>
      </c>
      <c r="O37" s="263">
        <f>M37+N37</f>
        <v>88.98</v>
      </c>
      <c r="P37" s="823">
        <f t="shared" si="3"/>
        <v>-88.98</v>
      </c>
      <c r="Q37" s="824">
        <f t="shared" si="4"/>
        <v>-1</v>
      </c>
      <c r="V37" s="4" t="s">
        <v>1087</v>
      </c>
      <c r="W37" s="4" t="s">
        <v>1109</v>
      </c>
      <c r="X37" s="369" t="s">
        <v>1101</v>
      </c>
      <c r="Y37" s="828">
        <v>930.54</v>
      </c>
    </row>
    <row r="38" spans="2:25" x14ac:dyDescent="0.25">
      <c r="B38" s="1000"/>
      <c r="C38" s="557">
        <v>10.01</v>
      </c>
      <c r="D38" s="557">
        <v>15</v>
      </c>
      <c r="E38" s="564">
        <f>Histograma!F70</f>
        <v>0</v>
      </c>
      <c r="F38" s="565">
        <f>Histograma!G70</f>
        <v>0</v>
      </c>
      <c r="H38" s="1000"/>
      <c r="I38" s="952" t="s">
        <v>905</v>
      </c>
      <c r="J38" s="263">
        <f t="shared" ref="J38:K40" si="15">J37+5*E38</f>
        <v>0</v>
      </c>
      <c r="K38" s="263">
        <f t="shared" si="15"/>
        <v>0</v>
      </c>
      <c r="L38" s="263">
        <f t="shared" si="14"/>
        <v>0</v>
      </c>
      <c r="M38" s="263">
        <f>M37+5*5.05</f>
        <v>69.740000000000009</v>
      </c>
      <c r="N38" s="263">
        <f>N37+5*5.05</f>
        <v>69.740000000000009</v>
      </c>
      <c r="O38" s="263">
        <f t="shared" ref="O38:O43" si="16">M38+N38</f>
        <v>139.48000000000002</v>
      </c>
      <c r="P38" s="823">
        <f t="shared" si="3"/>
        <v>-139.48000000000002</v>
      </c>
      <c r="Q38" s="824">
        <f t="shared" si="4"/>
        <v>-1</v>
      </c>
      <c r="V38" s="4" t="s">
        <v>1110</v>
      </c>
      <c r="W38" s="4" t="s">
        <v>1111</v>
      </c>
      <c r="X38" s="369" t="s">
        <v>1101</v>
      </c>
      <c r="Y38" s="828">
        <v>1257.48</v>
      </c>
    </row>
    <row r="39" spans="2:25" x14ac:dyDescent="0.25">
      <c r="B39" s="1000"/>
      <c r="C39" s="557">
        <v>15.01</v>
      </c>
      <c r="D39" s="557">
        <v>20</v>
      </c>
      <c r="E39" s="564">
        <f>Histograma!F71</f>
        <v>0</v>
      </c>
      <c r="F39" s="565">
        <f>Histograma!G71</f>
        <v>0</v>
      </c>
      <c r="H39" s="1000"/>
      <c r="I39" s="952" t="s">
        <v>906</v>
      </c>
      <c r="J39" s="263">
        <f t="shared" si="15"/>
        <v>0</v>
      </c>
      <c r="K39" s="263">
        <f t="shared" si="15"/>
        <v>0</v>
      </c>
      <c r="L39" s="263">
        <f t="shared" si="14"/>
        <v>0</v>
      </c>
      <c r="M39" s="263">
        <f>M38+5*5.05</f>
        <v>94.990000000000009</v>
      </c>
      <c r="N39" s="263">
        <f>N38+5*5.05</f>
        <v>94.990000000000009</v>
      </c>
      <c r="O39" s="263">
        <f t="shared" si="16"/>
        <v>189.98000000000002</v>
      </c>
      <c r="P39" s="823">
        <f t="shared" si="3"/>
        <v>-189.98000000000002</v>
      </c>
      <c r="Q39" s="824">
        <f t="shared" si="4"/>
        <v>-1</v>
      </c>
      <c r="V39" s="94">
        <v>2</v>
      </c>
      <c r="W39" s="94" t="s">
        <v>1112</v>
      </c>
      <c r="X39" s="369"/>
      <c r="Y39" s="829"/>
    </row>
    <row r="40" spans="2:25" x14ac:dyDescent="0.25">
      <c r="B40" s="1000"/>
      <c r="C40" s="557">
        <v>20.010000000000002</v>
      </c>
      <c r="D40" s="557">
        <v>30</v>
      </c>
      <c r="E40" s="564">
        <f>Histograma!F72</f>
        <v>0</v>
      </c>
      <c r="F40" s="565">
        <f>Histograma!G72</f>
        <v>0</v>
      </c>
      <c r="H40" s="1000"/>
      <c r="I40" s="952" t="s">
        <v>907</v>
      </c>
      <c r="J40" s="263">
        <f t="shared" si="15"/>
        <v>0</v>
      </c>
      <c r="K40" s="263">
        <f t="shared" si="15"/>
        <v>0</v>
      </c>
      <c r="L40" s="263">
        <f t="shared" si="14"/>
        <v>0</v>
      </c>
      <c r="M40" s="263">
        <f>M39+5*7.01</f>
        <v>130.04000000000002</v>
      </c>
      <c r="N40" s="263">
        <f>N39+5*7.01</f>
        <v>130.04000000000002</v>
      </c>
      <c r="O40" s="263">
        <f t="shared" si="16"/>
        <v>260.08000000000004</v>
      </c>
      <c r="P40" s="823">
        <f t="shared" si="3"/>
        <v>-260.08000000000004</v>
      </c>
      <c r="Q40" s="824">
        <f t="shared" si="4"/>
        <v>-1</v>
      </c>
      <c r="V40" s="4" t="s">
        <v>1061</v>
      </c>
      <c r="W40" s="4" t="s">
        <v>1113</v>
      </c>
      <c r="X40" s="369" t="s">
        <v>1114</v>
      </c>
      <c r="Y40" s="828">
        <v>4957.9199999999992</v>
      </c>
    </row>
    <row r="41" spans="2:25" x14ac:dyDescent="0.25">
      <c r="B41" s="1000"/>
      <c r="C41" s="557">
        <v>30.01</v>
      </c>
      <c r="D41" s="557">
        <v>50</v>
      </c>
      <c r="E41" s="564">
        <f>Histograma!F73</f>
        <v>0</v>
      </c>
      <c r="F41" s="565">
        <f>Histograma!G73</f>
        <v>0</v>
      </c>
      <c r="H41" s="1000"/>
      <c r="I41" s="952" t="s">
        <v>908</v>
      </c>
      <c r="J41" s="263">
        <f>J40+5*E40</f>
        <v>0</v>
      </c>
      <c r="K41" s="263">
        <f>K40+5*F40</f>
        <v>0</v>
      </c>
      <c r="L41" s="263">
        <f t="shared" si="14"/>
        <v>0</v>
      </c>
      <c r="M41" s="263">
        <f>M40+5*7.01</f>
        <v>165.09000000000003</v>
      </c>
      <c r="N41" s="263">
        <f>N40+5*7.01</f>
        <v>165.09000000000003</v>
      </c>
      <c r="O41" s="263">
        <f t="shared" si="16"/>
        <v>330.18000000000006</v>
      </c>
      <c r="P41" s="823">
        <f t="shared" si="3"/>
        <v>-330.18000000000006</v>
      </c>
      <c r="Q41" s="824">
        <f t="shared" si="4"/>
        <v>-1</v>
      </c>
      <c r="V41" s="4" t="s">
        <v>1091</v>
      </c>
      <c r="W41" s="4" t="s">
        <v>1115</v>
      </c>
      <c r="X41" s="369" t="s">
        <v>1101</v>
      </c>
      <c r="Y41" s="828">
        <v>2189.64</v>
      </c>
    </row>
    <row r="42" spans="2:25" x14ac:dyDescent="0.25">
      <c r="B42" s="1000"/>
      <c r="C42" s="557">
        <v>50.01</v>
      </c>
      <c r="D42" s="557">
        <v>100</v>
      </c>
      <c r="E42" s="564">
        <f>Histograma!F74</f>
        <v>0</v>
      </c>
      <c r="F42" s="565">
        <f>Histograma!G74</f>
        <v>0</v>
      </c>
      <c r="H42" s="1000"/>
      <c r="I42" s="952" t="s">
        <v>910</v>
      </c>
      <c r="J42" s="263">
        <f>J41+10*E41</f>
        <v>0</v>
      </c>
      <c r="K42" s="263">
        <f>K41+10*F41</f>
        <v>0</v>
      </c>
      <c r="L42" s="263">
        <f t="shared" si="14"/>
        <v>0</v>
      </c>
      <c r="M42" s="263">
        <f>M41+10*8.76</f>
        <v>252.69000000000003</v>
      </c>
      <c r="N42" s="263">
        <f>N41+10*8.76</f>
        <v>252.69000000000003</v>
      </c>
      <c r="O42" s="263">
        <f t="shared" si="16"/>
        <v>505.38000000000005</v>
      </c>
      <c r="P42" s="823">
        <f t="shared" si="3"/>
        <v>-505.38000000000005</v>
      </c>
      <c r="Q42" s="824">
        <f t="shared" si="4"/>
        <v>-1</v>
      </c>
      <c r="V42" s="4" t="s">
        <v>1092</v>
      </c>
      <c r="W42" s="4" t="s">
        <v>1116</v>
      </c>
      <c r="X42" s="369" t="s">
        <v>1114</v>
      </c>
      <c r="Y42" s="828">
        <v>3560.748</v>
      </c>
    </row>
    <row r="43" spans="2:25" ht="15.75" thickBot="1" x14ac:dyDescent="0.3">
      <c r="B43" s="1001"/>
      <c r="C43" s="1002" t="s">
        <v>47</v>
      </c>
      <c r="D43" s="1003">
        <v>0</v>
      </c>
      <c r="E43" s="566">
        <f>Histograma!F75</f>
        <v>0</v>
      </c>
      <c r="F43" s="567">
        <f>Histograma!G75</f>
        <v>0</v>
      </c>
      <c r="H43" s="1000"/>
      <c r="I43" s="952" t="s">
        <v>911</v>
      </c>
      <c r="J43" s="263">
        <f>J42+10*E42</f>
        <v>0</v>
      </c>
      <c r="K43" s="263">
        <f>K42+10*F42</f>
        <v>0</v>
      </c>
      <c r="L43" s="263">
        <f t="shared" si="14"/>
        <v>0</v>
      </c>
      <c r="M43" s="263">
        <f>M42+10*8.76</f>
        <v>340.29</v>
      </c>
      <c r="N43" s="263">
        <f>N42+10*8.76</f>
        <v>340.29</v>
      </c>
      <c r="O43" s="263">
        <f t="shared" si="16"/>
        <v>680.58</v>
      </c>
      <c r="P43" s="823">
        <f t="shared" si="3"/>
        <v>-680.58</v>
      </c>
      <c r="Q43" s="824">
        <f t="shared" si="4"/>
        <v>-1</v>
      </c>
      <c r="V43" s="94">
        <v>3</v>
      </c>
      <c r="W43" s="94" t="s">
        <v>1117</v>
      </c>
      <c r="X43" s="369"/>
      <c r="Y43" s="829" t="s">
        <v>1099</v>
      </c>
    </row>
    <row r="44" spans="2:25" ht="16.5" thickTop="1" thickBot="1" x14ac:dyDescent="0.3">
      <c r="B44" s="1004" t="s">
        <v>494</v>
      </c>
      <c r="C44" s="556" t="s">
        <v>487</v>
      </c>
      <c r="D44" s="556" t="s">
        <v>487</v>
      </c>
      <c r="E44" s="562">
        <f>Histograma!F76</f>
        <v>0</v>
      </c>
      <c r="F44" s="563">
        <f>Histograma!G76</f>
        <v>0</v>
      </c>
      <c r="H44" s="801"/>
      <c r="I44" s="951" t="s">
        <v>909</v>
      </c>
      <c r="J44" s="780" t="s">
        <v>3</v>
      </c>
      <c r="K44" s="780" t="s">
        <v>4</v>
      </c>
      <c r="L44" s="780" t="s">
        <v>5</v>
      </c>
      <c r="M44" s="780" t="s">
        <v>3</v>
      </c>
      <c r="N44" s="780" t="s">
        <v>4</v>
      </c>
      <c r="O44" s="780" t="s">
        <v>5</v>
      </c>
      <c r="P44" s="822" t="s">
        <v>1059</v>
      </c>
      <c r="Q44" s="822" t="s">
        <v>15</v>
      </c>
      <c r="V44" s="4" t="s">
        <v>1118</v>
      </c>
      <c r="W44" s="4" t="s">
        <v>1119</v>
      </c>
      <c r="X44" s="369" t="s">
        <v>1120</v>
      </c>
      <c r="Y44" s="828">
        <v>217.75</v>
      </c>
    </row>
    <row r="45" spans="2:25" ht="15.75" thickTop="1" x14ac:dyDescent="0.25">
      <c r="B45" s="1000"/>
      <c r="C45" s="556">
        <v>0.01</v>
      </c>
      <c r="D45" s="556">
        <v>10</v>
      </c>
      <c r="E45" s="562">
        <f>Histograma!F77</f>
        <v>0</v>
      </c>
      <c r="F45" s="563">
        <f>Histograma!G77</f>
        <v>0</v>
      </c>
      <c r="H45" s="1004" t="s">
        <v>494</v>
      </c>
      <c r="I45" s="952" t="s">
        <v>904</v>
      </c>
      <c r="J45" s="263">
        <f>E44+10*(E45)</f>
        <v>0</v>
      </c>
      <c r="K45" s="263">
        <f>F44+10*(F45)</f>
        <v>0</v>
      </c>
      <c r="L45" s="263">
        <f t="shared" ref="L45:L51" si="17">SUM(J45:K45)</f>
        <v>0</v>
      </c>
      <c r="M45" s="263">
        <f>15.99+10*2.85</f>
        <v>44.49</v>
      </c>
      <c r="N45" s="263">
        <f>15.99+10*2.85</f>
        <v>44.49</v>
      </c>
      <c r="O45" s="263">
        <f>M45+N45</f>
        <v>88.98</v>
      </c>
      <c r="P45" s="823">
        <f t="shared" si="3"/>
        <v>-88.98</v>
      </c>
      <c r="Q45" s="824">
        <f t="shared" si="4"/>
        <v>-1</v>
      </c>
      <c r="V45" s="4" t="s">
        <v>1121</v>
      </c>
      <c r="W45" s="4" t="s">
        <v>1122</v>
      </c>
      <c r="X45" s="369" t="s">
        <v>1120</v>
      </c>
      <c r="Y45" s="828">
        <v>203.26</v>
      </c>
    </row>
    <row r="46" spans="2:25" x14ac:dyDescent="0.25">
      <c r="B46" s="1000"/>
      <c r="C46" s="557">
        <v>10.01</v>
      </c>
      <c r="D46" s="557">
        <v>15</v>
      </c>
      <c r="E46" s="564">
        <f>Histograma!F78</f>
        <v>0</v>
      </c>
      <c r="F46" s="565">
        <f>Histograma!G78</f>
        <v>0</v>
      </c>
      <c r="H46" s="1000"/>
      <c r="I46" s="952" t="s">
        <v>905</v>
      </c>
      <c r="J46" s="263">
        <f t="shared" ref="J46:K48" si="18">J45+5*E46</f>
        <v>0</v>
      </c>
      <c r="K46" s="263">
        <f t="shared" si="18"/>
        <v>0</v>
      </c>
      <c r="L46" s="263">
        <f t="shared" si="17"/>
        <v>0</v>
      </c>
      <c r="M46" s="263">
        <f>M45+5*5.05</f>
        <v>69.740000000000009</v>
      </c>
      <c r="N46" s="263">
        <f>N45+5*5.05</f>
        <v>69.740000000000009</v>
      </c>
      <c r="O46" s="263">
        <f t="shared" ref="O46:O51" si="19">M46+N46</f>
        <v>139.48000000000002</v>
      </c>
      <c r="P46" s="823">
        <f t="shared" si="3"/>
        <v>-139.48000000000002</v>
      </c>
      <c r="Q46" s="824">
        <f t="shared" si="4"/>
        <v>-1</v>
      </c>
      <c r="V46" s="4" t="s">
        <v>1123</v>
      </c>
      <c r="W46" s="4" t="s">
        <v>1124</v>
      </c>
      <c r="X46" s="369" t="s">
        <v>1120</v>
      </c>
      <c r="Y46" s="828">
        <v>316.29000000000002</v>
      </c>
    </row>
    <row r="47" spans="2:25" x14ac:dyDescent="0.25">
      <c r="B47" s="1000"/>
      <c r="C47" s="557">
        <v>15.01</v>
      </c>
      <c r="D47" s="557">
        <v>20</v>
      </c>
      <c r="E47" s="564">
        <f>Histograma!F79</f>
        <v>0</v>
      </c>
      <c r="F47" s="565">
        <f>Histograma!G79</f>
        <v>0</v>
      </c>
      <c r="H47" s="1000"/>
      <c r="I47" s="952" t="s">
        <v>906</v>
      </c>
      <c r="J47" s="263">
        <f t="shared" si="18"/>
        <v>0</v>
      </c>
      <c r="K47" s="263">
        <f t="shared" si="18"/>
        <v>0</v>
      </c>
      <c r="L47" s="263">
        <f t="shared" si="17"/>
        <v>0</v>
      </c>
      <c r="M47" s="263">
        <f>M46+5*5.05</f>
        <v>94.990000000000009</v>
      </c>
      <c r="N47" s="263">
        <f>N46+5*5.05</f>
        <v>94.990000000000009</v>
      </c>
      <c r="O47" s="263">
        <f t="shared" si="19"/>
        <v>189.98000000000002</v>
      </c>
      <c r="P47" s="823">
        <f t="shared" si="3"/>
        <v>-189.98000000000002</v>
      </c>
      <c r="Q47" s="824">
        <f t="shared" si="4"/>
        <v>-1</v>
      </c>
      <c r="V47" s="94">
        <v>4</v>
      </c>
      <c r="W47" s="94" t="s">
        <v>1125</v>
      </c>
      <c r="X47" s="369"/>
      <c r="Y47" s="829" t="s">
        <v>1099</v>
      </c>
    </row>
    <row r="48" spans="2:25" ht="27.75" customHeight="1" x14ac:dyDescent="0.25">
      <c r="B48" s="1000"/>
      <c r="C48" s="557">
        <v>20.010000000000002</v>
      </c>
      <c r="D48" s="557">
        <v>30</v>
      </c>
      <c r="E48" s="564">
        <f>Histograma!F80</f>
        <v>0</v>
      </c>
      <c r="F48" s="565">
        <f>Histograma!G80</f>
        <v>0</v>
      </c>
      <c r="H48" s="1000"/>
      <c r="I48" s="952" t="s">
        <v>907</v>
      </c>
      <c r="J48" s="263">
        <f t="shared" si="18"/>
        <v>0</v>
      </c>
      <c r="K48" s="263">
        <f t="shared" si="18"/>
        <v>0</v>
      </c>
      <c r="L48" s="263">
        <f t="shared" si="17"/>
        <v>0</v>
      </c>
      <c r="M48" s="263">
        <f>M47+5*7.01</f>
        <v>130.04000000000002</v>
      </c>
      <c r="N48" s="263">
        <f>N47+5*7.01</f>
        <v>130.04000000000002</v>
      </c>
      <c r="O48" s="263">
        <f t="shared" si="19"/>
        <v>260.08000000000004</v>
      </c>
      <c r="P48" s="823">
        <f t="shared" si="3"/>
        <v>-260.08000000000004</v>
      </c>
      <c r="Q48" s="824">
        <f t="shared" si="4"/>
        <v>-1</v>
      </c>
      <c r="V48" s="887" t="s">
        <v>1126</v>
      </c>
      <c r="W48" s="913" t="s">
        <v>1307</v>
      </c>
      <c r="X48" s="888"/>
      <c r="Y48" s="886" t="s">
        <v>1308</v>
      </c>
    </row>
    <row r="49" spans="2:25" x14ac:dyDescent="0.25">
      <c r="B49" s="1000"/>
      <c r="C49" s="557">
        <v>30.01</v>
      </c>
      <c r="D49" s="557">
        <v>50</v>
      </c>
      <c r="E49" s="564">
        <f>Histograma!F81</f>
        <v>0</v>
      </c>
      <c r="F49" s="565">
        <f>Histograma!G81</f>
        <v>0</v>
      </c>
      <c r="H49" s="1000"/>
      <c r="I49" s="952" t="s">
        <v>908</v>
      </c>
      <c r="J49" s="263">
        <f>J48+5*E48</f>
        <v>0</v>
      </c>
      <c r="K49" s="263">
        <f>K48+5*F48</f>
        <v>0</v>
      </c>
      <c r="L49" s="263">
        <f t="shared" si="17"/>
        <v>0</v>
      </c>
      <c r="M49" s="263">
        <f>M48+5*7.01</f>
        <v>165.09000000000003</v>
      </c>
      <c r="N49" s="263">
        <f>N48+5*7.01</f>
        <v>165.09000000000003</v>
      </c>
      <c r="O49" s="263">
        <f t="shared" si="19"/>
        <v>330.18000000000006</v>
      </c>
      <c r="P49" s="823">
        <f t="shared" si="3"/>
        <v>-330.18000000000006</v>
      </c>
      <c r="Q49" s="824">
        <f t="shared" si="4"/>
        <v>-1</v>
      </c>
      <c r="V49" s="883" t="s">
        <v>1127</v>
      </c>
      <c r="W49" s="884" t="s">
        <v>1271</v>
      </c>
      <c r="X49" s="885"/>
      <c r="Y49" s="886"/>
    </row>
    <row r="50" spans="2:25" x14ac:dyDescent="0.25">
      <c r="B50" s="1000"/>
      <c r="C50" s="557">
        <v>50.01</v>
      </c>
      <c r="D50" s="557">
        <v>100</v>
      </c>
      <c r="E50" s="564">
        <f>Histograma!F82</f>
        <v>0</v>
      </c>
      <c r="F50" s="565">
        <f>Histograma!G82</f>
        <v>0</v>
      </c>
      <c r="H50" s="1000"/>
      <c r="I50" s="952" t="s">
        <v>910</v>
      </c>
      <c r="J50" s="263">
        <f>J49+10*E49</f>
        <v>0</v>
      </c>
      <c r="K50" s="263">
        <f>K49+10*F49</f>
        <v>0</v>
      </c>
      <c r="L50" s="263">
        <f t="shared" si="17"/>
        <v>0</v>
      </c>
      <c r="M50" s="263">
        <f>M49+10*8.76</f>
        <v>252.69000000000003</v>
      </c>
      <c r="N50" s="263">
        <f>N49+10*8.76</f>
        <v>252.69000000000003</v>
      </c>
      <c r="O50" s="263">
        <f t="shared" si="19"/>
        <v>505.38000000000005</v>
      </c>
      <c r="P50" s="823">
        <f t="shared" si="3"/>
        <v>-505.38000000000005</v>
      </c>
      <c r="Q50" s="824">
        <f t="shared" si="4"/>
        <v>-1</v>
      </c>
      <c r="V50" s="887" t="s">
        <v>1272</v>
      </c>
      <c r="W50" s="914" t="s">
        <v>1343</v>
      </c>
      <c r="X50" s="888" t="s">
        <v>1114</v>
      </c>
      <c r="Y50" s="886">
        <v>354.86399999999998</v>
      </c>
    </row>
    <row r="51" spans="2:25" ht="15.75" thickBot="1" x14ac:dyDescent="0.3">
      <c r="B51" s="1005"/>
      <c r="C51" s="1002" t="s">
        <v>47</v>
      </c>
      <c r="D51" s="1003">
        <v>0</v>
      </c>
      <c r="E51" s="566">
        <f>Histograma!F83</f>
        <v>0</v>
      </c>
      <c r="F51" s="567">
        <f>Histograma!G83</f>
        <v>0</v>
      </c>
      <c r="H51" s="1000"/>
      <c r="I51" s="952" t="s">
        <v>911</v>
      </c>
      <c r="J51" s="263">
        <f>J50+10*E50</f>
        <v>0</v>
      </c>
      <c r="K51" s="263">
        <f>K50+10*F50</f>
        <v>0</v>
      </c>
      <c r="L51" s="263">
        <f t="shared" si="17"/>
        <v>0</v>
      </c>
      <c r="M51" s="263">
        <f>M50+10*8.76</f>
        <v>340.29</v>
      </c>
      <c r="N51" s="263">
        <f>N50+10*8.76</f>
        <v>340.29</v>
      </c>
      <c r="O51" s="263">
        <f t="shared" si="19"/>
        <v>680.58</v>
      </c>
      <c r="P51" s="823">
        <f t="shared" si="3"/>
        <v>-680.58</v>
      </c>
      <c r="Q51" s="824">
        <f t="shared" si="4"/>
        <v>-1</v>
      </c>
      <c r="V51" s="887" t="s">
        <v>1273</v>
      </c>
      <c r="W51" s="914" t="s">
        <v>1344</v>
      </c>
      <c r="X51" s="888" t="s">
        <v>1114</v>
      </c>
      <c r="Y51" s="886">
        <v>418.21199999999999</v>
      </c>
    </row>
    <row r="52" spans="2:25" ht="16.5" thickTop="1" thickBot="1" x14ac:dyDescent="0.3">
      <c r="V52" s="887" t="s">
        <v>1274</v>
      </c>
      <c r="W52" s="914" t="s">
        <v>1345</v>
      </c>
      <c r="X52" s="888" t="s">
        <v>1114</v>
      </c>
      <c r="Y52" s="886">
        <v>561.22799999999995</v>
      </c>
    </row>
    <row r="53" spans="2:25" ht="22.5" customHeight="1" thickTop="1" x14ac:dyDescent="0.25">
      <c r="B53" s="943" t="s">
        <v>1060</v>
      </c>
      <c r="C53" s="944"/>
      <c r="D53" s="944"/>
      <c r="E53" s="944"/>
      <c r="F53" s="945"/>
      <c r="V53" s="887" t="s">
        <v>1275</v>
      </c>
      <c r="W53" s="914" t="s">
        <v>1346</v>
      </c>
      <c r="X53" s="888" t="s">
        <v>1114</v>
      </c>
      <c r="Y53" s="886">
        <v>624.57599999999991</v>
      </c>
    </row>
    <row r="54" spans="2:25" ht="34.5" thickBot="1" x14ac:dyDescent="0.3">
      <c r="B54" s="946" t="s">
        <v>1061</v>
      </c>
      <c r="C54" s="947" t="s">
        <v>1062</v>
      </c>
      <c r="D54" s="948"/>
      <c r="E54" s="949" t="e">
        <f>TRUNC(1.26816239316239*Histograma!Y89,2)</f>
        <v>#DIV/0!</v>
      </c>
      <c r="F54" s="950" t="e">
        <f>TRUNC(1.26816239316239*Histograma!Z89,2)</f>
        <v>#DIV/0!</v>
      </c>
      <c r="V54" s="887" t="s">
        <v>1276</v>
      </c>
      <c r="W54" s="914" t="s">
        <v>1347</v>
      </c>
      <c r="X54" s="888" t="s">
        <v>1114</v>
      </c>
      <c r="Y54" s="886">
        <v>571.82399999999996</v>
      </c>
    </row>
    <row r="55" spans="2:25" ht="15.75" thickTop="1" x14ac:dyDescent="0.25">
      <c r="V55" s="887" t="s">
        <v>1277</v>
      </c>
      <c r="W55" s="914" t="s">
        <v>1346</v>
      </c>
      <c r="X55" s="888" t="s">
        <v>1114</v>
      </c>
      <c r="Y55" s="886">
        <v>635.17199999999991</v>
      </c>
    </row>
    <row r="56" spans="2:25" x14ac:dyDescent="0.25">
      <c r="V56" s="887" t="s">
        <v>1278</v>
      </c>
      <c r="W56" s="914" t="s">
        <v>1348</v>
      </c>
      <c r="X56" s="888" t="s">
        <v>1114</v>
      </c>
      <c r="Y56" s="886">
        <v>554.36400000000003</v>
      </c>
    </row>
    <row r="57" spans="2:25" x14ac:dyDescent="0.25">
      <c r="V57" s="887" t="s">
        <v>1279</v>
      </c>
      <c r="W57" s="914" t="s">
        <v>1349</v>
      </c>
      <c r="X57" s="888" t="s">
        <v>1114</v>
      </c>
      <c r="Y57" s="886">
        <v>617.71199999999999</v>
      </c>
    </row>
    <row r="58" spans="2:25" x14ac:dyDescent="0.25">
      <c r="V58" s="887" t="s">
        <v>1128</v>
      </c>
      <c r="W58" s="915" t="s">
        <v>1280</v>
      </c>
      <c r="X58" s="888"/>
      <c r="Y58" s="886"/>
    </row>
    <row r="59" spans="2:25" x14ac:dyDescent="0.25">
      <c r="V59" s="887" t="s">
        <v>1281</v>
      </c>
      <c r="W59" s="914" t="s">
        <v>1350</v>
      </c>
      <c r="X59" s="888" t="s">
        <v>1114</v>
      </c>
      <c r="Y59" s="886">
        <v>425.48399999999998</v>
      </c>
    </row>
    <row r="60" spans="2:25" x14ac:dyDescent="0.25">
      <c r="V60" s="887" t="s">
        <v>1282</v>
      </c>
      <c r="W60" s="914" t="s">
        <v>1351</v>
      </c>
      <c r="X60" s="888" t="s">
        <v>1114</v>
      </c>
      <c r="Y60" s="886">
        <v>488.83199999999999</v>
      </c>
    </row>
    <row r="61" spans="2:25" x14ac:dyDescent="0.25">
      <c r="V61" s="887" t="s">
        <v>1283</v>
      </c>
      <c r="W61" s="914" t="s">
        <v>1352</v>
      </c>
      <c r="X61" s="888" t="s">
        <v>1114</v>
      </c>
      <c r="Y61" s="886">
        <v>631.84799999999996</v>
      </c>
    </row>
    <row r="62" spans="2:25" x14ac:dyDescent="0.25">
      <c r="V62" s="887" t="s">
        <v>1284</v>
      </c>
      <c r="W62" s="914" t="s">
        <v>1353</v>
      </c>
      <c r="X62" s="888" t="s">
        <v>1114</v>
      </c>
      <c r="Y62" s="886">
        <v>695.19599999999991</v>
      </c>
    </row>
    <row r="63" spans="2:25" x14ac:dyDescent="0.25">
      <c r="V63" s="887" t="s">
        <v>1285</v>
      </c>
      <c r="W63" s="914" t="s">
        <v>1354</v>
      </c>
      <c r="X63" s="888" t="s">
        <v>1114</v>
      </c>
      <c r="Y63" s="886">
        <v>642.44399999999996</v>
      </c>
    </row>
    <row r="64" spans="2:25" x14ac:dyDescent="0.25">
      <c r="V64" s="887" t="s">
        <v>1286</v>
      </c>
      <c r="W64" s="914" t="s">
        <v>1353</v>
      </c>
      <c r="X64" s="888" t="s">
        <v>1114</v>
      </c>
      <c r="Y64" s="886">
        <v>705.79199999999992</v>
      </c>
    </row>
    <row r="65" spans="22:25" x14ac:dyDescent="0.25">
      <c r="V65" s="887" t="s">
        <v>1287</v>
      </c>
      <c r="W65" s="914" t="s">
        <v>1355</v>
      </c>
      <c r="X65" s="888" t="s">
        <v>1114</v>
      </c>
      <c r="Y65" s="886">
        <v>624.98399999999992</v>
      </c>
    </row>
    <row r="66" spans="22:25" x14ac:dyDescent="0.25">
      <c r="V66" s="887" t="s">
        <v>1288</v>
      </c>
      <c r="W66" s="914" t="s">
        <v>1356</v>
      </c>
      <c r="X66" s="888" t="s">
        <v>1114</v>
      </c>
      <c r="Y66" s="886">
        <v>688.33199999999988</v>
      </c>
    </row>
    <row r="67" spans="22:25" x14ac:dyDescent="0.25">
      <c r="V67" s="887" t="s">
        <v>1129</v>
      </c>
      <c r="W67" s="915" t="s">
        <v>1289</v>
      </c>
      <c r="X67" s="888"/>
      <c r="Y67" s="886"/>
    </row>
    <row r="68" spans="22:25" x14ac:dyDescent="0.25">
      <c r="V68" s="887" t="s">
        <v>1290</v>
      </c>
      <c r="W68" s="914" t="s">
        <v>1357</v>
      </c>
      <c r="X68" s="888" t="s">
        <v>1114</v>
      </c>
      <c r="Y68" s="886">
        <v>529.05600000000004</v>
      </c>
    </row>
    <row r="69" spans="22:25" x14ac:dyDescent="0.25">
      <c r="V69" s="887" t="s">
        <v>1291</v>
      </c>
      <c r="W69" s="914" t="s">
        <v>1358</v>
      </c>
      <c r="X69" s="888" t="s">
        <v>1114</v>
      </c>
      <c r="Y69" s="886">
        <v>592.404</v>
      </c>
    </row>
    <row r="70" spans="22:25" x14ac:dyDescent="0.25">
      <c r="V70" s="887" t="s">
        <v>1292</v>
      </c>
      <c r="W70" s="914" t="s">
        <v>1359</v>
      </c>
      <c r="X70" s="888" t="s">
        <v>1114</v>
      </c>
      <c r="Y70" s="886">
        <v>735.42000000000007</v>
      </c>
    </row>
    <row r="71" spans="22:25" x14ac:dyDescent="0.25">
      <c r="V71" s="887" t="s">
        <v>1293</v>
      </c>
      <c r="W71" s="914" t="s">
        <v>1360</v>
      </c>
      <c r="X71" s="888" t="s">
        <v>1114</v>
      </c>
      <c r="Y71" s="886">
        <v>798.76800000000003</v>
      </c>
    </row>
    <row r="72" spans="22:25" x14ac:dyDescent="0.25">
      <c r="V72" s="887" t="s">
        <v>1294</v>
      </c>
      <c r="W72" s="914" t="s">
        <v>1361</v>
      </c>
      <c r="X72" s="888" t="s">
        <v>1114</v>
      </c>
      <c r="Y72" s="886">
        <v>746.01600000000008</v>
      </c>
    </row>
    <row r="73" spans="22:25" x14ac:dyDescent="0.25">
      <c r="V73" s="887" t="s">
        <v>1295</v>
      </c>
      <c r="W73" s="914" t="s">
        <v>1360</v>
      </c>
      <c r="X73" s="888" t="s">
        <v>1114</v>
      </c>
      <c r="Y73" s="886">
        <v>809.36400000000003</v>
      </c>
    </row>
    <row r="74" spans="22:25" x14ac:dyDescent="0.25">
      <c r="V74" s="887" t="s">
        <v>1296</v>
      </c>
      <c r="W74" s="914" t="s">
        <v>1362</v>
      </c>
      <c r="X74" s="888" t="s">
        <v>1114</v>
      </c>
      <c r="Y74" s="886">
        <v>728.55600000000004</v>
      </c>
    </row>
    <row r="75" spans="22:25" x14ac:dyDescent="0.25">
      <c r="V75" s="887" t="s">
        <v>1297</v>
      </c>
      <c r="W75" s="914" t="s">
        <v>1363</v>
      </c>
      <c r="X75" s="888" t="s">
        <v>1114</v>
      </c>
      <c r="Y75" s="886">
        <v>791.904</v>
      </c>
    </row>
    <row r="76" spans="22:25" x14ac:dyDescent="0.25">
      <c r="V76" s="887" t="s">
        <v>1130</v>
      </c>
      <c r="W76" s="915" t="s">
        <v>1298</v>
      </c>
      <c r="X76" s="888"/>
      <c r="Y76" s="886"/>
    </row>
    <row r="77" spans="22:25" x14ac:dyDescent="0.25">
      <c r="V77" s="887" t="s">
        <v>1299</v>
      </c>
      <c r="W77" s="914" t="s">
        <v>1364</v>
      </c>
      <c r="X77" s="888" t="s">
        <v>1114</v>
      </c>
      <c r="Y77" s="886">
        <v>623.70000000000005</v>
      </c>
    </row>
    <row r="78" spans="22:25" x14ac:dyDescent="0.25">
      <c r="V78" s="887" t="s">
        <v>1300</v>
      </c>
      <c r="W78" s="914" t="s">
        <v>1365</v>
      </c>
      <c r="X78" s="888" t="s">
        <v>1114</v>
      </c>
      <c r="Y78" s="886">
        <v>687.048</v>
      </c>
    </row>
    <row r="79" spans="22:25" x14ac:dyDescent="0.25">
      <c r="V79" s="887" t="s">
        <v>1301</v>
      </c>
      <c r="W79" s="914" t="s">
        <v>1366</v>
      </c>
      <c r="X79" s="888" t="s">
        <v>1114</v>
      </c>
      <c r="Y79" s="886">
        <v>830.06400000000008</v>
      </c>
    </row>
    <row r="80" spans="22:25" x14ac:dyDescent="0.25">
      <c r="V80" s="887" t="s">
        <v>1302</v>
      </c>
      <c r="W80" s="914" t="s">
        <v>1367</v>
      </c>
      <c r="X80" s="888" t="s">
        <v>1114</v>
      </c>
      <c r="Y80" s="886">
        <v>893.41200000000003</v>
      </c>
    </row>
    <row r="81" spans="22:25" x14ac:dyDescent="0.25">
      <c r="V81" s="887" t="s">
        <v>1303</v>
      </c>
      <c r="W81" s="914" t="s">
        <v>1368</v>
      </c>
      <c r="X81" s="888" t="s">
        <v>1114</v>
      </c>
      <c r="Y81" s="886">
        <v>840.66000000000008</v>
      </c>
    </row>
    <row r="82" spans="22:25" x14ac:dyDescent="0.25">
      <c r="V82" s="887" t="s">
        <v>1304</v>
      </c>
      <c r="W82" s="914" t="s">
        <v>1367</v>
      </c>
      <c r="X82" s="888" t="s">
        <v>1114</v>
      </c>
      <c r="Y82" s="886">
        <v>904.00800000000004</v>
      </c>
    </row>
    <row r="83" spans="22:25" x14ac:dyDescent="0.25">
      <c r="V83" s="887" t="s">
        <v>1305</v>
      </c>
      <c r="W83" s="914" t="s">
        <v>1369</v>
      </c>
      <c r="X83" s="888" t="s">
        <v>1114</v>
      </c>
      <c r="Y83" s="886">
        <v>823.2</v>
      </c>
    </row>
    <row r="84" spans="22:25" x14ac:dyDescent="0.25">
      <c r="V84" s="887" t="s">
        <v>1306</v>
      </c>
      <c r="W84" s="914" t="s">
        <v>1370</v>
      </c>
      <c r="X84" s="888" t="s">
        <v>1114</v>
      </c>
      <c r="Y84" s="886">
        <v>886.548</v>
      </c>
    </row>
    <row r="85" spans="22:25" x14ac:dyDescent="0.25">
      <c r="V85" s="889">
        <v>5</v>
      </c>
      <c r="W85" s="1006" t="s">
        <v>1309</v>
      </c>
      <c r="X85" s="1007"/>
      <c r="Y85" s="1008"/>
    </row>
    <row r="86" spans="22:25" x14ac:dyDescent="0.25">
      <c r="V86" s="887" t="s">
        <v>1131</v>
      </c>
      <c r="W86" s="914" t="s">
        <v>1310</v>
      </c>
      <c r="X86" s="888" t="s">
        <v>1114</v>
      </c>
      <c r="Y86" s="886">
        <v>187.84</v>
      </c>
    </row>
    <row r="87" spans="22:25" x14ac:dyDescent="0.25">
      <c r="V87" s="887" t="s">
        <v>1132</v>
      </c>
      <c r="W87" s="914" t="s">
        <v>1311</v>
      </c>
      <c r="X87" s="888" t="s">
        <v>1114</v>
      </c>
      <c r="Y87" s="886">
        <v>291.83999999999997</v>
      </c>
    </row>
    <row r="88" spans="22:25" x14ac:dyDescent="0.25">
      <c r="V88" s="887" t="s">
        <v>1133</v>
      </c>
      <c r="W88" s="914" t="s">
        <v>1312</v>
      </c>
      <c r="X88" s="888" t="s">
        <v>1114</v>
      </c>
      <c r="Y88" s="886">
        <v>769.79</v>
      </c>
    </row>
    <row r="89" spans="22:25" x14ac:dyDescent="0.25">
      <c r="V89" s="887" t="s">
        <v>1134</v>
      </c>
      <c r="W89" s="914" t="s">
        <v>1313</v>
      </c>
      <c r="X89" s="888" t="s">
        <v>1114</v>
      </c>
      <c r="Y89" s="886">
        <v>898.65</v>
      </c>
    </row>
    <row r="90" spans="22:25" x14ac:dyDescent="0.25">
      <c r="V90" s="887" t="s">
        <v>1135</v>
      </c>
      <c r="W90" s="914" t="s">
        <v>1314</v>
      </c>
      <c r="X90" s="888" t="s">
        <v>1114</v>
      </c>
      <c r="Y90" s="886">
        <v>1158.77</v>
      </c>
    </row>
    <row r="91" spans="22:25" x14ac:dyDescent="0.25">
      <c r="V91" s="887" t="s">
        <v>1136</v>
      </c>
      <c r="W91" s="914" t="s">
        <v>1315</v>
      </c>
      <c r="X91" s="888" t="s">
        <v>1114</v>
      </c>
      <c r="Y91" s="886">
        <v>1757.27</v>
      </c>
    </row>
    <row r="92" spans="22:25" x14ac:dyDescent="0.25">
      <c r="V92" s="887" t="s">
        <v>1137</v>
      </c>
      <c r="W92" s="914" t="s">
        <v>1316</v>
      </c>
      <c r="X92" s="888" t="s">
        <v>1114</v>
      </c>
      <c r="Y92" s="886">
        <v>1331.84</v>
      </c>
    </row>
    <row r="93" spans="22:25" x14ac:dyDescent="0.25">
      <c r="V93" s="889">
        <v>6</v>
      </c>
      <c r="W93" s="1006" t="s">
        <v>1317</v>
      </c>
      <c r="X93" s="1007"/>
      <c r="Y93" s="1008"/>
    </row>
    <row r="94" spans="22:25" ht="48" customHeight="1" x14ac:dyDescent="0.25">
      <c r="V94" s="887" t="s">
        <v>1138</v>
      </c>
      <c r="W94" s="916" t="s">
        <v>1318</v>
      </c>
      <c r="X94" s="888" t="s">
        <v>1114</v>
      </c>
      <c r="Y94" s="886" t="s">
        <v>1319</v>
      </c>
    </row>
    <row r="95" spans="22:25" x14ac:dyDescent="0.25">
      <c r="V95" s="887" t="s">
        <v>1139</v>
      </c>
      <c r="W95" s="914" t="s">
        <v>1320</v>
      </c>
      <c r="X95" s="888" t="s">
        <v>1114</v>
      </c>
      <c r="Y95" s="886">
        <v>1026.096</v>
      </c>
    </row>
    <row r="96" spans="22:25" x14ac:dyDescent="0.25">
      <c r="V96" s="887" t="s">
        <v>1140</v>
      </c>
      <c r="W96" s="914" t="s">
        <v>1321</v>
      </c>
      <c r="X96" s="888" t="s">
        <v>1114</v>
      </c>
      <c r="Y96" s="886">
        <v>501.41999999999996</v>
      </c>
    </row>
    <row r="97" spans="22:25" x14ac:dyDescent="0.25">
      <c r="V97" s="887" t="s">
        <v>1322</v>
      </c>
      <c r="W97" s="914" t="s">
        <v>622</v>
      </c>
      <c r="X97" s="888" t="s">
        <v>1101</v>
      </c>
      <c r="Y97" s="886">
        <v>54.03</v>
      </c>
    </row>
    <row r="98" spans="22:25" x14ac:dyDescent="0.25">
      <c r="V98" s="887" t="s">
        <v>1323</v>
      </c>
      <c r="W98" s="914" t="s">
        <v>1324</v>
      </c>
      <c r="X98" s="888" t="s">
        <v>1114</v>
      </c>
      <c r="Y98" s="886">
        <v>353.69428571428574</v>
      </c>
    </row>
    <row r="99" spans="22:25" x14ac:dyDescent="0.25">
      <c r="V99" s="887" t="s">
        <v>1325</v>
      </c>
      <c r="W99" s="914" t="s">
        <v>1326</v>
      </c>
      <c r="X99" s="888" t="s">
        <v>1114</v>
      </c>
      <c r="Y99" s="886">
        <v>495.17200000000003</v>
      </c>
    </row>
    <row r="100" spans="22:25" x14ac:dyDescent="0.25">
      <c r="V100" s="887" t="s">
        <v>1327</v>
      </c>
      <c r="W100" s="914" t="s">
        <v>1328</v>
      </c>
      <c r="X100" s="888" t="s">
        <v>1114</v>
      </c>
      <c r="Y100" s="886">
        <v>866.55100000000004</v>
      </c>
    </row>
    <row r="101" spans="22:25" x14ac:dyDescent="0.25">
      <c r="V101" s="887" t="s">
        <v>1329</v>
      </c>
      <c r="W101" s="914" t="s">
        <v>1330</v>
      </c>
      <c r="X101" s="888" t="s">
        <v>1114</v>
      </c>
      <c r="Y101" s="886">
        <v>1237.93</v>
      </c>
    </row>
    <row r="102" spans="22:25" x14ac:dyDescent="0.25">
      <c r="V102" s="889">
        <v>7</v>
      </c>
      <c r="W102" s="1009" t="s">
        <v>1331</v>
      </c>
      <c r="X102" s="1010"/>
      <c r="Y102" s="1011"/>
    </row>
    <row r="103" spans="22:25" x14ac:dyDescent="0.25">
      <c r="V103" s="887" t="s">
        <v>1141</v>
      </c>
      <c r="W103" s="914" t="s">
        <v>1371</v>
      </c>
      <c r="X103" s="888" t="s">
        <v>1114</v>
      </c>
      <c r="Y103" s="886">
        <v>414.29999999999995</v>
      </c>
    </row>
    <row r="104" spans="22:25" x14ac:dyDescent="0.25">
      <c r="V104" s="887" t="s">
        <v>1142</v>
      </c>
      <c r="W104" s="914" t="s">
        <v>1372</v>
      </c>
      <c r="X104" s="888" t="s">
        <v>1114</v>
      </c>
      <c r="Y104" s="886">
        <v>504.57600000000002</v>
      </c>
    </row>
    <row r="105" spans="22:25" x14ac:dyDescent="0.25">
      <c r="V105" s="887" t="s">
        <v>1143</v>
      </c>
      <c r="W105" s="914" t="s">
        <v>1373</v>
      </c>
      <c r="X105" s="888" t="s">
        <v>1114</v>
      </c>
      <c r="Y105" s="886">
        <v>938.976</v>
      </c>
    </row>
    <row r="106" spans="22:25" x14ac:dyDescent="0.25">
      <c r="V106" s="887" t="s">
        <v>1144</v>
      </c>
      <c r="W106" s="914" t="s">
        <v>1374</v>
      </c>
      <c r="X106" s="888" t="s">
        <v>1114</v>
      </c>
      <c r="Y106" s="886">
        <v>897.25200000000007</v>
      </c>
    </row>
    <row r="107" spans="22:25" x14ac:dyDescent="0.25">
      <c r="V107" s="887" t="s">
        <v>1332</v>
      </c>
      <c r="W107" s="914" t="s">
        <v>1375</v>
      </c>
      <c r="X107" s="888" t="s">
        <v>1114</v>
      </c>
      <c r="Y107" s="886">
        <v>897.68399999999997</v>
      </c>
    </row>
    <row r="108" spans="22:25" x14ac:dyDescent="0.25">
      <c r="V108" s="889">
        <v>8</v>
      </c>
      <c r="W108" s="1009" t="s">
        <v>1145</v>
      </c>
      <c r="X108" s="1010"/>
      <c r="Y108" s="1011"/>
    </row>
    <row r="109" spans="22:25" x14ac:dyDescent="0.25">
      <c r="V109" s="887" t="s">
        <v>1146</v>
      </c>
      <c r="W109" s="914" t="s">
        <v>1333</v>
      </c>
      <c r="X109" s="888" t="s">
        <v>1114</v>
      </c>
      <c r="Y109" s="886">
        <v>226.46</v>
      </c>
    </row>
    <row r="110" spans="22:25" x14ac:dyDescent="0.25">
      <c r="V110" s="887" t="s">
        <v>1147</v>
      </c>
      <c r="W110" s="914" t="s">
        <v>1334</v>
      </c>
      <c r="X110" s="888" t="s">
        <v>1114</v>
      </c>
      <c r="Y110" s="886">
        <v>398.92</v>
      </c>
    </row>
    <row r="111" spans="22:25" x14ac:dyDescent="0.25">
      <c r="V111" s="887" t="s">
        <v>1148</v>
      </c>
      <c r="W111" s="914" t="s">
        <v>1335</v>
      </c>
      <c r="X111" s="888" t="s">
        <v>1114</v>
      </c>
      <c r="Y111" s="886">
        <v>495.33</v>
      </c>
    </row>
    <row r="112" spans="22:25" x14ac:dyDescent="0.25">
      <c r="V112" s="887" t="s">
        <v>1149</v>
      </c>
      <c r="W112" s="914" t="s">
        <v>1150</v>
      </c>
      <c r="X112" s="888" t="s">
        <v>1114</v>
      </c>
      <c r="Y112" s="886">
        <v>1176.01</v>
      </c>
    </row>
    <row r="113" spans="22:25" x14ac:dyDescent="0.25">
      <c r="V113" s="887" t="s">
        <v>1151</v>
      </c>
      <c r="W113" s="914" t="s">
        <v>1152</v>
      </c>
      <c r="X113" s="888" t="s">
        <v>1114</v>
      </c>
      <c r="Y113" s="886">
        <v>1286.21</v>
      </c>
    </row>
    <row r="114" spans="22:25" x14ac:dyDescent="0.25">
      <c r="V114" s="887" t="s">
        <v>1153</v>
      </c>
      <c r="W114" s="914" t="s">
        <v>1154</v>
      </c>
      <c r="X114" s="888" t="s">
        <v>1114</v>
      </c>
      <c r="Y114" s="886">
        <v>2115.9299999999998</v>
      </c>
    </row>
    <row r="115" spans="22:25" x14ac:dyDescent="0.25">
      <c r="V115" s="887" t="s">
        <v>1155</v>
      </c>
      <c r="W115" s="914" t="s">
        <v>1156</v>
      </c>
      <c r="X115" s="888" t="s">
        <v>1114</v>
      </c>
      <c r="Y115" s="886">
        <v>5537.02</v>
      </c>
    </row>
    <row r="116" spans="22:25" x14ac:dyDescent="0.25">
      <c r="V116" s="887" t="s">
        <v>1157</v>
      </c>
      <c r="W116" s="914" t="s">
        <v>1158</v>
      </c>
      <c r="X116" s="888" t="s">
        <v>1114</v>
      </c>
      <c r="Y116" s="886">
        <v>7085.7</v>
      </c>
    </row>
    <row r="117" spans="22:25" x14ac:dyDescent="0.25">
      <c r="V117" s="887" t="s">
        <v>1159</v>
      </c>
      <c r="W117" s="914" t="s">
        <v>1336</v>
      </c>
      <c r="X117" s="888" t="s">
        <v>1114</v>
      </c>
      <c r="Y117" s="886">
        <v>350.5</v>
      </c>
    </row>
    <row r="118" spans="22:25" x14ac:dyDescent="0.25">
      <c r="V118" s="887" t="s">
        <v>1160</v>
      </c>
      <c r="W118" s="914" t="s">
        <v>1337</v>
      </c>
      <c r="X118" s="888" t="s">
        <v>1114</v>
      </c>
      <c r="Y118" s="886">
        <v>432.29</v>
      </c>
    </row>
    <row r="119" spans="22:25" x14ac:dyDescent="0.25">
      <c r="V119" s="887" t="s">
        <v>1161</v>
      </c>
      <c r="W119" s="914" t="s">
        <v>1338</v>
      </c>
      <c r="X119" s="888" t="s">
        <v>1114</v>
      </c>
      <c r="Y119" s="886">
        <v>513.99</v>
      </c>
    </row>
    <row r="120" spans="22:25" x14ac:dyDescent="0.25">
      <c r="V120" s="887" t="s">
        <v>1162</v>
      </c>
      <c r="W120" s="914" t="s">
        <v>1339</v>
      </c>
      <c r="X120" s="888" t="s">
        <v>1114</v>
      </c>
      <c r="Y120" s="886">
        <v>627.35</v>
      </c>
    </row>
    <row r="121" spans="22:25" x14ac:dyDescent="0.25">
      <c r="V121" s="887" t="s">
        <v>1163</v>
      </c>
      <c r="W121" s="914" t="s">
        <v>1340</v>
      </c>
      <c r="X121" s="888" t="s">
        <v>1114</v>
      </c>
      <c r="Y121" s="886">
        <v>185.83</v>
      </c>
    </row>
    <row r="122" spans="22:25" x14ac:dyDescent="0.25">
      <c r="V122" s="887" t="s">
        <v>1164</v>
      </c>
      <c r="W122" s="914" t="s">
        <v>1341</v>
      </c>
      <c r="X122" s="888" t="s">
        <v>1114</v>
      </c>
      <c r="Y122" s="886">
        <v>61.51</v>
      </c>
    </row>
    <row r="123" spans="22:25" x14ac:dyDescent="0.25">
      <c r="V123" s="887" t="s">
        <v>1165</v>
      </c>
      <c r="W123" s="914" t="s">
        <v>1342</v>
      </c>
      <c r="X123" s="888" t="s">
        <v>1114</v>
      </c>
      <c r="Y123" s="886">
        <v>61.51</v>
      </c>
    </row>
    <row r="124" spans="22:25" x14ac:dyDescent="0.25">
      <c r="V124" s="887" t="s">
        <v>1166</v>
      </c>
      <c r="W124" s="914" t="s">
        <v>1167</v>
      </c>
      <c r="X124" s="888" t="s">
        <v>1114</v>
      </c>
      <c r="Y124" s="886">
        <v>32.22</v>
      </c>
    </row>
    <row r="125" spans="22:25" x14ac:dyDescent="0.25">
      <c r="V125" s="887" t="s">
        <v>1168</v>
      </c>
      <c r="W125" s="914" t="s">
        <v>1169</v>
      </c>
      <c r="X125" s="888" t="s">
        <v>1114</v>
      </c>
      <c r="Y125" s="886">
        <v>48.59</v>
      </c>
    </row>
    <row r="126" spans="22:25" x14ac:dyDescent="0.25">
      <c r="V126" s="887" t="s">
        <v>1170</v>
      </c>
      <c r="W126" s="914" t="s">
        <v>1171</v>
      </c>
      <c r="X126" s="888" t="s">
        <v>607</v>
      </c>
      <c r="Y126" s="886">
        <v>52.23</v>
      </c>
    </row>
    <row r="127" spans="22:25" x14ac:dyDescent="0.25">
      <c r="V127" s="40">
        <v>9</v>
      </c>
      <c r="W127" s="94" t="s">
        <v>1172</v>
      </c>
      <c r="X127" s="369"/>
      <c r="Y127" s="369"/>
    </row>
    <row r="128" spans="22:25" x14ac:dyDescent="0.25">
      <c r="V128" s="887" t="s">
        <v>1173</v>
      </c>
      <c r="W128" s="4" t="s">
        <v>1174</v>
      </c>
      <c r="X128" s="369" t="s">
        <v>1114</v>
      </c>
      <c r="Y128" s="828">
        <v>102.14</v>
      </c>
    </row>
    <row r="129" spans="22:25" x14ac:dyDescent="0.25">
      <c r="V129" s="887" t="s">
        <v>1175</v>
      </c>
      <c r="W129" s="4" t="s">
        <v>1176</v>
      </c>
      <c r="X129" s="369" t="s">
        <v>1114</v>
      </c>
      <c r="Y129" s="828">
        <v>454.47</v>
      </c>
    </row>
    <row r="130" spans="22:25" x14ac:dyDescent="0.25">
      <c r="V130" s="887" t="s">
        <v>1177</v>
      </c>
      <c r="W130" s="4" t="s">
        <v>1178</v>
      </c>
      <c r="X130" s="369" t="s">
        <v>1114</v>
      </c>
      <c r="Y130" s="828">
        <v>102.14</v>
      </c>
    </row>
    <row r="131" spans="22:25" x14ac:dyDescent="0.25">
      <c r="V131" s="887" t="s">
        <v>1179</v>
      </c>
      <c r="W131" s="4" t="s">
        <v>1180</v>
      </c>
      <c r="X131" s="369" t="s">
        <v>1114</v>
      </c>
      <c r="Y131" s="828">
        <v>167.04</v>
      </c>
    </row>
    <row r="132" spans="22:25" x14ac:dyDescent="0.25">
      <c r="V132" s="887" t="s">
        <v>1181</v>
      </c>
      <c r="W132" s="4" t="s">
        <v>1182</v>
      </c>
      <c r="X132" s="369" t="s">
        <v>1114</v>
      </c>
      <c r="Y132" s="828">
        <v>102.14</v>
      </c>
    </row>
    <row r="133" spans="22:25" x14ac:dyDescent="0.25">
      <c r="V133" s="887" t="s">
        <v>1183</v>
      </c>
      <c r="W133" s="4" t="s">
        <v>1184</v>
      </c>
      <c r="X133" s="369" t="s">
        <v>1114</v>
      </c>
      <c r="Y133" s="828">
        <v>405.98</v>
      </c>
    </row>
    <row r="134" spans="22:25" x14ac:dyDescent="0.25">
      <c r="V134" s="887" t="s">
        <v>1185</v>
      </c>
      <c r="W134" s="4" t="s">
        <v>1186</v>
      </c>
      <c r="X134" s="369" t="s">
        <v>1114</v>
      </c>
      <c r="Y134" s="828">
        <v>454.47</v>
      </c>
    </row>
    <row r="135" spans="22:25" x14ac:dyDescent="0.25">
      <c r="V135" s="40">
        <v>10</v>
      </c>
      <c r="W135" s="94" t="s">
        <v>1187</v>
      </c>
      <c r="X135" s="369"/>
      <c r="Y135" s="369"/>
    </row>
    <row r="136" spans="22:25" x14ac:dyDescent="0.25">
      <c r="V136" s="887" t="s">
        <v>1188</v>
      </c>
      <c r="W136" s="4" t="s">
        <v>1189</v>
      </c>
      <c r="X136" s="369" t="s">
        <v>607</v>
      </c>
      <c r="Y136" s="828">
        <v>180.98</v>
      </c>
    </row>
    <row r="137" spans="22:25" x14ac:dyDescent="0.25">
      <c r="V137" s="887" t="s">
        <v>1190</v>
      </c>
      <c r="W137" s="4" t="s">
        <v>1191</v>
      </c>
      <c r="X137" s="369" t="s">
        <v>607</v>
      </c>
      <c r="Y137" s="828">
        <v>707.73</v>
      </c>
    </row>
    <row r="138" spans="22:25" x14ac:dyDescent="0.25">
      <c r="V138" s="887" t="s">
        <v>1192</v>
      </c>
      <c r="W138" s="4" t="s">
        <v>1193</v>
      </c>
      <c r="X138" s="369" t="s">
        <v>1114</v>
      </c>
      <c r="Y138" s="828">
        <v>543.08000000000004</v>
      </c>
    </row>
    <row r="139" spans="22:25" x14ac:dyDescent="0.25">
      <c r="V139" s="887" t="s">
        <v>1194</v>
      </c>
      <c r="W139" s="4" t="s">
        <v>1195</v>
      </c>
      <c r="X139" s="369" t="s">
        <v>1196</v>
      </c>
      <c r="Y139" s="828">
        <v>18.75</v>
      </c>
    </row>
    <row r="141" spans="22:25" x14ac:dyDescent="0.25">
      <c r="V141" s="830" t="s">
        <v>1197</v>
      </c>
      <c r="W141" s="830"/>
      <c r="X141" s="830"/>
      <c r="Y141" s="830"/>
    </row>
    <row r="142" spans="22:25" x14ac:dyDescent="0.25">
      <c r="V142" s="953" t="s">
        <v>1388</v>
      </c>
      <c r="W142" s="370"/>
      <c r="X142" s="830"/>
      <c r="Y142" s="830"/>
    </row>
    <row r="143" spans="22:25" x14ac:dyDescent="0.25">
      <c r="V143" s="4" t="s">
        <v>89</v>
      </c>
      <c r="W143" s="4" t="s">
        <v>895</v>
      </c>
      <c r="X143" s="369" t="s">
        <v>18</v>
      </c>
      <c r="Y143" s="829" t="s">
        <v>1064</v>
      </c>
    </row>
    <row r="144" spans="22:25" x14ac:dyDescent="0.25">
      <c r="V144" s="40">
        <v>1</v>
      </c>
      <c r="W144" s="94" t="s">
        <v>1198</v>
      </c>
      <c r="X144" s="369"/>
      <c r="Y144" s="828"/>
    </row>
    <row r="145" spans="22:25" x14ac:dyDescent="0.25">
      <c r="V145" s="238" t="s">
        <v>1066</v>
      </c>
      <c r="W145" s="4" t="s">
        <v>1199</v>
      </c>
      <c r="X145" s="369" t="s">
        <v>18</v>
      </c>
      <c r="Y145" s="828">
        <v>88.47</v>
      </c>
    </row>
    <row r="146" spans="22:25" x14ac:dyDescent="0.25">
      <c r="V146" s="238" t="s">
        <v>1068</v>
      </c>
      <c r="W146" s="4" t="s">
        <v>1200</v>
      </c>
      <c r="X146" s="369" t="s">
        <v>1201</v>
      </c>
      <c r="Y146" s="828">
        <v>114.8</v>
      </c>
    </row>
    <row r="147" spans="22:25" x14ac:dyDescent="0.25">
      <c r="V147" s="238" t="s">
        <v>1070</v>
      </c>
      <c r="W147" s="4" t="s">
        <v>1202</v>
      </c>
      <c r="X147" s="369" t="s">
        <v>1201</v>
      </c>
      <c r="Y147" s="828">
        <v>141.13999999999999</v>
      </c>
    </row>
    <row r="148" spans="22:25" x14ac:dyDescent="0.25">
      <c r="V148" s="238" t="s">
        <v>1072</v>
      </c>
      <c r="W148" s="4" t="s">
        <v>1203</v>
      </c>
      <c r="X148" s="369" t="s">
        <v>1201</v>
      </c>
      <c r="Y148" s="828">
        <v>141.13999999999999</v>
      </c>
    </row>
    <row r="149" spans="22:25" x14ac:dyDescent="0.25">
      <c r="V149" s="238" t="s">
        <v>1074</v>
      </c>
      <c r="W149" s="4" t="s">
        <v>1204</v>
      </c>
      <c r="X149" s="369" t="s">
        <v>18</v>
      </c>
      <c r="Y149" s="828">
        <v>33.19</v>
      </c>
    </row>
    <row r="150" spans="22:25" x14ac:dyDescent="0.25">
      <c r="V150" s="238" t="s">
        <v>1076</v>
      </c>
      <c r="W150" s="4" t="s">
        <v>1205</v>
      </c>
      <c r="X150" s="369" t="s">
        <v>18</v>
      </c>
      <c r="Y150" s="828">
        <v>7.18</v>
      </c>
    </row>
    <row r="151" spans="22:25" x14ac:dyDescent="0.25">
      <c r="V151" s="238" t="s">
        <v>1078</v>
      </c>
      <c r="W151" s="4" t="s">
        <v>1206</v>
      </c>
      <c r="X151" s="369" t="s">
        <v>18</v>
      </c>
      <c r="Y151" s="828">
        <v>1.68</v>
      </c>
    </row>
    <row r="152" spans="22:25" x14ac:dyDescent="0.25">
      <c r="V152" s="238" t="s">
        <v>1080</v>
      </c>
      <c r="W152" s="4" t="s">
        <v>1207</v>
      </c>
      <c r="X152" s="369" t="s">
        <v>1201</v>
      </c>
      <c r="Y152" s="828">
        <v>175.56</v>
      </c>
    </row>
    <row r="153" spans="22:25" x14ac:dyDescent="0.25">
      <c r="V153" s="238" t="s">
        <v>1082</v>
      </c>
      <c r="W153" s="4" t="s">
        <v>1208</v>
      </c>
      <c r="X153" s="369" t="s">
        <v>1201</v>
      </c>
      <c r="Y153" s="828">
        <v>193.12</v>
      </c>
    </row>
    <row r="154" spans="22:25" x14ac:dyDescent="0.25">
      <c r="V154" s="238" t="s">
        <v>1085</v>
      </c>
      <c r="W154" s="4" t="s">
        <v>1209</v>
      </c>
      <c r="X154" s="369" t="s">
        <v>1201</v>
      </c>
      <c r="Y154" s="828">
        <v>212.43</v>
      </c>
    </row>
    <row r="155" spans="22:25" x14ac:dyDescent="0.25">
      <c r="V155" s="238" t="s">
        <v>1087</v>
      </c>
      <c r="W155" s="4" t="s">
        <v>1210</v>
      </c>
      <c r="X155" s="369" t="s">
        <v>1201</v>
      </c>
      <c r="Y155" s="828">
        <v>233.68</v>
      </c>
    </row>
    <row r="156" spans="22:25" x14ac:dyDescent="0.25">
      <c r="V156" s="238" t="s">
        <v>1110</v>
      </c>
      <c r="W156" s="4" t="s">
        <v>1211</v>
      </c>
      <c r="X156" s="369" t="s">
        <v>1201</v>
      </c>
      <c r="Y156" s="828">
        <v>257.04000000000002</v>
      </c>
    </row>
    <row r="157" spans="22:25" x14ac:dyDescent="0.25">
      <c r="V157" s="238" t="s">
        <v>1212</v>
      </c>
      <c r="W157" s="4" t="s">
        <v>1213</v>
      </c>
      <c r="X157" s="369" t="s">
        <v>1201</v>
      </c>
      <c r="Y157" s="828">
        <v>282.75</v>
      </c>
    </row>
    <row r="158" spans="22:25" x14ac:dyDescent="0.25">
      <c r="V158" s="238" t="s">
        <v>1214</v>
      </c>
      <c r="W158" s="4" t="s">
        <v>1215</v>
      </c>
      <c r="X158" s="369" t="s">
        <v>1201</v>
      </c>
      <c r="Y158" s="828">
        <v>311.02</v>
      </c>
    </row>
    <row r="159" spans="22:25" x14ac:dyDescent="0.25">
      <c r="V159" s="238" t="s">
        <v>1216</v>
      </c>
      <c r="W159" s="4" t="s">
        <v>1217</v>
      </c>
      <c r="X159" s="369" t="s">
        <v>1201</v>
      </c>
      <c r="Y159" s="828">
        <v>342.13</v>
      </c>
    </row>
    <row r="160" spans="22:25" x14ac:dyDescent="0.25">
      <c r="V160" s="238" t="s">
        <v>1218</v>
      </c>
      <c r="W160" s="4" t="s">
        <v>1219</v>
      </c>
      <c r="X160" s="369" t="s">
        <v>1201</v>
      </c>
      <c r="Y160" s="828">
        <v>376.34</v>
      </c>
    </row>
    <row r="161" spans="22:25" x14ac:dyDescent="0.25">
      <c r="V161" s="238" t="s">
        <v>1220</v>
      </c>
      <c r="W161" s="4" t="s">
        <v>1221</v>
      </c>
      <c r="X161" s="369" t="s">
        <v>1201</v>
      </c>
      <c r="Y161" s="828">
        <v>413.97</v>
      </c>
    </row>
    <row r="162" spans="22:25" x14ac:dyDescent="0.25">
      <c r="V162" s="238" t="s">
        <v>1222</v>
      </c>
      <c r="W162" s="4" t="s">
        <v>1223</v>
      </c>
      <c r="X162" s="369" t="s">
        <v>1201</v>
      </c>
      <c r="Y162" s="828">
        <v>455.36</v>
      </c>
    </row>
    <row r="163" spans="22:25" x14ac:dyDescent="0.25">
      <c r="V163" s="238" t="s">
        <v>1224</v>
      </c>
      <c r="W163" s="4" t="s">
        <v>1225</v>
      </c>
      <c r="X163" s="369" t="s">
        <v>1226</v>
      </c>
      <c r="Y163" s="828">
        <v>1.68</v>
      </c>
    </row>
    <row r="164" spans="22:25" x14ac:dyDescent="0.25">
      <c r="V164" s="238" t="s">
        <v>1227</v>
      </c>
      <c r="W164" s="4" t="s">
        <v>1228</v>
      </c>
      <c r="X164" s="369" t="s">
        <v>1226</v>
      </c>
      <c r="Y164" s="828">
        <v>38.74</v>
      </c>
    </row>
    <row r="165" spans="22:25" x14ac:dyDescent="0.25">
      <c r="V165" s="238" t="s">
        <v>1229</v>
      </c>
      <c r="W165" s="4" t="s">
        <v>1230</v>
      </c>
      <c r="X165" s="369" t="s">
        <v>18</v>
      </c>
      <c r="Y165" s="828">
        <v>179.37</v>
      </c>
    </row>
    <row r="166" spans="22:25" x14ac:dyDescent="0.25">
      <c r="V166" s="238" t="s">
        <v>1231</v>
      </c>
      <c r="W166" s="4" t="s">
        <v>1232</v>
      </c>
      <c r="X166" s="369" t="s">
        <v>18</v>
      </c>
      <c r="Y166" s="828">
        <v>156.9</v>
      </c>
    </row>
    <row r="167" spans="22:25" x14ac:dyDescent="0.25">
      <c r="V167" s="238" t="s">
        <v>1233</v>
      </c>
      <c r="W167" s="4" t="s">
        <v>1234</v>
      </c>
      <c r="X167" s="369" t="s">
        <v>18</v>
      </c>
      <c r="Y167" s="828">
        <v>195.65</v>
      </c>
    </row>
    <row r="168" spans="22:25" x14ac:dyDescent="0.25">
      <c r="V168" s="40">
        <v>2</v>
      </c>
      <c r="W168" s="94" t="s">
        <v>1235</v>
      </c>
      <c r="X168" s="369"/>
      <c r="Y168" s="828"/>
    </row>
    <row r="169" spans="22:25" x14ac:dyDescent="0.25">
      <c r="V169" s="238" t="s">
        <v>1061</v>
      </c>
      <c r="W169" s="4" t="s">
        <v>1236</v>
      </c>
      <c r="X169" s="369" t="s">
        <v>18</v>
      </c>
      <c r="Y169" s="828">
        <v>1200.79</v>
      </c>
    </row>
    <row r="170" spans="22:25" x14ac:dyDescent="0.25">
      <c r="V170" s="238" t="s">
        <v>1091</v>
      </c>
      <c r="W170" s="4" t="s">
        <v>1237</v>
      </c>
      <c r="X170" s="369" t="s">
        <v>18</v>
      </c>
      <c r="Y170" s="828">
        <v>955.45</v>
      </c>
    </row>
    <row r="171" spans="22:25" x14ac:dyDescent="0.25">
      <c r="V171" s="238" t="s">
        <v>1092</v>
      </c>
      <c r="W171" s="4" t="s">
        <v>1238</v>
      </c>
      <c r="X171" s="369" t="s">
        <v>18</v>
      </c>
      <c r="Y171" s="828">
        <v>297.01</v>
      </c>
    </row>
    <row r="172" spans="22:25" x14ac:dyDescent="0.25">
      <c r="V172" s="238" t="s">
        <v>1093</v>
      </c>
      <c r="W172" s="4" t="s">
        <v>1239</v>
      </c>
      <c r="X172" s="369" t="s">
        <v>18</v>
      </c>
      <c r="Y172" s="828">
        <v>505.81</v>
      </c>
    </row>
    <row r="173" spans="22:25" x14ac:dyDescent="0.25">
      <c r="V173" s="238" t="s">
        <v>1094</v>
      </c>
      <c r="W173" s="4" t="s">
        <v>1240</v>
      </c>
      <c r="X173" s="369" t="s">
        <v>18</v>
      </c>
      <c r="Y173" s="828">
        <v>297.01</v>
      </c>
    </row>
    <row r="174" spans="22:25" x14ac:dyDescent="0.25">
      <c r="V174" s="238" t="s">
        <v>1095</v>
      </c>
      <c r="W174" s="4" t="s">
        <v>1241</v>
      </c>
      <c r="X174" s="369" t="s">
        <v>18</v>
      </c>
      <c r="Y174" s="828">
        <v>593.91</v>
      </c>
    </row>
    <row r="175" spans="22:25" x14ac:dyDescent="0.25">
      <c r="V175" s="238" t="s">
        <v>1242</v>
      </c>
      <c r="W175" s="4" t="s">
        <v>1243</v>
      </c>
      <c r="X175" s="369" t="s">
        <v>18</v>
      </c>
      <c r="Y175" s="828">
        <v>593.91</v>
      </c>
    </row>
    <row r="176" spans="22:25" x14ac:dyDescent="0.25">
      <c r="V176" s="238" t="s">
        <v>1244</v>
      </c>
      <c r="W176" s="4" t="s">
        <v>1245</v>
      </c>
      <c r="X176" s="369" t="s">
        <v>18</v>
      </c>
      <c r="Y176" s="828">
        <v>1688.81</v>
      </c>
    </row>
    <row r="177" spans="22:25" x14ac:dyDescent="0.25">
      <c r="V177" s="238" t="s">
        <v>1246</v>
      </c>
      <c r="W177" s="4" t="s">
        <v>1247</v>
      </c>
      <c r="X177" s="369" t="s">
        <v>1120</v>
      </c>
      <c r="Y177" s="828">
        <v>1.28</v>
      </c>
    </row>
    <row r="178" spans="22:25" x14ac:dyDescent="0.25">
      <c r="V178" s="238" t="s">
        <v>1248</v>
      </c>
      <c r="W178" s="4" t="s">
        <v>1249</v>
      </c>
      <c r="X178" s="369" t="s">
        <v>18</v>
      </c>
      <c r="Y178" s="828">
        <v>121.05</v>
      </c>
    </row>
  </sheetData>
  <mergeCells count="26">
    <mergeCell ref="W85:Y85"/>
    <mergeCell ref="W93:Y93"/>
    <mergeCell ref="W102:Y102"/>
    <mergeCell ref="W108:Y108"/>
    <mergeCell ref="H45:H51"/>
    <mergeCell ref="H3:H4"/>
    <mergeCell ref="B12:B19"/>
    <mergeCell ref="C19:D19"/>
    <mergeCell ref="B44:B51"/>
    <mergeCell ref="C51:D51"/>
    <mergeCell ref="B20:B27"/>
    <mergeCell ref="C27:D27"/>
    <mergeCell ref="B28:B35"/>
    <mergeCell ref="C35:D35"/>
    <mergeCell ref="B36:B43"/>
    <mergeCell ref="H5:H11"/>
    <mergeCell ref="H13:H19"/>
    <mergeCell ref="H21:H27"/>
    <mergeCell ref="H29:H35"/>
    <mergeCell ref="H37:H43"/>
    <mergeCell ref="C43:D43"/>
    <mergeCell ref="B1:F1"/>
    <mergeCell ref="B2:B3"/>
    <mergeCell ref="C2:D2"/>
    <mergeCell ref="B4:B11"/>
    <mergeCell ref="C11:D11"/>
  </mergeCells>
  <phoneticPr fontId="2" type="noConversion"/>
  <pageMargins left="0.511811024" right="0.511811024" top="0.78740157499999996" bottom="0.78740157499999996" header="0.31496062000000002" footer="0.3149606200000000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P20"/>
  <sheetViews>
    <sheetView showGridLines="0" zoomScaleNormal="100" workbookViewId="0">
      <pane xSplit="2" ySplit="2" topLeftCell="U3" activePane="bottomRight" state="frozen"/>
      <selection pane="topRight" activeCell="C1" sqref="C1"/>
      <selection pane="bottomLeft" activeCell="A3" sqref="A3"/>
      <selection pane="bottomRight" activeCell="C10" sqref="C10:AP14"/>
    </sheetView>
  </sheetViews>
  <sheetFormatPr defaultRowHeight="15" x14ac:dyDescent="0.25"/>
  <cols>
    <col min="1" max="1" width="14.85546875" bestFit="1" customWidth="1"/>
    <col min="2" max="2" width="46.7109375" customWidth="1"/>
    <col min="3" max="40" width="8.7109375" customWidth="1"/>
  </cols>
  <sheetData>
    <row r="1" spans="1:42" x14ac:dyDescent="0.25">
      <c r="A1" s="309" t="s">
        <v>520</v>
      </c>
      <c r="B1" s="1012" t="s">
        <v>355</v>
      </c>
      <c r="C1" s="433">
        <v>-4</v>
      </c>
      <c r="D1" s="434">
        <v>-3</v>
      </c>
      <c r="E1" s="434">
        <v>-2</v>
      </c>
      <c r="F1" s="434">
        <v>-1</v>
      </c>
      <c r="G1" s="434">
        <v>0</v>
      </c>
      <c r="H1" s="434">
        <f t="shared" ref="H1:AN1" si="0">G1+1</f>
        <v>1</v>
      </c>
      <c r="I1" s="434">
        <f t="shared" si="0"/>
        <v>2</v>
      </c>
      <c r="J1" s="434">
        <f t="shared" si="0"/>
        <v>3</v>
      </c>
      <c r="K1" s="434">
        <f t="shared" si="0"/>
        <v>4</v>
      </c>
      <c r="L1" s="434">
        <f t="shared" si="0"/>
        <v>5</v>
      </c>
      <c r="M1" s="434">
        <f t="shared" si="0"/>
        <v>6</v>
      </c>
      <c r="N1" s="434">
        <f t="shared" si="0"/>
        <v>7</v>
      </c>
      <c r="O1" s="434">
        <f t="shared" si="0"/>
        <v>8</v>
      </c>
      <c r="P1" s="434">
        <f t="shared" si="0"/>
        <v>9</v>
      </c>
      <c r="Q1" s="434">
        <f t="shared" si="0"/>
        <v>10</v>
      </c>
      <c r="R1" s="434">
        <f t="shared" si="0"/>
        <v>11</v>
      </c>
      <c r="S1" s="434">
        <f t="shared" si="0"/>
        <v>12</v>
      </c>
      <c r="T1" s="434">
        <f t="shared" si="0"/>
        <v>13</v>
      </c>
      <c r="U1" s="434">
        <f t="shared" si="0"/>
        <v>14</v>
      </c>
      <c r="V1" s="434">
        <f t="shared" si="0"/>
        <v>15</v>
      </c>
      <c r="W1" s="434">
        <f t="shared" si="0"/>
        <v>16</v>
      </c>
      <c r="X1" s="434">
        <f t="shared" si="0"/>
        <v>17</v>
      </c>
      <c r="Y1" s="434">
        <f t="shared" si="0"/>
        <v>18</v>
      </c>
      <c r="Z1" s="434">
        <f t="shared" si="0"/>
        <v>19</v>
      </c>
      <c r="AA1" s="434">
        <f t="shared" si="0"/>
        <v>20</v>
      </c>
      <c r="AB1" s="434">
        <f t="shared" si="0"/>
        <v>21</v>
      </c>
      <c r="AC1" s="434">
        <f t="shared" si="0"/>
        <v>22</v>
      </c>
      <c r="AD1" s="434">
        <f t="shared" si="0"/>
        <v>23</v>
      </c>
      <c r="AE1" s="434">
        <f t="shared" si="0"/>
        <v>24</v>
      </c>
      <c r="AF1" s="434">
        <f t="shared" si="0"/>
        <v>25</v>
      </c>
      <c r="AG1" s="434">
        <f t="shared" si="0"/>
        <v>26</v>
      </c>
      <c r="AH1" s="434">
        <f t="shared" si="0"/>
        <v>27</v>
      </c>
      <c r="AI1" s="434">
        <f t="shared" si="0"/>
        <v>28</v>
      </c>
      <c r="AJ1" s="434">
        <f t="shared" si="0"/>
        <v>29</v>
      </c>
      <c r="AK1" s="434">
        <f t="shared" si="0"/>
        <v>30</v>
      </c>
      <c r="AL1" s="434">
        <f t="shared" si="0"/>
        <v>31</v>
      </c>
      <c r="AM1" s="434">
        <f t="shared" si="0"/>
        <v>32</v>
      </c>
      <c r="AN1" s="435">
        <f t="shared" si="0"/>
        <v>33</v>
      </c>
      <c r="AO1" s="435">
        <f t="shared" ref="AO1:AO2" si="1">AN1+1</f>
        <v>34</v>
      </c>
      <c r="AP1" s="435">
        <f t="shared" ref="AP1:AP2" si="2">AO1+1</f>
        <v>35</v>
      </c>
    </row>
    <row r="2" spans="1:42" x14ac:dyDescent="0.25">
      <c r="A2" s="145" t="s">
        <v>521</v>
      </c>
      <c r="B2" s="1012"/>
      <c r="C2" s="436">
        <v>2022</v>
      </c>
      <c r="D2" s="437">
        <v>2023</v>
      </c>
      <c r="E2" s="437">
        <f>D2+1</f>
        <v>2024</v>
      </c>
      <c r="F2" s="437">
        <f t="shared" ref="F2:AN2" si="3">E2+1</f>
        <v>2025</v>
      </c>
      <c r="G2" s="437">
        <f t="shared" si="3"/>
        <v>2026</v>
      </c>
      <c r="H2" s="437">
        <f t="shared" si="3"/>
        <v>2027</v>
      </c>
      <c r="I2" s="437">
        <f t="shared" si="3"/>
        <v>2028</v>
      </c>
      <c r="J2" s="437">
        <f t="shared" si="3"/>
        <v>2029</v>
      </c>
      <c r="K2" s="437">
        <f t="shared" si="3"/>
        <v>2030</v>
      </c>
      <c r="L2" s="437">
        <f t="shared" si="3"/>
        <v>2031</v>
      </c>
      <c r="M2" s="437">
        <f t="shared" si="3"/>
        <v>2032</v>
      </c>
      <c r="N2" s="437">
        <f t="shared" si="3"/>
        <v>2033</v>
      </c>
      <c r="O2" s="437">
        <f t="shared" si="3"/>
        <v>2034</v>
      </c>
      <c r="P2" s="437">
        <f t="shared" si="3"/>
        <v>2035</v>
      </c>
      <c r="Q2" s="437">
        <f t="shared" si="3"/>
        <v>2036</v>
      </c>
      <c r="R2" s="437">
        <f t="shared" si="3"/>
        <v>2037</v>
      </c>
      <c r="S2" s="437">
        <f t="shared" si="3"/>
        <v>2038</v>
      </c>
      <c r="T2" s="437">
        <f t="shared" si="3"/>
        <v>2039</v>
      </c>
      <c r="U2" s="437">
        <f t="shared" si="3"/>
        <v>2040</v>
      </c>
      <c r="V2" s="437">
        <f t="shared" si="3"/>
        <v>2041</v>
      </c>
      <c r="W2" s="437">
        <f t="shared" si="3"/>
        <v>2042</v>
      </c>
      <c r="X2" s="437">
        <f t="shared" si="3"/>
        <v>2043</v>
      </c>
      <c r="Y2" s="437">
        <f t="shared" si="3"/>
        <v>2044</v>
      </c>
      <c r="Z2" s="437">
        <f t="shared" si="3"/>
        <v>2045</v>
      </c>
      <c r="AA2" s="437">
        <f t="shared" si="3"/>
        <v>2046</v>
      </c>
      <c r="AB2" s="437">
        <f t="shared" si="3"/>
        <v>2047</v>
      </c>
      <c r="AC2" s="437">
        <f t="shared" si="3"/>
        <v>2048</v>
      </c>
      <c r="AD2" s="437">
        <f t="shared" si="3"/>
        <v>2049</v>
      </c>
      <c r="AE2" s="437">
        <f t="shared" si="3"/>
        <v>2050</v>
      </c>
      <c r="AF2" s="437">
        <f t="shared" si="3"/>
        <v>2051</v>
      </c>
      <c r="AG2" s="437">
        <f t="shared" si="3"/>
        <v>2052</v>
      </c>
      <c r="AH2" s="437">
        <f t="shared" si="3"/>
        <v>2053</v>
      </c>
      <c r="AI2" s="437">
        <f t="shared" si="3"/>
        <v>2054</v>
      </c>
      <c r="AJ2" s="437">
        <f t="shared" si="3"/>
        <v>2055</v>
      </c>
      <c r="AK2" s="437">
        <f t="shared" si="3"/>
        <v>2056</v>
      </c>
      <c r="AL2" s="437">
        <f t="shared" si="3"/>
        <v>2057</v>
      </c>
      <c r="AM2" s="437">
        <f t="shared" si="3"/>
        <v>2058</v>
      </c>
      <c r="AN2" s="438">
        <f t="shared" si="3"/>
        <v>2059</v>
      </c>
      <c r="AO2" s="438">
        <f t="shared" si="1"/>
        <v>2060</v>
      </c>
      <c r="AP2" s="438">
        <f t="shared" si="2"/>
        <v>2061</v>
      </c>
    </row>
    <row r="3" spans="1:42" x14ac:dyDescent="0.25">
      <c r="B3" s="439" t="s">
        <v>356</v>
      </c>
      <c r="C3" s="440"/>
      <c r="D3" s="442"/>
      <c r="E3" s="442"/>
      <c r="F3" s="442"/>
      <c r="G3" s="442"/>
      <c r="H3" s="442"/>
      <c r="I3" s="442"/>
      <c r="J3" s="442"/>
      <c r="K3" s="442"/>
      <c r="L3" s="442"/>
      <c r="M3" s="442"/>
      <c r="N3" s="442"/>
      <c r="O3" s="442"/>
      <c r="P3" s="442"/>
      <c r="Q3" s="442"/>
      <c r="R3" s="442"/>
      <c r="S3" s="442"/>
      <c r="T3" s="442"/>
      <c r="U3" s="442"/>
      <c r="V3" s="442"/>
      <c r="W3" s="442"/>
      <c r="X3" s="442"/>
      <c r="Y3" s="442"/>
      <c r="Z3" s="442"/>
      <c r="AA3" s="442"/>
      <c r="AB3" s="442"/>
      <c r="AC3" s="442"/>
      <c r="AD3" s="442"/>
      <c r="AE3" s="442"/>
      <c r="AF3" s="442"/>
      <c r="AG3" s="442"/>
      <c r="AH3" s="442"/>
      <c r="AI3" s="442"/>
      <c r="AJ3" s="442"/>
      <c r="AK3" s="442"/>
      <c r="AL3" s="442"/>
      <c r="AM3" s="442"/>
      <c r="AN3" s="442"/>
      <c r="AO3" s="442"/>
      <c r="AP3" s="442"/>
    </row>
    <row r="4" spans="1:42" x14ac:dyDescent="0.25">
      <c r="B4" s="439" t="s">
        <v>357</v>
      </c>
      <c r="C4" s="440"/>
      <c r="D4" s="443"/>
      <c r="E4" s="443"/>
      <c r="F4" s="443"/>
      <c r="G4" s="443"/>
      <c r="H4" s="443"/>
      <c r="I4" s="443"/>
      <c r="J4" s="443"/>
      <c r="K4" s="443"/>
      <c r="L4" s="443"/>
      <c r="M4" s="443"/>
      <c r="N4" s="443"/>
      <c r="O4" s="443"/>
      <c r="P4" s="443"/>
      <c r="Q4" s="443"/>
      <c r="R4" s="443"/>
      <c r="S4" s="443"/>
      <c r="T4" s="443"/>
      <c r="U4" s="443"/>
      <c r="V4" s="443"/>
      <c r="W4" s="443"/>
      <c r="X4" s="443"/>
      <c r="Y4" s="443"/>
      <c r="Z4" s="443"/>
      <c r="AA4" s="443"/>
      <c r="AB4" s="443"/>
      <c r="AC4" s="443"/>
      <c r="AD4" s="443"/>
      <c r="AE4" s="443"/>
      <c r="AF4" s="443"/>
      <c r="AG4" s="443"/>
      <c r="AH4" s="443"/>
      <c r="AI4" s="443"/>
      <c r="AJ4" s="443"/>
      <c r="AK4" s="443"/>
      <c r="AL4" s="443"/>
      <c r="AM4" s="443"/>
      <c r="AN4" s="443"/>
      <c r="AO4" s="443"/>
      <c r="AP4" s="443"/>
    </row>
    <row r="5" spans="1:42" x14ac:dyDescent="0.25">
      <c r="B5" s="439" t="s">
        <v>358</v>
      </c>
      <c r="C5" s="440"/>
      <c r="D5" s="443"/>
      <c r="E5" s="443"/>
      <c r="F5" s="443"/>
      <c r="G5" s="443"/>
      <c r="H5" s="443"/>
      <c r="I5" s="443"/>
      <c r="J5" s="443"/>
      <c r="K5" s="443"/>
      <c r="L5" s="443"/>
      <c r="M5" s="443"/>
      <c r="N5" s="443"/>
      <c r="O5" s="443"/>
      <c r="P5" s="443"/>
      <c r="Q5" s="443"/>
      <c r="R5" s="443"/>
      <c r="S5" s="443"/>
      <c r="T5" s="443"/>
      <c r="U5" s="443"/>
      <c r="V5" s="443"/>
      <c r="W5" s="443"/>
      <c r="X5" s="443"/>
      <c r="Y5" s="443"/>
      <c r="Z5" s="443"/>
      <c r="AA5" s="443"/>
      <c r="AB5" s="443"/>
      <c r="AC5" s="443"/>
      <c r="AD5" s="443"/>
      <c r="AE5" s="443"/>
      <c r="AF5" s="443"/>
      <c r="AG5" s="443"/>
      <c r="AH5" s="443"/>
      <c r="AI5" s="443"/>
      <c r="AJ5" s="443"/>
      <c r="AK5" s="443"/>
      <c r="AL5" s="443"/>
      <c r="AM5" s="443"/>
      <c r="AN5" s="443"/>
      <c r="AO5" s="443"/>
      <c r="AP5" s="443"/>
    </row>
    <row r="6" spans="1:42" x14ac:dyDescent="0.25">
      <c r="B6" s="439" t="s">
        <v>359</v>
      </c>
      <c r="C6" s="440"/>
      <c r="D6" s="441"/>
      <c r="E6" s="441"/>
      <c r="F6" s="441"/>
      <c r="G6" s="441"/>
      <c r="H6" s="441"/>
      <c r="I6" s="441"/>
      <c r="J6" s="441"/>
      <c r="K6" s="441"/>
      <c r="L6" s="441"/>
      <c r="M6" s="441"/>
      <c r="N6" s="441"/>
      <c r="O6" s="441"/>
      <c r="P6" s="441"/>
      <c r="Q6" s="441"/>
      <c r="R6" s="441"/>
      <c r="S6" s="441"/>
      <c r="T6" s="441"/>
      <c r="U6" s="441"/>
      <c r="V6" s="441"/>
      <c r="W6" s="441"/>
      <c r="X6" s="441"/>
      <c r="Y6" s="441"/>
      <c r="Z6" s="441"/>
      <c r="AA6" s="441"/>
      <c r="AB6" s="441"/>
      <c r="AC6" s="441"/>
      <c r="AD6" s="441"/>
      <c r="AE6" s="441"/>
      <c r="AF6" s="441"/>
      <c r="AG6" s="441"/>
      <c r="AH6" s="441"/>
      <c r="AI6" s="441"/>
      <c r="AJ6" s="441"/>
      <c r="AK6" s="441"/>
      <c r="AL6" s="441"/>
      <c r="AM6" s="441"/>
      <c r="AN6" s="441"/>
      <c r="AO6" s="441"/>
      <c r="AP6" s="441"/>
    </row>
    <row r="7" spans="1:42" x14ac:dyDescent="0.25">
      <c r="B7" s="439" t="s">
        <v>360</v>
      </c>
      <c r="C7" s="444">
        <f>C6</f>
        <v>0</v>
      </c>
      <c r="D7" s="444">
        <f t="shared" ref="D7:E7" si="4">D6</f>
        <v>0</v>
      </c>
      <c r="E7" s="444">
        <f t="shared" si="4"/>
        <v>0</v>
      </c>
      <c r="F7" s="444">
        <f>(1+F6)*(1+E7)-1</f>
        <v>0</v>
      </c>
      <c r="G7" s="444">
        <f>(1+G6)*(1+F7)-1</f>
        <v>0</v>
      </c>
      <c r="H7" s="444">
        <f>(1+H6)*(1+G7)-1</f>
        <v>0</v>
      </c>
      <c r="I7" s="444">
        <f>(1+I6)*(1+H7)-1</f>
        <v>0</v>
      </c>
      <c r="J7" s="444">
        <f>(1+J6)*(1+I7)-1</f>
        <v>0</v>
      </c>
      <c r="K7" s="444">
        <f t="shared" ref="K7:AN7" si="5">(1+K6)*(1+J7)-1</f>
        <v>0</v>
      </c>
      <c r="L7" s="444">
        <f t="shared" si="5"/>
        <v>0</v>
      </c>
      <c r="M7" s="444">
        <f t="shared" si="5"/>
        <v>0</v>
      </c>
      <c r="N7" s="444">
        <f t="shared" si="5"/>
        <v>0</v>
      </c>
      <c r="O7" s="444">
        <f t="shared" si="5"/>
        <v>0</v>
      </c>
      <c r="P7" s="444">
        <f t="shared" si="5"/>
        <v>0</v>
      </c>
      <c r="Q7" s="444">
        <f t="shared" si="5"/>
        <v>0</v>
      </c>
      <c r="R7" s="444">
        <f t="shared" si="5"/>
        <v>0</v>
      </c>
      <c r="S7" s="444">
        <f t="shared" si="5"/>
        <v>0</v>
      </c>
      <c r="T7" s="444">
        <f t="shared" si="5"/>
        <v>0</v>
      </c>
      <c r="U7" s="444">
        <f t="shared" si="5"/>
        <v>0</v>
      </c>
      <c r="V7" s="444">
        <f t="shared" si="5"/>
        <v>0</v>
      </c>
      <c r="W7" s="444">
        <f t="shared" si="5"/>
        <v>0</v>
      </c>
      <c r="X7" s="444">
        <f t="shared" si="5"/>
        <v>0</v>
      </c>
      <c r="Y7" s="444">
        <f t="shared" si="5"/>
        <v>0</v>
      </c>
      <c r="Z7" s="444">
        <f t="shared" si="5"/>
        <v>0</v>
      </c>
      <c r="AA7" s="444">
        <f t="shared" si="5"/>
        <v>0</v>
      </c>
      <c r="AB7" s="444">
        <f t="shared" si="5"/>
        <v>0</v>
      </c>
      <c r="AC7" s="444">
        <f t="shared" si="5"/>
        <v>0</v>
      </c>
      <c r="AD7" s="444">
        <f t="shared" si="5"/>
        <v>0</v>
      </c>
      <c r="AE7" s="444">
        <f t="shared" si="5"/>
        <v>0</v>
      </c>
      <c r="AF7" s="444">
        <f t="shared" si="5"/>
        <v>0</v>
      </c>
      <c r="AG7" s="444">
        <f t="shared" si="5"/>
        <v>0</v>
      </c>
      <c r="AH7" s="444">
        <f t="shared" si="5"/>
        <v>0</v>
      </c>
      <c r="AI7" s="444">
        <f t="shared" si="5"/>
        <v>0</v>
      </c>
      <c r="AJ7" s="444">
        <f t="shared" si="5"/>
        <v>0</v>
      </c>
      <c r="AK7" s="444">
        <f t="shared" si="5"/>
        <v>0</v>
      </c>
      <c r="AL7" s="444">
        <f t="shared" si="5"/>
        <v>0</v>
      </c>
      <c r="AM7" s="444">
        <f t="shared" si="5"/>
        <v>0</v>
      </c>
      <c r="AN7" s="444">
        <f t="shared" si="5"/>
        <v>0</v>
      </c>
      <c r="AO7" s="444">
        <f t="shared" ref="AO7" si="6">(1+AO6)*(1+AN7)-1</f>
        <v>0</v>
      </c>
      <c r="AP7" s="444">
        <f t="shared" ref="AP7" si="7">(1+AP6)*(1+AO7)-1</f>
        <v>0</v>
      </c>
    </row>
    <row r="8" spans="1:42" x14ac:dyDescent="0.25">
      <c r="B8" s="439" t="s">
        <v>361</v>
      </c>
      <c r="C8" s="440"/>
      <c r="D8" s="441"/>
      <c r="E8" s="440"/>
      <c r="F8" s="440"/>
      <c r="G8" s="440"/>
      <c r="H8" s="440"/>
      <c r="I8" s="440"/>
      <c r="J8" s="440"/>
      <c r="K8" s="440"/>
      <c r="L8" s="440"/>
      <c r="M8" s="440"/>
      <c r="N8" s="440"/>
      <c r="O8" s="440"/>
      <c r="P8" s="440"/>
      <c r="Q8" s="440"/>
      <c r="R8" s="440"/>
      <c r="S8" s="440"/>
      <c r="T8" s="440"/>
      <c r="U8" s="440"/>
      <c r="V8" s="440"/>
      <c r="W8" s="440"/>
      <c r="X8" s="440"/>
      <c r="Y8" s="440"/>
      <c r="Z8" s="440"/>
      <c r="AA8" s="440"/>
      <c r="AB8" s="440"/>
      <c r="AC8" s="440"/>
      <c r="AD8" s="440"/>
      <c r="AE8" s="440"/>
      <c r="AF8" s="440"/>
      <c r="AG8" s="440"/>
      <c r="AH8" s="440"/>
      <c r="AI8" s="440"/>
      <c r="AJ8" s="440"/>
      <c r="AK8" s="440"/>
      <c r="AL8" s="440"/>
      <c r="AM8" s="440"/>
      <c r="AN8" s="440"/>
      <c r="AO8" s="440"/>
      <c r="AP8" s="440"/>
    </row>
    <row r="9" spans="1:42" x14ac:dyDescent="0.25">
      <c r="B9" s="439" t="s">
        <v>362</v>
      </c>
      <c r="C9" s="444">
        <f>(1+C8)/(1+C6)-1</f>
        <v>0</v>
      </c>
      <c r="D9" s="444">
        <f>(1+D8)/(1+D6)-1</f>
        <v>0</v>
      </c>
      <c r="E9" s="444">
        <f>(1+E8)/(1+E6)-1</f>
        <v>0</v>
      </c>
      <c r="F9" s="444">
        <f>(1+F8)/(1+F6)-1</f>
        <v>0</v>
      </c>
      <c r="G9" s="444">
        <f t="shared" ref="G9:AM9" si="8">(1+G8)/(1+G6)-1</f>
        <v>0</v>
      </c>
      <c r="H9" s="444">
        <f t="shared" si="8"/>
        <v>0</v>
      </c>
      <c r="I9" s="444">
        <f t="shared" si="8"/>
        <v>0</v>
      </c>
      <c r="J9" s="444">
        <f t="shared" si="8"/>
        <v>0</v>
      </c>
      <c r="K9" s="444">
        <f t="shared" si="8"/>
        <v>0</v>
      </c>
      <c r="L9" s="444">
        <f t="shared" si="8"/>
        <v>0</v>
      </c>
      <c r="M9" s="444">
        <f t="shared" si="8"/>
        <v>0</v>
      </c>
      <c r="N9" s="444">
        <f t="shared" si="8"/>
        <v>0</v>
      </c>
      <c r="O9" s="444">
        <f t="shared" si="8"/>
        <v>0</v>
      </c>
      <c r="P9" s="444">
        <f t="shared" si="8"/>
        <v>0</v>
      </c>
      <c r="Q9" s="444">
        <f t="shared" si="8"/>
        <v>0</v>
      </c>
      <c r="R9" s="444">
        <f t="shared" si="8"/>
        <v>0</v>
      </c>
      <c r="S9" s="444">
        <f t="shared" si="8"/>
        <v>0</v>
      </c>
      <c r="T9" s="444">
        <f t="shared" si="8"/>
        <v>0</v>
      </c>
      <c r="U9" s="444">
        <f t="shared" si="8"/>
        <v>0</v>
      </c>
      <c r="V9" s="444">
        <f t="shared" si="8"/>
        <v>0</v>
      </c>
      <c r="W9" s="444">
        <f t="shared" si="8"/>
        <v>0</v>
      </c>
      <c r="X9" s="444">
        <f t="shared" si="8"/>
        <v>0</v>
      </c>
      <c r="Y9" s="444">
        <f t="shared" si="8"/>
        <v>0</v>
      </c>
      <c r="Z9" s="444">
        <f t="shared" si="8"/>
        <v>0</v>
      </c>
      <c r="AA9" s="444">
        <f t="shared" si="8"/>
        <v>0</v>
      </c>
      <c r="AB9" s="444">
        <f t="shared" si="8"/>
        <v>0</v>
      </c>
      <c r="AC9" s="444">
        <f t="shared" si="8"/>
        <v>0</v>
      </c>
      <c r="AD9" s="444">
        <f t="shared" si="8"/>
        <v>0</v>
      </c>
      <c r="AE9" s="444">
        <f t="shared" si="8"/>
        <v>0</v>
      </c>
      <c r="AF9" s="444">
        <f t="shared" si="8"/>
        <v>0</v>
      </c>
      <c r="AG9" s="444">
        <f t="shared" si="8"/>
        <v>0</v>
      </c>
      <c r="AH9" s="444">
        <f t="shared" si="8"/>
        <v>0</v>
      </c>
      <c r="AI9" s="444">
        <f t="shared" si="8"/>
        <v>0</v>
      </c>
      <c r="AJ9" s="444">
        <f t="shared" si="8"/>
        <v>0</v>
      </c>
      <c r="AK9" s="444">
        <f t="shared" si="8"/>
        <v>0</v>
      </c>
      <c r="AL9" s="444">
        <f t="shared" si="8"/>
        <v>0</v>
      </c>
      <c r="AM9" s="444">
        <f t="shared" si="8"/>
        <v>0</v>
      </c>
      <c r="AN9" s="444">
        <f t="shared" ref="AN9:AP9" si="9">(1+AN8)/(1+AN6)-1</f>
        <v>0</v>
      </c>
      <c r="AO9" s="444">
        <f t="shared" si="9"/>
        <v>0</v>
      </c>
      <c r="AP9" s="444">
        <f t="shared" si="9"/>
        <v>0</v>
      </c>
    </row>
    <row r="10" spans="1:42" x14ac:dyDescent="0.25">
      <c r="B10" s="439" t="s">
        <v>363</v>
      </c>
      <c r="C10" s="440"/>
      <c r="D10" s="440"/>
      <c r="E10" s="440"/>
      <c r="F10" s="440"/>
      <c r="G10" s="440"/>
      <c r="H10" s="440"/>
      <c r="I10" s="440"/>
      <c r="J10" s="440"/>
      <c r="K10" s="440"/>
      <c r="L10" s="440"/>
      <c r="M10" s="440"/>
      <c r="N10" s="440"/>
      <c r="O10" s="440"/>
      <c r="P10" s="440"/>
      <c r="Q10" s="440"/>
      <c r="R10" s="440"/>
      <c r="S10" s="440"/>
      <c r="T10" s="440"/>
      <c r="U10" s="440"/>
      <c r="V10" s="440"/>
      <c r="W10" s="440"/>
      <c r="X10" s="440"/>
      <c r="Y10" s="440"/>
      <c r="Z10" s="440"/>
      <c r="AA10" s="440"/>
      <c r="AB10" s="440"/>
      <c r="AC10" s="440"/>
      <c r="AD10" s="440"/>
      <c r="AE10" s="440"/>
      <c r="AF10" s="440"/>
      <c r="AG10" s="440"/>
      <c r="AH10" s="440"/>
      <c r="AI10" s="440"/>
      <c r="AJ10" s="440"/>
      <c r="AK10" s="440"/>
      <c r="AL10" s="440"/>
      <c r="AM10" s="440"/>
      <c r="AN10" s="440"/>
      <c r="AO10" s="440"/>
      <c r="AP10" s="440"/>
    </row>
    <row r="11" spans="1:42" x14ac:dyDescent="0.25">
      <c r="B11" s="439" t="s">
        <v>364</v>
      </c>
      <c r="C11" s="440"/>
      <c r="D11" s="440"/>
      <c r="E11" s="440"/>
      <c r="F11" s="440"/>
      <c r="G11" s="440"/>
      <c r="H11" s="440"/>
      <c r="I11" s="440"/>
      <c r="J11" s="440"/>
      <c r="K11" s="440"/>
      <c r="L11" s="440"/>
      <c r="M11" s="440"/>
      <c r="N11" s="440"/>
      <c r="O11" s="440"/>
      <c r="P11" s="440"/>
      <c r="Q11" s="440"/>
      <c r="R11" s="440"/>
      <c r="S11" s="440"/>
      <c r="T11" s="440"/>
      <c r="U11" s="440"/>
      <c r="V11" s="440"/>
      <c r="W11" s="440"/>
      <c r="X11" s="440"/>
      <c r="Y11" s="440"/>
      <c r="Z11" s="440"/>
      <c r="AA11" s="440"/>
      <c r="AB11" s="440"/>
      <c r="AC11" s="440"/>
      <c r="AD11" s="440"/>
      <c r="AE11" s="440"/>
      <c r="AF11" s="440"/>
      <c r="AG11" s="440"/>
      <c r="AH11" s="440"/>
      <c r="AI11" s="440"/>
      <c r="AJ11" s="440"/>
      <c r="AK11" s="440"/>
      <c r="AL11" s="440"/>
      <c r="AM11" s="440"/>
      <c r="AN11" s="440"/>
      <c r="AO11" s="440"/>
      <c r="AP11" s="440"/>
    </row>
    <row r="12" spans="1:42" x14ac:dyDescent="0.25">
      <c r="B12" s="439" t="s">
        <v>365</v>
      </c>
      <c r="C12" s="440"/>
      <c r="D12" s="440"/>
      <c r="E12" s="440"/>
      <c r="F12" s="440"/>
      <c r="G12" s="440"/>
      <c r="H12" s="440"/>
      <c r="I12" s="440"/>
      <c r="J12" s="440"/>
      <c r="K12" s="440"/>
      <c r="L12" s="440"/>
      <c r="M12" s="440"/>
      <c r="N12" s="440"/>
      <c r="O12" s="440"/>
      <c r="P12" s="440"/>
      <c r="Q12" s="440"/>
      <c r="R12" s="440"/>
      <c r="S12" s="440"/>
      <c r="T12" s="440"/>
      <c r="U12" s="440"/>
      <c r="V12" s="440"/>
      <c r="W12" s="440"/>
      <c r="X12" s="440"/>
      <c r="Y12" s="440"/>
      <c r="Z12" s="440"/>
      <c r="AA12" s="440"/>
      <c r="AB12" s="440"/>
      <c r="AC12" s="440"/>
      <c r="AD12" s="440"/>
      <c r="AE12" s="440"/>
      <c r="AF12" s="440"/>
      <c r="AG12" s="440"/>
      <c r="AH12" s="440"/>
      <c r="AI12" s="440"/>
      <c r="AJ12" s="440"/>
      <c r="AK12" s="440"/>
      <c r="AL12" s="440"/>
      <c r="AM12" s="440"/>
      <c r="AN12" s="440"/>
      <c r="AO12" s="440"/>
      <c r="AP12" s="440"/>
    </row>
    <row r="13" spans="1:42" x14ac:dyDescent="0.25">
      <c r="B13" s="439" t="s">
        <v>366</v>
      </c>
      <c r="C13" s="440"/>
      <c r="D13" s="440"/>
      <c r="E13" s="440"/>
      <c r="F13" s="440"/>
      <c r="G13" s="440"/>
      <c r="H13" s="440"/>
      <c r="I13" s="440"/>
      <c r="J13" s="440"/>
      <c r="K13" s="440"/>
      <c r="L13" s="440"/>
      <c r="M13" s="440"/>
      <c r="N13" s="440"/>
      <c r="O13" s="440"/>
      <c r="P13" s="440"/>
      <c r="Q13" s="440"/>
      <c r="R13" s="440"/>
      <c r="S13" s="440"/>
      <c r="T13" s="440"/>
      <c r="U13" s="440"/>
      <c r="V13" s="440"/>
      <c r="W13" s="440"/>
      <c r="X13" s="440"/>
      <c r="Y13" s="440"/>
      <c r="Z13" s="440"/>
      <c r="AA13" s="440"/>
      <c r="AB13" s="440"/>
      <c r="AC13" s="440"/>
      <c r="AD13" s="440"/>
      <c r="AE13" s="440"/>
      <c r="AF13" s="440"/>
      <c r="AG13" s="440"/>
      <c r="AH13" s="440"/>
      <c r="AI13" s="440"/>
      <c r="AJ13" s="440"/>
      <c r="AK13" s="440"/>
      <c r="AL13" s="440"/>
      <c r="AM13" s="440"/>
      <c r="AN13" s="440"/>
      <c r="AO13" s="440"/>
      <c r="AP13" s="440"/>
    </row>
    <row r="14" spans="1:42" x14ac:dyDescent="0.25">
      <c r="B14" s="439" t="s">
        <v>367</v>
      </c>
      <c r="C14" s="440"/>
      <c r="D14" s="440"/>
      <c r="E14" s="440"/>
      <c r="F14" s="440"/>
      <c r="G14" s="440"/>
      <c r="H14" s="440"/>
      <c r="I14" s="440"/>
      <c r="J14" s="440"/>
      <c r="K14" s="440"/>
      <c r="L14" s="440"/>
      <c r="M14" s="440"/>
      <c r="N14" s="440"/>
      <c r="O14" s="440"/>
      <c r="P14" s="440"/>
      <c r="Q14" s="440"/>
      <c r="R14" s="440"/>
      <c r="S14" s="440"/>
      <c r="T14" s="440"/>
      <c r="U14" s="440"/>
      <c r="V14" s="440"/>
      <c r="W14" s="440"/>
      <c r="X14" s="440"/>
      <c r="Y14" s="440"/>
      <c r="Z14" s="440"/>
      <c r="AA14" s="440"/>
      <c r="AB14" s="440"/>
      <c r="AC14" s="440"/>
      <c r="AD14" s="440"/>
      <c r="AE14" s="440"/>
      <c r="AF14" s="440"/>
      <c r="AG14" s="440"/>
      <c r="AH14" s="440"/>
      <c r="AI14" s="440"/>
      <c r="AJ14" s="440"/>
      <c r="AK14" s="440"/>
      <c r="AL14" s="440"/>
      <c r="AM14" s="440"/>
      <c r="AN14" s="440"/>
      <c r="AO14" s="440"/>
      <c r="AP14" s="440"/>
    </row>
    <row r="15" spans="1:42" x14ac:dyDescent="0.25">
      <c r="B15" s="81"/>
      <c r="C15" s="81"/>
      <c r="D15" s="81"/>
      <c r="E15" s="81"/>
      <c r="F15" s="81"/>
      <c r="G15" s="81"/>
      <c r="H15" s="81"/>
      <c r="I15" s="81"/>
      <c r="J15" s="81"/>
      <c r="K15" s="81"/>
      <c r="L15" s="81"/>
      <c r="M15" s="81"/>
      <c r="N15" s="81"/>
      <c r="O15" s="81"/>
      <c r="P15" s="81"/>
      <c r="Q15" s="81"/>
      <c r="R15" s="81"/>
      <c r="S15" s="81"/>
      <c r="T15" s="81"/>
      <c r="U15" s="81"/>
      <c r="V15" s="81"/>
      <c r="W15" s="81"/>
      <c r="X15" s="81"/>
      <c r="Y15" s="81"/>
      <c r="Z15" s="81"/>
      <c r="AA15" s="81"/>
      <c r="AB15" s="81"/>
      <c r="AC15" s="81"/>
      <c r="AD15" s="81"/>
      <c r="AE15" s="81"/>
      <c r="AF15" s="81"/>
      <c r="AG15" s="81"/>
      <c r="AH15" s="81"/>
    </row>
    <row r="16" spans="1:42" x14ac:dyDescent="0.25">
      <c r="B16" s="81"/>
      <c r="C16" s="81"/>
      <c r="D16" s="81"/>
      <c r="E16" s="81"/>
      <c r="F16" s="121"/>
      <c r="G16" s="120"/>
      <c r="H16" s="120"/>
      <c r="I16" s="120"/>
      <c r="J16" s="81"/>
      <c r="K16" s="81"/>
      <c r="L16" s="81"/>
      <c r="M16" s="81"/>
      <c r="N16" s="81"/>
      <c r="O16" s="81"/>
      <c r="P16" s="81"/>
      <c r="Q16" s="81"/>
      <c r="R16" s="81"/>
      <c r="S16" s="81"/>
      <c r="T16" s="81"/>
      <c r="U16" s="81"/>
      <c r="V16" s="81"/>
      <c r="W16" s="81"/>
      <c r="X16" s="81"/>
      <c r="Y16" s="81"/>
      <c r="Z16" s="81"/>
      <c r="AA16" s="81"/>
      <c r="AB16" s="81"/>
      <c r="AC16" s="81"/>
      <c r="AD16" s="81"/>
      <c r="AE16" s="81"/>
      <c r="AF16" s="81"/>
      <c r="AG16" s="81"/>
      <c r="AH16" s="81"/>
    </row>
    <row r="19" spans="5:5" x14ac:dyDescent="0.25">
      <c r="E19" s="2"/>
    </row>
    <row r="20" spans="5:5" x14ac:dyDescent="0.25">
      <c r="E20" s="67"/>
    </row>
  </sheetData>
  <mergeCells count="1">
    <mergeCell ref="B1:B2"/>
  </mergeCells>
  <pageMargins left="0.511811024" right="0.511811024" top="0.78740157499999996" bottom="0.78740157499999996" header="0.31496062000000002" footer="0.3149606200000000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BL196"/>
  <sheetViews>
    <sheetView showGridLines="0" topLeftCell="A69" zoomScaleNormal="100" workbookViewId="0">
      <selection activeCell="L89" sqref="L89"/>
    </sheetView>
  </sheetViews>
  <sheetFormatPr defaultRowHeight="15" x14ac:dyDescent="0.25"/>
  <cols>
    <col min="1" max="1" width="15.28515625" customWidth="1"/>
    <col min="2" max="2" width="21.42578125" customWidth="1"/>
    <col min="3" max="3" width="14" customWidth="1"/>
    <col min="4" max="4" width="18.7109375" customWidth="1"/>
    <col min="5" max="5" width="18" customWidth="1"/>
    <col min="6" max="7" width="14.42578125" customWidth="1"/>
    <col min="8" max="8" width="4.85546875" customWidth="1"/>
    <col min="9" max="10" width="10.7109375" customWidth="1"/>
    <col min="11" max="11" width="16.28515625" customWidth="1"/>
    <col min="12" max="12" width="13.7109375" customWidth="1"/>
    <col min="13" max="13" width="15.28515625" customWidth="1"/>
    <col min="14" max="17" width="10.7109375" customWidth="1"/>
    <col min="18" max="18" width="17.5703125" customWidth="1"/>
    <col min="19" max="19" width="15.5703125" customWidth="1"/>
    <col min="20" max="20" width="20.85546875" customWidth="1"/>
    <col min="21" max="21" width="14.28515625" customWidth="1"/>
    <col min="22" max="22" width="17.85546875" customWidth="1"/>
    <col min="23" max="23" width="23.42578125" customWidth="1"/>
    <col min="24" max="24" width="22" customWidth="1"/>
    <col min="25" max="26" width="12.7109375" customWidth="1"/>
    <col min="28" max="28" width="53.5703125" customWidth="1"/>
    <col min="30" max="30" width="11.5703125" bestFit="1" customWidth="1"/>
  </cols>
  <sheetData>
    <row r="1" spans="1:64" ht="21.75" thickTop="1" x14ac:dyDescent="0.35">
      <c r="A1" s="309" t="s">
        <v>520</v>
      </c>
      <c r="B1" s="1068" t="s">
        <v>26</v>
      </c>
      <c r="C1" s="1069"/>
      <c r="D1" s="1069"/>
      <c r="E1" s="1069"/>
      <c r="F1" s="1069"/>
      <c r="G1" s="1070"/>
      <c r="I1" s="1080" t="s">
        <v>27</v>
      </c>
      <c r="J1" s="1081"/>
      <c r="K1" s="1081"/>
      <c r="L1" s="1081"/>
      <c r="M1" s="1081"/>
      <c r="N1" s="1081"/>
      <c r="O1" s="1081" t="s">
        <v>64</v>
      </c>
      <c r="P1" s="1081"/>
      <c r="Q1" s="1081"/>
      <c r="R1" s="1081"/>
      <c r="S1" s="1081"/>
      <c r="T1" s="1081"/>
      <c r="U1" s="1081"/>
      <c r="V1" s="1081"/>
      <c r="W1" s="1081" t="s">
        <v>109</v>
      </c>
      <c r="X1" s="1081"/>
      <c r="Y1" s="1081"/>
      <c r="Z1" s="1084"/>
    </row>
    <row r="2" spans="1:64" ht="21.75" customHeight="1" x14ac:dyDescent="0.25">
      <c r="A2" s="145" t="s">
        <v>526</v>
      </c>
      <c r="B2" s="1076" t="s">
        <v>28</v>
      </c>
      <c r="C2" s="1078" t="s">
        <v>29</v>
      </c>
      <c r="D2" s="1078"/>
      <c r="E2" s="1082" t="s">
        <v>153</v>
      </c>
      <c r="F2" s="874" t="s">
        <v>30</v>
      </c>
      <c r="G2" s="875" t="s">
        <v>31</v>
      </c>
      <c r="I2" s="1079" t="s">
        <v>32</v>
      </c>
      <c r="J2" s="1072"/>
      <c r="K2" s="1072" t="s">
        <v>33</v>
      </c>
      <c r="L2" s="1072"/>
      <c r="M2" s="1072"/>
      <c r="N2" s="1072"/>
      <c r="O2" s="1072" t="s">
        <v>34</v>
      </c>
      <c r="P2" s="1072"/>
      <c r="Q2" s="1072"/>
      <c r="R2" s="1072"/>
      <c r="S2" s="1072" t="s">
        <v>35</v>
      </c>
      <c r="T2" s="1072"/>
      <c r="U2" s="1072"/>
      <c r="V2" s="1072"/>
      <c r="W2" s="1072" t="s">
        <v>36</v>
      </c>
      <c r="X2" s="1072" t="s">
        <v>37</v>
      </c>
      <c r="Y2" s="1072" t="s">
        <v>38</v>
      </c>
      <c r="Z2" s="1074" t="s">
        <v>39</v>
      </c>
    </row>
    <row r="3" spans="1:64" ht="21.75" customHeight="1" thickBot="1" x14ac:dyDescent="0.3">
      <c r="A3" s="213" t="s">
        <v>522</v>
      </c>
      <c r="B3" s="1077"/>
      <c r="C3" s="876" t="s">
        <v>40</v>
      </c>
      <c r="D3" s="876" t="s">
        <v>41</v>
      </c>
      <c r="E3" s="1083"/>
      <c r="F3" s="877" t="s">
        <v>42</v>
      </c>
      <c r="G3" s="878" t="s">
        <v>43</v>
      </c>
      <c r="I3" s="879" t="s">
        <v>40</v>
      </c>
      <c r="J3" s="880" t="s">
        <v>41</v>
      </c>
      <c r="K3" s="880" t="s">
        <v>3</v>
      </c>
      <c r="L3" s="880" t="s">
        <v>15</v>
      </c>
      <c r="M3" s="880" t="s">
        <v>4</v>
      </c>
      <c r="N3" s="880" t="s">
        <v>15</v>
      </c>
      <c r="O3" s="880" t="s">
        <v>15</v>
      </c>
      <c r="P3" s="881" t="s">
        <v>44</v>
      </c>
      <c r="Q3" s="881" t="s">
        <v>45</v>
      </c>
      <c r="R3" s="880" t="s">
        <v>46</v>
      </c>
      <c r="S3" s="880" t="s">
        <v>15</v>
      </c>
      <c r="T3" s="882" t="s">
        <v>44</v>
      </c>
      <c r="U3" s="882" t="s">
        <v>45</v>
      </c>
      <c r="V3" s="880" t="s">
        <v>46</v>
      </c>
      <c r="W3" s="1073"/>
      <c r="X3" s="1073"/>
      <c r="Y3" s="1073"/>
      <c r="Z3" s="1075"/>
    </row>
    <row r="4" spans="1:64" ht="21.75" customHeight="1" thickTop="1" thickBot="1" x14ac:dyDescent="0.3">
      <c r="B4" s="163"/>
      <c r="C4" s="366" t="s">
        <v>487</v>
      </c>
      <c r="D4" s="366" t="s">
        <v>487</v>
      </c>
      <c r="E4" s="214">
        <v>0.76444215091771661</v>
      </c>
      <c r="F4" s="367">
        <f>E4*$F$13</f>
        <v>0</v>
      </c>
      <c r="G4" s="368">
        <f t="shared" ref="G4:G11" si="0">F4*$G$85</f>
        <v>0</v>
      </c>
      <c r="H4" s="5"/>
      <c r="I4" s="178" t="str">
        <f t="shared" ref="I4" si="1">C4</f>
        <v>TBO</v>
      </c>
      <c r="J4" s="179" t="str">
        <f t="shared" ref="J4" si="2">D4</f>
        <v>TBO</v>
      </c>
      <c r="K4" s="314"/>
      <c r="L4" s="315"/>
      <c r="M4" s="316"/>
      <c r="N4" s="317"/>
      <c r="O4" s="1026"/>
      <c r="P4" s="1039">
        <f>ROUND(O4*$L$88,0)</f>
        <v>0</v>
      </c>
      <c r="Q4" s="1039" t="e">
        <f>ROUND(P4/$P$88,0)</f>
        <v>#DIV/0!</v>
      </c>
      <c r="R4" s="183">
        <f t="shared" ref="R4" si="3">ROUND(K4*L4*$P$4,0)</f>
        <v>0</v>
      </c>
      <c r="S4" s="1040">
        <f>O4</f>
        <v>0</v>
      </c>
      <c r="T4" s="1039">
        <f>ROUND(S4*$L$89,0)</f>
        <v>0</v>
      </c>
      <c r="U4" s="1039" t="e">
        <f>ROUND(T4/$P$89,0)</f>
        <v>#DIV/0!</v>
      </c>
      <c r="V4" s="183">
        <f t="shared" ref="V4:V11" si="4">ROUND(M4*N4*$T$4*(1-$S$89),0)</f>
        <v>0</v>
      </c>
      <c r="W4" s="184">
        <f>P4*F4</f>
        <v>0</v>
      </c>
      <c r="X4" s="185">
        <f>T4*G4</f>
        <v>0</v>
      </c>
      <c r="Y4" s="186" t="e">
        <f t="shared" ref="Y4:Y11" si="5">(W4+X4)/$W$86</f>
        <v>#DIV/0!</v>
      </c>
      <c r="Z4" s="1013" t="e">
        <f>SUM(Y4:Y11)</f>
        <v>#DIV/0!</v>
      </c>
    </row>
    <row r="5" spans="1:64" ht="15.75" thickTop="1" x14ac:dyDescent="0.25">
      <c r="B5" s="1071" t="s">
        <v>1270</v>
      </c>
      <c r="C5" s="176">
        <v>0.01</v>
      </c>
      <c r="D5" s="176">
        <v>10</v>
      </c>
      <c r="E5" s="215">
        <v>0.4</v>
      </c>
      <c r="F5" s="166">
        <f t="shared" ref="F5:F11" si="6">$F$13*E5</f>
        <v>0</v>
      </c>
      <c r="G5" s="167">
        <f t="shared" si="0"/>
        <v>0</v>
      </c>
      <c r="H5" s="5"/>
      <c r="I5" s="178">
        <f t="shared" ref="I5:J10" si="7">C5</f>
        <v>0.01</v>
      </c>
      <c r="J5" s="179">
        <f t="shared" si="7"/>
        <v>10</v>
      </c>
      <c r="K5" s="314"/>
      <c r="L5" s="315"/>
      <c r="M5" s="316"/>
      <c r="N5" s="317"/>
      <c r="O5" s="1027"/>
      <c r="P5" s="1017"/>
      <c r="Q5" s="1017"/>
      <c r="R5" s="183">
        <f t="shared" ref="R5:R11" si="8">ROUND(K5*L5*$P$4*(1-$S$89),0)</f>
        <v>0</v>
      </c>
      <c r="S5" s="1031"/>
      <c r="T5" s="1017"/>
      <c r="U5" s="1017"/>
      <c r="V5" s="183">
        <f t="shared" si="4"/>
        <v>0</v>
      </c>
      <c r="W5" s="184">
        <f>ROUND(L5*P4*K5*F5,2)</f>
        <v>0</v>
      </c>
      <c r="X5" s="185">
        <f>ROUND(N5*T4*M5*G5,2)</f>
        <v>0</v>
      </c>
      <c r="Y5" s="186" t="e">
        <f t="shared" si="5"/>
        <v>#DIV/0!</v>
      </c>
      <c r="Z5" s="1014"/>
    </row>
    <row r="6" spans="1:64" x14ac:dyDescent="0.25">
      <c r="B6" s="1024"/>
      <c r="C6" s="177">
        <v>10.01</v>
      </c>
      <c r="D6" s="177">
        <v>15</v>
      </c>
      <c r="E6" s="174">
        <v>0.4</v>
      </c>
      <c r="F6" s="168">
        <f t="shared" si="6"/>
        <v>0</v>
      </c>
      <c r="G6" s="169">
        <f t="shared" si="0"/>
        <v>0</v>
      </c>
      <c r="H6" s="5"/>
      <c r="I6" s="180">
        <f t="shared" si="7"/>
        <v>10.01</v>
      </c>
      <c r="J6" s="173">
        <f t="shared" si="7"/>
        <v>15</v>
      </c>
      <c r="K6" s="318"/>
      <c r="L6" s="319"/>
      <c r="M6" s="320"/>
      <c r="N6" s="321"/>
      <c r="O6" s="1027"/>
      <c r="P6" s="1017"/>
      <c r="Q6" s="1017"/>
      <c r="R6" s="187">
        <f t="shared" si="8"/>
        <v>0</v>
      </c>
      <c r="S6" s="1031"/>
      <c r="T6" s="1017"/>
      <c r="U6" s="1017"/>
      <c r="V6" s="187">
        <f t="shared" si="4"/>
        <v>0</v>
      </c>
      <c r="W6" s="184">
        <f>ROUND(L6*P4*(J5*F5+(K6-J5)*F6),2)</f>
        <v>0</v>
      </c>
      <c r="X6" s="185">
        <f>ROUND(N6*T4*(J5*G5+(M6-J5)*G6),2)</f>
        <v>0</v>
      </c>
      <c r="Y6" s="186" t="e">
        <f t="shared" si="5"/>
        <v>#DIV/0!</v>
      </c>
      <c r="Z6" s="1014"/>
    </row>
    <row r="7" spans="1:64" x14ac:dyDescent="0.25">
      <c r="B7" s="1024"/>
      <c r="C7" s="177">
        <v>15.01</v>
      </c>
      <c r="D7" s="177">
        <v>20</v>
      </c>
      <c r="E7" s="174">
        <v>0.8</v>
      </c>
      <c r="F7" s="168">
        <f t="shared" si="6"/>
        <v>0</v>
      </c>
      <c r="G7" s="169">
        <f t="shared" si="0"/>
        <v>0</v>
      </c>
      <c r="H7" s="5"/>
      <c r="I7" s="181">
        <f t="shared" si="7"/>
        <v>15.01</v>
      </c>
      <c r="J7" s="182">
        <f t="shared" si="7"/>
        <v>20</v>
      </c>
      <c r="K7" s="318"/>
      <c r="L7" s="319"/>
      <c r="M7" s="320"/>
      <c r="N7" s="321"/>
      <c r="O7" s="1027"/>
      <c r="P7" s="1017"/>
      <c r="Q7" s="1017"/>
      <c r="R7" s="187">
        <f t="shared" si="8"/>
        <v>0</v>
      </c>
      <c r="S7" s="1031"/>
      <c r="T7" s="1017"/>
      <c r="U7" s="1017"/>
      <c r="V7" s="187">
        <f t="shared" si="4"/>
        <v>0</v>
      </c>
      <c r="W7" s="184">
        <f>ROUND(L7*P4*(J5*F5+(J6-J5)*F6+(K7-J6)*F7),2)</f>
        <v>0</v>
      </c>
      <c r="X7" s="185">
        <f>ROUND(N7*T4*(J5*G5+(J6-J5)*G6+(M7-J6)*G7),2)</f>
        <v>0</v>
      </c>
      <c r="Y7" s="186" t="e">
        <f t="shared" si="5"/>
        <v>#DIV/0!</v>
      </c>
      <c r="Z7" s="1014"/>
      <c r="AA7" s="3"/>
      <c r="BL7" s="95"/>
    </row>
    <row r="8" spans="1:64" x14ac:dyDescent="0.25">
      <c r="A8" s="43"/>
      <c r="B8" s="1024"/>
      <c r="C8" s="177">
        <v>20.010000000000002</v>
      </c>
      <c r="D8" s="177">
        <v>30</v>
      </c>
      <c r="E8" s="174">
        <v>1</v>
      </c>
      <c r="F8" s="168">
        <f t="shared" si="6"/>
        <v>0</v>
      </c>
      <c r="G8" s="169">
        <f t="shared" si="0"/>
        <v>0</v>
      </c>
      <c r="H8" s="5"/>
      <c r="I8" s="180">
        <f t="shared" si="7"/>
        <v>20.010000000000002</v>
      </c>
      <c r="J8" s="173">
        <f t="shared" si="7"/>
        <v>30</v>
      </c>
      <c r="K8" s="318"/>
      <c r="L8" s="319"/>
      <c r="M8" s="320"/>
      <c r="N8" s="321"/>
      <c r="O8" s="1027"/>
      <c r="P8" s="1017"/>
      <c r="Q8" s="1017"/>
      <c r="R8" s="187">
        <f t="shared" si="8"/>
        <v>0</v>
      </c>
      <c r="S8" s="1031"/>
      <c r="T8" s="1017"/>
      <c r="U8" s="1017"/>
      <c r="V8" s="187">
        <f t="shared" si="4"/>
        <v>0</v>
      </c>
      <c r="W8" s="184">
        <f>ROUND(L8*P4*(J5*F5+(J6-J5)*F6+(J7-J6)*F7+(K8-J7)*F8),2)</f>
        <v>0</v>
      </c>
      <c r="X8" s="185">
        <f>ROUND(N8*T4*(J5*G5+(J6-J5)*G6+(J7-J6)*G7+(M8-J7)*G8),2)</f>
        <v>0</v>
      </c>
      <c r="Y8" s="186" t="e">
        <f t="shared" si="5"/>
        <v>#DIV/0!</v>
      </c>
      <c r="Z8" s="1014"/>
    </row>
    <row r="9" spans="1:64" s="80" customFormat="1" x14ac:dyDescent="0.25">
      <c r="A9" s="78"/>
      <c r="B9" s="1024"/>
      <c r="C9" s="177">
        <v>30.01</v>
      </c>
      <c r="D9" s="177">
        <v>50</v>
      </c>
      <c r="E9" s="174">
        <v>1.2</v>
      </c>
      <c r="F9" s="168">
        <f t="shared" si="6"/>
        <v>0</v>
      </c>
      <c r="G9" s="169">
        <f t="shared" si="0"/>
        <v>0</v>
      </c>
      <c r="H9" s="79"/>
      <c r="I9" s="180">
        <f t="shared" si="7"/>
        <v>30.01</v>
      </c>
      <c r="J9" s="182">
        <f t="shared" si="7"/>
        <v>50</v>
      </c>
      <c r="K9" s="322"/>
      <c r="L9" s="319"/>
      <c r="M9" s="323"/>
      <c r="N9" s="324"/>
      <c r="O9" s="1027"/>
      <c r="P9" s="1017"/>
      <c r="Q9" s="1017"/>
      <c r="R9" s="188">
        <f t="shared" si="8"/>
        <v>0</v>
      </c>
      <c r="S9" s="1031"/>
      <c r="T9" s="1017"/>
      <c r="U9" s="1017"/>
      <c r="V9" s="188">
        <f t="shared" si="4"/>
        <v>0</v>
      </c>
      <c r="W9" s="189">
        <f>ROUND(L9*P4*(J5*F5+(J6-J5)*F6+(J7-J6)*F7+(J8-J7)*F8+(K9-J8)*F9),2)</f>
        <v>0</v>
      </c>
      <c r="X9" s="190">
        <f>ROUND(N9*T4*(10*G5+(J6-J5)*G6+(J7-J6)*G7+(J8-J7)*G8+(M9-J8)*G9),2)</f>
        <v>0</v>
      </c>
      <c r="Y9" s="191" t="e">
        <f t="shared" si="5"/>
        <v>#DIV/0!</v>
      </c>
      <c r="Z9" s="1014"/>
    </row>
    <row r="10" spans="1:64" x14ac:dyDescent="0.25">
      <c r="A10" s="43"/>
      <c r="B10" s="1024"/>
      <c r="C10" s="177">
        <v>50.01</v>
      </c>
      <c r="D10" s="177">
        <v>100</v>
      </c>
      <c r="E10" s="174">
        <v>1.4</v>
      </c>
      <c r="F10" s="168">
        <f t="shared" si="6"/>
        <v>0</v>
      </c>
      <c r="G10" s="169">
        <f t="shared" si="0"/>
        <v>0</v>
      </c>
      <c r="H10" s="5"/>
      <c r="I10" s="180">
        <f t="shared" si="7"/>
        <v>50.01</v>
      </c>
      <c r="J10" s="173">
        <f>D10</f>
        <v>100</v>
      </c>
      <c r="K10" s="318"/>
      <c r="L10" s="319"/>
      <c r="M10" s="320"/>
      <c r="N10" s="321"/>
      <c r="O10" s="1027"/>
      <c r="P10" s="1017"/>
      <c r="Q10" s="1017"/>
      <c r="R10" s="187">
        <f t="shared" si="8"/>
        <v>0</v>
      </c>
      <c r="S10" s="1031"/>
      <c r="T10" s="1017"/>
      <c r="U10" s="1017"/>
      <c r="V10" s="187">
        <f t="shared" si="4"/>
        <v>0</v>
      </c>
      <c r="W10" s="184">
        <f>ROUND(L10*P4*(J5*F5+(J6-J5)*F6+(J7-J6)*F7+(J8-J7)*F8+(J9-J8)*F9+(K10-J9)*F10),2)</f>
        <v>0</v>
      </c>
      <c r="X10" s="185">
        <f>ROUND(N10*T4*(J5*G5+(J6-J5)*G6+(J7-J6)*G7+(J8-J7)*G8+(J9-J8)*G9+(M10-J9)*G10),2)</f>
        <v>0</v>
      </c>
      <c r="Y10" s="186" t="e">
        <f t="shared" si="5"/>
        <v>#DIV/0!</v>
      </c>
      <c r="Z10" s="1014"/>
    </row>
    <row r="11" spans="1:64" ht="15.75" thickBot="1" x14ac:dyDescent="0.3">
      <c r="A11" s="43"/>
      <c r="B11" s="1025"/>
      <c r="C11" s="1021" t="s">
        <v>47</v>
      </c>
      <c r="D11" s="1022"/>
      <c r="E11" s="175">
        <v>2.4</v>
      </c>
      <c r="F11" s="170">
        <f t="shared" si="6"/>
        <v>0</v>
      </c>
      <c r="G11" s="171">
        <f t="shared" si="0"/>
        <v>0</v>
      </c>
      <c r="H11" s="5"/>
      <c r="I11" s="1019" t="s">
        <v>47</v>
      </c>
      <c r="J11" s="1020"/>
      <c r="K11" s="318"/>
      <c r="L11" s="319"/>
      <c r="M11" s="320"/>
      <c r="N11" s="321"/>
      <c r="O11" s="1029"/>
      <c r="P11" s="1018"/>
      <c r="Q11" s="1018"/>
      <c r="R11" s="187">
        <f t="shared" si="8"/>
        <v>0</v>
      </c>
      <c r="S11" s="1032"/>
      <c r="T11" s="1018"/>
      <c r="U11" s="1018"/>
      <c r="V11" s="187">
        <f t="shared" si="4"/>
        <v>0</v>
      </c>
      <c r="W11" s="184">
        <f>ROUND(L11*P4*(J5*F5+(J6-J5)*F6+(J7-J6)*F7+(J8-J7)*F8+(J9-J8)*F9+(J10-J9)*F10+(K11-J10)*F11),2)</f>
        <v>0</v>
      </c>
      <c r="X11" s="185">
        <f>ROUND(N11*T4*(J5*G5+(J6-J5)*G6+(J7-J6)*G7+(J8-J7)*G8+(J9-J8)*G9+(J10-J9)*G10+(M11-J10)*G11),2)</f>
        <v>0</v>
      </c>
      <c r="Y11" s="186" t="e">
        <f t="shared" si="5"/>
        <v>#DIV/0!</v>
      </c>
      <c r="Z11" s="1015"/>
    </row>
    <row r="12" spans="1:64" ht="17.25" hidden="1" thickTop="1" thickBot="1" x14ac:dyDescent="0.3">
      <c r="A12" s="43"/>
      <c r="B12" s="165"/>
      <c r="C12" s="164" t="s">
        <v>487</v>
      </c>
      <c r="D12" s="164" t="s">
        <v>487</v>
      </c>
      <c r="E12" s="214">
        <v>4.18</v>
      </c>
      <c r="F12" s="166">
        <f t="shared" ref="F12" si="9">$F$13*E12</f>
        <v>0</v>
      </c>
      <c r="G12" s="167">
        <f t="shared" ref="G12" si="10">F12*$G$85</f>
        <v>0</v>
      </c>
      <c r="H12" s="5"/>
      <c r="I12" s="178" t="str">
        <f t="shared" ref="I12" si="11">C12</f>
        <v>TBO</v>
      </c>
      <c r="J12" s="179" t="str">
        <f t="shared" ref="J12" si="12">D12</f>
        <v>TBO</v>
      </c>
      <c r="K12" s="318"/>
      <c r="L12" s="319"/>
      <c r="M12" s="320"/>
      <c r="N12" s="321"/>
      <c r="O12" s="1026"/>
      <c r="P12" s="1016">
        <f>ROUND(O12*$L$88,0)</f>
        <v>0</v>
      </c>
      <c r="Q12" s="1016" t="e">
        <f>ROUND(P12/$P$88,0)</f>
        <v>#DIV/0!</v>
      </c>
      <c r="R12" s="187">
        <f t="shared" ref="R12" si="13">ROUND(K12*L12*$P$12,0)</f>
        <v>0</v>
      </c>
      <c r="S12" s="1030">
        <f>O12</f>
        <v>0</v>
      </c>
      <c r="T12" s="1016">
        <f>ROUND(S12*$L$89,0)</f>
        <v>0</v>
      </c>
      <c r="U12" s="1016" t="e">
        <f>ROUND(T12/$P$89,0)</f>
        <v>#DIV/0!</v>
      </c>
      <c r="V12" s="187">
        <f t="shared" ref="V12" si="14">ROUND(M12*N12*$T$12*(1-$S$89),0)</f>
        <v>0</v>
      </c>
      <c r="W12" s="184">
        <f>P12*F12</f>
        <v>0</v>
      </c>
      <c r="X12" s="185">
        <f>T12*G12</f>
        <v>0</v>
      </c>
      <c r="Y12" s="186" t="e">
        <f t="shared" ref="Y12" si="15">(W12+X12)/$W$86</f>
        <v>#DIV/0!</v>
      </c>
      <c r="Z12" s="1013" t="e">
        <f>SUM(Y12:Y19)</f>
        <v>#DIV/0!</v>
      </c>
    </row>
    <row r="13" spans="1:64" ht="17.45" hidden="1" customHeight="1" thickTop="1" x14ac:dyDescent="0.25">
      <c r="A13" s="43"/>
      <c r="B13" s="1023" t="s">
        <v>495</v>
      </c>
      <c r="C13" s="176">
        <v>0.01</v>
      </c>
      <c r="D13" s="176">
        <v>10</v>
      </c>
      <c r="E13" s="215">
        <v>1</v>
      </c>
      <c r="F13" s="167">
        <f>'FCD PROJETO'!K15</f>
        <v>0</v>
      </c>
      <c r="G13" s="167">
        <f t="shared" ref="G13:G19" si="16">F13*$G$85</f>
        <v>0</v>
      </c>
      <c r="H13" s="5"/>
      <c r="I13" s="178">
        <f t="shared" ref="I13:J18" si="17">C13</f>
        <v>0.01</v>
      </c>
      <c r="J13" s="179">
        <f t="shared" si="17"/>
        <v>10</v>
      </c>
      <c r="K13" s="318"/>
      <c r="L13" s="319"/>
      <c r="M13" s="320"/>
      <c r="N13" s="321"/>
      <c r="O13" s="1027"/>
      <c r="P13" s="1017"/>
      <c r="Q13" s="1017"/>
      <c r="R13" s="187">
        <f t="shared" ref="R13:R19" si="18">ROUND(K13*L13*$P$12*(1-$S$89),0)</f>
        <v>0</v>
      </c>
      <c r="S13" s="1031"/>
      <c r="T13" s="1017"/>
      <c r="U13" s="1017"/>
      <c r="V13" s="187">
        <f t="shared" ref="V13:V19" si="19">ROUND(M13*N13*$T$12*(1-$S$89),0)</f>
        <v>0</v>
      </c>
      <c r="W13" s="184">
        <f>ROUND(L13*P12*K13*F13,2)</f>
        <v>0</v>
      </c>
      <c r="X13" s="185">
        <f>ROUND(N13*T12*M13*G13,2)</f>
        <v>0</v>
      </c>
      <c r="Y13" s="186" t="e">
        <f t="shared" ref="Y13:Y19" si="20">(W13+X13)/$W$86</f>
        <v>#DIV/0!</v>
      </c>
      <c r="Z13" s="1014"/>
    </row>
    <row r="14" spans="1:64" hidden="1" x14ac:dyDescent="0.25">
      <c r="A14" s="43"/>
      <c r="B14" s="1024"/>
      <c r="C14" s="177">
        <v>10.01</v>
      </c>
      <c r="D14" s="177">
        <v>15</v>
      </c>
      <c r="E14" s="174">
        <v>1.4</v>
      </c>
      <c r="F14" s="168">
        <f t="shared" ref="F14:F27" si="21">$F$13*E14</f>
        <v>0</v>
      </c>
      <c r="G14" s="169">
        <f t="shared" si="16"/>
        <v>0</v>
      </c>
      <c r="H14" s="5"/>
      <c r="I14" s="180">
        <f t="shared" si="17"/>
        <v>10.01</v>
      </c>
      <c r="J14" s="173">
        <f t="shared" si="17"/>
        <v>15</v>
      </c>
      <c r="K14" s="318"/>
      <c r="L14" s="319"/>
      <c r="M14" s="320"/>
      <c r="N14" s="321"/>
      <c r="O14" s="1027"/>
      <c r="P14" s="1017"/>
      <c r="Q14" s="1017"/>
      <c r="R14" s="187">
        <f t="shared" si="18"/>
        <v>0</v>
      </c>
      <c r="S14" s="1031"/>
      <c r="T14" s="1017"/>
      <c r="U14" s="1017"/>
      <c r="V14" s="187">
        <f t="shared" si="19"/>
        <v>0</v>
      </c>
      <c r="W14" s="184">
        <f>ROUND(L14*P12*(J13*F13+(K14-J13)*F14),2)</f>
        <v>0</v>
      </c>
      <c r="X14" s="185">
        <f>ROUND(N14*T12*(J13*G13+(M14-J13)*G14),2)</f>
        <v>0</v>
      </c>
      <c r="Y14" s="186" t="e">
        <f t="shared" si="20"/>
        <v>#DIV/0!</v>
      </c>
      <c r="Z14" s="1014"/>
    </row>
    <row r="15" spans="1:64" hidden="1" x14ac:dyDescent="0.25">
      <c r="A15" s="43"/>
      <c r="B15" s="1024"/>
      <c r="C15" s="177">
        <v>15.01</v>
      </c>
      <c r="D15" s="177">
        <v>20</v>
      </c>
      <c r="E15" s="174">
        <v>1.8</v>
      </c>
      <c r="F15" s="168">
        <f t="shared" si="21"/>
        <v>0</v>
      </c>
      <c r="G15" s="169">
        <f t="shared" si="16"/>
        <v>0</v>
      </c>
      <c r="H15" s="5"/>
      <c r="I15" s="181">
        <f t="shared" si="17"/>
        <v>15.01</v>
      </c>
      <c r="J15" s="182">
        <f t="shared" si="17"/>
        <v>20</v>
      </c>
      <c r="K15" s="318"/>
      <c r="L15" s="319"/>
      <c r="M15" s="320"/>
      <c r="N15" s="321"/>
      <c r="O15" s="1027"/>
      <c r="P15" s="1017"/>
      <c r="Q15" s="1017"/>
      <c r="R15" s="187">
        <f t="shared" si="18"/>
        <v>0</v>
      </c>
      <c r="S15" s="1031"/>
      <c r="T15" s="1017"/>
      <c r="U15" s="1017"/>
      <c r="V15" s="187">
        <f t="shared" si="19"/>
        <v>0</v>
      </c>
      <c r="W15" s="184">
        <f>ROUND(L15*P12*(J13*F13+(J14-J13)*F14+(K15-J14)*F15),2)</f>
        <v>0</v>
      </c>
      <c r="X15" s="185">
        <f>ROUND(N15*T12*(J13*G13+(J14-J13)*G14+(M15-J14)*G15),2)</f>
        <v>0</v>
      </c>
      <c r="Y15" s="186" t="e">
        <f t="shared" si="20"/>
        <v>#DIV/0!</v>
      </c>
      <c r="Z15" s="1014"/>
    </row>
    <row r="16" spans="1:64" hidden="1" x14ac:dyDescent="0.25">
      <c r="A16" s="43"/>
      <c r="B16" s="1024"/>
      <c r="C16" s="177">
        <v>20.010000000000002</v>
      </c>
      <c r="D16" s="177">
        <v>30</v>
      </c>
      <c r="E16" s="174">
        <v>2.2000000000000002</v>
      </c>
      <c r="F16" s="168">
        <f>$F$13*E16</f>
        <v>0</v>
      </c>
      <c r="G16" s="169">
        <f t="shared" si="16"/>
        <v>0</v>
      </c>
      <c r="H16" s="5"/>
      <c r="I16" s="180">
        <f t="shared" si="17"/>
        <v>20.010000000000002</v>
      </c>
      <c r="J16" s="173">
        <f t="shared" si="17"/>
        <v>30</v>
      </c>
      <c r="K16" s="318"/>
      <c r="L16" s="319"/>
      <c r="M16" s="320"/>
      <c r="N16" s="321"/>
      <c r="O16" s="1027"/>
      <c r="P16" s="1017"/>
      <c r="Q16" s="1017"/>
      <c r="R16" s="187">
        <f t="shared" si="18"/>
        <v>0</v>
      </c>
      <c r="S16" s="1031"/>
      <c r="T16" s="1017"/>
      <c r="U16" s="1017"/>
      <c r="V16" s="187">
        <f t="shared" si="19"/>
        <v>0</v>
      </c>
      <c r="W16" s="184">
        <f>ROUND(L16*P12*(J13*F13+(J14-J13)*F14+(J15-J14)*F15+(K16-J15)*F16),2)</f>
        <v>0</v>
      </c>
      <c r="X16" s="185">
        <f>ROUND(N16*T12*(J13*G13+(J14-J13)*G14+(J15-J14)*G15+(M16-J15)*G16),2)</f>
        <v>0</v>
      </c>
      <c r="Y16" s="186" t="e">
        <f t="shared" si="20"/>
        <v>#DIV/0!</v>
      </c>
      <c r="Z16" s="1014"/>
    </row>
    <row r="17" spans="1:63" hidden="1" x14ac:dyDescent="0.25">
      <c r="A17" s="43"/>
      <c r="B17" s="1024"/>
      <c r="C17" s="177">
        <v>30.01</v>
      </c>
      <c r="D17" s="177">
        <v>50</v>
      </c>
      <c r="E17" s="174">
        <v>2.8</v>
      </c>
      <c r="F17" s="168">
        <f t="shared" si="21"/>
        <v>0</v>
      </c>
      <c r="G17" s="169">
        <f t="shared" si="16"/>
        <v>0</v>
      </c>
      <c r="H17" s="5"/>
      <c r="I17" s="181">
        <f t="shared" si="17"/>
        <v>30.01</v>
      </c>
      <c r="J17" s="182">
        <f t="shared" si="17"/>
        <v>50</v>
      </c>
      <c r="K17" s="318"/>
      <c r="L17" s="319"/>
      <c r="M17" s="320"/>
      <c r="N17" s="321"/>
      <c r="O17" s="1027"/>
      <c r="P17" s="1017"/>
      <c r="Q17" s="1017"/>
      <c r="R17" s="187">
        <f t="shared" si="18"/>
        <v>0</v>
      </c>
      <c r="S17" s="1031"/>
      <c r="T17" s="1017"/>
      <c r="U17" s="1017"/>
      <c r="V17" s="187">
        <f t="shared" si="19"/>
        <v>0</v>
      </c>
      <c r="W17" s="184">
        <f>ROUND(L17*P12*(J13*F13+(J14-J13)*F14+(J15-J14)*F15+(J16-J15)*F16+(K17-J16)*F17),2)</f>
        <v>0</v>
      </c>
      <c r="X17" s="185">
        <f>ROUND(N17*T12*(10*G13+(J14-J13)*G14+(J15-J14)*G15+(J16-J15)*G16+(M17-J16)*G17),2)</f>
        <v>0</v>
      </c>
      <c r="Y17" s="186" t="e">
        <f t="shared" si="20"/>
        <v>#DIV/0!</v>
      </c>
      <c r="Z17" s="1014"/>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41"/>
      <c r="BD17" s="41"/>
      <c r="BE17" s="41"/>
      <c r="BF17" s="41"/>
      <c r="BG17" s="41"/>
      <c r="BH17" s="41"/>
      <c r="BI17" s="41"/>
      <c r="BJ17" s="41"/>
      <c r="BK17" s="41"/>
    </row>
    <row r="18" spans="1:63" hidden="1" x14ac:dyDescent="0.25">
      <c r="A18" s="43"/>
      <c r="B18" s="1024"/>
      <c r="C18" s="177">
        <v>50.01</v>
      </c>
      <c r="D18" s="177">
        <v>100</v>
      </c>
      <c r="E18" s="174">
        <v>3.6</v>
      </c>
      <c r="F18" s="168">
        <f t="shared" si="21"/>
        <v>0</v>
      </c>
      <c r="G18" s="169">
        <f t="shared" si="16"/>
        <v>0</v>
      </c>
      <c r="H18" s="5"/>
      <c r="I18" s="180">
        <f t="shared" si="17"/>
        <v>50.01</v>
      </c>
      <c r="J18" s="173">
        <f t="shared" si="17"/>
        <v>100</v>
      </c>
      <c r="K18" s="318"/>
      <c r="L18" s="319"/>
      <c r="M18" s="320"/>
      <c r="N18" s="321"/>
      <c r="O18" s="1027"/>
      <c r="P18" s="1017"/>
      <c r="Q18" s="1017"/>
      <c r="R18" s="187">
        <f t="shared" si="18"/>
        <v>0</v>
      </c>
      <c r="S18" s="1031"/>
      <c r="T18" s="1017"/>
      <c r="U18" s="1017"/>
      <c r="V18" s="187">
        <f t="shared" si="19"/>
        <v>0</v>
      </c>
      <c r="W18" s="184">
        <f>ROUND(L18*P12*(J13*F13+(J14-J13)*F14+(J15-J14)*F15+(J16-J15)*F16+(J17-J16)*F17+(K18-J17)*F18),2)</f>
        <v>0</v>
      </c>
      <c r="X18" s="185">
        <f>ROUND(N18*T12*(J13*G13+(J14-J13)*G14+(J15-J14)*G15+(J16-J15)*G16+(J17-J16)*G17+(M18-J17)*G18),2)</f>
        <v>0</v>
      </c>
      <c r="Y18" s="186" t="e">
        <f t="shared" si="20"/>
        <v>#DIV/0!</v>
      </c>
      <c r="Z18" s="1014"/>
    </row>
    <row r="19" spans="1:63" ht="15.75" hidden="1" thickBot="1" x14ac:dyDescent="0.3">
      <c r="A19" s="43"/>
      <c r="B19" s="1025"/>
      <c r="C19" s="1021" t="s">
        <v>47</v>
      </c>
      <c r="D19" s="1022"/>
      <c r="E19" s="175">
        <v>4.8</v>
      </c>
      <c r="F19" s="170">
        <f t="shared" si="21"/>
        <v>0</v>
      </c>
      <c r="G19" s="171">
        <f t="shared" si="16"/>
        <v>0</v>
      </c>
      <c r="H19" s="5"/>
      <c r="I19" s="1019" t="s">
        <v>47</v>
      </c>
      <c r="J19" s="1020"/>
      <c r="K19" s="318"/>
      <c r="L19" s="319"/>
      <c r="M19" s="320"/>
      <c r="N19" s="321"/>
      <c r="O19" s="1028"/>
      <c r="P19" s="1018"/>
      <c r="Q19" s="1018"/>
      <c r="R19" s="187">
        <f t="shared" si="18"/>
        <v>0</v>
      </c>
      <c r="S19" s="1032"/>
      <c r="T19" s="1018"/>
      <c r="U19" s="1018"/>
      <c r="V19" s="187">
        <f t="shared" si="19"/>
        <v>0</v>
      </c>
      <c r="W19" s="184">
        <f>ROUND(L19*P12*(J13*F13+(J14-J13)*F14+(J15-J14)*F15+(J16-J15)*F16+(J17-J16)*F17+(J18-J17)*F18+(K19-J18)*F19),2)</f>
        <v>0</v>
      </c>
      <c r="X19" s="185">
        <f>ROUND(N19*T12*(J13*G13+(J14-J13)*G14+(J15-J14)*G15+(J16-J15)*G16+(J17-J16)*G17+(J18-J17)*G18+(M19-J18)*G19),2)</f>
        <v>0</v>
      </c>
      <c r="Y19" s="186" t="e">
        <f t="shared" si="20"/>
        <v>#DIV/0!</v>
      </c>
      <c r="Z19" s="1015"/>
      <c r="AC19" s="67"/>
      <c r="AD19" s="67"/>
      <c r="AE19" s="67"/>
      <c r="AF19" s="67"/>
      <c r="AG19" s="67"/>
      <c r="AH19" s="67"/>
      <c r="AI19" s="67"/>
      <c r="AJ19" s="67"/>
      <c r="AK19" s="67"/>
      <c r="AL19" s="67"/>
      <c r="AM19" s="67"/>
      <c r="AN19" s="67"/>
      <c r="AO19" s="67"/>
      <c r="AP19" s="67"/>
      <c r="AQ19" s="67"/>
      <c r="AR19" s="67"/>
      <c r="AS19" s="67"/>
      <c r="AT19" s="67"/>
      <c r="AU19" s="67"/>
      <c r="AV19" s="67"/>
      <c r="AW19" s="67"/>
      <c r="AX19" s="67"/>
      <c r="AY19" s="67"/>
      <c r="AZ19" s="67"/>
      <c r="BA19" s="67"/>
      <c r="BB19" s="67"/>
      <c r="BC19" s="67"/>
      <c r="BD19" s="67"/>
      <c r="BE19" s="67"/>
      <c r="BF19" s="67"/>
      <c r="BG19" s="67"/>
      <c r="BH19" s="67"/>
      <c r="BI19" s="67"/>
      <c r="BJ19" s="67"/>
      <c r="BK19" s="67"/>
    </row>
    <row r="20" spans="1:63" ht="17.25" hidden="1" thickTop="1" thickBot="1" x14ac:dyDescent="0.3">
      <c r="A20" s="43"/>
      <c r="B20" s="165"/>
      <c r="C20" s="164" t="s">
        <v>487</v>
      </c>
      <c r="D20" s="164" t="s">
        <v>487</v>
      </c>
      <c r="E20" s="214">
        <v>5</v>
      </c>
      <c r="F20" s="166">
        <f t="shared" si="21"/>
        <v>0</v>
      </c>
      <c r="G20" s="167">
        <f t="shared" ref="G20:G27" si="22">F20*$G$85</f>
        <v>0</v>
      </c>
      <c r="H20" s="5"/>
      <c r="I20" s="178" t="str">
        <f t="shared" ref="I20" si="23">C20</f>
        <v>TBO</v>
      </c>
      <c r="J20" s="179" t="str">
        <f t="shared" ref="J20" si="24">D20</f>
        <v>TBO</v>
      </c>
      <c r="K20" s="318"/>
      <c r="L20" s="319"/>
      <c r="M20" s="320"/>
      <c r="N20" s="321"/>
      <c r="O20" s="1026"/>
      <c r="P20" s="1016">
        <f>ROUND(O20*$L$88,0)</f>
        <v>0</v>
      </c>
      <c r="Q20" s="1016" t="e">
        <f>ROUND(P20/$P$88,0)</f>
        <v>#DIV/0!</v>
      </c>
      <c r="R20" s="187">
        <f t="shared" ref="R20" si="25">ROUND(K20*L20*$P$20,0)</f>
        <v>0</v>
      </c>
      <c r="S20" s="1030">
        <f>O20</f>
        <v>0</v>
      </c>
      <c r="T20" s="1016">
        <f>ROUND(S20*$L$89,0)</f>
        <v>0</v>
      </c>
      <c r="U20" s="1016" t="e">
        <f>ROUND(T20/$P$89,0)</f>
        <v>#DIV/0!</v>
      </c>
      <c r="V20" s="187">
        <f t="shared" ref="V20:V27" si="26">ROUND(M20*N20*$T$20*(1-$S$89),0)</f>
        <v>0</v>
      </c>
      <c r="W20" s="184">
        <f>P20*F20</f>
        <v>0</v>
      </c>
      <c r="X20" s="185">
        <f>T20*G20</f>
        <v>0</v>
      </c>
      <c r="Y20" s="186" t="e">
        <f t="shared" ref="Y20" si="27">(W20+X20)/$W$86</f>
        <v>#DIV/0!</v>
      </c>
      <c r="Z20" s="1013" t="e">
        <f>SUM(Y20:Y27)</f>
        <v>#DIV/0!</v>
      </c>
      <c r="AC20" s="67"/>
      <c r="AD20" s="67"/>
      <c r="AE20" s="67"/>
      <c r="AF20" s="67"/>
      <c r="AG20" s="67"/>
      <c r="AH20" s="67"/>
      <c r="AI20" s="67"/>
      <c r="AJ20" s="67"/>
      <c r="AK20" s="67"/>
      <c r="AL20" s="67"/>
      <c r="AM20" s="67"/>
      <c r="AN20" s="67"/>
      <c r="AO20" s="67"/>
      <c r="AP20" s="67"/>
      <c r="AQ20" s="67"/>
      <c r="AR20" s="67"/>
      <c r="AS20" s="67"/>
      <c r="AT20" s="67"/>
      <c r="AU20" s="67"/>
      <c r="AV20" s="67"/>
      <c r="AW20" s="67"/>
      <c r="AX20" s="67"/>
      <c r="AY20" s="67"/>
      <c r="AZ20" s="67"/>
      <c r="BA20" s="67"/>
      <c r="BB20" s="67"/>
      <c r="BC20" s="67"/>
      <c r="BD20" s="67"/>
      <c r="BE20" s="67"/>
      <c r="BF20" s="67"/>
      <c r="BG20" s="67"/>
      <c r="BH20" s="67"/>
      <c r="BI20" s="67"/>
      <c r="BJ20" s="67"/>
      <c r="BK20" s="67"/>
    </row>
    <row r="21" spans="1:63" ht="15.75" hidden="1" thickTop="1" x14ac:dyDescent="0.25">
      <c r="A21" s="43"/>
      <c r="B21" s="1023" t="s">
        <v>496</v>
      </c>
      <c r="C21" s="176">
        <v>0.01</v>
      </c>
      <c r="D21" s="176">
        <v>10</v>
      </c>
      <c r="E21" s="215">
        <v>1.21</v>
      </c>
      <c r="F21" s="166">
        <f t="shared" si="21"/>
        <v>0</v>
      </c>
      <c r="G21" s="167">
        <f t="shared" si="22"/>
        <v>0</v>
      </c>
      <c r="H21" s="5"/>
      <c r="I21" s="178">
        <f t="shared" ref="I21:J26" si="28">C21</f>
        <v>0.01</v>
      </c>
      <c r="J21" s="179">
        <f t="shared" si="28"/>
        <v>10</v>
      </c>
      <c r="K21" s="318"/>
      <c r="L21" s="319"/>
      <c r="M21" s="320"/>
      <c r="N21" s="321"/>
      <c r="O21" s="1027"/>
      <c r="P21" s="1017"/>
      <c r="Q21" s="1017"/>
      <c r="R21" s="187">
        <f>ROUND(K21*L21*$P$20*(1-$S$89),0)</f>
        <v>0</v>
      </c>
      <c r="S21" s="1031"/>
      <c r="T21" s="1017"/>
      <c r="U21" s="1017"/>
      <c r="V21" s="187">
        <f t="shared" si="26"/>
        <v>0</v>
      </c>
      <c r="W21" s="184">
        <f>ROUND(L21*P20*K21*F21,2)</f>
        <v>0</v>
      </c>
      <c r="X21" s="185">
        <f>ROUND(N21*T20*M21*G21,2)</f>
        <v>0</v>
      </c>
      <c r="Y21" s="186" t="e">
        <f t="shared" ref="Y21:Y27" si="29">(W21+X21)/$W$86</f>
        <v>#DIV/0!</v>
      </c>
      <c r="Z21" s="1014"/>
      <c r="AC21" s="67"/>
      <c r="AD21" s="67"/>
      <c r="AE21" s="67"/>
      <c r="AF21" s="67"/>
      <c r="AG21" s="67"/>
      <c r="AH21" s="67"/>
      <c r="AI21" s="67"/>
      <c r="AJ21" s="67"/>
      <c r="AK21" s="67"/>
      <c r="AL21" s="67"/>
      <c r="AM21" s="67"/>
      <c r="AN21" s="67"/>
      <c r="AO21" s="67"/>
      <c r="AP21" s="67"/>
      <c r="AQ21" s="67"/>
      <c r="AR21" s="67"/>
      <c r="AS21" s="67"/>
      <c r="AT21" s="67"/>
      <c r="AU21" s="67"/>
      <c r="AV21" s="67"/>
      <c r="AW21" s="67"/>
      <c r="AX21" s="67"/>
      <c r="AY21" s="67"/>
      <c r="AZ21" s="67"/>
      <c r="BA21" s="67"/>
      <c r="BB21" s="67"/>
      <c r="BC21" s="67"/>
      <c r="BD21" s="67"/>
      <c r="BE21" s="67"/>
      <c r="BF21" s="67"/>
      <c r="BG21" s="67"/>
      <c r="BH21" s="67"/>
      <c r="BI21" s="67"/>
      <c r="BJ21" s="67"/>
      <c r="BK21" s="67"/>
    </row>
    <row r="22" spans="1:63" hidden="1" x14ac:dyDescent="0.25">
      <c r="A22" s="43"/>
      <c r="B22" s="1024"/>
      <c r="C22" s="177">
        <v>10.01</v>
      </c>
      <c r="D22" s="177">
        <v>15</v>
      </c>
      <c r="E22" s="174">
        <v>1.694</v>
      </c>
      <c r="F22" s="168">
        <f t="shared" si="21"/>
        <v>0</v>
      </c>
      <c r="G22" s="169">
        <f t="shared" si="22"/>
        <v>0</v>
      </c>
      <c r="H22" s="5"/>
      <c r="I22" s="180">
        <f t="shared" si="28"/>
        <v>10.01</v>
      </c>
      <c r="J22" s="173">
        <f t="shared" si="28"/>
        <v>15</v>
      </c>
      <c r="K22" s="318"/>
      <c r="L22" s="319"/>
      <c r="M22" s="320"/>
      <c r="N22" s="321"/>
      <c r="O22" s="1027"/>
      <c r="P22" s="1017"/>
      <c r="Q22" s="1017"/>
      <c r="R22" s="187">
        <f t="shared" ref="R22:R27" si="30">ROUND(K22*L22*$P$20*(1-$S$89),0)</f>
        <v>0</v>
      </c>
      <c r="S22" s="1031"/>
      <c r="T22" s="1017"/>
      <c r="U22" s="1017"/>
      <c r="V22" s="187">
        <f t="shared" si="26"/>
        <v>0</v>
      </c>
      <c r="W22" s="184">
        <f>ROUND(L22*P20*(J21*F21+(K22-J21)*F22),2)</f>
        <v>0</v>
      </c>
      <c r="X22" s="185">
        <f>ROUND(N22*T20*(J21*G21+(M22-J21)*G22),2)</f>
        <v>0</v>
      </c>
      <c r="Y22" s="186" t="e">
        <f t="shared" si="29"/>
        <v>#DIV/0!</v>
      </c>
      <c r="Z22" s="1014"/>
    </row>
    <row r="23" spans="1:63" hidden="1" x14ac:dyDescent="0.25">
      <c r="A23" s="43"/>
      <c r="B23" s="1024"/>
      <c r="C23" s="177">
        <v>15.01</v>
      </c>
      <c r="D23" s="177">
        <v>20</v>
      </c>
      <c r="E23" s="174">
        <v>2.1779999999999999</v>
      </c>
      <c r="F23" s="168">
        <f t="shared" si="21"/>
        <v>0</v>
      </c>
      <c r="G23" s="169">
        <f t="shared" si="22"/>
        <v>0</v>
      </c>
      <c r="H23" s="5"/>
      <c r="I23" s="181">
        <f t="shared" si="28"/>
        <v>15.01</v>
      </c>
      <c r="J23" s="182">
        <f t="shared" si="28"/>
        <v>20</v>
      </c>
      <c r="K23" s="318"/>
      <c r="L23" s="319"/>
      <c r="M23" s="320"/>
      <c r="N23" s="321"/>
      <c r="O23" s="1027"/>
      <c r="P23" s="1017"/>
      <c r="Q23" s="1017"/>
      <c r="R23" s="187">
        <f t="shared" si="30"/>
        <v>0</v>
      </c>
      <c r="S23" s="1031"/>
      <c r="T23" s="1017"/>
      <c r="U23" s="1017"/>
      <c r="V23" s="187">
        <f t="shared" si="26"/>
        <v>0</v>
      </c>
      <c r="W23" s="184">
        <f>ROUND(L23*P20*(J21*F21+(J22-J21)*F22+(K23-J22)*F23),2)</f>
        <v>0</v>
      </c>
      <c r="X23" s="185">
        <f>ROUND(N23*T20*(J21*G21+(J22-J21)*G22+(M23-J22)*G23),2)</f>
        <v>0</v>
      </c>
      <c r="Y23" s="186" t="e">
        <f t="shared" si="29"/>
        <v>#DIV/0!</v>
      </c>
      <c r="Z23" s="1014"/>
    </row>
    <row r="24" spans="1:63" hidden="1" x14ac:dyDescent="0.25">
      <c r="A24" s="43"/>
      <c r="B24" s="1024"/>
      <c r="C24" s="177">
        <v>20.010000000000002</v>
      </c>
      <c r="D24" s="177">
        <v>30</v>
      </c>
      <c r="E24" s="174">
        <v>2.6619999999999999</v>
      </c>
      <c r="F24" s="168">
        <f t="shared" si="21"/>
        <v>0</v>
      </c>
      <c r="G24" s="169">
        <f t="shared" si="22"/>
        <v>0</v>
      </c>
      <c r="H24" s="5"/>
      <c r="I24" s="180">
        <f t="shared" si="28"/>
        <v>20.010000000000002</v>
      </c>
      <c r="J24" s="173">
        <f t="shared" si="28"/>
        <v>30</v>
      </c>
      <c r="K24" s="318"/>
      <c r="L24" s="319"/>
      <c r="M24" s="320"/>
      <c r="N24" s="321"/>
      <c r="O24" s="1027"/>
      <c r="P24" s="1017"/>
      <c r="Q24" s="1017"/>
      <c r="R24" s="187">
        <f t="shared" si="30"/>
        <v>0</v>
      </c>
      <c r="S24" s="1031"/>
      <c r="T24" s="1017"/>
      <c r="U24" s="1017"/>
      <c r="V24" s="187">
        <f t="shared" si="26"/>
        <v>0</v>
      </c>
      <c r="W24" s="184">
        <f>ROUND(L24*P20*(J21*F21+(J22-J21)*F22+(J23-J22)*F23+(K24-J23)*F24),2)</f>
        <v>0</v>
      </c>
      <c r="X24" s="185">
        <f>ROUND(N24*T20*(J21*G21+(J22-J21)*G22+(J23-J22)*G23+(M24-J23)*G24),2)</f>
        <v>0</v>
      </c>
      <c r="Y24" s="186" t="e">
        <f t="shared" si="29"/>
        <v>#DIV/0!</v>
      </c>
      <c r="Z24" s="1014"/>
    </row>
    <row r="25" spans="1:63" hidden="1" x14ac:dyDescent="0.25">
      <c r="A25" s="43"/>
      <c r="B25" s="1024"/>
      <c r="C25" s="177">
        <v>30.01</v>
      </c>
      <c r="D25" s="177">
        <v>50</v>
      </c>
      <c r="E25" s="174">
        <v>3.3879999999999999</v>
      </c>
      <c r="F25" s="168">
        <f t="shared" si="21"/>
        <v>0</v>
      </c>
      <c r="G25" s="169">
        <f t="shared" si="22"/>
        <v>0</v>
      </c>
      <c r="H25" s="5"/>
      <c r="I25" s="181">
        <f t="shared" si="28"/>
        <v>30.01</v>
      </c>
      <c r="J25" s="182">
        <f t="shared" si="28"/>
        <v>50</v>
      </c>
      <c r="K25" s="318"/>
      <c r="L25" s="319"/>
      <c r="M25" s="320"/>
      <c r="N25" s="321"/>
      <c r="O25" s="1027"/>
      <c r="P25" s="1017"/>
      <c r="Q25" s="1017"/>
      <c r="R25" s="187">
        <f t="shared" si="30"/>
        <v>0</v>
      </c>
      <c r="S25" s="1031"/>
      <c r="T25" s="1017"/>
      <c r="U25" s="1017"/>
      <c r="V25" s="187">
        <f t="shared" si="26"/>
        <v>0</v>
      </c>
      <c r="W25" s="184">
        <f>ROUND(L25*P20*(J21*F21+(J22-J21)*F22+(J23-J22)*F23+(J24-J23)*F24+(K25-J24)*F25),2)</f>
        <v>0</v>
      </c>
      <c r="X25" s="185">
        <f>ROUND(N25*T20*(10*G21+(J22-J21)*G22+(J23-J22)*G23+(J24-J23)*G24+(M25-J24)*G25),2)</f>
        <v>0</v>
      </c>
      <c r="Y25" s="186" t="e">
        <f t="shared" si="29"/>
        <v>#DIV/0!</v>
      </c>
      <c r="Z25" s="1014"/>
    </row>
    <row r="26" spans="1:63" hidden="1" x14ac:dyDescent="0.25">
      <c r="A26" s="43"/>
      <c r="B26" s="1024"/>
      <c r="C26" s="177">
        <v>50.01</v>
      </c>
      <c r="D26" s="177">
        <v>100</v>
      </c>
      <c r="E26" s="174">
        <v>4.3559999999999999</v>
      </c>
      <c r="F26" s="168">
        <f t="shared" si="21"/>
        <v>0</v>
      </c>
      <c r="G26" s="169">
        <f t="shared" si="22"/>
        <v>0</v>
      </c>
      <c r="H26" s="5"/>
      <c r="I26" s="180">
        <f t="shared" si="28"/>
        <v>50.01</v>
      </c>
      <c r="J26" s="173">
        <f t="shared" si="28"/>
        <v>100</v>
      </c>
      <c r="K26" s="318"/>
      <c r="L26" s="319"/>
      <c r="M26" s="320"/>
      <c r="N26" s="321"/>
      <c r="O26" s="1027"/>
      <c r="P26" s="1017"/>
      <c r="Q26" s="1017"/>
      <c r="R26" s="187">
        <f t="shared" si="30"/>
        <v>0</v>
      </c>
      <c r="S26" s="1031"/>
      <c r="T26" s="1017"/>
      <c r="U26" s="1017"/>
      <c r="V26" s="187">
        <f t="shared" si="26"/>
        <v>0</v>
      </c>
      <c r="W26" s="184">
        <f>ROUND(L26*P20*(J21*F21+(J22-J21)*F22+(J23-J22)*F23+(J24-J23)*F24+(J25-J24)*F25+(K26-J25)*F26),2)</f>
        <v>0</v>
      </c>
      <c r="X26" s="185">
        <f>ROUND(N26*T20*(J21*G21+(J22-J21)*G22+(J23-J22)*G23+(J24-J23)*G24+(J25-J24)*G25+(M26-J25)*G26),2)</f>
        <v>0</v>
      </c>
      <c r="Y26" s="186" t="e">
        <f t="shared" si="29"/>
        <v>#DIV/0!</v>
      </c>
      <c r="Z26" s="1014"/>
    </row>
    <row r="27" spans="1:63" ht="15.75" hidden="1" thickBot="1" x14ac:dyDescent="0.3">
      <c r="A27" s="43"/>
      <c r="B27" s="1025"/>
      <c r="C27" s="1021" t="s">
        <v>47</v>
      </c>
      <c r="D27" s="1022"/>
      <c r="E27" s="175">
        <v>5.8079999999999998</v>
      </c>
      <c r="F27" s="170">
        <f t="shared" si="21"/>
        <v>0</v>
      </c>
      <c r="G27" s="171">
        <f t="shared" si="22"/>
        <v>0</v>
      </c>
      <c r="H27" s="5"/>
      <c r="I27" s="1019" t="s">
        <v>47</v>
      </c>
      <c r="J27" s="1020"/>
      <c r="K27" s="318"/>
      <c r="L27" s="319"/>
      <c r="M27" s="320"/>
      <c r="N27" s="321"/>
      <c r="O27" s="1028"/>
      <c r="P27" s="1018"/>
      <c r="Q27" s="1018"/>
      <c r="R27" s="187">
        <f t="shared" si="30"/>
        <v>0</v>
      </c>
      <c r="S27" s="1032"/>
      <c r="T27" s="1018"/>
      <c r="U27" s="1018"/>
      <c r="V27" s="187">
        <f t="shared" si="26"/>
        <v>0</v>
      </c>
      <c r="W27" s="184">
        <f>ROUND(L27*P20*(J21*F21+(J22-J21)*F22+(J23-J22)*F23+(J24-J23)*F24+(J25-J24)*F25+(J26-J25)*F26+(K27-J26)*F27),2)</f>
        <v>0</v>
      </c>
      <c r="X27" s="185">
        <f>ROUND(N27*T20*(J21*G21+(J22-J21)*G22+(J23-J22)*G23+(J24-J23)*G24+(J25-J24)*G25+(J26-J25)*G26+(M27-J26)*G27),2)</f>
        <v>0</v>
      </c>
      <c r="Y27" s="186" t="e">
        <f t="shared" si="29"/>
        <v>#DIV/0!</v>
      </c>
      <c r="Z27" s="1015"/>
    </row>
    <row r="28" spans="1:63" ht="17.25" thickTop="1" thickBot="1" x14ac:dyDescent="0.3">
      <c r="A28" s="43"/>
      <c r="B28" s="165"/>
      <c r="C28" s="164" t="s">
        <v>487</v>
      </c>
      <c r="D28" s="164" t="s">
        <v>487</v>
      </c>
      <c r="E28" s="214">
        <v>5</v>
      </c>
      <c r="F28" s="166">
        <f t="shared" ref="F28:F59" si="31">$F$13*E28</f>
        <v>0</v>
      </c>
      <c r="G28" s="167">
        <f t="shared" ref="G28:G52" si="32">F28*$G$85</f>
        <v>0</v>
      </c>
      <c r="H28" s="5"/>
      <c r="I28" s="178" t="str">
        <f t="shared" ref="I28" si="33">C28</f>
        <v>TBO</v>
      </c>
      <c r="J28" s="179" t="str">
        <f t="shared" ref="J28" si="34">D28</f>
        <v>TBO</v>
      </c>
      <c r="K28" s="318"/>
      <c r="L28" s="319"/>
      <c r="M28" s="320"/>
      <c r="N28" s="321"/>
      <c r="O28" s="1026"/>
      <c r="P28" s="1016">
        <f>ROUND(O28*$L$88,0)</f>
        <v>0</v>
      </c>
      <c r="Q28" s="1016" t="e">
        <f>ROUND(P28/$P$88,0)</f>
        <v>#DIV/0!</v>
      </c>
      <c r="R28" s="187">
        <f t="shared" ref="R28" si="35">ROUND(K28*L28*$P$28,0)</f>
        <v>0</v>
      </c>
      <c r="S28" s="1030">
        <f>O28</f>
        <v>0</v>
      </c>
      <c r="T28" s="1016">
        <f>ROUND(S28*$L$89,0)</f>
        <v>0</v>
      </c>
      <c r="U28" s="1016" t="e">
        <f>ROUND(T28/$P$89,0)</f>
        <v>#DIV/0!</v>
      </c>
      <c r="V28" s="187">
        <f t="shared" ref="V28:V35" si="36">ROUND(M28*N28*$T$28*(1-$S$89),0)</f>
        <v>0</v>
      </c>
      <c r="W28" s="184">
        <f>P28*F28</f>
        <v>0</v>
      </c>
      <c r="X28" s="185">
        <f>T28*G28</f>
        <v>0</v>
      </c>
      <c r="Y28" s="186" t="e">
        <f t="shared" ref="Y28:Y35" si="37">(W28+X28)/$W$86</f>
        <v>#DIV/0!</v>
      </c>
      <c r="Z28" s="1013" t="e">
        <f>SUM(Y28:Y35)</f>
        <v>#DIV/0!</v>
      </c>
    </row>
    <row r="29" spans="1:63" ht="15.75" thickTop="1" x14ac:dyDescent="0.25">
      <c r="A29" s="43"/>
      <c r="B29" s="1023" t="s">
        <v>501</v>
      </c>
      <c r="C29" s="176">
        <v>0.01</v>
      </c>
      <c r="D29" s="176">
        <v>10</v>
      </c>
      <c r="E29" s="215">
        <v>1.36</v>
      </c>
      <c r="F29" s="166">
        <f t="shared" si="31"/>
        <v>0</v>
      </c>
      <c r="G29" s="167">
        <f t="shared" si="32"/>
        <v>0</v>
      </c>
      <c r="H29" s="5"/>
      <c r="I29" s="178">
        <f t="shared" ref="I29:J34" si="38">C29</f>
        <v>0.01</v>
      </c>
      <c r="J29" s="179">
        <f t="shared" si="38"/>
        <v>10</v>
      </c>
      <c r="K29" s="318"/>
      <c r="L29" s="319"/>
      <c r="M29" s="320"/>
      <c r="N29" s="321"/>
      <c r="O29" s="1027"/>
      <c r="P29" s="1017"/>
      <c r="Q29" s="1017"/>
      <c r="R29" s="187">
        <f t="shared" ref="R29:R35" si="39">ROUND(K29*L29*$P$28*(1-$S$89),0)</f>
        <v>0</v>
      </c>
      <c r="S29" s="1031"/>
      <c r="T29" s="1017"/>
      <c r="U29" s="1017"/>
      <c r="V29" s="187">
        <f t="shared" si="36"/>
        <v>0</v>
      </c>
      <c r="W29" s="184">
        <f>ROUND(L29*P28*K29*F29,2)</f>
        <v>0</v>
      </c>
      <c r="X29" s="185">
        <f>ROUND(N29*T28*M29*G29,2)</f>
        <v>0</v>
      </c>
      <c r="Y29" s="186" t="e">
        <f t="shared" si="37"/>
        <v>#DIV/0!</v>
      </c>
      <c r="Z29" s="1014"/>
    </row>
    <row r="30" spans="1:63" x14ac:dyDescent="0.25">
      <c r="A30" s="43"/>
      <c r="B30" s="1024"/>
      <c r="C30" s="177">
        <v>10.01</v>
      </c>
      <c r="D30" s="177">
        <v>15</v>
      </c>
      <c r="E30" s="174">
        <v>1.9039999999999999</v>
      </c>
      <c r="F30" s="168">
        <f t="shared" si="31"/>
        <v>0</v>
      </c>
      <c r="G30" s="169">
        <f t="shared" si="32"/>
        <v>0</v>
      </c>
      <c r="H30" s="5"/>
      <c r="I30" s="180">
        <f t="shared" si="38"/>
        <v>10.01</v>
      </c>
      <c r="J30" s="173">
        <f t="shared" si="38"/>
        <v>15</v>
      </c>
      <c r="K30" s="318"/>
      <c r="L30" s="319"/>
      <c r="M30" s="320"/>
      <c r="N30" s="321"/>
      <c r="O30" s="1027"/>
      <c r="P30" s="1017"/>
      <c r="Q30" s="1017"/>
      <c r="R30" s="187">
        <f t="shared" si="39"/>
        <v>0</v>
      </c>
      <c r="S30" s="1031"/>
      <c r="T30" s="1017"/>
      <c r="U30" s="1017"/>
      <c r="V30" s="187">
        <f t="shared" si="36"/>
        <v>0</v>
      </c>
      <c r="W30" s="184">
        <f>ROUND(L30*P28*(J29*F29+(K30-J29)*F30),2)</f>
        <v>0</v>
      </c>
      <c r="X30" s="185">
        <f>ROUND(N30*T28*(J29*G29+(M30-J29)*G30),2)</f>
        <v>0</v>
      </c>
      <c r="Y30" s="186" t="e">
        <f t="shared" si="37"/>
        <v>#DIV/0!</v>
      </c>
      <c r="Z30" s="1014"/>
    </row>
    <row r="31" spans="1:63" x14ac:dyDescent="0.25">
      <c r="A31" s="43"/>
      <c r="B31" s="1024"/>
      <c r="C31" s="177">
        <v>15.01</v>
      </c>
      <c r="D31" s="177">
        <v>20</v>
      </c>
      <c r="E31" s="174">
        <v>2.4480000000000004</v>
      </c>
      <c r="F31" s="168">
        <f t="shared" si="31"/>
        <v>0</v>
      </c>
      <c r="G31" s="169">
        <f t="shared" si="32"/>
        <v>0</v>
      </c>
      <c r="H31" s="5"/>
      <c r="I31" s="181">
        <f t="shared" si="38"/>
        <v>15.01</v>
      </c>
      <c r="J31" s="182">
        <f t="shared" si="38"/>
        <v>20</v>
      </c>
      <c r="K31" s="318"/>
      <c r="L31" s="319"/>
      <c r="M31" s="320"/>
      <c r="N31" s="321"/>
      <c r="O31" s="1027"/>
      <c r="P31" s="1017"/>
      <c r="Q31" s="1017"/>
      <c r="R31" s="187">
        <f t="shared" si="39"/>
        <v>0</v>
      </c>
      <c r="S31" s="1031"/>
      <c r="T31" s="1017"/>
      <c r="U31" s="1017"/>
      <c r="V31" s="187">
        <f t="shared" si="36"/>
        <v>0</v>
      </c>
      <c r="W31" s="184">
        <f>ROUND(L31*P28*(J29*F29+(J30-J29)*F30+(K31-J30)*F31),2)</f>
        <v>0</v>
      </c>
      <c r="X31" s="185">
        <f>ROUND(N31*T28*(J29*G29+(J30-J29)*G30+(M31-J30)*G31),2)</f>
        <v>0</v>
      </c>
      <c r="Y31" s="186" t="e">
        <f t="shared" si="37"/>
        <v>#DIV/0!</v>
      </c>
      <c r="Z31" s="1014"/>
    </row>
    <row r="32" spans="1:63" x14ac:dyDescent="0.25">
      <c r="A32" s="43"/>
      <c r="B32" s="1024"/>
      <c r="C32" s="177">
        <v>20.010000000000002</v>
      </c>
      <c r="D32" s="177">
        <v>30</v>
      </c>
      <c r="E32" s="174">
        <v>2.9920000000000004</v>
      </c>
      <c r="F32" s="168">
        <f t="shared" si="31"/>
        <v>0</v>
      </c>
      <c r="G32" s="169">
        <f t="shared" si="32"/>
        <v>0</v>
      </c>
      <c r="H32" s="5"/>
      <c r="I32" s="180">
        <f t="shared" si="38"/>
        <v>20.010000000000002</v>
      </c>
      <c r="J32" s="173">
        <f t="shared" si="38"/>
        <v>30</v>
      </c>
      <c r="K32" s="318"/>
      <c r="L32" s="319"/>
      <c r="M32" s="320"/>
      <c r="N32" s="321"/>
      <c r="O32" s="1027"/>
      <c r="P32" s="1017"/>
      <c r="Q32" s="1017"/>
      <c r="R32" s="187">
        <f t="shared" si="39"/>
        <v>0</v>
      </c>
      <c r="S32" s="1031"/>
      <c r="T32" s="1017"/>
      <c r="U32" s="1017"/>
      <c r="V32" s="187">
        <f t="shared" si="36"/>
        <v>0</v>
      </c>
      <c r="W32" s="184">
        <f>ROUND(L32*P28*(J29*F29+(J30-J29)*F30+(J31-J30)*F31+(K32-J31)*F32),2)</f>
        <v>0</v>
      </c>
      <c r="X32" s="185">
        <f>ROUND(N32*T28*(J29*G29+(J30-J29)*G30+(J31-J30)*G31+(M32-J31)*G32),2)</f>
        <v>0</v>
      </c>
      <c r="Y32" s="186" t="e">
        <f t="shared" si="37"/>
        <v>#DIV/0!</v>
      </c>
      <c r="Z32" s="1014"/>
    </row>
    <row r="33" spans="1:26" x14ac:dyDescent="0.25">
      <c r="A33" s="43"/>
      <c r="B33" s="1024"/>
      <c r="C33" s="177">
        <v>30.01</v>
      </c>
      <c r="D33" s="177">
        <v>50</v>
      </c>
      <c r="E33" s="174">
        <v>3.8079999999999998</v>
      </c>
      <c r="F33" s="168">
        <f t="shared" si="31"/>
        <v>0</v>
      </c>
      <c r="G33" s="169">
        <f t="shared" si="32"/>
        <v>0</v>
      </c>
      <c r="H33" s="5"/>
      <c r="I33" s="181">
        <f t="shared" si="38"/>
        <v>30.01</v>
      </c>
      <c r="J33" s="182">
        <f t="shared" si="38"/>
        <v>50</v>
      </c>
      <c r="K33" s="318"/>
      <c r="L33" s="319"/>
      <c r="M33" s="320"/>
      <c r="N33" s="321"/>
      <c r="O33" s="1027"/>
      <c r="P33" s="1017"/>
      <c r="Q33" s="1017"/>
      <c r="R33" s="187">
        <f t="shared" si="39"/>
        <v>0</v>
      </c>
      <c r="S33" s="1031"/>
      <c r="T33" s="1017"/>
      <c r="U33" s="1017"/>
      <c r="V33" s="187">
        <f t="shared" si="36"/>
        <v>0</v>
      </c>
      <c r="W33" s="184">
        <f>ROUND(L33*P28*(J29*F29+(J30-J29)*F30+(J31-J30)*F31+(J32-J31)*F32+(K33-J32)*F33),2)</f>
        <v>0</v>
      </c>
      <c r="X33" s="185">
        <f>ROUND(N33*T28*(10*G29+(J30-J29)*G30+(J31-J30)*G31+(J32-J31)*G32+(M33-J32)*G33),2)</f>
        <v>0</v>
      </c>
      <c r="Y33" s="186" t="e">
        <f t="shared" si="37"/>
        <v>#DIV/0!</v>
      </c>
      <c r="Z33" s="1014"/>
    </row>
    <row r="34" spans="1:26" x14ac:dyDescent="0.25">
      <c r="A34" s="43"/>
      <c r="B34" s="1024"/>
      <c r="C34" s="177">
        <v>50.01</v>
      </c>
      <c r="D34" s="177">
        <v>100</v>
      </c>
      <c r="E34" s="174">
        <v>4.8960000000000008</v>
      </c>
      <c r="F34" s="168">
        <f t="shared" si="31"/>
        <v>0</v>
      </c>
      <c r="G34" s="169">
        <f t="shared" si="32"/>
        <v>0</v>
      </c>
      <c r="H34" s="5"/>
      <c r="I34" s="180">
        <f t="shared" si="38"/>
        <v>50.01</v>
      </c>
      <c r="J34" s="173">
        <f t="shared" si="38"/>
        <v>100</v>
      </c>
      <c r="K34" s="318"/>
      <c r="L34" s="319"/>
      <c r="M34" s="320"/>
      <c r="N34" s="321"/>
      <c r="O34" s="1027"/>
      <c r="P34" s="1017"/>
      <c r="Q34" s="1017"/>
      <c r="R34" s="187">
        <f t="shared" si="39"/>
        <v>0</v>
      </c>
      <c r="S34" s="1031"/>
      <c r="T34" s="1017"/>
      <c r="U34" s="1017"/>
      <c r="V34" s="187">
        <f t="shared" si="36"/>
        <v>0</v>
      </c>
      <c r="W34" s="184">
        <f>ROUND(L34*P28*(J29*F29+(J30-J29)*F30+(J31-J30)*F31+(J32-J31)*F32+(J33-J32)*F33+(K34-J33)*F34),2)</f>
        <v>0</v>
      </c>
      <c r="X34" s="185">
        <f>ROUND(N34*T28*(J29*G29+(J30-J29)*G30+(J31-J30)*G31+(J32-J31)*G32+(J33-J32)*G33+(M34-J33)*G34),2)</f>
        <v>0</v>
      </c>
      <c r="Y34" s="186" t="e">
        <f t="shared" si="37"/>
        <v>#DIV/0!</v>
      </c>
      <c r="Z34" s="1014"/>
    </row>
    <row r="35" spans="1:26" ht="15.75" thickBot="1" x14ac:dyDescent="0.3">
      <c r="A35" s="43"/>
      <c r="B35" s="1025"/>
      <c r="C35" s="1021" t="s">
        <v>47</v>
      </c>
      <c r="D35" s="1022"/>
      <c r="E35" s="175">
        <v>6.5280000000000005</v>
      </c>
      <c r="F35" s="170">
        <f t="shared" si="31"/>
        <v>0</v>
      </c>
      <c r="G35" s="171">
        <f t="shared" si="32"/>
        <v>0</v>
      </c>
      <c r="H35" s="5"/>
      <c r="I35" s="1019" t="s">
        <v>47</v>
      </c>
      <c r="J35" s="1020"/>
      <c r="K35" s="318"/>
      <c r="L35" s="319"/>
      <c r="M35" s="320"/>
      <c r="N35" s="321"/>
      <c r="O35" s="1029"/>
      <c r="P35" s="1018"/>
      <c r="Q35" s="1018"/>
      <c r="R35" s="187">
        <f t="shared" si="39"/>
        <v>0</v>
      </c>
      <c r="S35" s="1032"/>
      <c r="T35" s="1018"/>
      <c r="U35" s="1018"/>
      <c r="V35" s="187">
        <f t="shared" si="36"/>
        <v>0</v>
      </c>
      <c r="W35" s="184">
        <f>ROUND(L35*P28*(J29*F29+(J30-J29)*F30+(J31-J30)*F31+(J32-J31)*F32+(J33-J32)*F33+(J34-J33)*F34+(K35-J34)*F35),2)</f>
        <v>0</v>
      </c>
      <c r="X35" s="185">
        <f>ROUND(N35*T28*(J29*G29+(J30-J29)*G30+(J31-J30)*G31+(J32-J31)*G32+(J33-J32)*G33+(J34-J33)*G34+(M35-J34)*G35),2)</f>
        <v>0</v>
      </c>
      <c r="Y35" s="186" t="e">
        <f t="shared" si="37"/>
        <v>#DIV/0!</v>
      </c>
      <c r="Z35" s="1015"/>
    </row>
    <row r="36" spans="1:26" ht="17.25" hidden="1" thickTop="1" thickBot="1" x14ac:dyDescent="0.3">
      <c r="A36" s="43"/>
      <c r="B36" s="165"/>
      <c r="C36" s="164" t="s">
        <v>487</v>
      </c>
      <c r="D36" s="164" t="s">
        <v>487</v>
      </c>
      <c r="E36" s="214">
        <v>7</v>
      </c>
      <c r="F36" s="166">
        <f t="shared" si="31"/>
        <v>0</v>
      </c>
      <c r="G36" s="167">
        <f t="shared" si="32"/>
        <v>0</v>
      </c>
      <c r="H36" s="5"/>
      <c r="I36" s="178" t="str">
        <f t="shared" ref="I36" si="40">C36</f>
        <v>TBO</v>
      </c>
      <c r="J36" s="179" t="str">
        <f t="shared" ref="J36" si="41">D36</f>
        <v>TBO</v>
      </c>
      <c r="K36" s="318"/>
      <c r="L36" s="319"/>
      <c r="M36" s="320"/>
      <c r="N36" s="321"/>
      <c r="O36" s="1026"/>
      <c r="P36" s="1016">
        <f>ROUND(O36*$L$88,0)</f>
        <v>0</v>
      </c>
      <c r="Q36" s="1016" t="e">
        <f>ROUND(P36/$P$88,0)</f>
        <v>#DIV/0!</v>
      </c>
      <c r="R36" s="187">
        <f t="shared" ref="R36" si="42">ROUND(K36*L36*$P$36,0)</f>
        <v>0</v>
      </c>
      <c r="S36" s="1030">
        <f>O36</f>
        <v>0</v>
      </c>
      <c r="T36" s="1016">
        <f>ROUND(S36*$L$89,0)</f>
        <v>0</v>
      </c>
      <c r="U36" s="1016" t="e">
        <f>ROUND(T36/$P$89,0)</f>
        <v>#DIV/0!</v>
      </c>
      <c r="V36" s="187">
        <f t="shared" ref="V36:V43" si="43">ROUND(M36*N36*$T$36*(1-$S$89),0)</f>
        <v>0</v>
      </c>
      <c r="W36" s="184">
        <f>P36*F36</f>
        <v>0</v>
      </c>
      <c r="X36" s="185">
        <f>T36*G36</f>
        <v>0</v>
      </c>
      <c r="Y36" s="186" t="e">
        <f t="shared" ref="Y36" si="44">(W36+X36)/$W$86</f>
        <v>#DIV/0!</v>
      </c>
      <c r="Z36" s="1013" t="e">
        <f>SUM(Y36:Y43)</f>
        <v>#DIV/0!</v>
      </c>
    </row>
    <row r="37" spans="1:26" ht="15.75" hidden="1" thickTop="1" x14ac:dyDescent="0.25">
      <c r="A37" s="43"/>
      <c r="B37" s="1023" t="s">
        <v>497</v>
      </c>
      <c r="C37" s="176">
        <v>0.01</v>
      </c>
      <c r="D37" s="176">
        <v>10</v>
      </c>
      <c r="E37" s="215">
        <v>1.9392</v>
      </c>
      <c r="F37" s="166">
        <f t="shared" si="31"/>
        <v>0</v>
      </c>
      <c r="G37" s="167">
        <f t="shared" si="32"/>
        <v>0</v>
      </c>
      <c r="H37" s="5"/>
      <c r="I37" s="178">
        <f t="shared" ref="I37:J42" si="45">C37</f>
        <v>0.01</v>
      </c>
      <c r="J37" s="179">
        <f t="shared" si="45"/>
        <v>10</v>
      </c>
      <c r="K37" s="318"/>
      <c r="L37" s="319"/>
      <c r="M37" s="320"/>
      <c r="N37" s="321"/>
      <c r="O37" s="1027"/>
      <c r="P37" s="1017"/>
      <c r="Q37" s="1017"/>
      <c r="R37" s="187">
        <f>ROUND(K37*L37*$P$36*(1-$S$89),0)</f>
        <v>0</v>
      </c>
      <c r="S37" s="1031"/>
      <c r="T37" s="1017"/>
      <c r="U37" s="1017"/>
      <c r="V37" s="187">
        <f t="shared" si="43"/>
        <v>0</v>
      </c>
      <c r="W37" s="184">
        <f>ROUND(L37*P36*K37*F37,2)</f>
        <v>0</v>
      </c>
      <c r="X37" s="185">
        <f>ROUND(N37*T36*M37*G37,2)</f>
        <v>0</v>
      </c>
      <c r="Y37" s="186" t="e">
        <f t="shared" ref="Y37:Y43" si="46">(W37+X37)/$W$86</f>
        <v>#DIV/0!</v>
      </c>
      <c r="Z37" s="1014"/>
    </row>
    <row r="38" spans="1:26" hidden="1" x14ac:dyDescent="0.25">
      <c r="A38" s="43"/>
      <c r="B38" s="1024"/>
      <c r="C38" s="177">
        <v>10.01</v>
      </c>
      <c r="D38" s="177">
        <v>15</v>
      </c>
      <c r="E38" s="174">
        <v>2.71488</v>
      </c>
      <c r="F38" s="168">
        <f t="shared" si="31"/>
        <v>0</v>
      </c>
      <c r="G38" s="169">
        <f t="shared" si="32"/>
        <v>0</v>
      </c>
      <c r="H38" s="5"/>
      <c r="I38" s="180">
        <f t="shared" si="45"/>
        <v>10.01</v>
      </c>
      <c r="J38" s="173">
        <f t="shared" si="45"/>
        <v>15</v>
      </c>
      <c r="K38" s="318"/>
      <c r="L38" s="319"/>
      <c r="M38" s="320"/>
      <c r="N38" s="321"/>
      <c r="O38" s="1027"/>
      <c r="P38" s="1017"/>
      <c r="Q38" s="1017"/>
      <c r="R38" s="187">
        <f t="shared" ref="R38:R43" si="47">ROUND(K38*L38*$P$36*(1-$S$89),0)</f>
        <v>0</v>
      </c>
      <c r="S38" s="1031"/>
      <c r="T38" s="1017"/>
      <c r="U38" s="1017"/>
      <c r="V38" s="187">
        <f t="shared" si="43"/>
        <v>0</v>
      </c>
      <c r="W38" s="184">
        <f>ROUND(L38*P36*(J37*F37+(K38-J37)*F38),2)</f>
        <v>0</v>
      </c>
      <c r="X38" s="185">
        <f>ROUND(N38*T36*(J37*G37+(M38-J37)*G38),2)</f>
        <v>0</v>
      </c>
      <c r="Y38" s="186" t="e">
        <f t="shared" si="46"/>
        <v>#DIV/0!</v>
      </c>
      <c r="Z38" s="1014"/>
    </row>
    <row r="39" spans="1:26" hidden="1" x14ac:dyDescent="0.25">
      <c r="A39" s="43"/>
      <c r="B39" s="1024"/>
      <c r="C39" s="177">
        <v>15.01</v>
      </c>
      <c r="D39" s="177">
        <v>20</v>
      </c>
      <c r="E39" s="174">
        <v>3.4905600000000003</v>
      </c>
      <c r="F39" s="168">
        <f t="shared" si="31"/>
        <v>0</v>
      </c>
      <c r="G39" s="169">
        <f t="shared" si="32"/>
        <v>0</v>
      </c>
      <c r="H39" s="5"/>
      <c r="I39" s="181">
        <f t="shared" si="45"/>
        <v>15.01</v>
      </c>
      <c r="J39" s="182">
        <f t="shared" si="45"/>
        <v>20</v>
      </c>
      <c r="K39" s="318"/>
      <c r="L39" s="319"/>
      <c r="M39" s="320"/>
      <c r="N39" s="321"/>
      <c r="O39" s="1027"/>
      <c r="P39" s="1017"/>
      <c r="Q39" s="1017"/>
      <c r="R39" s="187">
        <f t="shared" si="47"/>
        <v>0</v>
      </c>
      <c r="S39" s="1031"/>
      <c r="T39" s="1017"/>
      <c r="U39" s="1017"/>
      <c r="V39" s="187">
        <f t="shared" si="43"/>
        <v>0</v>
      </c>
      <c r="W39" s="184">
        <f>ROUND(L39*P36*(J37*F37+(J38-J37)*F38+(K39-J38)*F39),2)</f>
        <v>0</v>
      </c>
      <c r="X39" s="185">
        <f>ROUND(N39*T36*(J37*G37+(J38-J37)*G38+(M39-J38)*G39),2)</f>
        <v>0</v>
      </c>
      <c r="Y39" s="186" t="e">
        <f t="shared" si="46"/>
        <v>#DIV/0!</v>
      </c>
      <c r="Z39" s="1014"/>
    </row>
    <row r="40" spans="1:26" hidden="1" x14ac:dyDescent="0.25">
      <c r="A40" s="43"/>
      <c r="B40" s="1024"/>
      <c r="C40" s="177">
        <v>20.010000000000002</v>
      </c>
      <c r="D40" s="177">
        <v>30</v>
      </c>
      <c r="E40" s="174">
        <v>4.2662400000000007</v>
      </c>
      <c r="F40" s="168">
        <f t="shared" si="31"/>
        <v>0</v>
      </c>
      <c r="G40" s="169">
        <f t="shared" si="32"/>
        <v>0</v>
      </c>
      <c r="H40" s="5"/>
      <c r="I40" s="180">
        <f t="shared" si="45"/>
        <v>20.010000000000002</v>
      </c>
      <c r="J40" s="173">
        <f t="shared" si="45"/>
        <v>30</v>
      </c>
      <c r="K40" s="318"/>
      <c r="L40" s="319"/>
      <c r="M40" s="320"/>
      <c r="N40" s="321"/>
      <c r="O40" s="1027"/>
      <c r="P40" s="1017"/>
      <c r="Q40" s="1017"/>
      <c r="R40" s="187">
        <f t="shared" si="47"/>
        <v>0</v>
      </c>
      <c r="S40" s="1031"/>
      <c r="T40" s="1017"/>
      <c r="U40" s="1017"/>
      <c r="V40" s="187">
        <f t="shared" si="43"/>
        <v>0</v>
      </c>
      <c r="W40" s="184">
        <f>ROUND(L40*P36*(J37*F37+(J38-J37)*F38+(J39-J38)*F39+(K40-J39)*F40),2)</f>
        <v>0</v>
      </c>
      <c r="X40" s="185">
        <f>ROUND(N40*T36*(J37*G37+(J38-J37)*G38+(J39-J38)*G39+(M40-J39)*G40),2)</f>
        <v>0</v>
      </c>
      <c r="Y40" s="186" t="e">
        <f t="shared" si="46"/>
        <v>#DIV/0!</v>
      </c>
      <c r="Z40" s="1014"/>
    </row>
    <row r="41" spans="1:26" hidden="1" x14ac:dyDescent="0.25">
      <c r="A41" s="43"/>
      <c r="B41" s="1024"/>
      <c r="C41" s="177">
        <v>30.01</v>
      </c>
      <c r="D41" s="177">
        <v>50</v>
      </c>
      <c r="E41" s="174">
        <v>5.4297599999999999</v>
      </c>
      <c r="F41" s="168">
        <f t="shared" si="31"/>
        <v>0</v>
      </c>
      <c r="G41" s="169">
        <f t="shared" si="32"/>
        <v>0</v>
      </c>
      <c r="H41" s="5"/>
      <c r="I41" s="181">
        <f t="shared" si="45"/>
        <v>30.01</v>
      </c>
      <c r="J41" s="182">
        <f t="shared" si="45"/>
        <v>50</v>
      </c>
      <c r="K41" s="318"/>
      <c r="L41" s="319"/>
      <c r="M41" s="320"/>
      <c r="N41" s="321"/>
      <c r="O41" s="1027"/>
      <c r="P41" s="1017"/>
      <c r="Q41" s="1017"/>
      <c r="R41" s="187">
        <f t="shared" si="47"/>
        <v>0</v>
      </c>
      <c r="S41" s="1031"/>
      <c r="T41" s="1017"/>
      <c r="U41" s="1017"/>
      <c r="V41" s="187">
        <f t="shared" si="43"/>
        <v>0</v>
      </c>
      <c r="W41" s="184">
        <f>ROUND(L41*P36*(J37*F37+(J38-J37)*F38+(J39-J38)*F39+(J40-J39)*F40+(K41-J40)*F41),2)</f>
        <v>0</v>
      </c>
      <c r="X41" s="185">
        <f>ROUND(N41*T36*(10*G37+(J38-J37)*G38+(J39-J38)*G39+(J40-J39)*G40+(M41-J40)*G41),2)</f>
        <v>0</v>
      </c>
      <c r="Y41" s="186" t="e">
        <f t="shared" si="46"/>
        <v>#DIV/0!</v>
      </c>
      <c r="Z41" s="1014"/>
    </row>
    <row r="42" spans="1:26" hidden="1" x14ac:dyDescent="0.25">
      <c r="A42" s="43"/>
      <c r="B42" s="1024"/>
      <c r="C42" s="177">
        <v>50.01</v>
      </c>
      <c r="D42" s="177">
        <v>100</v>
      </c>
      <c r="E42" s="174">
        <v>6.9811200000000007</v>
      </c>
      <c r="F42" s="168">
        <f t="shared" si="31"/>
        <v>0</v>
      </c>
      <c r="G42" s="169">
        <f t="shared" si="32"/>
        <v>0</v>
      </c>
      <c r="H42" s="5"/>
      <c r="I42" s="180">
        <f t="shared" si="45"/>
        <v>50.01</v>
      </c>
      <c r="J42" s="173">
        <f t="shared" si="45"/>
        <v>100</v>
      </c>
      <c r="K42" s="318"/>
      <c r="L42" s="319"/>
      <c r="M42" s="320"/>
      <c r="N42" s="321"/>
      <c r="O42" s="1027"/>
      <c r="P42" s="1017"/>
      <c r="Q42" s="1017"/>
      <c r="R42" s="187">
        <f t="shared" si="47"/>
        <v>0</v>
      </c>
      <c r="S42" s="1031"/>
      <c r="T42" s="1017"/>
      <c r="U42" s="1017"/>
      <c r="V42" s="187">
        <f t="shared" si="43"/>
        <v>0</v>
      </c>
      <c r="W42" s="184">
        <f>ROUND(L42*P36*(J37*F37+(J38-J37)*F38+(J39-J38)*F39+(J40-J39)*F40+(J41-J40)*F41+(K42-J41)*F42),2)</f>
        <v>0</v>
      </c>
      <c r="X42" s="185">
        <f>ROUND(N42*T36*(J37*G37+(J38-J37)*G38+(J39-J38)*G39+(J40-J39)*G40+(J41-J40)*G41+(M42-J41)*G42),2)</f>
        <v>0</v>
      </c>
      <c r="Y42" s="186" t="e">
        <f t="shared" si="46"/>
        <v>#DIV/0!</v>
      </c>
      <c r="Z42" s="1014"/>
    </row>
    <row r="43" spans="1:26" ht="15.75" hidden="1" thickBot="1" x14ac:dyDescent="0.3">
      <c r="A43" s="43"/>
      <c r="B43" s="1025"/>
      <c r="C43" s="1021" t="s">
        <v>47</v>
      </c>
      <c r="D43" s="1022"/>
      <c r="E43" s="175">
        <v>9.3081599999999991</v>
      </c>
      <c r="F43" s="170">
        <f t="shared" si="31"/>
        <v>0</v>
      </c>
      <c r="G43" s="171">
        <f t="shared" si="32"/>
        <v>0</v>
      </c>
      <c r="H43" s="5"/>
      <c r="I43" s="1019" t="s">
        <v>47</v>
      </c>
      <c r="J43" s="1020"/>
      <c r="K43" s="318"/>
      <c r="L43" s="319"/>
      <c r="M43" s="320"/>
      <c r="N43" s="321"/>
      <c r="O43" s="1028"/>
      <c r="P43" s="1018"/>
      <c r="Q43" s="1018"/>
      <c r="R43" s="187">
        <f t="shared" si="47"/>
        <v>0</v>
      </c>
      <c r="S43" s="1032"/>
      <c r="T43" s="1018"/>
      <c r="U43" s="1018"/>
      <c r="V43" s="187">
        <f t="shared" si="43"/>
        <v>0</v>
      </c>
      <c r="W43" s="184">
        <f>ROUND(L43*P36*(J37*F37+(J38-J37)*F38+(J39-J38)*F39+(J40-J39)*F40+(J41-J40)*F41+(J42-J41)*F42+(K43-J42)*F43),2)</f>
        <v>0</v>
      </c>
      <c r="X43" s="185">
        <f>ROUND(N43*T36*(J37*G37+(J38-J37)*G38+(J39-J38)*G39+(J40-J39)*G40+(J41-J40)*G41+(J42-J41)*G42+(M43-J42)*G43),2)</f>
        <v>0</v>
      </c>
      <c r="Y43" s="186" t="e">
        <f t="shared" si="46"/>
        <v>#DIV/0!</v>
      </c>
      <c r="Z43" s="1015"/>
    </row>
    <row r="44" spans="1:26" ht="17.25" hidden="1" thickTop="1" thickBot="1" x14ac:dyDescent="0.3">
      <c r="A44" s="43"/>
      <c r="B44" s="165"/>
      <c r="C44" s="164" t="s">
        <v>487</v>
      </c>
      <c r="D44" s="164" t="s">
        <v>487</v>
      </c>
      <c r="E44" s="214">
        <v>7</v>
      </c>
      <c r="F44" s="166">
        <f t="shared" si="31"/>
        <v>0</v>
      </c>
      <c r="G44" s="167">
        <f t="shared" si="32"/>
        <v>0</v>
      </c>
      <c r="H44" s="5"/>
      <c r="I44" s="178" t="str">
        <f t="shared" ref="I44" si="48">C44</f>
        <v>TBO</v>
      </c>
      <c r="J44" s="179" t="str">
        <f t="shared" ref="J44" si="49">D44</f>
        <v>TBO</v>
      </c>
      <c r="K44" s="318"/>
      <c r="L44" s="319"/>
      <c r="M44" s="320"/>
      <c r="N44" s="321"/>
      <c r="O44" s="1026"/>
      <c r="P44" s="1016">
        <f>ROUND(O44*$L$88,0)</f>
        <v>0</v>
      </c>
      <c r="Q44" s="1016" t="e">
        <f>ROUND(P44/$P$88,0)</f>
        <v>#DIV/0!</v>
      </c>
      <c r="R44" s="187">
        <f t="shared" ref="R44" si="50">ROUND(K44*L44*$P$44,0)</f>
        <v>0</v>
      </c>
      <c r="S44" s="1030">
        <f>O44</f>
        <v>0</v>
      </c>
      <c r="T44" s="1016">
        <f>ROUND(S44*$L$89,0)</f>
        <v>0</v>
      </c>
      <c r="U44" s="1016" t="e">
        <f>ROUND(T44/$P$89,0)</f>
        <v>#DIV/0!</v>
      </c>
      <c r="V44" s="187">
        <f t="shared" ref="V44:V51" si="51">ROUND(M44*N44*$T$44*(1-$S$89),0)</f>
        <v>0</v>
      </c>
      <c r="W44" s="184">
        <f>P44*F44</f>
        <v>0</v>
      </c>
      <c r="X44" s="185">
        <f>T44*G44</f>
        <v>0</v>
      </c>
      <c r="Y44" s="186" t="e">
        <f t="shared" ref="Y44" si="52">(W44+X44)/$W$86</f>
        <v>#DIV/0!</v>
      </c>
      <c r="Z44" s="1013" t="e">
        <f>SUM(Y44:Y51)</f>
        <v>#DIV/0!</v>
      </c>
    </row>
    <row r="45" spans="1:26" ht="15.75" hidden="1" thickTop="1" x14ac:dyDescent="0.25">
      <c r="A45" s="43"/>
      <c r="B45" s="1023" t="s">
        <v>498</v>
      </c>
      <c r="C45" s="176">
        <v>0.01</v>
      </c>
      <c r="D45" s="176">
        <v>10</v>
      </c>
      <c r="E45" s="215">
        <v>2.4</v>
      </c>
      <c r="F45" s="166">
        <f t="shared" si="31"/>
        <v>0</v>
      </c>
      <c r="G45" s="167">
        <f t="shared" si="32"/>
        <v>0</v>
      </c>
      <c r="H45" s="5"/>
      <c r="I45" s="178">
        <f t="shared" ref="I45:J50" si="53">C45</f>
        <v>0.01</v>
      </c>
      <c r="J45" s="179">
        <f t="shared" si="53"/>
        <v>10</v>
      </c>
      <c r="K45" s="318"/>
      <c r="L45" s="319"/>
      <c r="M45" s="320"/>
      <c r="N45" s="321"/>
      <c r="O45" s="1027"/>
      <c r="P45" s="1017"/>
      <c r="Q45" s="1017"/>
      <c r="R45" s="187">
        <f>ROUND(K45*L45*$P$44*(1-$S$89),0)</f>
        <v>0</v>
      </c>
      <c r="S45" s="1031"/>
      <c r="T45" s="1017"/>
      <c r="U45" s="1017"/>
      <c r="V45" s="187">
        <f t="shared" si="51"/>
        <v>0</v>
      </c>
      <c r="W45" s="184">
        <f>ROUND(L45*P44*K45*F45,2)</f>
        <v>0</v>
      </c>
      <c r="X45" s="185">
        <f>ROUND(N45*T44*M45*G45,2)</f>
        <v>0</v>
      </c>
      <c r="Y45" s="186" t="e">
        <f t="shared" ref="Y45:Y51" si="54">(W45+X45)/$W$86</f>
        <v>#DIV/0!</v>
      </c>
      <c r="Z45" s="1014"/>
    </row>
    <row r="46" spans="1:26" hidden="1" x14ac:dyDescent="0.25">
      <c r="A46" s="43"/>
      <c r="B46" s="1024"/>
      <c r="C46" s="177">
        <v>10.01</v>
      </c>
      <c r="D46" s="177">
        <v>15</v>
      </c>
      <c r="E46" s="174">
        <v>3.36</v>
      </c>
      <c r="F46" s="168">
        <f t="shared" si="31"/>
        <v>0</v>
      </c>
      <c r="G46" s="169">
        <f t="shared" si="32"/>
        <v>0</v>
      </c>
      <c r="H46" s="5"/>
      <c r="I46" s="180">
        <f t="shared" si="53"/>
        <v>10.01</v>
      </c>
      <c r="J46" s="173">
        <f t="shared" si="53"/>
        <v>15</v>
      </c>
      <c r="K46" s="318"/>
      <c r="L46" s="319"/>
      <c r="M46" s="320"/>
      <c r="N46" s="321"/>
      <c r="O46" s="1027"/>
      <c r="P46" s="1017"/>
      <c r="Q46" s="1017"/>
      <c r="R46" s="187">
        <f t="shared" ref="R46:R51" si="55">ROUND(K46*L46*$P$44*(1-$S$89),0)</f>
        <v>0</v>
      </c>
      <c r="S46" s="1031"/>
      <c r="T46" s="1017"/>
      <c r="U46" s="1017"/>
      <c r="V46" s="187">
        <f t="shared" si="51"/>
        <v>0</v>
      </c>
      <c r="W46" s="184">
        <f>ROUND(L46*P44*(J45*F45+(K46-J45)*F46),2)</f>
        <v>0</v>
      </c>
      <c r="X46" s="185">
        <f>ROUND(N46*T44*(J45*G45+(M46-J45)*G46),2)</f>
        <v>0</v>
      </c>
      <c r="Y46" s="186" t="e">
        <f t="shared" si="54"/>
        <v>#DIV/0!</v>
      </c>
      <c r="Z46" s="1014"/>
    </row>
    <row r="47" spans="1:26" hidden="1" x14ac:dyDescent="0.25">
      <c r="A47" s="43"/>
      <c r="B47" s="1024"/>
      <c r="C47" s="177">
        <v>15.01</v>
      </c>
      <c r="D47" s="177">
        <v>20</v>
      </c>
      <c r="E47" s="174">
        <v>4.32</v>
      </c>
      <c r="F47" s="168">
        <f t="shared" si="31"/>
        <v>0</v>
      </c>
      <c r="G47" s="169">
        <f t="shared" si="32"/>
        <v>0</v>
      </c>
      <c r="H47" s="5"/>
      <c r="I47" s="181">
        <f t="shared" si="53"/>
        <v>15.01</v>
      </c>
      <c r="J47" s="182">
        <f t="shared" si="53"/>
        <v>20</v>
      </c>
      <c r="K47" s="318"/>
      <c r="L47" s="319"/>
      <c r="M47" s="320"/>
      <c r="N47" s="321"/>
      <c r="O47" s="1027"/>
      <c r="P47" s="1017"/>
      <c r="Q47" s="1017"/>
      <c r="R47" s="187">
        <f t="shared" si="55"/>
        <v>0</v>
      </c>
      <c r="S47" s="1031"/>
      <c r="T47" s="1017"/>
      <c r="U47" s="1017"/>
      <c r="V47" s="187">
        <f t="shared" si="51"/>
        <v>0</v>
      </c>
      <c r="W47" s="184">
        <f>ROUND(L47*P44*(J45*F45+(J46-J45)*F46+(K47-J46)*F47),2)</f>
        <v>0</v>
      </c>
      <c r="X47" s="185">
        <f>ROUND(N47*T44*(J45*G45+(J46-J45)*G46+(M47-J46)*G47),2)</f>
        <v>0</v>
      </c>
      <c r="Y47" s="186" t="e">
        <f t="shared" si="54"/>
        <v>#DIV/0!</v>
      </c>
      <c r="Z47" s="1014"/>
    </row>
    <row r="48" spans="1:26" hidden="1" x14ac:dyDescent="0.25">
      <c r="A48" s="43"/>
      <c r="B48" s="1024"/>
      <c r="C48" s="177">
        <v>20.010000000000002</v>
      </c>
      <c r="D48" s="177">
        <v>30</v>
      </c>
      <c r="E48" s="174">
        <v>5.28</v>
      </c>
      <c r="F48" s="168">
        <f t="shared" si="31"/>
        <v>0</v>
      </c>
      <c r="G48" s="169">
        <f t="shared" si="32"/>
        <v>0</v>
      </c>
      <c r="H48" s="5"/>
      <c r="I48" s="180">
        <f t="shared" si="53"/>
        <v>20.010000000000002</v>
      </c>
      <c r="J48" s="173">
        <f t="shared" si="53"/>
        <v>30</v>
      </c>
      <c r="K48" s="318"/>
      <c r="L48" s="319"/>
      <c r="M48" s="320"/>
      <c r="N48" s="321"/>
      <c r="O48" s="1027"/>
      <c r="P48" s="1017"/>
      <c r="Q48" s="1017"/>
      <c r="R48" s="187">
        <f t="shared" si="55"/>
        <v>0</v>
      </c>
      <c r="S48" s="1031"/>
      <c r="T48" s="1017"/>
      <c r="U48" s="1017"/>
      <c r="V48" s="187">
        <f t="shared" si="51"/>
        <v>0</v>
      </c>
      <c r="W48" s="184">
        <f>ROUND(L48*P44*(J45*F45+(J46-J45)*F46+(J47-J46)*F47+(K48-J47)*F48),2)</f>
        <v>0</v>
      </c>
      <c r="X48" s="185">
        <f>ROUND(N48*T44*(J45*G45+(J46-J45)*G46+(J47-J46)*G47+(M48-J47)*G48),2)</f>
        <v>0</v>
      </c>
      <c r="Y48" s="186" t="e">
        <f t="shared" si="54"/>
        <v>#DIV/0!</v>
      </c>
      <c r="Z48" s="1014"/>
    </row>
    <row r="49" spans="1:26" hidden="1" x14ac:dyDescent="0.25">
      <c r="A49" s="43"/>
      <c r="B49" s="1024"/>
      <c r="C49" s="177">
        <v>30.01</v>
      </c>
      <c r="D49" s="177">
        <v>50</v>
      </c>
      <c r="E49" s="174">
        <v>6.72</v>
      </c>
      <c r="F49" s="168">
        <f t="shared" si="31"/>
        <v>0</v>
      </c>
      <c r="G49" s="169">
        <f t="shared" si="32"/>
        <v>0</v>
      </c>
      <c r="H49" s="5"/>
      <c r="I49" s="181">
        <f t="shared" si="53"/>
        <v>30.01</v>
      </c>
      <c r="J49" s="182">
        <f t="shared" si="53"/>
        <v>50</v>
      </c>
      <c r="K49" s="318"/>
      <c r="L49" s="319"/>
      <c r="M49" s="320"/>
      <c r="N49" s="321"/>
      <c r="O49" s="1027"/>
      <c r="P49" s="1017"/>
      <c r="Q49" s="1017"/>
      <c r="R49" s="187">
        <f t="shared" si="55"/>
        <v>0</v>
      </c>
      <c r="S49" s="1031"/>
      <c r="T49" s="1017"/>
      <c r="U49" s="1017"/>
      <c r="V49" s="187">
        <f t="shared" si="51"/>
        <v>0</v>
      </c>
      <c r="W49" s="184">
        <f>ROUND(L49*P44*(J45*F45+(J46-J45)*F46+(J47-J46)*F47+(J48-J47)*F48+(K49-J48)*F49),2)</f>
        <v>0</v>
      </c>
      <c r="X49" s="185">
        <f>ROUND(N49*T44*(10*G45+(J46-J45)*G46+(J47-J46)*G47+(J48-J47)*G48+(M49-J48)*G49),2)</f>
        <v>0</v>
      </c>
      <c r="Y49" s="186" t="e">
        <f t="shared" si="54"/>
        <v>#DIV/0!</v>
      </c>
      <c r="Z49" s="1014"/>
    </row>
    <row r="50" spans="1:26" hidden="1" x14ac:dyDescent="0.25">
      <c r="A50" s="43"/>
      <c r="B50" s="1024"/>
      <c r="C50" s="177">
        <v>50.01</v>
      </c>
      <c r="D50" s="177">
        <v>100</v>
      </c>
      <c r="E50" s="174">
        <v>8.64</v>
      </c>
      <c r="F50" s="168">
        <f t="shared" si="31"/>
        <v>0</v>
      </c>
      <c r="G50" s="169">
        <f t="shared" si="32"/>
        <v>0</v>
      </c>
      <c r="H50" s="5"/>
      <c r="I50" s="180">
        <f t="shared" si="53"/>
        <v>50.01</v>
      </c>
      <c r="J50" s="173">
        <f t="shared" si="53"/>
        <v>100</v>
      </c>
      <c r="K50" s="318"/>
      <c r="L50" s="319"/>
      <c r="M50" s="320"/>
      <c r="N50" s="321"/>
      <c r="O50" s="1027"/>
      <c r="P50" s="1017"/>
      <c r="Q50" s="1017"/>
      <c r="R50" s="187">
        <f t="shared" si="55"/>
        <v>0</v>
      </c>
      <c r="S50" s="1031"/>
      <c r="T50" s="1017"/>
      <c r="U50" s="1017"/>
      <c r="V50" s="187">
        <f t="shared" si="51"/>
        <v>0</v>
      </c>
      <c r="W50" s="184">
        <f>ROUND(L50*P44*(J45*F45+(J46-J45)*F46+(J47-J46)*F47+(J48-J47)*F48+(J49-J48)*F49+(K50-J49)*F50),2)</f>
        <v>0</v>
      </c>
      <c r="X50" s="185">
        <f>ROUND(N50*T44*(J45*G45+(J46-J45)*G46+(J47-J46)*G47+(J48-J47)*G48+(J49-J48)*G49+(M50-J49)*G50),2)</f>
        <v>0</v>
      </c>
      <c r="Y50" s="186" t="e">
        <f t="shared" si="54"/>
        <v>#DIV/0!</v>
      </c>
      <c r="Z50" s="1014"/>
    </row>
    <row r="51" spans="1:26" ht="15.75" hidden="1" thickBot="1" x14ac:dyDescent="0.3">
      <c r="A51" s="43"/>
      <c r="B51" s="1025"/>
      <c r="C51" s="1021" t="s">
        <v>47</v>
      </c>
      <c r="D51" s="1022"/>
      <c r="E51" s="175">
        <v>11.52</v>
      </c>
      <c r="F51" s="170">
        <f t="shared" si="31"/>
        <v>0</v>
      </c>
      <c r="G51" s="171">
        <f t="shared" si="32"/>
        <v>0</v>
      </c>
      <c r="H51" s="5"/>
      <c r="I51" s="1019" t="s">
        <v>47</v>
      </c>
      <c r="J51" s="1020"/>
      <c r="K51" s="318"/>
      <c r="L51" s="319"/>
      <c r="M51" s="320"/>
      <c r="N51" s="321"/>
      <c r="O51" s="1028"/>
      <c r="P51" s="1018"/>
      <c r="Q51" s="1018"/>
      <c r="R51" s="187">
        <f t="shared" si="55"/>
        <v>0</v>
      </c>
      <c r="S51" s="1032"/>
      <c r="T51" s="1018"/>
      <c r="U51" s="1018"/>
      <c r="V51" s="187">
        <f t="shared" si="51"/>
        <v>0</v>
      </c>
      <c r="W51" s="184">
        <f>ROUND(L51*P44*(J45*F45+(J46-J45)*F46+(J47-J46)*F47+(J48-J47)*F48+(J49-J48)*F49+(J50-J49)*F50+(K51-J50)*F51),2)</f>
        <v>0</v>
      </c>
      <c r="X51" s="185">
        <f>ROUND(N51*T44*(J45*G45+(J46-J45)*G46+(J47-J46)*G47+(J48-J47)*G48+(J49-J48)*G49+(J50-J49)*G50+(M51-J50)*G51),2)</f>
        <v>0</v>
      </c>
      <c r="Y51" s="186" t="e">
        <f t="shared" si="54"/>
        <v>#DIV/0!</v>
      </c>
      <c r="Z51" s="1015"/>
    </row>
    <row r="52" spans="1:26" ht="17.25" thickTop="1" thickBot="1" x14ac:dyDescent="0.3">
      <c r="A52" s="43"/>
      <c r="B52" s="165"/>
      <c r="C52" s="164" t="s">
        <v>487</v>
      </c>
      <c r="D52" s="164" t="s">
        <v>487</v>
      </c>
      <c r="E52" s="214">
        <v>8</v>
      </c>
      <c r="F52" s="166">
        <f t="shared" si="31"/>
        <v>0</v>
      </c>
      <c r="G52" s="167">
        <f t="shared" si="32"/>
        <v>0</v>
      </c>
      <c r="H52" s="5"/>
      <c r="I52" s="178" t="str">
        <f t="shared" ref="I52" si="56">C52</f>
        <v>TBO</v>
      </c>
      <c r="J52" s="179" t="str">
        <f t="shared" ref="J52" si="57">D52</f>
        <v>TBO</v>
      </c>
      <c r="K52" s="318"/>
      <c r="L52" s="319"/>
      <c r="M52" s="320"/>
      <c r="N52" s="321"/>
      <c r="O52" s="1026"/>
      <c r="P52" s="1016">
        <f>ROUND(O52*$L$88,0)</f>
        <v>0</v>
      </c>
      <c r="Q52" s="1016" t="e">
        <f>ROUND(P52/$P$88,0)</f>
        <v>#DIV/0!</v>
      </c>
      <c r="R52" s="187">
        <f t="shared" ref="R52" si="58">ROUND(K52*L52*$P$52,0)</f>
        <v>0</v>
      </c>
      <c r="S52" s="1030">
        <f>O52</f>
        <v>0</v>
      </c>
      <c r="T52" s="1016">
        <f>ROUND(S52*$L$89,0)</f>
        <v>0</v>
      </c>
      <c r="U52" s="1016" t="e">
        <f>ROUND(T52/$P$89,0)</f>
        <v>#DIV/0!</v>
      </c>
      <c r="V52" s="187">
        <f t="shared" ref="V52:V59" si="59">ROUND(M52*N52*$T$52*(1-$S$89),0)</f>
        <v>0</v>
      </c>
      <c r="W52" s="184">
        <f>P52*F52</f>
        <v>0</v>
      </c>
      <c r="X52" s="185">
        <f>T52*G52</f>
        <v>0</v>
      </c>
      <c r="Y52" s="186" t="e">
        <f t="shared" ref="Y52" si="60">(W52+X52)/$W$86</f>
        <v>#DIV/0!</v>
      </c>
      <c r="Z52" s="1013" t="e">
        <f>SUM(Y52:Y59)</f>
        <v>#DIV/0!</v>
      </c>
    </row>
    <row r="53" spans="1:26" ht="15.75" customHeight="1" thickTop="1" x14ac:dyDescent="0.25">
      <c r="A53" s="43"/>
      <c r="B53" s="1023" t="s">
        <v>493</v>
      </c>
      <c r="C53" s="176">
        <v>0.01</v>
      </c>
      <c r="D53" s="176">
        <v>10</v>
      </c>
      <c r="E53" s="215">
        <v>2.4</v>
      </c>
      <c r="F53" s="166">
        <f t="shared" si="31"/>
        <v>0</v>
      </c>
      <c r="G53" s="167">
        <f t="shared" ref="G53:G77" si="61">F53*$G$85</f>
        <v>0</v>
      </c>
      <c r="H53" s="5"/>
      <c r="I53" s="178">
        <f t="shared" ref="I53:J58" si="62">C53</f>
        <v>0.01</v>
      </c>
      <c r="J53" s="179">
        <f t="shared" si="62"/>
        <v>10</v>
      </c>
      <c r="K53" s="318"/>
      <c r="L53" s="319"/>
      <c r="M53" s="320"/>
      <c r="N53" s="321"/>
      <c r="O53" s="1027"/>
      <c r="P53" s="1017"/>
      <c r="Q53" s="1017"/>
      <c r="R53" s="187">
        <f>ROUND(K53*L53*$P$52*(1-$S$89),0)</f>
        <v>0</v>
      </c>
      <c r="S53" s="1031"/>
      <c r="T53" s="1017"/>
      <c r="U53" s="1017"/>
      <c r="V53" s="187">
        <f t="shared" si="59"/>
        <v>0</v>
      </c>
      <c r="W53" s="184">
        <f>ROUND(L53*P52*K53*F53,2)</f>
        <v>0</v>
      </c>
      <c r="X53" s="185">
        <f>ROUND(N53*T52*M53*G53,2)</f>
        <v>0</v>
      </c>
      <c r="Y53" s="186" t="e">
        <f t="shared" ref="Y53:Y59" si="63">(W53+X53)/$W$86</f>
        <v>#DIV/0!</v>
      </c>
      <c r="Z53" s="1014"/>
    </row>
    <row r="54" spans="1:26" ht="15" customHeight="1" x14ac:dyDescent="0.25">
      <c r="A54" s="43"/>
      <c r="B54" s="1024"/>
      <c r="C54" s="177">
        <v>10.01</v>
      </c>
      <c r="D54" s="177">
        <v>15</v>
      </c>
      <c r="E54" s="174">
        <v>3.36</v>
      </c>
      <c r="F54" s="168">
        <f t="shared" si="31"/>
        <v>0</v>
      </c>
      <c r="G54" s="169">
        <f t="shared" si="61"/>
        <v>0</v>
      </c>
      <c r="H54" s="5"/>
      <c r="I54" s="180">
        <f t="shared" si="62"/>
        <v>10.01</v>
      </c>
      <c r="J54" s="173">
        <f t="shared" si="62"/>
        <v>15</v>
      </c>
      <c r="K54" s="318"/>
      <c r="L54" s="319"/>
      <c r="M54" s="320"/>
      <c r="N54" s="321"/>
      <c r="O54" s="1027"/>
      <c r="P54" s="1017"/>
      <c r="Q54" s="1017"/>
      <c r="R54" s="187">
        <f t="shared" ref="R54:R59" si="64">ROUND(K54*L54*$P$52*(1-$S$89),0)</f>
        <v>0</v>
      </c>
      <c r="S54" s="1031"/>
      <c r="T54" s="1017"/>
      <c r="U54" s="1017"/>
      <c r="V54" s="187">
        <f t="shared" si="59"/>
        <v>0</v>
      </c>
      <c r="W54" s="184">
        <f>ROUND(L54*P52*(J53*F53+(K54-J53)*F54),2)</f>
        <v>0</v>
      </c>
      <c r="X54" s="185">
        <f>ROUND(N54*T52*(J53*G53+(M54-J53)*G54),2)</f>
        <v>0</v>
      </c>
      <c r="Y54" s="186" t="e">
        <f t="shared" si="63"/>
        <v>#DIV/0!</v>
      </c>
      <c r="Z54" s="1014"/>
    </row>
    <row r="55" spans="1:26" ht="15" customHeight="1" x14ac:dyDescent="0.25">
      <c r="A55" s="43"/>
      <c r="B55" s="1024"/>
      <c r="C55" s="177">
        <v>15.01</v>
      </c>
      <c r="D55" s="177">
        <v>20</v>
      </c>
      <c r="E55" s="174">
        <v>4.32</v>
      </c>
      <c r="F55" s="168">
        <f t="shared" si="31"/>
        <v>0</v>
      </c>
      <c r="G55" s="169">
        <f t="shared" si="61"/>
        <v>0</v>
      </c>
      <c r="H55" s="5"/>
      <c r="I55" s="181">
        <f t="shared" si="62"/>
        <v>15.01</v>
      </c>
      <c r="J55" s="182">
        <f t="shared" si="62"/>
        <v>20</v>
      </c>
      <c r="K55" s="318"/>
      <c r="L55" s="319"/>
      <c r="M55" s="320"/>
      <c r="N55" s="321"/>
      <c r="O55" s="1027"/>
      <c r="P55" s="1017"/>
      <c r="Q55" s="1017"/>
      <c r="R55" s="187">
        <f t="shared" si="64"/>
        <v>0</v>
      </c>
      <c r="S55" s="1031"/>
      <c r="T55" s="1017"/>
      <c r="U55" s="1017"/>
      <c r="V55" s="187">
        <f t="shared" si="59"/>
        <v>0</v>
      </c>
      <c r="W55" s="184">
        <f>ROUND(L55*P52*(J53*F53+(J54-J53)*F54+(K55-J54)*F55),2)</f>
        <v>0</v>
      </c>
      <c r="X55" s="185">
        <f>ROUND(N55*T52*(J53*G53+(J54-J53)*G54+(M55-J54)*G55),2)</f>
        <v>0</v>
      </c>
      <c r="Y55" s="186" t="e">
        <f t="shared" si="63"/>
        <v>#DIV/0!</v>
      </c>
      <c r="Z55" s="1014"/>
    </row>
    <row r="56" spans="1:26" ht="15" customHeight="1" x14ac:dyDescent="0.25">
      <c r="A56" s="43"/>
      <c r="B56" s="1024"/>
      <c r="C56" s="177">
        <v>20.010000000000002</v>
      </c>
      <c r="D56" s="177">
        <v>30</v>
      </c>
      <c r="E56" s="174">
        <v>5.28</v>
      </c>
      <c r="F56" s="168">
        <f t="shared" si="31"/>
        <v>0</v>
      </c>
      <c r="G56" s="169">
        <f t="shared" si="61"/>
        <v>0</v>
      </c>
      <c r="H56" s="5"/>
      <c r="I56" s="180">
        <f t="shared" si="62"/>
        <v>20.010000000000002</v>
      </c>
      <c r="J56" s="173">
        <f t="shared" si="62"/>
        <v>30</v>
      </c>
      <c r="K56" s="318"/>
      <c r="L56" s="319"/>
      <c r="M56" s="320"/>
      <c r="N56" s="321"/>
      <c r="O56" s="1027"/>
      <c r="P56" s="1017"/>
      <c r="Q56" s="1017"/>
      <c r="R56" s="187">
        <f t="shared" si="64"/>
        <v>0</v>
      </c>
      <c r="S56" s="1031"/>
      <c r="T56" s="1017"/>
      <c r="U56" s="1017"/>
      <c r="V56" s="187">
        <f t="shared" si="59"/>
        <v>0</v>
      </c>
      <c r="W56" s="184">
        <f>ROUND(L56*P52*(J53*F53+(J54-J53)*F54+(J55-J54)*F55+(K56-J55)*F56),2)</f>
        <v>0</v>
      </c>
      <c r="X56" s="185">
        <f>ROUND(N56*T52*(J53*G53+(J54-J53)*G54+(J55-J54)*G55+(M56-J55)*G56),2)</f>
        <v>0</v>
      </c>
      <c r="Y56" s="186" t="e">
        <f t="shared" si="63"/>
        <v>#DIV/0!</v>
      </c>
      <c r="Z56" s="1014"/>
    </row>
    <row r="57" spans="1:26" ht="15" customHeight="1" x14ac:dyDescent="0.25">
      <c r="A57" s="43"/>
      <c r="B57" s="1024"/>
      <c r="C57" s="177">
        <v>30.01</v>
      </c>
      <c r="D57" s="177">
        <v>50</v>
      </c>
      <c r="E57" s="174">
        <v>6.72</v>
      </c>
      <c r="F57" s="168">
        <f t="shared" si="31"/>
        <v>0</v>
      </c>
      <c r="G57" s="169">
        <f t="shared" si="61"/>
        <v>0</v>
      </c>
      <c r="H57" s="5"/>
      <c r="I57" s="181">
        <f t="shared" si="62"/>
        <v>30.01</v>
      </c>
      <c r="J57" s="182">
        <f t="shared" si="62"/>
        <v>50</v>
      </c>
      <c r="K57" s="318"/>
      <c r="L57" s="319"/>
      <c r="M57" s="320"/>
      <c r="N57" s="321"/>
      <c r="O57" s="1027"/>
      <c r="P57" s="1017"/>
      <c r="Q57" s="1017"/>
      <c r="R57" s="187">
        <f t="shared" si="64"/>
        <v>0</v>
      </c>
      <c r="S57" s="1031"/>
      <c r="T57" s="1017"/>
      <c r="U57" s="1017"/>
      <c r="V57" s="187">
        <f t="shared" si="59"/>
        <v>0</v>
      </c>
      <c r="W57" s="184">
        <f>ROUND(L57*P52*(J53*F53+(J54-J53)*F54+(J55-J54)*F55+(J56-J55)*F56+(K57-J56)*F57),2)</f>
        <v>0</v>
      </c>
      <c r="X57" s="185">
        <f>ROUND(N57*T52*(10*G53+(J54-J53)*G54+(J55-J54)*G55+(J56-J55)*G56+(M57-J56)*G57),2)</f>
        <v>0</v>
      </c>
      <c r="Y57" s="186" t="e">
        <f t="shared" si="63"/>
        <v>#DIV/0!</v>
      </c>
      <c r="Z57" s="1014"/>
    </row>
    <row r="58" spans="1:26" ht="15" customHeight="1" x14ac:dyDescent="0.25">
      <c r="A58" s="43"/>
      <c r="B58" s="1024"/>
      <c r="C58" s="177">
        <v>50.01</v>
      </c>
      <c r="D58" s="177">
        <v>100</v>
      </c>
      <c r="E58" s="174">
        <v>8.64</v>
      </c>
      <c r="F58" s="168">
        <f t="shared" si="31"/>
        <v>0</v>
      </c>
      <c r="G58" s="169">
        <f t="shared" si="61"/>
        <v>0</v>
      </c>
      <c r="H58" s="5"/>
      <c r="I58" s="180">
        <f t="shared" si="62"/>
        <v>50.01</v>
      </c>
      <c r="J58" s="173">
        <f t="shared" si="62"/>
        <v>100</v>
      </c>
      <c r="K58" s="318"/>
      <c r="L58" s="319"/>
      <c r="M58" s="320"/>
      <c r="N58" s="321"/>
      <c r="O58" s="1027"/>
      <c r="P58" s="1017"/>
      <c r="Q58" s="1017"/>
      <c r="R58" s="187">
        <f t="shared" si="64"/>
        <v>0</v>
      </c>
      <c r="S58" s="1031"/>
      <c r="T58" s="1017"/>
      <c r="U58" s="1017"/>
      <c r="V58" s="187">
        <f t="shared" si="59"/>
        <v>0</v>
      </c>
      <c r="W58" s="184">
        <f>ROUND(L58*P52*(J53*F53+(J54-J53)*F54+(J55-J54)*F55+(J56-J55)*F56+(J57-J56)*F57+(K58-J57)*F58),2)</f>
        <v>0</v>
      </c>
      <c r="X58" s="185">
        <f>ROUND(N58*T52*(J53*G53+(J54-J53)*G54+(J55-J54)*G55+(J56-J55)*G56+(J57-J56)*G57+(M58-J57)*G58),2)</f>
        <v>0</v>
      </c>
      <c r="Y58" s="186" t="e">
        <f t="shared" si="63"/>
        <v>#DIV/0!</v>
      </c>
      <c r="Z58" s="1014"/>
    </row>
    <row r="59" spans="1:26" ht="15.75" customHeight="1" thickBot="1" x14ac:dyDescent="0.3">
      <c r="A59" s="43"/>
      <c r="B59" s="1025"/>
      <c r="C59" s="1021" t="s">
        <v>47</v>
      </c>
      <c r="D59" s="1022"/>
      <c r="E59" s="175">
        <v>11.52</v>
      </c>
      <c r="F59" s="170">
        <f t="shared" si="31"/>
        <v>0</v>
      </c>
      <c r="G59" s="171">
        <f t="shared" si="61"/>
        <v>0</v>
      </c>
      <c r="H59" s="5"/>
      <c r="I59" s="1019" t="s">
        <v>47</v>
      </c>
      <c r="J59" s="1020"/>
      <c r="K59" s="318"/>
      <c r="L59" s="319"/>
      <c r="M59" s="320"/>
      <c r="N59" s="321"/>
      <c r="O59" s="1029"/>
      <c r="P59" s="1018"/>
      <c r="Q59" s="1018"/>
      <c r="R59" s="187">
        <f t="shared" si="64"/>
        <v>0</v>
      </c>
      <c r="S59" s="1032"/>
      <c r="T59" s="1018"/>
      <c r="U59" s="1018"/>
      <c r="V59" s="187">
        <f t="shared" si="59"/>
        <v>0</v>
      </c>
      <c r="W59" s="184">
        <f>ROUND(L59*P52*(J53*F53+(J54-J53)*F54+(J55-J54)*F55+(J56-J55)*F56+(J57-J56)*F57+(J58-J57)*F58+(K59-J58)*F59),2)</f>
        <v>0</v>
      </c>
      <c r="X59" s="185">
        <f>ROUND(N59*T52*(J53*G53+(J54-J53)*G54+(J55-J54)*G55+(J56-J55)*G56+(J57-J56)*G57+(J58-J57)*G58+(M59-J58)*G59),2)</f>
        <v>0</v>
      </c>
      <c r="Y59" s="186" t="e">
        <f t="shared" si="63"/>
        <v>#DIV/0!</v>
      </c>
      <c r="Z59" s="1015"/>
    </row>
    <row r="60" spans="1:26" ht="15.75" customHeight="1" thickTop="1" thickBot="1" x14ac:dyDescent="0.3">
      <c r="A60" s="43"/>
      <c r="B60" s="165"/>
      <c r="C60" s="164" t="s">
        <v>487</v>
      </c>
      <c r="D60" s="164" t="s">
        <v>487</v>
      </c>
      <c r="E60" s="214">
        <v>8</v>
      </c>
      <c r="F60" s="166">
        <f t="shared" ref="F60:F83" si="65">$F$13*E60</f>
        <v>0</v>
      </c>
      <c r="G60" s="167">
        <f t="shared" si="61"/>
        <v>0</v>
      </c>
      <c r="H60" s="5"/>
      <c r="I60" s="178" t="str">
        <f t="shared" ref="I60" si="66">C60</f>
        <v>TBO</v>
      </c>
      <c r="J60" s="179" t="str">
        <f t="shared" ref="J60" si="67">D60</f>
        <v>TBO</v>
      </c>
      <c r="K60" s="318"/>
      <c r="L60" s="319"/>
      <c r="M60" s="320"/>
      <c r="N60" s="321"/>
      <c r="O60" s="1026"/>
      <c r="P60" s="1016">
        <f>ROUND(O60*$L$88,0)</f>
        <v>0</v>
      </c>
      <c r="Q60" s="1016" t="e">
        <f>ROUND(P60/$P$88,0)</f>
        <v>#DIV/0!</v>
      </c>
      <c r="R60" s="187">
        <f t="shared" ref="R60" si="68">ROUND(K60*L60*$P$60,0)</f>
        <v>0</v>
      </c>
      <c r="S60" s="1030">
        <f>O60</f>
        <v>0</v>
      </c>
      <c r="T60" s="1016">
        <f>ROUND(S60*$L$89,0)</f>
        <v>0</v>
      </c>
      <c r="U60" s="1016" t="e">
        <f>ROUND(T60/$P$89,0)</f>
        <v>#DIV/0!</v>
      </c>
      <c r="V60" s="187">
        <f t="shared" ref="V60:V67" si="69">ROUND(M60*N60*$T$60*(1-$S$89),0)</f>
        <v>0</v>
      </c>
      <c r="W60" s="184">
        <f>P60*F60</f>
        <v>0</v>
      </c>
      <c r="X60" s="185">
        <f>T60*G60</f>
        <v>0</v>
      </c>
      <c r="Y60" s="186" t="e">
        <f t="shared" ref="Y60" si="70">(W60+X60)/$W$86</f>
        <v>#DIV/0!</v>
      </c>
      <c r="Z60" s="1013" t="e">
        <f>SUM(Y60:Y67)</f>
        <v>#DIV/0!</v>
      </c>
    </row>
    <row r="61" spans="1:26" ht="15.75" customHeight="1" thickTop="1" x14ac:dyDescent="0.25">
      <c r="A61" s="43"/>
      <c r="B61" s="1023" t="s">
        <v>499</v>
      </c>
      <c r="C61" s="176">
        <v>0.01</v>
      </c>
      <c r="D61" s="176">
        <v>10</v>
      </c>
      <c r="E61" s="215">
        <v>2.4</v>
      </c>
      <c r="F61" s="166">
        <f t="shared" si="65"/>
        <v>0</v>
      </c>
      <c r="G61" s="167">
        <f t="shared" si="61"/>
        <v>0</v>
      </c>
      <c r="H61" s="5"/>
      <c r="I61" s="178">
        <f t="shared" ref="I61:J66" si="71">C61</f>
        <v>0.01</v>
      </c>
      <c r="J61" s="179">
        <f t="shared" si="71"/>
        <v>10</v>
      </c>
      <c r="K61" s="318"/>
      <c r="L61" s="319"/>
      <c r="M61" s="320"/>
      <c r="N61" s="321"/>
      <c r="O61" s="1027"/>
      <c r="P61" s="1017"/>
      <c r="Q61" s="1017"/>
      <c r="R61" s="187">
        <f>ROUND(K61*L61*$P$60*(1-$S$89),0)</f>
        <v>0</v>
      </c>
      <c r="S61" s="1031"/>
      <c r="T61" s="1017"/>
      <c r="U61" s="1017"/>
      <c r="V61" s="187">
        <f t="shared" si="69"/>
        <v>0</v>
      </c>
      <c r="W61" s="184">
        <f>ROUND(L61*P60*K61*F61,2)</f>
        <v>0</v>
      </c>
      <c r="X61" s="185">
        <f>ROUND(N61*T60*M61*G61,2)</f>
        <v>0</v>
      </c>
      <c r="Y61" s="186" t="e">
        <f t="shared" ref="Y61:Y67" si="72">(W61+X61)/$W$86</f>
        <v>#DIV/0!</v>
      </c>
      <c r="Z61" s="1014"/>
    </row>
    <row r="62" spans="1:26" ht="15.75" customHeight="1" x14ac:dyDescent="0.25">
      <c r="A62" s="43"/>
      <c r="B62" s="1024"/>
      <c r="C62" s="177">
        <v>10.01</v>
      </c>
      <c r="D62" s="177">
        <v>15</v>
      </c>
      <c r="E62" s="174">
        <v>3.36</v>
      </c>
      <c r="F62" s="168">
        <f t="shared" si="65"/>
        <v>0</v>
      </c>
      <c r="G62" s="169">
        <f t="shared" si="61"/>
        <v>0</v>
      </c>
      <c r="H62" s="5"/>
      <c r="I62" s="180">
        <f t="shared" si="71"/>
        <v>10.01</v>
      </c>
      <c r="J62" s="173">
        <f t="shared" si="71"/>
        <v>15</v>
      </c>
      <c r="K62" s="318"/>
      <c r="L62" s="319"/>
      <c r="M62" s="320"/>
      <c r="N62" s="321"/>
      <c r="O62" s="1027"/>
      <c r="P62" s="1017"/>
      <c r="Q62" s="1017"/>
      <c r="R62" s="187">
        <f t="shared" ref="R62:R67" si="73">ROUND(K62*L62*$P$60*(1-$S$89),0)</f>
        <v>0</v>
      </c>
      <c r="S62" s="1031"/>
      <c r="T62" s="1017"/>
      <c r="U62" s="1017"/>
      <c r="V62" s="187">
        <f t="shared" si="69"/>
        <v>0</v>
      </c>
      <c r="W62" s="184">
        <f>ROUND(L62*P60*(J61*F61+(K62-J61)*F62),2)</f>
        <v>0</v>
      </c>
      <c r="X62" s="185">
        <f>ROUND(N62*T60*(J61*G61+(M62-J61)*G62),2)</f>
        <v>0</v>
      </c>
      <c r="Y62" s="186" t="e">
        <f t="shared" si="72"/>
        <v>#DIV/0!</v>
      </c>
      <c r="Z62" s="1014"/>
    </row>
    <row r="63" spans="1:26" ht="15.75" customHeight="1" x14ac:dyDescent="0.25">
      <c r="A63" s="43"/>
      <c r="B63" s="1024"/>
      <c r="C63" s="177">
        <v>15.01</v>
      </c>
      <c r="D63" s="177">
        <v>20</v>
      </c>
      <c r="E63" s="174">
        <v>4.32</v>
      </c>
      <c r="F63" s="168">
        <f t="shared" si="65"/>
        <v>0</v>
      </c>
      <c r="G63" s="169">
        <f t="shared" si="61"/>
        <v>0</v>
      </c>
      <c r="H63" s="5"/>
      <c r="I63" s="181">
        <f t="shared" si="71"/>
        <v>15.01</v>
      </c>
      <c r="J63" s="182">
        <f t="shared" si="71"/>
        <v>20</v>
      </c>
      <c r="K63" s="318"/>
      <c r="L63" s="319"/>
      <c r="M63" s="320"/>
      <c r="N63" s="321"/>
      <c r="O63" s="1027"/>
      <c r="P63" s="1017"/>
      <c r="Q63" s="1017"/>
      <c r="R63" s="187">
        <f t="shared" si="73"/>
        <v>0</v>
      </c>
      <c r="S63" s="1031"/>
      <c r="T63" s="1017"/>
      <c r="U63" s="1017"/>
      <c r="V63" s="187">
        <f t="shared" si="69"/>
        <v>0</v>
      </c>
      <c r="W63" s="184">
        <f>ROUND(L63*P60*(J61*F61+(J62-J61)*F62+(K63-J62)*F63),2)</f>
        <v>0</v>
      </c>
      <c r="X63" s="185">
        <f>ROUND(N63*T60*(J61*G61+(J62-J61)*G62+(M63-J62)*G63),2)</f>
        <v>0</v>
      </c>
      <c r="Y63" s="186" t="e">
        <f t="shared" si="72"/>
        <v>#DIV/0!</v>
      </c>
      <c r="Z63" s="1014"/>
    </row>
    <row r="64" spans="1:26" ht="15.75" customHeight="1" x14ac:dyDescent="0.25">
      <c r="A64" s="43"/>
      <c r="B64" s="1024"/>
      <c r="C64" s="177">
        <v>20.010000000000002</v>
      </c>
      <c r="D64" s="177">
        <v>30</v>
      </c>
      <c r="E64" s="174">
        <v>5.28</v>
      </c>
      <c r="F64" s="168">
        <f t="shared" si="65"/>
        <v>0</v>
      </c>
      <c r="G64" s="169">
        <f t="shared" si="61"/>
        <v>0</v>
      </c>
      <c r="H64" s="5"/>
      <c r="I64" s="180">
        <f t="shared" si="71"/>
        <v>20.010000000000002</v>
      </c>
      <c r="J64" s="173">
        <f t="shared" si="71"/>
        <v>30</v>
      </c>
      <c r="K64" s="318"/>
      <c r="L64" s="319"/>
      <c r="M64" s="320"/>
      <c r="N64" s="321"/>
      <c r="O64" s="1027"/>
      <c r="P64" s="1017"/>
      <c r="Q64" s="1017"/>
      <c r="R64" s="187">
        <f t="shared" si="73"/>
        <v>0</v>
      </c>
      <c r="S64" s="1031"/>
      <c r="T64" s="1017"/>
      <c r="U64" s="1017"/>
      <c r="V64" s="187">
        <f t="shared" si="69"/>
        <v>0</v>
      </c>
      <c r="W64" s="184">
        <f>ROUND(L64*P60*(J61*F61+(J62-J61)*F62+(J63-J62)*F63+(K64-J63)*F64),2)</f>
        <v>0</v>
      </c>
      <c r="X64" s="185">
        <f>ROUND(N64*T60*(J61*G61+(J62-J61)*G62+(J63-J62)*G63+(M64-J63)*G64),2)</f>
        <v>0</v>
      </c>
      <c r="Y64" s="186" t="e">
        <f t="shared" si="72"/>
        <v>#DIV/0!</v>
      </c>
      <c r="Z64" s="1014"/>
    </row>
    <row r="65" spans="1:26" ht="15.75" customHeight="1" x14ac:dyDescent="0.25">
      <c r="A65" s="43"/>
      <c r="B65" s="1024"/>
      <c r="C65" s="177">
        <v>30.01</v>
      </c>
      <c r="D65" s="177">
        <v>50</v>
      </c>
      <c r="E65" s="174">
        <v>6.72</v>
      </c>
      <c r="F65" s="168">
        <f t="shared" si="65"/>
        <v>0</v>
      </c>
      <c r="G65" s="169">
        <f t="shared" si="61"/>
        <v>0</v>
      </c>
      <c r="H65" s="5"/>
      <c r="I65" s="181">
        <f t="shared" si="71"/>
        <v>30.01</v>
      </c>
      <c r="J65" s="182">
        <f t="shared" si="71"/>
        <v>50</v>
      </c>
      <c r="K65" s="318"/>
      <c r="L65" s="319"/>
      <c r="M65" s="320"/>
      <c r="N65" s="321"/>
      <c r="O65" s="1027"/>
      <c r="P65" s="1017"/>
      <c r="Q65" s="1017"/>
      <c r="R65" s="187">
        <f t="shared" si="73"/>
        <v>0</v>
      </c>
      <c r="S65" s="1031"/>
      <c r="T65" s="1017"/>
      <c r="U65" s="1017"/>
      <c r="V65" s="187">
        <f t="shared" si="69"/>
        <v>0</v>
      </c>
      <c r="W65" s="184">
        <f>ROUND(L65*P60*(J61*F61+(J62-J61)*F62+(J63-J62)*F63+(J64-J63)*F64+(K65-J64)*F65),2)</f>
        <v>0</v>
      </c>
      <c r="X65" s="185">
        <f>ROUND(N65*T60*(10*G61+(J62-J61)*G62+(J63-J62)*G63+(J64-J63)*G64+(M65-J64)*G65),2)</f>
        <v>0</v>
      </c>
      <c r="Y65" s="186" t="e">
        <f t="shared" si="72"/>
        <v>#DIV/0!</v>
      </c>
      <c r="Z65" s="1014"/>
    </row>
    <row r="66" spans="1:26" ht="15.75" customHeight="1" x14ac:dyDescent="0.25">
      <c r="A66" s="43"/>
      <c r="B66" s="1024"/>
      <c r="C66" s="177">
        <v>50.01</v>
      </c>
      <c r="D66" s="177">
        <v>100</v>
      </c>
      <c r="E66" s="174">
        <v>8.64</v>
      </c>
      <c r="F66" s="168">
        <f t="shared" si="65"/>
        <v>0</v>
      </c>
      <c r="G66" s="169">
        <f t="shared" si="61"/>
        <v>0</v>
      </c>
      <c r="H66" s="5"/>
      <c r="I66" s="180">
        <f t="shared" si="71"/>
        <v>50.01</v>
      </c>
      <c r="J66" s="173">
        <f t="shared" si="71"/>
        <v>100</v>
      </c>
      <c r="K66" s="318"/>
      <c r="L66" s="319"/>
      <c r="M66" s="320"/>
      <c r="N66" s="321"/>
      <c r="O66" s="1027"/>
      <c r="P66" s="1017"/>
      <c r="Q66" s="1017"/>
      <c r="R66" s="187">
        <f t="shared" si="73"/>
        <v>0</v>
      </c>
      <c r="S66" s="1031"/>
      <c r="T66" s="1017"/>
      <c r="U66" s="1017"/>
      <c r="V66" s="187">
        <f t="shared" si="69"/>
        <v>0</v>
      </c>
      <c r="W66" s="184">
        <f>ROUND(L66*P60*(J61*F61+(J62-J61)*F62+(J63-J62)*F63+(J64-J63)*F64+(J65-J64)*F65+(K66-J65)*F66),2)</f>
        <v>0</v>
      </c>
      <c r="X66" s="185">
        <f>ROUND(N66*T60*(J61*G61+(J62-J61)*G62+(J63-J62)*G63+(J64-J63)*G64+(J65-J64)*G65+(M66-J65)*G66),2)</f>
        <v>0</v>
      </c>
      <c r="Y66" s="186" t="e">
        <f t="shared" si="72"/>
        <v>#DIV/0!</v>
      </c>
      <c r="Z66" s="1014"/>
    </row>
    <row r="67" spans="1:26" ht="15.75" customHeight="1" thickBot="1" x14ac:dyDescent="0.3">
      <c r="A67" s="43"/>
      <c r="B67" s="1025"/>
      <c r="C67" s="1021" t="s">
        <v>47</v>
      </c>
      <c r="D67" s="1022"/>
      <c r="E67" s="175">
        <v>11.52</v>
      </c>
      <c r="F67" s="170">
        <f t="shared" si="65"/>
        <v>0</v>
      </c>
      <c r="G67" s="171">
        <f t="shared" si="61"/>
        <v>0</v>
      </c>
      <c r="H67" s="5"/>
      <c r="I67" s="1019" t="s">
        <v>47</v>
      </c>
      <c r="J67" s="1020"/>
      <c r="K67" s="318"/>
      <c r="L67" s="319"/>
      <c r="M67" s="320"/>
      <c r="N67" s="321"/>
      <c r="O67" s="1029"/>
      <c r="P67" s="1018"/>
      <c r="Q67" s="1018"/>
      <c r="R67" s="187">
        <f t="shared" si="73"/>
        <v>0</v>
      </c>
      <c r="S67" s="1032"/>
      <c r="T67" s="1018"/>
      <c r="U67" s="1018"/>
      <c r="V67" s="187">
        <f t="shared" si="69"/>
        <v>0</v>
      </c>
      <c r="W67" s="184">
        <f>ROUND(L67*P60*(J61*F61+(J62-J61)*F62+(J63-J62)*F63+(J64-J63)*F64+(J65-J64)*F65+(J66-J65)*F66+(K67-J66)*F67),2)</f>
        <v>0</v>
      </c>
      <c r="X67" s="185">
        <f>ROUND(N67*T60*(J61*G61+(J62-J61)*G62+(J63-J62)*G63+(J64-J63)*G64+(J65-J64)*G65+(J66-J65)*G66+(M67-J66)*G67),2)</f>
        <v>0</v>
      </c>
      <c r="Y67" s="186" t="e">
        <f t="shared" si="72"/>
        <v>#DIV/0!</v>
      </c>
      <c r="Z67" s="1015"/>
    </row>
    <row r="68" spans="1:26" ht="15.75" customHeight="1" thickTop="1" thickBot="1" x14ac:dyDescent="0.3">
      <c r="A68" s="43"/>
      <c r="B68" s="165"/>
      <c r="C68" s="164" t="s">
        <v>487</v>
      </c>
      <c r="D68" s="164" t="s">
        <v>487</v>
      </c>
      <c r="E68" s="214">
        <v>6</v>
      </c>
      <c r="F68" s="166">
        <f t="shared" si="65"/>
        <v>0</v>
      </c>
      <c r="G68" s="167">
        <f t="shared" si="61"/>
        <v>0</v>
      </c>
      <c r="H68" s="5"/>
      <c r="I68" s="178" t="str">
        <f t="shared" ref="I68" si="74">C68</f>
        <v>TBO</v>
      </c>
      <c r="J68" s="179" t="str">
        <f t="shared" ref="J68" si="75">D68</f>
        <v>TBO</v>
      </c>
      <c r="K68" s="318"/>
      <c r="L68" s="319"/>
      <c r="M68" s="320"/>
      <c r="N68" s="321"/>
      <c r="O68" s="1026"/>
      <c r="P68" s="1016">
        <f>ROUND(O68*$L$88,0)</f>
        <v>0</v>
      </c>
      <c r="Q68" s="1016" t="e">
        <f>ROUND(P68/$P$88,0)</f>
        <v>#DIV/0!</v>
      </c>
      <c r="R68" s="187">
        <f t="shared" ref="R68" si="76">ROUND(K68*L68*$P$68,0)</f>
        <v>0</v>
      </c>
      <c r="S68" s="1030">
        <f>O68</f>
        <v>0</v>
      </c>
      <c r="T68" s="1016">
        <f>ROUND(S68*$L$89,0)</f>
        <v>0</v>
      </c>
      <c r="U68" s="1016" t="e">
        <f>ROUND(T68/$P$89,0)</f>
        <v>#DIV/0!</v>
      </c>
      <c r="V68" s="187">
        <f t="shared" ref="V68:V75" si="77">ROUND(M68*N68*$T$68*(1-$S$89),0)</f>
        <v>0</v>
      </c>
      <c r="W68" s="184">
        <f>P68*F68</f>
        <v>0</v>
      </c>
      <c r="X68" s="185">
        <f>T68*G68</f>
        <v>0</v>
      </c>
      <c r="Y68" s="186" t="e">
        <f t="shared" ref="Y68" si="78">(W68+X68)/$W$86</f>
        <v>#DIV/0!</v>
      </c>
      <c r="Z68" s="1013" t="e">
        <f>SUM(Y68:Y75)</f>
        <v>#DIV/0!</v>
      </c>
    </row>
    <row r="69" spans="1:26" ht="15.75" thickTop="1" x14ac:dyDescent="0.25">
      <c r="A69" s="43"/>
      <c r="B69" s="1023" t="s">
        <v>500</v>
      </c>
      <c r="C69" s="176">
        <v>0.01</v>
      </c>
      <c r="D69" s="176">
        <v>10</v>
      </c>
      <c r="E69" s="215">
        <v>1.452</v>
      </c>
      <c r="F69" s="166">
        <f t="shared" si="65"/>
        <v>0</v>
      </c>
      <c r="G69" s="167">
        <f t="shared" si="61"/>
        <v>0</v>
      </c>
      <c r="H69" s="5"/>
      <c r="I69" s="178">
        <f t="shared" ref="I69:J74" si="79">C69</f>
        <v>0.01</v>
      </c>
      <c r="J69" s="179">
        <f t="shared" si="79"/>
        <v>10</v>
      </c>
      <c r="K69" s="318"/>
      <c r="L69" s="319"/>
      <c r="M69" s="320"/>
      <c r="N69" s="321"/>
      <c r="O69" s="1027"/>
      <c r="P69" s="1017"/>
      <c r="Q69" s="1017"/>
      <c r="R69" s="187">
        <f>ROUND(K69*L69*$P$68*(1-$S$89),0)</f>
        <v>0</v>
      </c>
      <c r="S69" s="1031"/>
      <c r="T69" s="1017"/>
      <c r="U69" s="1017"/>
      <c r="V69" s="187">
        <f t="shared" si="77"/>
        <v>0</v>
      </c>
      <c r="W69" s="184">
        <f>ROUND(L69*P68*K69*F69,2)</f>
        <v>0</v>
      </c>
      <c r="X69" s="185">
        <f>ROUND(N69*T68*M69*G69,2)</f>
        <v>0</v>
      </c>
      <c r="Y69" s="186" t="e">
        <f t="shared" ref="Y69:Y75" si="80">(W69+X69)/$W$86</f>
        <v>#DIV/0!</v>
      </c>
      <c r="Z69" s="1014"/>
    </row>
    <row r="70" spans="1:26" x14ac:dyDescent="0.25">
      <c r="A70" s="43"/>
      <c r="B70" s="1024"/>
      <c r="C70" s="177">
        <v>10.01</v>
      </c>
      <c r="D70" s="177">
        <v>15</v>
      </c>
      <c r="E70" s="174">
        <v>2.0327999999999999</v>
      </c>
      <c r="F70" s="168">
        <f t="shared" si="65"/>
        <v>0</v>
      </c>
      <c r="G70" s="169">
        <f t="shared" si="61"/>
        <v>0</v>
      </c>
      <c r="H70" s="5"/>
      <c r="I70" s="180">
        <f t="shared" si="79"/>
        <v>10.01</v>
      </c>
      <c r="J70" s="173">
        <f t="shared" si="79"/>
        <v>15</v>
      </c>
      <c r="K70" s="318"/>
      <c r="L70" s="319"/>
      <c r="M70" s="320"/>
      <c r="N70" s="321"/>
      <c r="O70" s="1027"/>
      <c r="P70" s="1017"/>
      <c r="Q70" s="1017"/>
      <c r="R70" s="187">
        <f t="shared" ref="R70:R75" si="81">ROUND(K70*L70*$P$68*(1-$S$89),0)</f>
        <v>0</v>
      </c>
      <c r="S70" s="1031"/>
      <c r="T70" s="1017"/>
      <c r="U70" s="1017"/>
      <c r="V70" s="187">
        <f t="shared" si="77"/>
        <v>0</v>
      </c>
      <c r="W70" s="184">
        <f>ROUND(L70*P68*(J69*F69+(K70-J69)*F70),2)</f>
        <v>0</v>
      </c>
      <c r="X70" s="185">
        <f>ROUND(N70*T68*(J69*G69+(M70-J69)*G70),2)</f>
        <v>0</v>
      </c>
      <c r="Y70" s="186" t="e">
        <f t="shared" si="80"/>
        <v>#DIV/0!</v>
      </c>
      <c r="Z70" s="1014"/>
    </row>
    <row r="71" spans="1:26" x14ac:dyDescent="0.25">
      <c r="A71" s="43"/>
      <c r="B71" s="1024"/>
      <c r="C71" s="177">
        <v>15.01</v>
      </c>
      <c r="D71" s="177">
        <v>20</v>
      </c>
      <c r="E71" s="174">
        <v>2.6135999999999999</v>
      </c>
      <c r="F71" s="168">
        <f t="shared" si="65"/>
        <v>0</v>
      </c>
      <c r="G71" s="169">
        <f t="shared" si="61"/>
        <v>0</v>
      </c>
      <c r="H71" s="5"/>
      <c r="I71" s="181">
        <f t="shared" si="79"/>
        <v>15.01</v>
      </c>
      <c r="J71" s="182">
        <f t="shared" si="79"/>
        <v>20</v>
      </c>
      <c r="K71" s="318"/>
      <c r="L71" s="319"/>
      <c r="M71" s="320"/>
      <c r="N71" s="321"/>
      <c r="O71" s="1027"/>
      <c r="P71" s="1017"/>
      <c r="Q71" s="1017"/>
      <c r="R71" s="187">
        <f t="shared" si="81"/>
        <v>0</v>
      </c>
      <c r="S71" s="1031"/>
      <c r="T71" s="1017"/>
      <c r="U71" s="1017"/>
      <c r="V71" s="187">
        <f t="shared" si="77"/>
        <v>0</v>
      </c>
      <c r="W71" s="184">
        <f>ROUND(L71*P68*(J69*F69+(J70-J69)*F70+(K71-J70)*F71),2)</f>
        <v>0</v>
      </c>
      <c r="X71" s="185">
        <f>ROUND(N71*T68*(J69*G69+(J70-J69)*G70+(M71-J70)*G71),2)</f>
        <v>0</v>
      </c>
      <c r="Y71" s="186" t="e">
        <f t="shared" si="80"/>
        <v>#DIV/0!</v>
      </c>
      <c r="Z71" s="1014"/>
    </row>
    <row r="72" spans="1:26" x14ac:dyDescent="0.25">
      <c r="A72" s="43"/>
      <c r="B72" s="1024"/>
      <c r="C72" s="177">
        <v>20.010000000000002</v>
      </c>
      <c r="D72" s="177">
        <v>30</v>
      </c>
      <c r="E72" s="174">
        <v>3.1943999999999999</v>
      </c>
      <c r="F72" s="168">
        <f t="shared" si="65"/>
        <v>0</v>
      </c>
      <c r="G72" s="169">
        <f t="shared" si="61"/>
        <v>0</v>
      </c>
      <c r="H72" s="5"/>
      <c r="I72" s="180">
        <f t="shared" si="79"/>
        <v>20.010000000000002</v>
      </c>
      <c r="J72" s="173">
        <f t="shared" si="79"/>
        <v>30</v>
      </c>
      <c r="K72" s="318"/>
      <c r="L72" s="319"/>
      <c r="M72" s="320"/>
      <c r="N72" s="321"/>
      <c r="O72" s="1027"/>
      <c r="P72" s="1017"/>
      <c r="Q72" s="1017"/>
      <c r="R72" s="187">
        <f t="shared" si="81"/>
        <v>0</v>
      </c>
      <c r="S72" s="1031"/>
      <c r="T72" s="1017"/>
      <c r="U72" s="1017"/>
      <c r="V72" s="187">
        <f t="shared" si="77"/>
        <v>0</v>
      </c>
      <c r="W72" s="184">
        <f>ROUND(L72*P68*(J69*F69+(J70-J69)*F70+(J71-J70)*F71+(K72-J71)*F72),2)</f>
        <v>0</v>
      </c>
      <c r="X72" s="185">
        <f>ROUND(N72*T68*(J69*G69+(J70-J69)*G70+(J71-J70)*G71+(M72-J71)*G72),2)</f>
        <v>0</v>
      </c>
      <c r="Y72" s="186" t="e">
        <f t="shared" si="80"/>
        <v>#DIV/0!</v>
      </c>
      <c r="Z72" s="1014"/>
    </row>
    <row r="73" spans="1:26" x14ac:dyDescent="0.25">
      <c r="A73" s="43"/>
      <c r="B73" s="1024"/>
      <c r="C73" s="177">
        <v>30.01</v>
      </c>
      <c r="D73" s="177">
        <v>50</v>
      </c>
      <c r="E73" s="174">
        <v>4.0655999999999999</v>
      </c>
      <c r="F73" s="168">
        <f t="shared" si="65"/>
        <v>0</v>
      </c>
      <c r="G73" s="169">
        <f t="shared" si="61"/>
        <v>0</v>
      </c>
      <c r="H73" s="5"/>
      <c r="I73" s="181">
        <f t="shared" si="79"/>
        <v>30.01</v>
      </c>
      <c r="J73" s="182">
        <f t="shared" si="79"/>
        <v>50</v>
      </c>
      <c r="K73" s="318"/>
      <c r="L73" s="319"/>
      <c r="M73" s="320"/>
      <c r="N73" s="321"/>
      <c r="O73" s="1027"/>
      <c r="P73" s="1017"/>
      <c r="Q73" s="1017"/>
      <c r="R73" s="187">
        <f t="shared" si="81"/>
        <v>0</v>
      </c>
      <c r="S73" s="1031"/>
      <c r="T73" s="1017"/>
      <c r="U73" s="1017"/>
      <c r="V73" s="187">
        <f t="shared" si="77"/>
        <v>0</v>
      </c>
      <c r="W73" s="184">
        <f>ROUND(L73*P68*(J69*F69+(J70-J69)*F70+(J71-J70)*F71+(J72-J71)*F72+(K73-J72)*F73),2)</f>
        <v>0</v>
      </c>
      <c r="X73" s="185">
        <f>ROUND(N73*T68*(10*G69+(J70-J69)*G70+(J71-J70)*G71+(J72-J71)*G72+(M73-J72)*G73),2)</f>
        <v>0</v>
      </c>
      <c r="Y73" s="186" t="e">
        <f t="shared" si="80"/>
        <v>#DIV/0!</v>
      </c>
      <c r="Z73" s="1014"/>
    </row>
    <row r="74" spans="1:26" x14ac:dyDescent="0.25">
      <c r="A74" s="43"/>
      <c r="B74" s="1024"/>
      <c r="C74" s="177">
        <v>50.01</v>
      </c>
      <c r="D74" s="177">
        <v>100</v>
      </c>
      <c r="E74" s="174">
        <v>5.2271999999999998</v>
      </c>
      <c r="F74" s="168">
        <f t="shared" si="65"/>
        <v>0</v>
      </c>
      <c r="G74" s="169">
        <f t="shared" si="61"/>
        <v>0</v>
      </c>
      <c r="H74" s="5"/>
      <c r="I74" s="180">
        <f t="shared" si="79"/>
        <v>50.01</v>
      </c>
      <c r="J74" s="173">
        <f t="shared" si="79"/>
        <v>100</v>
      </c>
      <c r="K74" s="318"/>
      <c r="L74" s="319"/>
      <c r="M74" s="320"/>
      <c r="N74" s="321"/>
      <c r="O74" s="1027"/>
      <c r="P74" s="1017"/>
      <c r="Q74" s="1017"/>
      <c r="R74" s="187">
        <f t="shared" si="81"/>
        <v>0</v>
      </c>
      <c r="S74" s="1031"/>
      <c r="T74" s="1017"/>
      <c r="U74" s="1017"/>
      <c r="V74" s="187">
        <f t="shared" si="77"/>
        <v>0</v>
      </c>
      <c r="W74" s="184">
        <f>ROUND(L74*P68*(J69*F69+(J70-J69)*F70+(J71-J70)*F71+(J72-J71)*F72+(J73-J72)*F73+(K74-J73)*F74),2)</f>
        <v>0</v>
      </c>
      <c r="X74" s="185">
        <f>ROUND(N74*T68*(J69*G69+(J70-J69)*G70+(J71-J70)*G71+(J72-J71)*G72+(J73-J72)*G73+(M74-J73)*G74),2)</f>
        <v>0</v>
      </c>
      <c r="Y74" s="186" t="e">
        <f t="shared" si="80"/>
        <v>#DIV/0!</v>
      </c>
      <c r="Z74" s="1014"/>
    </row>
    <row r="75" spans="1:26" ht="15.75" thickBot="1" x14ac:dyDescent="0.3">
      <c r="A75" s="43"/>
      <c r="B75" s="1025"/>
      <c r="C75" s="1021" t="s">
        <v>47</v>
      </c>
      <c r="D75" s="1022"/>
      <c r="E75" s="175">
        <v>6.9695999999999998</v>
      </c>
      <c r="F75" s="170">
        <f t="shared" si="65"/>
        <v>0</v>
      </c>
      <c r="G75" s="171">
        <f t="shared" si="61"/>
        <v>0</v>
      </c>
      <c r="H75" s="5"/>
      <c r="I75" s="1019" t="s">
        <v>47</v>
      </c>
      <c r="J75" s="1020"/>
      <c r="K75" s="318"/>
      <c r="L75" s="319"/>
      <c r="M75" s="320"/>
      <c r="N75" s="321"/>
      <c r="O75" s="1029"/>
      <c r="P75" s="1018"/>
      <c r="Q75" s="1018"/>
      <c r="R75" s="187">
        <f t="shared" si="81"/>
        <v>0</v>
      </c>
      <c r="S75" s="1032"/>
      <c r="T75" s="1018"/>
      <c r="U75" s="1018"/>
      <c r="V75" s="187">
        <f t="shared" si="77"/>
        <v>0</v>
      </c>
      <c r="W75" s="184">
        <f>ROUND(L75*P68*(J69*F69+(J70-J69)*F70+(J71-J70)*F71+(J72-J71)*F72+(J73-J72)*F73+(J74-J73)*F74+(K75-J74)*F75),2)</f>
        <v>0</v>
      </c>
      <c r="X75" s="185">
        <f>ROUND(N75*T68*(J69*G69+(J70-J69)*G70+(J71-J70)*G71+(J72-J71)*G72+(J73-J72)*G73+(J74-J73)*G74+(M75-J74)*G75),2)</f>
        <v>0</v>
      </c>
      <c r="Y75" s="186" t="e">
        <f t="shared" si="80"/>
        <v>#DIV/0!</v>
      </c>
      <c r="Z75" s="1015"/>
    </row>
    <row r="76" spans="1:26" ht="17.25" thickTop="1" thickBot="1" x14ac:dyDescent="0.3">
      <c r="A76" s="43"/>
      <c r="B76" s="165"/>
      <c r="C76" s="164" t="s">
        <v>487</v>
      </c>
      <c r="D76" s="164" t="s">
        <v>487</v>
      </c>
      <c r="E76" s="214">
        <v>6</v>
      </c>
      <c r="F76" s="166">
        <f t="shared" si="65"/>
        <v>0</v>
      </c>
      <c r="G76" s="172">
        <f t="shared" si="61"/>
        <v>0</v>
      </c>
      <c r="H76" s="5"/>
      <c r="I76" s="178" t="str">
        <f t="shared" ref="I76" si="82">C76</f>
        <v>TBO</v>
      </c>
      <c r="J76" s="179" t="str">
        <f t="shared" ref="J76" si="83">D76</f>
        <v>TBO</v>
      </c>
      <c r="K76" s="318"/>
      <c r="L76" s="319"/>
      <c r="M76" s="320"/>
      <c r="N76" s="321"/>
      <c r="O76" s="1026"/>
      <c r="P76" s="1051">
        <f>ROUND(O76*$L$88,0)</f>
        <v>0</v>
      </c>
      <c r="Q76" s="1016" t="e">
        <f>ROUND(P76/$P$88,0)</f>
        <v>#DIV/0!</v>
      </c>
      <c r="R76" s="187">
        <f t="shared" ref="R76" si="84">ROUND(K76*L76*$P$76,0)</f>
        <v>0</v>
      </c>
      <c r="S76" s="1048">
        <f>O76</f>
        <v>0</v>
      </c>
      <c r="T76" s="1045">
        <f>ROUND(S76*$L$89,0)</f>
        <v>0</v>
      </c>
      <c r="U76" s="1016" t="e">
        <f>ROUND(T76/$P$89,0)</f>
        <v>#DIV/0!</v>
      </c>
      <c r="V76" s="187">
        <f t="shared" ref="V76:V83" si="85">ROUND(M76*N76*$T$76*(1-$S$89),0)</f>
        <v>0</v>
      </c>
      <c r="W76" s="184">
        <f>P76*F76</f>
        <v>0</v>
      </c>
      <c r="X76" s="185">
        <f>T76*G76</f>
        <v>0</v>
      </c>
      <c r="Y76" s="186" t="e">
        <f t="shared" ref="Y76" si="86">(W76+X76)/$W$86</f>
        <v>#DIV/0!</v>
      </c>
      <c r="Z76" s="1013" t="e">
        <f>SUM(Y76:Y83)</f>
        <v>#DIV/0!</v>
      </c>
    </row>
    <row r="77" spans="1:26" ht="15.75" thickTop="1" x14ac:dyDescent="0.25">
      <c r="A77" s="43"/>
      <c r="B77" s="1041" t="s">
        <v>494</v>
      </c>
      <c r="C77" s="176">
        <v>0.01</v>
      </c>
      <c r="D77" s="176">
        <v>10</v>
      </c>
      <c r="E77" s="215">
        <v>1.4524805738194879</v>
      </c>
      <c r="F77" s="166">
        <f t="shared" si="65"/>
        <v>0</v>
      </c>
      <c r="G77" s="167">
        <f t="shared" si="61"/>
        <v>0</v>
      </c>
      <c r="H77" s="5"/>
      <c r="I77" s="178">
        <f t="shared" ref="I77:J82" si="87">C77</f>
        <v>0.01</v>
      </c>
      <c r="J77" s="179">
        <f t="shared" si="87"/>
        <v>10</v>
      </c>
      <c r="K77" s="318"/>
      <c r="L77" s="319"/>
      <c r="M77" s="320"/>
      <c r="N77" s="321"/>
      <c r="O77" s="1027"/>
      <c r="P77" s="1052"/>
      <c r="Q77" s="1017"/>
      <c r="R77" s="187">
        <f>ROUND(K77*L77*$P$76*(1-$S$89),0)</f>
        <v>0</v>
      </c>
      <c r="S77" s="1049"/>
      <c r="T77" s="1046"/>
      <c r="U77" s="1017"/>
      <c r="V77" s="187">
        <f t="shared" si="85"/>
        <v>0</v>
      </c>
      <c r="W77" s="184">
        <f>ROUND(L77*P76*K77*F77,2)</f>
        <v>0</v>
      </c>
      <c r="X77" s="185">
        <f>ROUND(N77*T76*M77*G77,2)</f>
        <v>0</v>
      </c>
      <c r="Y77" s="186" t="e">
        <f>(W77+X77)/$W$86</f>
        <v>#DIV/0!</v>
      </c>
      <c r="Z77" s="1014"/>
    </row>
    <row r="78" spans="1:26" x14ac:dyDescent="0.25">
      <c r="A78" s="43"/>
      <c r="B78" s="1042"/>
      <c r="C78" s="177">
        <v>10.01</v>
      </c>
      <c r="D78" s="177">
        <v>15</v>
      </c>
      <c r="E78" s="174">
        <v>2.0334728033472826</v>
      </c>
      <c r="F78" s="168">
        <f t="shared" si="65"/>
        <v>0</v>
      </c>
      <c r="G78" s="169">
        <f t="shared" ref="G78:G83" si="88">F78*$G$85</f>
        <v>0</v>
      </c>
      <c r="H78" s="5"/>
      <c r="I78" s="180">
        <f t="shared" si="87"/>
        <v>10.01</v>
      </c>
      <c r="J78" s="173">
        <f t="shared" si="87"/>
        <v>15</v>
      </c>
      <c r="K78" s="318"/>
      <c r="L78" s="319"/>
      <c r="M78" s="320"/>
      <c r="N78" s="321"/>
      <c r="O78" s="1027"/>
      <c r="P78" s="1052"/>
      <c r="Q78" s="1017"/>
      <c r="R78" s="187">
        <f t="shared" ref="R78:R83" si="89">ROUND(K78*L78*$P$76*(1-$S$89),0)</f>
        <v>0</v>
      </c>
      <c r="S78" s="1049"/>
      <c r="T78" s="1046"/>
      <c r="U78" s="1017"/>
      <c r="V78" s="187">
        <f t="shared" si="85"/>
        <v>0</v>
      </c>
      <c r="W78" s="184">
        <f>ROUND(L78*P76*(J77*F77+(K78-J77)*F78),2)</f>
        <v>0</v>
      </c>
      <c r="X78" s="185">
        <f>ROUND(N78*T76*(J77*G77+(M78-J77)*G78),2)</f>
        <v>0</v>
      </c>
      <c r="Y78" s="186" t="e">
        <f t="shared" ref="Y78:Y83" si="90">(W78+X78)/$W$86</f>
        <v>#DIV/0!</v>
      </c>
      <c r="Z78" s="1014"/>
    </row>
    <row r="79" spans="1:26" x14ac:dyDescent="0.25">
      <c r="A79" s="43"/>
      <c r="B79" s="1042"/>
      <c r="C79" s="177">
        <v>15.01</v>
      </c>
      <c r="D79" s="177">
        <v>20</v>
      </c>
      <c r="E79" s="174">
        <v>2.6144650328750783</v>
      </c>
      <c r="F79" s="168">
        <f t="shared" si="65"/>
        <v>0</v>
      </c>
      <c r="G79" s="169">
        <f t="shared" si="88"/>
        <v>0</v>
      </c>
      <c r="H79" s="5"/>
      <c r="I79" s="181">
        <f t="shared" si="87"/>
        <v>15.01</v>
      </c>
      <c r="J79" s="182">
        <f t="shared" si="87"/>
        <v>20</v>
      </c>
      <c r="K79" s="318"/>
      <c r="L79" s="319"/>
      <c r="M79" s="320"/>
      <c r="N79" s="321"/>
      <c r="O79" s="1027"/>
      <c r="P79" s="1052"/>
      <c r="Q79" s="1017"/>
      <c r="R79" s="187">
        <f t="shared" si="89"/>
        <v>0</v>
      </c>
      <c r="S79" s="1049"/>
      <c r="T79" s="1046"/>
      <c r="U79" s="1017"/>
      <c r="V79" s="187">
        <f t="shared" si="85"/>
        <v>0</v>
      </c>
      <c r="W79" s="184">
        <f>ROUND(L79*P76*(J77*F77+(J78-J77)*F78+(K79-J78)*F79),2)</f>
        <v>0</v>
      </c>
      <c r="X79" s="185">
        <f>ROUND(N79*T76*(J77*G77+(J78-J77)*G78+(M79-J78)*G79),2)</f>
        <v>0</v>
      </c>
      <c r="Y79" s="186" t="e">
        <f t="shared" si="90"/>
        <v>#DIV/0!</v>
      </c>
      <c r="Z79" s="1014"/>
    </row>
    <row r="80" spans="1:26" x14ac:dyDescent="0.25">
      <c r="A80" s="43"/>
      <c r="B80" s="1042"/>
      <c r="C80" s="177">
        <v>20.010000000000002</v>
      </c>
      <c r="D80" s="177">
        <v>30</v>
      </c>
      <c r="E80" s="174">
        <v>3.1954572624028734</v>
      </c>
      <c r="F80" s="168">
        <f t="shared" si="65"/>
        <v>0</v>
      </c>
      <c r="G80" s="169">
        <f t="shared" si="88"/>
        <v>0</v>
      </c>
      <c r="H80" s="5"/>
      <c r="I80" s="180">
        <f t="shared" si="87"/>
        <v>20.010000000000002</v>
      </c>
      <c r="J80" s="173">
        <f t="shared" si="87"/>
        <v>30</v>
      </c>
      <c r="K80" s="318"/>
      <c r="L80" s="319"/>
      <c r="M80" s="320"/>
      <c r="N80" s="321"/>
      <c r="O80" s="1027"/>
      <c r="P80" s="1052"/>
      <c r="Q80" s="1017"/>
      <c r="R80" s="187">
        <f t="shared" si="89"/>
        <v>0</v>
      </c>
      <c r="S80" s="1049"/>
      <c r="T80" s="1046"/>
      <c r="U80" s="1017"/>
      <c r="V80" s="187">
        <f t="shared" si="85"/>
        <v>0</v>
      </c>
      <c r="W80" s="184">
        <f>ROUND(L80*P76*(J77*F77+(J78-J77)*F78+(J79-J78)*F79+(K80-J79)*F80),2)</f>
        <v>0</v>
      </c>
      <c r="X80" s="185">
        <f>ROUND(N80*T76*(J77*G77+(J78-J77)*G78+(J79-J78)*G79+(M80-J79)*G80),2)</f>
        <v>0</v>
      </c>
      <c r="Y80" s="186" t="e">
        <f t="shared" si="90"/>
        <v>#DIV/0!</v>
      </c>
      <c r="Z80" s="1014"/>
    </row>
    <row r="81" spans="1:30" x14ac:dyDescent="0.25">
      <c r="A81" s="43"/>
      <c r="B81" s="1042"/>
      <c r="C81" s="177">
        <v>30.01</v>
      </c>
      <c r="D81" s="177">
        <v>50</v>
      </c>
      <c r="E81" s="174">
        <v>4.0669456066945653</v>
      </c>
      <c r="F81" s="168">
        <f t="shared" si="65"/>
        <v>0</v>
      </c>
      <c r="G81" s="169">
        <f t="shared" si="88"/>
        <v>0</v>
      </c>
      <c r="H81" s="5"/>
      <c r="I81" s="181">
        <f t="shared" si="87"/>
        <v>30.01</v>
      </c>
      <c r="J81" s="182">
        <f t="shared" si="87"/>
        <v>50</v>
      </c>
      <c r="K81" s="318"/>
      <c r="L81" s="319"/>
      <c r="M81" s="320"/>
      <c r="N81" s="321"/>
      <c r="O81" s="1027"/>
      <c r="P81" s="1052"/>
      <c r="Q81" s="1017"/>
      <c r="R81" s="187">
        <f t="shared" si="89"/>
        <v>0</v>
      </c>
      <c r="S81" s="1049"/>
      <c r="T81" s="1046"/>
      <c r="U81" s="1017"/>
      <c r="V81" s="187">
        <f t="shared" si="85"/>
        <v>0</v>
      </c>
      <c r="W81" s="184">
        <f>ROUND(L81*P76*(J77*F77+(J78-J77)*F78+(J79-J78)*F79+(J80-J79)*F80+(K81-J80)*F81),2)</f>
        <v>0</v>
      </c>
      <c r="X81" s="185">
        <f>ROUND(N81*T76*(10*G77+(J78-J77)*G78+(J79-J78)*G79+(J80-J79)*G80+(M81-J80)*G81),2)</f>
        <v>0</v>
      </c>
      <c r="Y81" s="186" t="e">
        <f t="shared" si="90"/>
        <v>#DIV/0!</v>
      </c>
      <c r="Z81" s="1014"/>
    </row>
    <row r="82" spans="1:30" x14ac:dyDescent="0.25">
      <c r="A82" s="43"/>
      <c r="B82" s="1042"/>
      <c r="C82" s="177">
        <v>50.01</v>
      </c>
      <c r="D82" s="177">
        <v>100</v>
      </c>
      <c r="E82" s="174">
        <v>5.2289300657501565</v>
      </c>
      <c r="F82" s="168">
        <f t="shared" si="65"/>
        <v>0</v>
      </c>
      <c r="G82" s="169">
        <f t="shared" si="88"/>
        <v>0</v>
      </c>
      <c r="H82" s="5"/>
      <c r="I82" s="180">
        <f t="shared" si="87"/>
        <v>50.01</v>
      </c>
      <c r="J82" s="173">
        <f t="shared" si="87"/>
        <v>100</v>
      </c>
      <c r="K82" s="318"/>
      <c r="L82" s="319"/>
      <c r="M82" s="320"/>
      <c r="N82" s="321"/>
      <c r="O82" s="1027"/>
      <c r="P82" s="1052"/>
      <c r="Q82" s="1017"/>
      <c r="R82" s="187">
        <f t="shared" si="89"/>
        <v>0</v>
      </c>
      <c r="S82" s="1049"/>
      <c r="T82" s="1046"/>
      <c r="U82" s="1017"/>
      <c r="V82" s="187">
        <f t="shared" si="85"/>
        <v>0</v>
      </c>
      <c r="W82" s="184">
        <f>ROUND(L82*P76*(J77*F77+(J78-J77)*F78+(J79-J78)*F79+(J80-J79)*F80+(J81-J80)*F81+(K82-J81)*F82),2)</f>
        <v>0</v>
      </c>
      <c r="X82" s="185">
        <f>ROUND(N82*T76*(J77*G77+(J78-J77)*G78+(J79-J78)*G79+(J80-J79)*G80+(J81-J80)*G81+(M82-J81)*G82),2)</f>
        <v>0</v>
      </c>
      <c r="Y82" s="186" t="e">
        <f t="shared" si="90"/>
        <v>#DIV/0!</v>
      </c>
      <c r="Z82" s="1014"/>
    </row>
    <row r="83" spans="1:30" ht="15.75" thickBot="1" x14ac:dyDescent="0.3">
      <c r="A83" s="43"/>
      <c r="B83" s="1043"/>
      <c r="C83" s="1021" t="s">
        <v>47</v>
      </c>
      <c r="D83" s="1022"/>
      <c r="E83" s="175">
        <v>6.9719067543335411</v>
      </c>
      <c r="F83" s="170">
        <f t="shared" si="65"/>
        <v>0</v>
      </c>
      <c r="G83" s="171">
        <f t="shared" si="88"/>
        <v>0</v>
      </c>
      <c r="H83" s="5"/>
      <c r="I83" s="1019" t="s">
        <v>47</v>
      </c>
      <c r="J83" s="1020"/>
      <c r="K83" s="325"/>
      <c r="L83" s="326"/>
      <c r="M83" s="327"/>
      <c r="N83" s="328"/>
      <c r="O83" s="1029"/>
      <c r="P83" s="1053"/>
      <c r="Q83" s="1044"/>
      <c r="R83" s="187">
        <f t="shared" si="89"/>
        <v>0</v>
      </c>
      <c r="S83" s="1050"/>
      <c r="T83" s="1047"/>
      <c r="U83" s="1044"/>
      <c r="V83" s="192">
        <f t="shared" si="85"/>
        <v>0</v>
      </c>
      <c r="W83" s="184">
        <f>ROUND(L83*P76*(J77*F77+(J78-J77)*F78+(J79-J78)*F79+(J80-J79)*F80+(J81-J80)*F81+(J82-J81)*F82+(K83-J82)*F83),2)</f>
        <v>0</v>
      </c>
      <c r="X83" s="185">
        <f>ROUND(N83*T76*(J77*G77+(J78-J77)*G78+(J79-J78)*G79+(J80-J79)*G80+(J81-J80)*G81+(J82-J81)*G82+(M83-J82)*G83),2)</f>
        <v>0</v>
      </c>
      <c r="Y83" s="193" t="e">
        <f t="shared" si="90"/>
        <v>#DIV/0!</v>
      </c>
      <c r="Z83" s="1015"/>
    </row>
    <row r="84" spans="1:30" ht="16.5" thickTop="1" thickBot="1" x14ac:dyDescent="0.3">
      <c r="B84" s="15"/>
      <c r="C84" s="16"/>
      <c r="D84" s="16"/>
      <c r="E84" s="16"/>
      <c r="F84" s="16"/>
      <c r="G84" s="17"/>
      <c r="H84" s="5"/>
      <c r="I84" s="1066" t="s">
        <v>48</v>
      </c>
      <c r="J84" s="1067"/>
      <c r="K84" s="1067"/>
      <c r="L84" s="1067"/>
      <c r="M84" s="1067"/>
      <c r="N84" s="1067"/>
      <c r="O84" s="194">
        <f>SUM(O4:O83)</f>
        <v>0</v>
      </c>
      <c r="P84" s="195">
        <f>SUM(P4:P83)</f>
        <v>0</v>
      </c>
      <c r="Q84" s="195" t="e">
        <f>SUM(Q4:Q83)</f>
        <v>#DIV/0!</v>
      </c>
      <c r="R84" s="196">
        <f>SUM(R5:R83)</f>
        <v>0</v>
      </c>
      <c r="S84" s="197">
        <f>SUM(S4:S83)</f>
        <v>0</v>
      </c>
      <c r="T84" s="195">
        <f>SUM(T4:T83)</f>
        <v>0</v>
      </c>
      <c r="U84" s="195" t="e">
        <f>SUM(U4:U83)</f>
        <v>#DIV/0!</v>
      </c>
      <c r="V84" s="198">
        <f>SUM(V4:V83)</f>
        <v>0</v>
      </c>
      <c r="W84" s="199">
        <f>ROUND(SUM(W4:W83),2)</f>
        <v>0</v>
      </c>
      <c r="X84" s="200">
        <f>ROUND(SUM(X4:X83),2)</f>
        <v>0</v>
      </c>
      <c r="Y84" s="201" t="e">
        <f>SUM(Y4:Y83)</f>
        <v>#DIV/0!</v>
      </c>
      <c r="Z84" s="202" t="e">
        <f>SUM(Z4:Z83)</f>
        <v>#DIV/0!</v>
      </c>
    </row>
    <row r="85" spans="1:30" ht="15.75" thickTop="1" x14ac:dyDescent="0.25">
      <c r="B85" s="1058" t="s">
        <v>52</v>
      </c>
      <c r="C85" s="1059"/>
      <c r="D85" s="1059"/>
      <c r="E85" s="1059"/>
      <c r="F85" s="1059"/>
      <c r="G85" s="1062">
        <v>1</v>
      </c>
      <c r="H85" s="5"/>
      <c r="W85" s="1054" t="s">
        <v>49</v>
      </c>
      <c r="X85" s="1055"/>
      <c r="Y85" s="1054" t="s">
        <v>50</v>
      </c>
      <c r="Z85" s="1055"/>
    </row>
    <row r="86" spans="1:30" ht="15.75" thickBot="1" x14ac:dyDescent="0.3">
      <c r="B86" s="1060"/>
      <c r="C86" s="1061"/>
      <c r="D86" s="1061"/>
      <c r="E86" s="1061"/>
      <c r="F86" s="1061"/>
      <c r="G86" s="1063"/>
      <c r="H86" s="5"/>
      <c r="W86" s="1056">
        <f>W84+X84</f>
        <v>0</v>
      </c>
      <c r="X86" s="1057"/>
      <c r="Y86" s="1056">
        <f>W86*12</f>
        <v>0</v>
      </c>
      <c r="Z86" s="1057"/>
    </row>
    <row r="87" spans="1:30" ht="16.5" thickTop="1" thickBot="1" x14ac:dyDescent="0.3">
      <c r="B87" s="5"/>
      <c r="C87" s="5"/>
      <c r="D87" s="5"/>
      <c r="E87" s="5"/>
      <c r="F87" s="5"/>
      <c r="G87" s="5"/>
      <c r="H87" s="5"/>
      <c r="I87" s="6"/>
      <c r="J87" s="6"/>
      <c r="K87" s="6"/>
      <c r="L87" s="7"/>
      <c r="M87" s="6"/>
      <c r="N87" s="8"/>
      <c r="O87" s="6"/>
      <c r="P87" s="5"/>
      <c r="Q87" s="5"/>
      <c r="R87" s="9"/>
      <c r="S87" s="6"/>
      <c r="T87" s="5"/>
      <c r="U87" s="5"/>
      <c r="V87" s="5"/>
      <c r="W87" s="9"/>
      <c r="X87" s="9"/>
      <c r="Y87" s="5"/>
      <c r="Z87" s="5"/>
    </row>
    <row r="88" spans="1:30" ht="15.75" thickTop="1" x14ac:dyDescent="0.25">
      <c r="B88" s="5"/>
      <c r="C88" s="1033"/>
      <c r="D88" s="1033"/>
      <c r="F88" s="1033"/>
      <c r="G88" s="1033"/>
      <c r="I88" s="1034" t="s">
        <v>51</v>
      </c>
      <c r="J88" s="1035"/>
      <c r="K88" s="1036"/>
      <c r="L88" s="203">
        <f>'Base Física'!T48</f>
        <v>0</v>
      </c>
      <c r="M88" s="1034" t="s">
        <v>118</v>
      </c>
      <c r="N88" s="1035"/>
      <c r="O88" s="1036"/>
      <c r="P88" s="204" t="e">
        <f>'Base Física'!T48/'Base Física'!T52</f>
        <v>#DIV/0!</v>
      </c>
      <c r="Q88" s="1037" t="s">
        <v>120</v>
      </c>
      <c r="R88" s="1038"/>
      <c r="S88" s="205">
        <f>'Base Física'!T42</f>
        <v>0</v>
      </c>
      <c r="X88" s="11" t="s">
        <v>516</v>
      </c>
      <c r="Y88" s="122" t="s">
        <v>3</v>
      </c>
      <c r="Z88" s="123" t="s">
        <v>4</v>
      </c>
    </row>
    <row r="89" spans="1:30" x14ac:dyDescent="0.25">
      <c r="B89" s="5"/>
      <c r="I89" s="1034" t="s">
        <v>119</v>
      </c>
      <c r="J89" s="1035"/>
      <c r="K89" s="1036"/>
      <c r="L89" s="203">
        <f>'Base Física'!T49</f>
        <v>0</v>
      </c>
      <c r="M89" s="1034" t="s">
        <v>515</v>
      </c>
      <c r="N89" s="1035"/>
      <c r="O89" s="1036"/>
      <c r="P89" s="204" t="e">
        <f>'Base Física'!T49/'Base Física'!T53</f>
        <v>#DIV/0!</v>
      </c>
      <c r="Q89" s="1037" t="s">
        <v>120</v>
      </c>
      <c r="R89" s="1038"/>
      <c r="S89" s="205">
        <f>S88</f>
        <v>0</v>
      </c>
      <c r="X89" s="12" t="s">
        <v>315</v>
      </c>
      <c r="Y89" s="206" t="e">
        <f>ROUND(W84/R84,2)</f>
        <v>#DIV/0!</v>
      </c>
      <c r="Z89" s="207" t="e">
        <f>ROUND(X84/V84,2)</f>
        <v>#DIV/0!</v>
      </c>
      <c r="AB89" s="71"/>
    </row>
    <row r="90" spans="1:30" ht="15.75" thickBot="1" x14ac:dyDescent="0.3">
      <c r="C90" s="10"/>
      <c r="D90" s="10"/>
      <c r="F90" s="10"/>
      <c r="G90" s="10"/>
      <c r="X90" s="13" t="s">
        <v>517</v>
      </c>
      <c r="Y90" s="1064" t="e">
        <f>(Y89+Z89)/(1+G85)</f>
        <v>#DIV/0!</v>
      </c>
      <c r="Z90" s="1065"/>
    </row>
    <row r="91" spans="1:30" ht="15.75" thickTop="1" x14ac:dyDescent="0.25">
      <c r="C91" s="10"/>
      <c r="D91" s="10"/>
      <c r="F91" s="10"/>
      <c r="G91" s="10"/>
    </row>
    <row r="92" spans="1:30" ht="15.75" customHeight="1" x14ac:dyDescent="0.25">
      <c r="Y92" s="3"/>
    </row>
    <row r="94" spans="1:30" x14ac:dyDescent="0.25">
      <c r="AB94" s="38"/>
    </row>
    <row r="95" spans="1:30" x14ac:dyDescent="0.25">
      <c r="AB95" s="38"/>
      <c r="AD95" s="38"/>
    </row>
    <row r="96" spans="1:30" x14ac:dyDescent="0.25">
      <c r="AB96" s="38"/>
    </row>
    <row r="97" spans="9:30" x14ac:dyDescent="0.25">
      <c r="AB97" s="39"/>
      <c r="AD97" s="38"/>
    </row>
    <row r="98" spans="9:30" ht="15" customHeight="1" x14ac:dyDescent="0.25"/>
    <row r="99" spans="9:30" ht="22.5" customHeight="1" x14ac:dyDescent="0.25"/>
    <row r="110" spans="9:30" x14ac:dyDescent="0.25">
      <c r="I110" s="1033"/>
      <c r="J110" s="1033"/>
      <c r="K110" s="1033"/>
      <c r="L110" s="1033"/>
    </row>
    <row r="111" spans="9:30" x14ac:dyDescent="0.25">
      <c r="J111" s="14"/>
      <c r="K111" s="14"/>
      <c r="L111" s="14"/>
    </row>
    <row r="112" spans="9:30" x14ac:dyDescent="0.25">
      <c r="L112" s="2"/>
    </row>
    <row r="113" spans="11:12" x14ac:dyDescent="0.25">
      <c r="L113" s="2"/>
    </row>
    <row r="117" spans="11:12" x14ac:dyDescent="0.25">
      <c r="K117" s="98"/>
    </row>
    <row r="131" ht="15.75" customHeight="1" x14ac:dyDescent="0.25"/>
    <row r="133" ht="15.75" customHeight="1" x14ac:dyDescent="0.25"/>
    <row r="138" ht="15.75" customHeight="1" x14ac:dyDescent="0.25"/>
    <row r="164" ht="15.75" customHeight="1" x14ac:dyDescent="0.25"/>
    <row r="166" ht="15.75" customHeight="1" x14ac:dyDescent="0.25"/>
    <row r="171" ht="15.75" customHeight="1" x14ac:dyDescent="0.25"/>
    <row r="183" spans="19:23" x14ac:dyDescent="0.25">
      <c r="S183" s="18"/>
      <c r="T183" s="18"/>
      <c r="U183" s="18"/>
      <c r="V183" s="18"/>
      <c r="W183" s="18"/>
    </row>
    <row r="184" spans="19:23" x14ac:dyDescent="0.25">
      <c r="S184" s="18"/>
      <c r="T184" s="18"/>
      <c r="U184" s="18"/>
      <c r="V184" s="18"/>
      <c r="W184" s="18"/>
    </row>
    <row r="185" spans="19:23" x14ac:dyDescent="0.25">
      <c r="S185" s="18"/>
      <c r="T185" s="18"/>
      <c r="U185" s="18"/>
      <c r="V185" s="18"/>
      <c r="W185" s="18"/>
    </row>
    <row r="186" spans="19:23" x14ac:dyDescent="0.25">
      <c r="S186" s="18"/>
      <c r="T186" s="18"/>
      <c r="U186" s="18"/>
      <c r="V186" s="18"/>
      <c r="W186" s="18"/>
    </row>
    <row r="187" spans="19:23" x14ac:dyDescent="0.25">
      <c r="S187" s="18"/>
      <c r="T187" s="18"/>
      <c r="U187" s="18"/>
      <c r="V187" s="18"/>
      <c r="W187" s="18"/>
    </row>
    <row r="188" spans="19:23" x14ac:dyDescent="0.25">
      <c r="S188" s="18"/>
      <c r="T188" s="18"/>
      <c r="U188" s="18"/>
      <c r="V188" s="18"/>
      <c r="W188" s="18"/>
    </row>
    <row r="189" spans="19:23" x14ac:dyDescent="0.25">
      <c r="S189" s="18"/>
      <c r="T189" s="18"/>
      <c r="U189" s="18"/>
      <c r="V189" s="18"/>
      <c r="W189" s="18"/>
    </row>
    <row r="190" spans="19:23" x14ac:dyDescent="0.25">
      <c r="S190" s="18"/>
      <c r="T190" s="18"/>
      <c r="U190" s="18"/>
      <c r="V190" s="18"/>
      <c r="W190" s="18"/>
    </row>
    <row r="191" spans="19:23" x14ac:dyDescent="0.25">
      <c r="S191" s="18"/>
      <c r="T191" s="18"/>
      <c r="U191" s="18"/>
      <c r="V191" s="18"/>
      <c r="W191" s="18"/>
    </row>
    <row r="192" spans="19:23" x14ac:dyDescent="0.25">
      <c r="S192" s="18"/>
      <c r="T192" s="18"/>
      <c r="U192" s="18"/>
      <c r="V192" s="18"/>
      <c r="W192" s="18"/>
    </row>
    <row r="193" spans="12:23" x14ac:dyDescent="0.25">
      <c r="S193" s="18"/>
      <c r="T193" s="18"/>
      <c r="U193" s="18"/>
      <c r="V193" s="18"/>
      <c r="W193" s="18"/>
    </row>
    <row r="194" spans="12:23" x14ac:dyDescent="0.25">
      <c r="S194" s="18"/>
      <c r="T194" s="18"/>
      <c r="U194" s="18"/>
      <c r="V194" s="18"/>
      <c r="W194" s="18"/>
    </row>
    <row r="195" spans="12:23" x14ac:dyDescent="0.25">
      <c r="S195" s="18"/>
      <c r="T195" s="18"/>
      <c r="U195" s="18"/>
      <c r="V195" s="18"/>
      <c r="W195" s="18"/>
    </row>
    <row r="196" spans="12:23" x14ac:dyDescent="0.25">
      <c r="L196" s="18"/>
      <c r="M196" s="18"/>
      <c r="N196" s="18"/>
      <c r="O196" s="18"/>
      <c r="P196" s="18"/>
      <c r="Q196" s="18"/>
      <c r="R196" s="18"/>
      <c r="S196" s="18"/>
      <c r="T196" s="18"/>
      <c r="U196" s="18"/>
      <c r="V196" s="18"/>
      <c r="W196" s="18"/>
    </row>
  </sheetData>
  <mergeCells count="132">
    <mergeCell ref="B69:B75"/>
    <mergeCell ref="B37:B43"/>
    <mergeCell ref="B45:B51"/>
    <mergeCell ref="B29:B35"/>
    <mergeCell ref="C59:D59"/>
    <mergeCell ref="I59:J59"/>
    <mergeCell ref="C51:D51"/>
    <mergeCell ref="I51:J51"/>
    <mergeCell ref="C35:D35"/>
    <mergeCell ref="C75:D75"/>
    <mergeCell ref="B61:B67"/>
    <mergeCell ref="B53:B59"/>
    <mergeCell ref="C67:D67"/>
    <mergeCell ref="I67:J67"/>
    <mergeCell ref="C43:D43"/>
    <mergeCell ref="I43:J43"/>
    <mergeCell ref="B1:G1"/>
    <mergeCell ref="B5:B11"/>
    <mergeCell ref="X2:X3"/>
    <mergeCell ref="Y2:Y3"/>
    <mergeCell ref="Z2:Z3"/>
    <mergeCell ref="B2:B3"/>
    <mergeCell ref="C2:D2"/>
    <mergeCell ref="I2:J2"/>
    <mergeCell ref="K2:N2"/>
    <mergeCell ref="O2:R2"/>
    <mergeCell ref="S2:V2"/>
    <mergeCell ref="W2:W3"/>
    <mergeCell ref="I1:N1"/>
    <mergeCell ref="E2:E3"/>
    <mergeCell ref="O1:V1"/>
    <mergeCell ref="W1:Z1"/>
    <mergeCell ref="O4:O11"/>
    <mergeCell ref="C11:D11"/>
    <mergeCell ref="I11:J11"/>
    <mergeCell ref="Y90:Z90"/>
    <mergeCell ref="I75:J75"/>
    <mergeCell ref="P60:P67"/>
    <mergeCell ref="O60:O67"/>
    <mergeCell ref="Z68:Z75"/>
    <mergeCell ref="U68:U75"/>
    <mergeCell ref="Z52:Z59"/>
    <mergeCell ref="U52:U59"/>
    <mergeCell ref="T52:T59"/>
    <mergeCell ref="S52:S59"/>
    <mergeCell ref="Q52:Q59"/>
    <mergeCell ref="P52:P59"/>
    <mergeCell ref="O52:O59"/>
    <mergeCell ref="Z60:Z67"/>
    <mergeCell ref="U60:U67"/>
    <mergeCell ref="T60:T67"/>
    <mergeCell ref="S60:S67"/>
    <mergeCell ref="Q60:Q67"/>
    <mergeCell ref="I84:N84"/>
    <mergeCell ref="I88:K88"/>
    <mergeCell ref="I89:K89"/>
    <mergeCell ref="S68:S75"/>
    <mergeCell ref="Q68:Q75"/>
    <mergeCell ref="P68:P75"/>
    <mergeCell ref="B77:B83"/>
    <mergeCell ref="Q89:R89"/>
    <mergeCell ref="Z76:Z83"/>
    <mergeCell ref="U76:U83"/>
    <mergeCell ref="T76:T83"/>
    <mergeCell ref="S76:S83"/>
    <mergeCell ref="Q76:Q83"/>
    <mergeCell ref="P76:P83"/>
    <mergeCell ref="W85:X85"/>
    <mergeCell ref="Y85:Z85"/>
    <mergeCell ref="W86:X86"/>
    <mergeCell ref="Y86:Z86"/>
    <mergeCell ref="B85:F86"/>
    <mergeCell ref="G85:G86"/>
    <mergeCell ref="M89:O89"/>
    <mergeCell ref="C83:D83"/>
    <mergeCell ref="O76:O83"/>
    <mergeCell ref="I110:L110"/>
    <mergeCell ref="I83:J83"/>
    <mergeCell ref="F88:G88"/>
    <mergeCell ref="C88:D88"/>
    <mergeCell ref="M88:O88"/>
    <mergeCell ref="Q88:R88"/>
    <mergeCell ref="Z4:Z11"/>
    <mergeCell ref="U4:U11"/>
    <mergeCell ref="T4:T11"/>
    <mergeCell ref="S4:S11"/>
    <mergeCell ref="Q4:Q11"/>
    <mergeCell ref="P4:P11"/>
    <mergeCell ref="Z12:Z19"/>
    <mergeCell ref="U12:U19"/>
    <mergeCell ref="T12:T19"/>
    <mergeCell ref="S12:S19"/>
    <mergeCell ref="Q12:Q19"/>
    <mergeCell ref="P12:P19"/>
    <mergeCell ref="S20:S27"/>
    <mergeCell ref="Q20:Q27"/>
    <mergeCell ref="P20:P27"/>
    <mergeCell ref="O20:O27"/>
    <mergeCell ref="Z28:Z35"/>
    <mergeCell ref="U28:U35"/>
    <mergeCell ref="O68:O75"/>
    <mergeCell ref="T68:T75"/>
    <mergeCell ref="T36:T43"/>
    <mergeCell ref="S36:S43"/>
    <mergeCell ref="Q36:Q43"/>
    <mergeCell ref="P36:P43"/>
    <mergeCell ref="O36:O43"/>
    <mergeCell ref="T44:T51"/>
    <mergeCell ref="S44:S51"/>
    <mergeCell ref="Q44:Q51"/>
    <mergeCell ref="P44:P51"/>
    <mergeCell ref="O44:O51"/>
    <mergeCell ref="Z44:Z51"/>
    <mergeCell ref="U44:U51"/>
    <mergeCell ref="I27:J27"/>
    <mergeCell ref="C27:D27"/>
    <mergeCell ref="B21:B27"/>
    <mergeCell ref="I19:J19"/>
    <mergeCell ref="C19:D19"/>
    <mergeCell ref="B13:B19"/>
    <mergeCell ref="Z20:Z27"/>
    <mergeCell ref="T20:T27"/>
    <mergeCell ref="U20:U27"/>
    <mergeCell ref="O12:O19"/>
    <mergeCell ref="Q28:Q35"/>
    <mergeCell ref="P28:P35"/>
    <mergeCell ref="O28:O35"/>
    <mergeCell ref="Z36:Z43"/>
    <mergeCell ref="U36:U43"/>
    <mergeCell ref="T28:T35"/>
    <mergeCell ref="S28:S35"/>
    <mergeCell ref="I35:J35"/>
  </mergeCells>
  <pageMargins left="0.511811024" right="0.511811024" top="0.78740157499999996" bottom="0.78740157499999996" header="0.31496062000000002" footer="0.31496062000000002"/>
  <pageSetup paperSize="8" scale="25"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806BE8-9C4E-4738-905E-CE6590C481C7}">
  <dimension ref="A1:AO69"/>
  <sheetViews>
    <sheetView topLeftCell="A36" zoomScale="80" zoomScaleNormal="80" workbookViewId="0">
      <selection activeCell="F36" sqref="F36:AN53"/>
    </sheetView>
  </sheetViews>
  <sheetFormatPr defaultRowHeight="15" x14ac:dyDescent="0.25"/>
  <cols>
    <col min="1" max="1" width="14" customWidth="1"/>
    <col min="2" max="2" width="57.140625" customWidth="1"/>
    <col min="3" max="3" width="14.5703125" customWidth="1"/>
    <col min="4" max="4" width="15.5703125" customWidth="1"/>
    <col min="5" max="5" width="16.5703125" customWidth="1"/>
    <col min="6" max="8" width="22.7109375" customWidth="1"/>
    <col min="9" max="10" width="21.140625" customWidth="1"/>
    <col min="11" max="13" width="20.7109375" customWidth="1"/>
    <col min="14" max="17" width="20" customWidth="1"/>
    <col min="18" max="18" width="19.5703125" customWidth="1"/>
    <col min="19" max="20" width="20" customWidth="1"/>
    <col min="21" max="21" width="19.5703125" customWidth="1"/>
    <col min="22" max="22" width="20" customWidth="1"/>
    <col min="23" max="23" width="20" bestFit="1" customWidth="1"/>
    <col min="24" max="24" width="19.5703125" bestFit="1" customWidth="1"/>
    <col min="25" max="25" width="20" bestFit="1" customWidth="1"/>
    <col min="26" max="26" width="19.5703125" bestFit="1" customWidth="1"/>
    <col min="27" max="27" width="20" bestFit="1" customWidth="1"/>
    <col min="28" max="28" width="19.5703125" bestFit="1" customWidth="1"/>
    <col min="29" max="40" width="20" bestFit="1" customWidth="1"/>
  </cols>
  <sheetData>
    <row r="1" spans="1:40" ht="16.5" thickTop="1" thickBot="1" x14ac:dyDescent="0.3">
      <c r="A1" s="309" t="s">
        <v>520</v>
      </c>
      <c r="B1" s="1085" t="s">
        <v>17</v>
      </c>
      <c r="C1" s="1087" t="s">
        <v>18</v>
      </c>
      <c r="D1" s="100" t="s">
        <v>16</v>
      </c>
      <c r="E1" s="100">
        <v>0</v>
      </c>
      <c r="F1" s="100">
        <f t="shared" ref="F1:AN2" si="0">E1+1</f>
        <v>1</v>
      </c>
      <c r="G1" s="100">
        <f t="shared" si="0"/>
        <v>2</v>
      </c>
      <c r="H1" s="100">
        <f t="shared" si="0"/>
        <v>3</v>
      </c>
      <c r="I1" s="100">
        <f t="shared" si="0"/>
        <v>4</v>
      </c>
      <c r="J1" s="100">
        <f t="shared" si="0"/>
        <v>5</v>
      </c>
      <c r="K1" s="100">
        <f t="shared" si="0"/>
        <v>6</v>
      </c>
      <c r="L1" s="100">
        <f t="shared" si="0"/>
        <v>7</v>
      </c>
      <c r="M1" s="100">
        <f t="shared" si="0"/>
        <v>8</v>
      </c>
      <c r="N1" s="100">
        <f t="shared" si="0"/>
        <v>9</v>
      </c>
      <c r="O1" s="100">
        <f t="shared" si="0"/>
        <v>10</v>
      </c>
      <c r="P1" s="100">
        <f t="shared" si="0"/>
        <v>11</v>
      </c>
      <c r="Q1" s="100">
        <f t="shared" si="0"/>
        <v>12</v>
      </c>
      <c r="R1" s="100">
        <f t="shared" si="0"/>
        <v>13</v>
      </c>
      <c r="S1" s="100">
        <f t="shared" si="0"/>
        <v>14</v>
      </c>
      <c r="T1" s="100">
        <f t="shared" si="0"/>
        <v>15</v>
      </c>
      <c r="U1" s="100">
        <f t="shared" si="0"/>
        <v>16</v>
      </c>
      <c r="V1" s="100">
        <f t="shared" si="0"/>
        <v>17</v>
      </c>
      <c r="W1" s="100">
        <f t="shared" si="0"/>
        <v>18</v>
      </c>
      <c r="X1" s="100">
        <f t="shared" si="0"/>
        <v>19</v>
      </c>
      <c r="Y1" s="100">
        <f t="shared" si="0"/>
        <v>20</v>
      </c>
      <c r="Z1" s="100">
        <f t="shared" si="0"/>
        <v>21</v>
      </c>
      <c r="AA1" s="100">
        <f t="shared" si="0"/>
        <v>22</v>
      </c>
      <c r="AB1" s="100">
        <f t="shared" si="0"/>
        <v>23</v>
      </c>
      <c r="AC1" s="100">
        <f t="shared" si="0"/>
        <v>24</v>
      </c>
      <c r="AD1" s="100">
        <f t="shared" si="0"/>
        <v>25</v>
      </c>
      <c r="AE1" s="100">
        <f t="shared" si="0"/>
        <v>26</v>
      </c>
      <c r="AF1" s="100">
        <f t="shared" si="0"/>
        <v>27</v>
      </c>
      <c r="AG1" s="100">
        <f t="shared" si="0"/>
        <v>28</v>
      </c>
      <c r="AH1" s="100">
        <f t="shared" si="0"/>
        <v>29</v>
      </c>
      <c r="AI1" s="100">
        <f t="shared" si="0"/>
        <v>30</v>
      </c>
      <c r="AJ1" s="100">
        <f t="shared" si="0"/>
        <v>31</v>
      </c>
      <c r="AK1" s="100">
        <f t="shared" si="0"/>
        <v>32</v>
      </c>
      <c r="AL1" s="100">
        <f t="shared" si="0"/>
        <v>33</v>
      </c>
      <c r="AM1" s="100">
        <f t="shared" si="0"/>
        <v>34</v>
      </c>
      <c r="AN1" s="100">
        <f t="shared" si="0"/>
        <v>35</v>
      </c>
    </row>
    <row r="2" spans="1:40" x14ac:dyDescent="0.25">
      <c r="A2" s="145" t="s">
        <v>521</v>
      </c>
      <c r="B2" s="1086"/>
      <c r="C2" s="1088"/>
      <c r="D2" s="101">
        <f>'FCD PROJETO'!D24</f>
        <v>2025</v>
      </c>
      <c r="E2" s="101">
        <f>D2+1</f>
        <v>2026</v>
      </c>
      <c r="F2" s="101">
        <f t="shared" si="0"/>
        <v>2027</v>
      </c>
      <c r="G2" s="101">
        <f t="shared" si="0"/>
        <v>2028</v>
      </c>
      <c r="H2" s="101">
        <f t="shared" si="0"/>
        <v>2029</v>
      </c>
      <c r="I2" s="101">
        <f t="shared" si="0"/>
        <v>2030</v>
      </c>
      <c r="J2" s="101">
        <f t="shared" si="0"/>
        <v>2031</v>
      </c>
      <c r="K2" s="101">
        <f t="shared" si="0"/>
        <v>2032</v>
      </c>
      <c r="L2" s="101">
        <f t="shared" si="0"/>
        <v>2033</v>
      </c>
      <c r="M2" s="101">
        <f t="shared" si="0"/>
        <v>2034</v>
      </c>
      <c r="N2" s="101">
        <f t="shared" si="0"/>
        <v>2035</v>
      </c>
      <c r="O2" s="101">
        <f t="shared" si="0"/>
        <v>2036</v>
      </c>
      <c r="P2" s="101">
        <f t="shared" si="0"/>
        <v>2037</v>
      </c>
      <c r="Q2" s="101">
        <f t="shared" si="0"/>
        <v>2038</v>
      </c>
      <c r="R2" s="101">
        <f t="shared" si="0"/>
        <v>2039</v>
      </c>
      <c r="S2" s="101">
        <f t="shared" si="0"/>
        <v>2040</v>
      </c>
      <c r="T2" s="101">
        <f t="shared" si="0"/>
        <v>2041</v>
      </c>
      <c r="U2" s="101">
        <f t="shared" si="0"/>
        <v>2042</v>
      </c>
      <c r="V2" s="101">
        <f t="shared" si="0"/>
        <v>2043</v>
      </c>
      <c r="W2" s="101">
        <f t="shared" si="0"/>
        <v>2044</v>
      </c>
      <c r="X2" s="101">
        <f t="shared" si="0"/>
        <v>2045</v>
      </c>
      <c r="Y2" s="101">
        <f t="shared" si="0"/>
        <v>2046</v>
      </c>
      <c r="Z2" s="101">
        <f t="shared" si="0"/>
        <v>2047</v>
      </c>
      <c r="AA2" s="101">
        <f t="shared" si="0"/>
        <v>2048</v>
      </c>
      <c r="AB2" s="101">
        <f t="shared" si="0"/>
        <v>2049</v>
      </c>
      <c r="AC2" s="101">
        <f t="shared" si="0"/>
        <v>2050</v>
      </c>
      <c r="AD2" s="101">
        <f t="shared" si="0"/>
        <v>2051</v>
      </c>
      <c r="AE2" s="101">
        <f t="shared" si="0"/>
        <v>2052</v>
      </c>
      <c r="AF2" s="101">
        <f t="shared" si="0"/>
        <v>2053</v>
      </c>
      <c r="AG2" s="101">
        <f t="shared" si="0"/>
        <v>2054</v>
      </c>
      <c r="AH2" s="101">
        <f t="shared" si="0"/>
        <v>2055</v>
      </c>
      <c r="AI2" s="101">
        <f t="shared" si="0"/>
        <v>2056</v>
      </c>
      <c r="AJ2" s="101">
        <f t="shared" si="0"/>
        <v>2057</v>
      </c>
      <c r="AK2" s="101">
        <f t="shared" si="0"/>
        <v>2058</v>
      </c>
      <c r="AL2" s="101">
        <f t="shared" si="0"/>
        <v>2059</v>
      </c>
      <c r="AM2" s="101">
        <f t="shared" si="0"/>
        <v>2060</v>
      </c>
      <c r="AN2" s="101">
        <f t="shared" si="0"/>
        <v>2061</v>
      </c>
    </row>
    <row r="3" spans="1:40" x14ac:dyDescent="0.25">
      <c r="A3" s="213" t="s">
        <v>522</v>
      </c>
      <c r="B3" s="102" t="s">
        <v>11</v>
      </c>
      <c r="C3" s="40"/>
      <c r="D3" s="94"/>
      <c r="E3" s="94"/>
      <c r="F3" s="94"/>
      <c r="G3" s="94"/>
      <c r="H3" s="94"/>
      <c r="I3" s="94"/>
      <c r="J3" s="94"/>
      <c r="K3" s="94"/>
      <c r="L3" s="94"/>
      <c r="M3" s="94"/>
      <c r="N3" s="94"/>
      <c r="O3" s="94"/>
      <c r="P3" s="94"/>
      <c r="Q3" s="94"/>
      <c r="R3" s="94"/>
      <c r="S3" s="94"/>
      <c r="T3" s="94"/>
      <c r="U3" s="94"/>
      <c r="V3" s="94"/>
      <c r="W3" s="94"/>
      <c r="X3" s="94"/>
      <c r="Y3" s="94"/>
      <c r="Z3" s="94"/>
      <c r="AA3" s="94"/>
      <c r="AB3" s="94"/>
      <c r="AC3" s="94"/>
      <c r="AD3" s="94"/>
      <c r="AE3" s="94"/>
      <c r="AF3" s="94"/>
      <c r="AG3" s="94"/>
      <c r="AH3" s="94"/>
      <c r="AI3" s="94"/>
      <c r="AJ3" s="94"/>
      <c r="AK3" s="94"/>
      <c r="AL3" s="94"/>
      <c r="AM3" s="94"/>
      <c r="AN3" s="94"/>
    </row>
    <row r="4" spans="1:40" x14ac:dyDescent="0.25">
      <c r="B4" s="115" t="s">
        <v>8</v>
      </c>
      <c r="C4" s="135" t="s">
        <v>14</v>
      </c>
      <c r="D4" s="422">
        <v>45430.859189432937</v>
      </c>
      <c r="E4" s="422">
        <v>46011.580352534933</v>
      </c>
      <c r="F4" s="423"/>
      <c r="G4" s="423"/>
      <c r="H4" s="423"/>
      <c r="I4" s="423"/>
      <c r="J4" s="423"/>
      <c r="K4" s="423"/>
      <c r="L4" s="423"/>
      <c r="M4" s="423"/>
      <c r="N4" s="423"/>
      <c r="O4" s="423"/>
      <c r="P4" s="423"/>
      <c r="Q4" s="423"/>
      <c r="R4" s="423"/>
      <c r="S4" s="423"/>
      <c r="T4" s="423"/>
      <c r="U4" s="423"/>
      <c r="V4" s="423"/>
      <c r="W4" s="423"/>
      <c r="X4" s="423"/>
      <c r="Y4" s="423"/>
      <c r="Z4" s="423"/>
      <c r="AA4" s="423"/>
      <c r="AB4" s="423"/>
      <c r="AC4" s="423"/>
      <c r="AD4" s="423"/>
      <c r="AE4" s="423"/>
      <c r="AF4" s="423"/>
      <c r="AG4" s="423"/>
      <c r="AH4" s="423"/>
      <c r="AI4" s="423"/>
      <c r="AJ4" s="423"/>
      <c r="AK4" s="423"/>
      <c r="AL4" s="423"/>
      <c r="AM4" s="423"/>
      <c r="AN4" s="423"/>
    </row>
    <row r="5" spans="1:40" x14ac:dyDescent="0.25">
      <c r="B5" s="103"/>
      <c r="C5" s="104"/>
      <c r="D5" s="104"/>
      <c r="E5" s="104"/>
      <c r="F5" s="104"/>
      <c r="G5" s="424"/>
      <c r="H5" s="424"/>
      <c r="I5" s="424"/>
      <c r="J5" s="424"/>
      <c r="K5" s="424"/>
      <c r="L5" s="424"/>
      <c r="M5" s="424"/>
      <c r="N5" s="424"/>
      <c r="O5" s="424"/>
      <c r="P5" s="424"/>
      <c r="Q5" s="424"/>
      <c r="R5" s="424"/>
      <c r="S5" s="424"/>
      <c r="T5" s="424"/>
      <c r="U5" s="424"/>
      <c r="V5" s="424"/>
      <c r="W5" s="424"/>
      <c r="X5" s="424"/>
      <c r="Y5" s="424"/>
      <c r="Z5" s="424"/>
      <c r="AA5" s="424"/>
      <c r="AB5" s="424"/>
      <c r="AC5" s="424"/>
      <c r="AD5" s="424"/>
      <c r="AE5" s="424"/>
      <c r="AF5" s="424"/>
      <c r="AG5" s="424"/>
      <c r="AH5" s="424"/>
      <c r="AI5" s="424"/>
      <c r="AJ5" s="424"/>
      <c r="AK5" s="424"/>
      <c r="AL5" s="424"/>
      <c r="AM5" s="424"/>
      <c r="AN5" s="424"/>
    </row>
    <row r="6" spans="1:40" x14ac:dyDescent="0.25">
      <c r="B6" s="102" t="s">
        <v>12</v>
      </c>
      <c r="C6" s="40"/>
      <c r="D6" s="40"/>
      <c r="E6" s="40"/>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row>
    <row r="7" spans="1:40" x14ac:dyDescent="0.25">
      <c r="B7" s="102" t="s">
        <v>9</v>
      </c>
      <c r="C7" s="40" t="s">
        <v>15</v>
      </c>
      <c r="D7" s="425">
        <v>0.96399999999999997</v>
      </c>
      <c r="E7" s="425">
        <v>0.96399999999999997</v>
      </c>
      <c r="F7" s="310"/>
      <c r="G7" s="310"/>
      <c r="H7" s="310"/>
      <c r="I7" s="310"/>
      <c r="J7" s="310"/>
      <c r="K7" s="310"/>
      <c r="L7" s="310"/>
      <c r="M7" s="310"/>
      <c r="N7" s="310"/>
      <c r="O7" s="310"/>
      <c r="P7" s="310"/>
      <c r="Q7" s="310"/>
      <c r="R7" s="310"/>
      <c r="S7" s="310"/>
      <c r="T7" s="310"/>
      <c r="U7" s="310"/>
      <c r="V7" s="310"/>
      <c r="W7" s="310"/>
      <c r="X7" s="310"/>
      <c r="Y7" s="310"/>
      <c r="Z7" s="310"/>
      <c r="AA7" s="310"/>
      <c r="AB7" s="310"/>
      <c r="AC7" s="310"/>
      <c r="AD7" s="310"/>
      <c r="AE7" s="310"/>
      <c r="AF7" s="310"/>
      <c r="AG7" s="310"/>
      <c r="AH7" s="310"/>
      <c r="AI7" s="310"/>
      <c r="AJ7" s="310"/>
      <c r="AK7" s="310"/>
      <c r="AL7" s="310"/>
      <c r="AM7" s="310"/>
      <c r="AN7" s="310"/>
    </row>
    <row r="8" spans="1:40" x14ac:dyDescent="0.25">
      <c r="B8" s="102" t="s">
        <v>10</v>
      </c>
      <c r="C8" s="40" t="s">
        <v>15</v>
      </c>
      <c r="D8" s="425">
        <v>0</v>
      </c>
      <c r="E8" s="425">
        <v>0</v>
      </c>
      <c r="F8" s="310"/>
      <c r="G8" s="310"/>
      <c r="H8" s="310"/>
      <c r="I8" s="310"/>
      <c r="J8" s="310"/>
      <c r="K8" s="310"/>
      <c r="L8" s="310"/>
      <c r="M8" s="310"/>
      <c r="N8" s="310"/>
      <c r="O8" s="310"/>
      <c r="P8" s="310"/>
      <c r="Q8" s="310"/>
      <c r="R8" s="310"/>
      <c r="S8" s="310"/>
      <c r="T8" s="310"/>
      <c r="U8" s="310"/>
      <c r="V8" s="310"/>
      <c r="W8" s="310"/>
      <c r="X8" s="310"/>
      <c r="Y8" s="310"/>
      <c r="Z8" s="310"/>
      <c r="AA8" s="310"/>
      <c r="AB8" s="310"/>
      <c r="AC8" s="310"/>
      <c r="AD8" s="310"/>
      <c r="AE8" s="310"/>
      <c r="AF8" s="310"/>
      <c r="AG8" s="310"/>
      <c r="AH8" s="310"/>
      <c r="AI8" s="310"/>
      <c r="AJ8" s="310"/>
      <c r="AK8" s="310"/>
      <c r="AL8" s="310"/>
      <c r="AM8" s="310"/>
      <c r="AN8" s="310"/>
    </row>
    <row r="9" spans="1:40" x14ac:dyDescent="0.25">
      <c r="B9" s="102"/>
      <c r="C9" s="40"/>
      <c r="D9" s="40"/>
      <c r="E9" s="40"/>
      <c r="F9" s="424"/>
      <c r="G9" s="424"/>
      <c r="H9" s="424"/>
      <c r="I9" s="424"/>
      <c r="J9" s="424"/>
      <c r="K9" s="424"/>
      <c r="L9" s="424"/>
      <c r="M9" s="424"/>
      <c r="N9" s="424"/>
      <c r="O9" s="424"/>
      <c r="P9" s="424"/>
      <c r="Q9" s="424"/>
      <c r="R9" s="424"/>
      <c r="S9" s="424"/>
      <c r="T9" s="424"/>
      <c r="U9" s="424"/>
      <c r="V9" s="424"/>
      <c r="W9" s="424"/>
      <c r="X9" s="424"/>
      <c r="Y9" s="424"/>
      <c r="Z9" s="424"/>
      <c r="AA9" s="424"/>
      <c r="AB9" s="424"/>
      <c r="AC9" s="424"/>
      <c r="AD9" s="424"/>
      <c r="AE9" s="424"/>
      <c r="AF9" s="424"/>
      <c r="AG9" s="424"/>
      <c r="AH9" s="424"/>
      <c r="AI9" s="424"/>
      <c r="AJ9" s="424"/>
      <c r="AK9" s="424"/>
      <c r="AL9" s="424"/>
      <c r="AM9" s="424"/>
      <c r="AN9" s="424"/>
    </row>
    <row r="10" spans="1:40" x14ac:dyDescent="0.25">
      <c r="B10" s="102" t="s">
        <v>124</v>
      </c>
      <c r="C10" s="40" t="s">
        <v>126</v>
      </c>
      <c r="D10" s="426">
        <v>289462.29255087225</v>
      </c>
      <c r="E10" s="426">
        <v>296019.6290108774</v>
      </c>
      <c r="F10" s="311"/>
      <c r="G10" s="311"/>
      <c r="H10" s="311"/>
      <c r="I10" s="311"/>
      <c r="J10" s="311"/>
      <c r="K10" s="311"/>
      <c r="L10" s="311"/>
      <c r="M10" s="311"/>
      <c r="N10" s="311"/>
      <c r="O10" s="311"/>
      <c r="P10" s="311"/>
      <c r="Q10" s="311"/>
      <c r="R10" s="311"/>
      <c r="S10" s="311"/>
      <c r="T10" s="311"/>
      <c r="U10" s="311"/>
      <c r="V10" s="311"/>
      <c r="W10" s="311"/>
      <c r="X10" s="311"/>
      <c r="Y10" s="311"/>
      <c r="Z10" s="311"/>
      <c r="AA10" s="311"/>
      <c r="AB10" s="311"/>
      <c r="AC10" s="311"/>
      <c r="AD10" s="311"/>
      <c r="AE10" s="311"/>
      <c r="AF10" s="311"/>
      <c r="AG10" s="311"/>
      <c r="AH10" s="311"/>
      <c r="AI10" s="311"/>
      <c r="AJ10" s="311"/>
      <c r="AK10" s="311"/>
      <c r="AL10" s="311"/>
      <c r="AM10" s="311"/>
      <c r="AN10" s="311"/>
    </row>
    <row r="11" spans="1:40" x14ac:dyDescent="0.25">
      <c r="B11" s="102" t="s">
        <v>157</v>
      </c>
      <c r="C11" s="40"/>
      <c r="D11" s="426"/>
      <c r="E11" s="426">
        <f t="shared" ref="E11:AN11" si="1">E10-D10</f>
        <v>6557.3364600051427</v>
      </c>
      <c r="F11" s="427">
        <f t="shared" si="1"/>
        <v>-296019.6290108774</v>
      </c>
      <c r="G11" s="427">
        <f t="shared" si="1"/>
        <v>0</v>
      </c>
      <c r="H11" s="427">
        <f t="shared" si="1"/>
        <v>0</v>
      </c>
      <c r="I11" s="427">
        <f t="shared" si="1"/>
        <v>0</v>
      </c>
      <c r="J11" s="427">
        <f t="shared" si="1"/>
        <v>0</v>
      </c>
      <c r="K11" s="427">
        <f t="shared" si="1"/>
        <v>0</v>
      </c>
      <c r="L11" s="427">
        <f t="shared" si="1"/>
        <v>0</v>
      </c>
      <c r="M11" s="427">
        <f t="shared" si="1"/>
        <v>0</v>
      </c>
      <c r="N11" s="427">
        <f t="shared" si="1"/>
        <v>0</v>
      </c>
      <c r="O11" s="427">
        <f t="shared" si="1"/>
        <v>0</v>
      </c>
      <c r="P11" s="427">
        <f t="shared" si="1"/>
        <v>0</v>
      </c>
      <c r="Q11" s="427">
        <f t="shared" si="1"/>
        <v>0</v>
      </c>
      <c r="R11" s="427">
        <f t="shared" si="1"/>
        <v>0</v>
      </c>
      <c r="S11" s="427">
        <f t="shared" si="1"/>
        <v>0</v>
      </c>
      <c r="T11" s="427">
        <f t="shared" si="1"/>
        <v>0</v>
      </c>
      <c r="U11" s="427">
        <f t="shared" si="1"/>
        <v>0</v>
      </c>
      <c r="V11" s="427">
        <f t="shared" si="1"/>
        <v>0</v>
      </c>
      <c r="W11" s="427">
        <f t="shared" si="1"/>
        <v>0</v>
      </c>
      <c r="X11" s="427">
        <f t="shared" si="1"/>
        <v>0</v>
      </c>
      <c r="Y11" s="427">
        <f t="shared" si="1"/>
        <v>0</v>
      </c>
      <c r="Z11" s="427">
        <f t="shared" si="1"/>
        <v>0</v>
      </c>
      <c r="AA11" s="427">
        <f t="shared" si="1"/>
        <v>0</v>
      </c>
      <c r="AB11" s="427">
        <f t="shared" si="1"/>
        <v>0</v>
      </c>
      <c r="AC11" s="427">
        <f t="shared" si="1"/>
        <v>0</v>
      </c>
      <c r="AD11" s="427">
        <f t="shared" si="1"/>
        <v>0</v>
      </c>
      <c r="AE11" s="427">
        <f t="shared" si="1"/>
        <v>0</v>
      </c>
      <c r="AF11" s="427">
        <f t="shared" si="1"/>
        <v>0</v>
      </c>
      <c r="AG11" s="427">
        <f t="shared" si="1"/>
        <v>0</v>
      </c>
      <c r="AH11" s="427">
        <f t="shared" si="1"/>
        <v>0</v>
      </c>
      <c r="AI11" s="427">
        <f t="shared" si="1"/>
        <v>0</v>
      </c>
      <c r="AJ11" s="427">
        <f t="shared" si="1"/>
        <v>0</v>
      </c>
      <c r="AK11" s="427">
        <f t="shared" si="1"/>
        <v>0</v>
      </c>
      <c r="AL11" s="427">
        <f t="shared" si="1"/>
        <v>0</v>
      </c>
      <c r="AM11" s="427">
        <f t="shared" si="1"/>
        <v>0</v>
      </c>
      <c r="AN11" s="427">
        <f t="shared" si="1"/>
        <v>0</v>
      </c>
    </row>
    <row r="12" spans="1:40" x14ac:dyDescent="0.25">
      <c r="B12" s="102"/>
      <c r="C12" s="40"/>
      <c r="D12" s="40"/>
      <c r="E12" s="40"/>
      <c r="F12" s="40"/>
      <c r="G12" s="40"/>
      <c r="H12" s="40"/>
      <c r="I12" s="40"/>
      <c r="J12" s="40"/>
      <c r="K12" s="40"/>
      <c r="L12" s="40"/>
      <c r="M12" s="40"/>
      <c r="N12" s="40"/>
      <c r="O12" s="40"/>
      <c r="P12" s="40"/>
      <c r="Q12" s="40"/>
      <c r="R12" s="40"/>
      <c r="S12" s="40"/>
      <c r="T12" s="40"/>
      <c r="U12" s="40"/>
      <c r="V12" s="40"/>
      <c r="W12" s="40"/>
      <c r="X12" s="40"/>
      <c r="Y12" s="40"/>
      <c r="Z12" s="40"/>
      <c r="AA12" s="40"/>
      <c r="AB12" s="40"/>
      <c r="AC12" s="40"/>
      <c r="AD12" s="40"/>
      <c r="AE12" s="40"/>
      <c r="AF12" s="40"/>
      <c r="AG12" s="40"/>
      <c r="AH12" s="40"/>
      <c r="AI12" s="40"/>
      <c r="AJ12" s="40"/>
      <c r="AK12" s="40"/>
      <c r="AL12" s="40"/>
      <c r="AM12" s="40"/>
      <c r="AN12" s="40"/>
    </row>
    <row r="13" spans="1:40" x14ac:dyDescent="0.25">
      <c r="B13" s="102" t="s">
        <v>125</v>
      </c>
      <c r="C13" s="40" t="s">
        <v>126</v>
      </c>
      <c r="D13" s="422">
        <v>0</v>
      </c>
      <c r="E13" s="422">
        <v>0</v>
      </c>
      <c r="F13" s="311"/>
      <c r="G13" s="311"/>
      <c r="H13" s="311"/>
      <c r="I13" s="311"/>
      <c r="J13" s="311"/>
      <c r="K13" s="311"/>
      <c r="L13" s="311"/>
      <c r="M13" s="311"/>
      <c r="N13" s="311"/>
      <c r="O13" s="311"/>
      <c r="P13" s="311"/>
      <c r="Q13" s="311"/>
      <c r="R13" s="311"/>
      <c r="S13" s="311"/>
      <c r="T13" s="311"/>
      <c r="U13" s="311"/>
      <c r="V13" s="311"/>
      <c r="W13" s="311"/>
      <c r="X13" s="311"/>
      <c r="Y13" s="311"/>
      <c r="Z13" s="311"/>
      <c r="AA13" s="311"/>
      <c r="AB13" s="311"/>
      <c r="AC13" s="311"/>
      <c r="AD13" s="311"/>
      <c r="AE13" s="311"/>
      <c r="AF13" s="311"/>
      <c r="AG13" s="311"/>
      <c r="AH13" s="311"/>
      <c r="AI13" s="311"/>
      <c r="AJ13" s="311"/>
      <c r="AK13" s="311"/>
      <c r="AL13" s="311"/>
      <c r="AM13" s="311"/>
      <c r="AN13" s="311"/>
    </row>
    <row r="14" spans="1:40" x14ac:dyDescent="0.25">
      <c r="B14" s="102" t="s">
        <v>158</v>
      </c>
      <c r="C14" s="40"/>
      <c r="D14" s="422"/>
      <c r="E14" s="422">
        <f t="shared" ref="E14:AN14" si="2">E13-D13</f>
        <v>0</v>
      </c>
      <c r="F14" s="428">
        <f t="shared" si="2"/>
        <v>0</v>
      </c>
      <c r="G14" s="428">
        <f t="shared" si="2"/>
        <v>0</v>
      </c>
      <c r="H14" s="428">
        <f t="shared" si="2"/>
        <v>0</v>
      </c>
      <c r="I14" s="428">
        <f t="shared" si="2"/>
        <v>0</v>
      </c>
      <c r="J14" s="428">
        <f t="shared" si="2"/>
        <v>0</v>
      </c>
      <c r="K14" s="428">
        <f t="shared" si="2"/>
        <v>0</v>
      </c>
      <c r="L14" s="428">
        <f t="shared" si="2"/>
        <v>0</v>
      </c>
      <c r="M14" s="428">
        <f t="shared" si="2"/>
        <v>0</v>
      </c>
      <c r="N14" s="428">
        <f t="shared" si="2"/>
        <v>0</v>
      </c>
      <c r="O14" s="428">
        <f t="shared" si="2"/>
        <v>0</v>
      </c>
      <c r="P14" s="428">
        <f t="shared" si="2"/>
        <v>0</v>
      </c>
      <c r="Q14" s="428">
        <f t="shared" si="2"/>
        <v>0</v>
      </c>
      <c r="R14" s="428">
        <f t="shared" si="2"/>
        <v>0</v>
      </c>
      <c r="S14" s="428">
        <f t="shared" si="2"/>
        <v>0</v>
      </c>
      <c r="T14" s="428">
        <f t="shared" si="2"/>
        <v>0</v>
      </c>
      <c r="U14" s="428">
        <f t="shared" si="2"/>
        <v>0</v>
      </c>
      <c r="V14" s="428">
        <f t="shared" si="2"/>
        <v>0</v>
      </c>
      <c r="W14" s="428">
        <f t="shared" si="2"/>
        <v>0</v>
      </c>
      <c r="X14" s="428">
        <f t="shared" si="2"/>
        <v>0</v>
      </c>
      <c r="Y14" s="428">
        <f t="shared" si="2"/>
        <v>0</v>
      </c>
      <c r="Z14" s="428">
        <f t="shared" si="2"/>
        <v>0</v>
      </c>
      <c r="AA14" s="428">
        <f t="shared" si="2"/>
        <v>0</v>
      </c>
      <c r="AB14" s="428">
        <f t="shared" si="2"/>
        <v>0</v>
      </c>
      <c r="AC14" s="428">
        <f t="shared" si="2"/>
        <v>0</v>
      </c>
      <c r="AD14" s="428">
        <f t="shared" si="2"/>
        <v>0</v>
      </c>
      <c r="AE14" s="428">
        <f t="shared" si="2"/>
        <v>0</v>
      </c>
      <c r="AF14" s="428">
        <f t="shared" si="2"/>
        <v>0</v>
      </c>
      <c r="AG14" s="428">
        <f t="shared" si="2"/>
        <v>0</v>
      </c>
      <c r="AH14" s="428">
        <f t="shared" si="2"/>
        <v>0</v>
      </c>
      <c r="AI14" s="428">
        <f t="shared" si="2"/>
        <v>0</v>
      </c>
      <c r="AJ14" s="428">
        <f t="shared" si="2"/>
        <v>0</v>
      </c>
      <c r="AK14" s="428">
        <f t="shared" si="2"/>
        <v>0</v>
      </c>
      <c r="AL14" s="428">
        <f t="shared" si="2"/>
        <v>0</v>
      </c>
      <c r="AM14" s="428">
        <f t="shared" si="2"/>
        <v>0</v>
      </c>
      <c r="AN14" s="428">
        <f t="shared" si="2"/>
        <v>0</v>
      </c>
    </row>
    <row r="15" spans="1:40" x14ac:dyDescent="0.25">
      <c r="B15" s="103"/>
      <c r="C15" s="104"/>
      <c r="D15" s="104"/>
      <c r="E15" s="104"/>
      <c r="F15" s="104"/>
      <c r="G15" s="424"/>
      <c r="H15" s="424"/>
      <c r="I15" s="424"/>
      <c r="J15" s="424"/>
      <c r="K15" s="424"/>
      <c r="L15" s="424"/>
      <c r="M15" s="424"/>
      <c r="N15" s="424"/>
      <c r="O15" s="424"/>
      <c r="P15" s="424"/>
      <c r="Q15" s="424"/>
      <c r="R15" s="424"/>
      <c r="S15" s="424"/>
      <c r="T15" s="424"/>
      <c r="U15" s="424"/>
      <c r="V15" s="424"/>
      <c r="W15" s="424"/>
      <c r="X15" s="424"/>
      <c r="Y15" s="424"/>
      <c r="Z15" s="424"/>
      <c r="AA15" s="424"/>
      <c r="AB15" s="4"/>
      <c r="AC15" s="424"/>
      <c r="AD15" s="424"/>
      <c r="AE15" s="424"/>
      <c r="AF15" s="424"/>
      <c r="AG15" s="424"/>
      <c r="AH15" s="424"/>
      <c r="AI15" s="424"/>
      <c r="AJ15" s="424"/>
      <c r="AK15" s="424"/>
      <c r="AL15" s="424"/>
      <c r="AM15" s="424"/>
      <c r="AN15" s="424"/>
    </row>
    <row r="16" spans="1:40" x14ac:dyDescent="0.25">
      <c r="B16" s="102" t="s">
        <v>13</v>
      </c>
      <c r="C16" s="40"/>
      <c r="D16" s="40"/>
      <c r="E16" s="40"/>
      <c r="F16" s="40"/>
      <c r="G16" s="424"/>
      <c r="H16" s="424"/>
      <c r="I16" s="424"/>
      <c r="J16" s="424"/>
      <c r="K16" s="424"/>
      <c r="L16" s="424"/>
      <c r="M16" s="424"/>
      <c r="N16" s="424"/>
      <c r="O16" s="424"/>
      <c r="P16" s="424"/>
      <c r="Q16" s="424"/>
      <c r="R16" s="424"/>
      <c r="S16" s="424"/>
      <c r="T16" s="424"/>
      <c r="U16" s="424"/>
      <c r="V16" s="424"/>
      <c r="W16" s="424"/>
      <c r="X16" s="424"/>
      <c r="Y16" s="424"/>
      <c r="Z16" s="424"/>
      <c r="AA16" s="424"/>
      <c r="AB16" s="4"/>
      <c r="AC16" s="424"/>
      <c r="AD16" s="424"/>
      <c r="AE16" s="424"/>
      <c r="AF16" s="424"/>
      <c r="AG16" s="424"/>
      <c r="AH16" s="424"/>
      <c r="AI16" s="424"/>
      <c r="AJ16" s="424"/>
      <c r="AK16" s="424"/>
      <c r="AL16" s="424"/>
      <c r="AM16" s="424"/>
      <c r="AN16" s="424"/>
    </row>
    <row r="17" spans="2:41" x14ac:dyDescent="0.25">
      <c r="B17" s="102" t="s">
        <v>3</v>
      </c>
      <c r="C17" s="40" t="s">
        <v>14</v>
      </c>
      <c r="D17" s="428">
        <f t="shared" ref="D17:AN17" si="3">ROUND(D4*D7,0)</f>
        <v>43795</v>
      </c>
      <c r="E17" s="428">
        <f t="shared" si="3"/>
        <v>44355</v>
      </c>
      <c r="F17" s="427">
        <f t="shared" si="3"/>
        <v>0</v>
      </c>
      <c r="G17" s="427">
        <f t="shared" si="3"/>
        <v>0</v>
      </c>
      <c r="H17" s="427">
        <f t="shared" si="3"/>
        <v>0</v>
      </c>
      <c r="I17" s="427">
        <f t="shared" si="3"/>
        <v>0</v>
      </c>
      <c r="J17" s="427">
        <f t="shared" si="3"/>
        <v>0</v>
      </c>
      <c r="K17" s="427">
        <f t="shared" si="3"/>
        <v>0</v>
      </c>
      <c r="L17" s="427">
        <f t="shared" si="3"/>
        <v>0</v>
      </c>
      <c r="M17" s="427">
        <f t="shared" si="3"/>
        <v>0</v>
      </c>
      <c r="N17" s="427">
        <f t="shared" si="3"/>
        <v>0</v>
      </c>
      <c r="O17" s="427">
        <f t="shared" si="3"/>
        <v>0</v>
      </c>
      <c r="P17" s="427">
        <f t="shared" si="3"/>
        <v>0</v>
      </c>
      <c r="Q17" s="427">
        <f t="shared" si="3"/>
        <v>0</v>
      </c>
      <c r="R17" s="427">
        <f t="shared" si="3"/>
        <v>0</v>
      </c>
      <c r="S17" s="427">
        <f t="shared" si="3"/>
        <v>0</v>
      </c>
      <c r="T17" s="427">
        <f t="shared" si="3"/>
        <v>0</v>
      </c>
      <c r="U17" s="427">
        <f t="shared" si="3"/>
        <v>0</v>
      </c>
      <c r="V17" s="427">
        <f t="shared" si="3"/>
        <v>0</v>
      </c>
      <c r="W17" s="427">
        <f t="shared" si="3"/>
        <v>0</v>
      </c>
      <c r="X17" s="427">
        <f t="shared" si="3"/>
        <v>0</v>
      </c>
      <c r="Y17" s="427">
        <f t="shared" si="3"/>
        <v>0</v>
      </c>
      <c r="Z17" s="427">
        <f t="shared" si="3"/>
        <v>0</v>
      </c>
      <c r="AA17" s="427">
        <f t="shared" si="3"/>
        <v>0</v>
      </c>
      <c r="AB17" s="427">
        <f t="shared" si="3"/>
        <v>0</v>
      </c>
      <c r="AC17" s="427">
        <f t="shared" si="3"/>
        <v>0</v>
      </c>
      <c r="AD17" s="427">
        <f t="shared" si="3"/>
        <v>0</v>
      </c>
      <c r="AE17" s="427">
        <f t="shared" si="3"/>
        <v>0</v>
      </c>
      <c r="AF17" s="427">
        <f t="shared" si="3"/>
        <v>0</v>
      </c>
      <c r="AG17" s="427">
        <f t="shared" si="3"/>
        <v>0</v>
      </c>
      <c r="AH17" s="427">
        <f t="shared" si="3"/>
        <v>0</v>
      </c>
      <c r="AI17" s="427">
        <f t="shared" si="3"/>
        <v>0</v>
      </c>
      <c r="AJ17" s="427">
        <f t="shared" si="3"/>
        <v>0</v>
      </c>
      <c r="AK17" s="427">
        <f t="shared" si="3"/>
        <v>0</v>
      </c>
      <c r="AL17" s="427">
        <f t="shared" si="3"/>
        <v>0</v>
      </c>
      <c r="AM17" s="427">
        <f t="shared" si="3"/>
        <v>0</v>
      </c>
      <c r="AN17" s="427">
        <f t="shared" si="3"/>
        <v>0</v>
      </c>
    </row>
    <row r="18" spans="2:41" x14ac:dyDescent="0.25">
      <c r="B18" s="102" t="s">
        <v>4</v>
      </c>
      <c r="C18" s="40" t="s">
        <v>14</v>
      </c>
      <c r="D18" s="428">
        <f t="shared" ref="D18:AN18" si="4">ROUND(D4*D8,0)</f>
        <v>0</v>
      </c>
      <c r="E18" s="428">
        <f t="shared" si="4"/>
        <v>0</v>
      </c>
      <c r="F18" s="427">
        <f t="shared" si="4"/>
        <v>0</v>
      </c>
      <c r="G18" s="427">
        <f t="shared" si="4"/>
        <v>0</v>
      </c>
      <c r="H18" s="427">
        <f t="shared" si="4"/>
        <v>0</v>
      </c>
      <c r="I18" s="427">
        <f t="shared" si="4"/>
        <v>0</v>
      </c>
      <c r="J18" s="427">
        <f t="shared" si="4"/>
        <v>0</v>
      </c>
      <c r="K18" s="427">
        <f t="shared" si="4"/>
        <v>0</v>
      </c>
      <c r="L18" s="427">
        <f t="shared" si="4"/>
        <v>0</v>
      </c>
      <c r="M18" s="427">
        <f t="shared" si="4"/>
        <v>0</v>
      </c>
      <c r="N18" s="427">
        <f t="shared" si="4"/>
        <v>0</v>
      </c>
      <c r="O18" s="427">
        <f t="shared" si="4"/>
        <v>0</v>
      </c>
      <c r="P18" s="427">
        <f t="shared" si="4"/>
        <v>0</v>
      </c>
      <c r="Q18" s="427">
        <f t="shared" si="4"/>
        <v>0</v>
      </c>
      <c r="R18" s="427">
        <f t="shared" si="4"/>
        <v>0</v>
      </c>
      <c r="S18" s="427">
        <f t="shared" si="4"/>
        <v>0</v>
      </c>
      <c r="T18" s="427">
        <f t="shared" si="4"/>
        <v>0</v>
      </c>
      <c r="U18" s="427">
        <f t="shared" si="4"/>
        <v>0</v>
      </c>
      <c r="V18" s="427">
        <f t="shared" si="4"/>
        <v>0</v>
      </c>
      <c r="W18" s="427">
        <f t="shared" si="4"/>
        <v>0</v>
      </c>
      <c r="X18" s="427">
        <f t="shared" si="4"/>
        <v>0</v>
      </c>
      <c r="Y18" s="427">
        <f t="shared" si="4"/>
        <v>0</v>
      </c>
      <c r="Z18" s="427">
        <f t="shared" si="4"/>
        <v>0</v>
      </c>
      <c r="AA18" s="427">
        <f t="shared" si="4"/>
        <v>0</v>
      </c>
      <c r="AB18" s="427">
        <f t="shared" si="4"/>
        <v>0</v>
      </c>
      <c r="AC18" s="427">
        <f t="shared" si="4"/>
        <v>0</v>
      </c>
      <c r="AD18" s="427">
        <f t="shared" si="4"/>
        <v>0</v>
      </c>
      <c r="AE18" s="427">
        <f t="shared" si="4"/>
        <v>0</v>
      </c>
      <c r="AF18" s="427">
        <f t="shared" si="4"/>
        <v>0</v>
      </c>
      <c r="AG18" s="427">
        <f t="shared" si="4"/>
        <v>0</v>
      </c>
      <c r="AH18" s="427">
        <f t="shared" si="4"/>
        <v>0</v>
      </c>
      <c r="AI18" s="427">
        <f t="shared" si="4"/>
        <v>0</v>
      </c>
      <c r="AJ18" s="427">
        <f t="shared" si="4"/>
        <v>0</v>
      </c>
      <c r="AK18" s="427">
        <f t="shared" si="4"/>
        <v>0</v>
      </c>
      <c r="AL18" s="427">
        <f t="shared" si="4"/>
        <v>0</v>
      </c>
      <c r="AM18" s="427">
        <f t="shared" si="4"/>
        <v>0</v>
      </c>
      <c r="AN18" s="427">
        <f t="shared" si="4"/>
        <v>0</v>
      </c>
    </row>
    <row r="19" spans="2:41" x14ac:dyDescent="0.25">
      <c r="B19" s="103"/>
      <c r="C19" s="104"/>
      <c r="D19" s="104"/>
      <c r="E19" s="104"/>
      <c r="F19" s="104"/>
      <c r="G19" s="429"/>
      <c r="H19" s="429"/>
      <c r="I19" s="429"/>
      <c r="J19" s="429"/>
      <c r="K19" s="429"/>
      <c r="L19" s="429"/>
      <c r="M19" s="429"/>
      <c r="N19" s="429"/>
      <c r="O19" s="429"/>
      <c r="P19" s="429"/>
      <c r="Q19" s="429"/>
      <c r="R19" s="429"/>
      <c r="S19" s="429"/>
      <c r="T19" s="429"/>
      <c r="U19" s="429"/>
      <c r="V19" s="429"/>
      <c r="W19" s="429"/>
      <c r="X19" s="429"/>
      <c r="Y19" s="429"/>
      <c r="Z19" s="429"/>
      <c r="AA19" s="429"/>
      <c r="AB19" s="133"/>
      <c r="AC19" s="429"/>
      <c r="AD19" s="429"/>
      <c r="AE19" s="429"/>
      <c r="AF19" s="429"/>
      <c r="AG19" s="429"/>
      <c r="AH19" s="429"/>
      <c r="AI19" s="429"/>
      <c r="AJ19" s="429"/>
      <c r="AK19" s="429"/>
      <c r="AL19" s="429"/>
      <c r="AM19" s="429"/>
      <c r="AN19" s="429"/>
    </row>
    <row r="20" spans="2:41" x14ac:dyDescent="0.25">
      <c r="B20" s="102" t="s">
        <v>121</v>
      </c>
      <c r="C20" s="40"/>
      <c r="D20" s="40"/>
      <c r="E20" s="40"/>
      <c r="F20" s="40"/>
      <c r="G20" s="94"/>
      <c r="H20" s="94"/>
      <c r="I20" s="94"/>
      <c r="J20" s="94"/>
      <c r="K20" s="94"/>
      <c r="L20" s="94"/>
      <c r="M20" s="94"/>
      <c r="N20" s="94"/>
      <c r="O20" s="94"/>
      <c r="P20" s="94"/>
      <c r="Q20" s="94"/>
      <c r="R20" s="94"/>
      <c r="S20" s="94"/>
      <c r="T20" s="94"/>
      <c r="U20" s="94"/>
      <c r="V20" s="94"/>
      <c r="W20" s="94"/>
      <c r="X20" s="94"/>
      <c r="Y20" s="94"/>
      <c r="Z20" s="94"/>
      <c r="AA20" s="94"/>
      <c r="AB20" s="94"/>
      <c r="AC20" s="94"/>
      <c r="AD20" s="94"/>
      <c r="AE20" s="94"/>
      <c r="AF20" s="94"/>
      <c r="AG20" s="94"/>
      <c r="AH20" s="94"/>
      <c r="AI20" s="94"/>
      <c r="AJ20" s="94"/>
      <c r="AK20" s="94"/>
      <c r="AL20" s="94"/>
      <c r="AM20" s="94"/>
      <c r="AN20" s="94"/>
    </row>
    <row r="21" spans="2:41" x14ac:dyDescent="0.25">
      <c r="B21" s="102" t="s">
        <v>3</v>
      </c>
      <c r="C21" s="40" t="s">
        <v>14</v>
      </c>
      <c r="D21" s="244"/>
      <c r="E21" s="244">
        <f t="shared" ref="E21:AN21" si="5">ROUND(E4-D4,0)</f>
        <v>581</v>
      </c>
      <c r="F21" s="244">
        <f t="shared" si="5"/>
        <v>-46012</v>
      </c>
      <c r="G21" s="244">
        <f t="shared" si="5"/>
        <v>0</v>
      </c>
      <c r="H21" s="244">
        <f t="shared" si="5"/>
        <v>0</v>
      </c>
      <c r="I21" s="244">
        <f t="shared" si="5"/>
        <v>0</v>
      </c>
      <c r="J21" s="244">
        <f t="shared" si="5"/>
        <v>0</v>
      </c>
      <c r="K21" s="244">
        <f t="shared" si="5"/>
        <v>0</v>
      </c>
      <c r="L21" s="244">
        <f t="shared" si="5"/>
        <v>0</v>
      </c>
      <c r="M21" s="244">
        <f t="shared" si="5"/>
        <v>0</v>
      </c>
      <c r="N21" s="244">
        <f t="shared" si="5"/>
        <v>0</v>
      </c>
      <c r="O21" s="244">
        <f t="shared" si="5"/>
        <v>0</v>
      </c>
      <c r="P21" s="244">
        <f t="shared" si="5"/>
        <v>0</v>
      </c>
      <c r="Q21" s="244">
        <f t="shared" si="5"/>
        <v>0</v>
      </c>
      <c r="R21" s="244">
        <f t="shared" si="5"/>
        <v>0</v>
      </c>
      <c r="S21" s="244">
        <f t="shared" si="5"/>
        <v>0</v>
      </c>
      <c r="T21" s="244">
        <f t="shared" si="5"/>
        <v>0</v>
      </c>
      <c r="U21" s="244">
        <f t="shared" si="5"/>
        <v>0</v>
      </c>
      <c r="V21" s="244">
        <f t="shared" si="5"/>
        <v>0</v>
      </c>
      <c r="W21" s="244">
        <f t="shared" si="5"/>
        <v>0</v>
      </c>
      <c r="X21" s="244">
        <f t="shared" si="5"/>
        <v>0</v>
      </c>
      <c r="Y21" s="244">
        <f t="shared" si="5"/>
        <v>0</v>
      </c>
      <c r="Z21" s="244">
        <f t="shared" si="5"/>
        <v>0</v>
      </c>
      <c r="AA21" s="244">
        <f t="shared" si="5"/>
        <v>0</v>
      </c>
      <c r="AB21" s="244">
        <f t="shared" si="5"/>
        <v>0</v>
      </c>
      <c r="AC21" s="244">
        <f t="shared" si="5"/>
        <v>0</v>
      </c>
      <c r="AD21" s="244">
        <f t="shared" si="5"/>
        <v>0</v>
      </c>
      <c r="AE21" s="244">
        <f t="shared" si="5"/>
        <v>0</v>
      </c>
      <c r="AF21" s="244">
        <f t="shared" si="5"/>
        <v>0</v>
      </c>
      <c r="AG21" s="244">
        <f t="shared" si="5"/>
        <v>0</v>
      </c>
      <c r="AH21" s="244">
        <f t="shared" si="5"/>
        <v>0</v>
      </c>
      <c r="AI21" s="244">
        <f t="shared" si="5"/>
        <v>0</v>
      </c>
      <c r="AJ21" s="244">
        <f t="shared" si="5"/>
        <v>0</v>
      </c>
      <c r="AK21" s="244">
        <f t="shared" si="5"/>
        <v>0</v>
      </c>
      <c r="AL21" s="244">
        <f t="shared" si="5"/>
        <v>0</v>
      </c>
      <c r="AM21" s="244">
        <f t="shared" si="5"/>
        <v>0</v>
      </c>
      <c r="AN21" s="244">
        <f t="shared" si="5"/>
        <v>0</v>
      </c>
      <c r="AO21" s="1">
        <f>SUM(F21:AN21)</f>
        <v>-46012</v>
      </c>
    </row>
    <row r="22" spans="2:41" x14ac:dyDescent="0.25">
      <c r="B22" s="102" t="s">
        <v>4</v>
      </c>
      <c r="C22" s="40" t="s">
        <v>14</v>
      </c>
      <c r="D22" s="244"/>
      <c r="E22" s="244">
        <f t="shared" ref="E22:AN22" si="6">ROUND(E4-D4,0)</f>
        <v>581</v>
      </c>
      <c r="F22" s="244">
        <f t="shared" si="6"/>
        <v>-46012</v>
      </c>
      <c r="G22" s="244">
        <f t="shared" si="6"/>
        <v>0</v>
      </c>
      <c r="H22" s="244">
        <f t="shared" si="6"/>
        <v>0</v>
      </c>
      <c r="I22" s="244">
        <f t="shared" si="6"/>
        <v>0</v>
      </c>
      <c r="J22" s="244">
        <f t="shared" si="6"/>
        <v>0</v>
      </c>
      <c r="K22" s="244">
        <f t="shared" si="6"/>
        <v>0</v>
      </c>
      <c r="L22" s="244">
        <f t="shared" si="6"/>
        <v>0</v>
      </c>
      <c r="M22" s="244">
        <f t="shared" si="6"/>
        <v>0</v>
      </c>
      <c r="N22" s="244">
        <f t="shared" si="6"/>
        <v>0</v>
      </c>
      <c r="O22" s="244">
        <f t="shared" si="6"/>
        <v>0</v>
      </c>
      <c r="P22" s="244">
        <f t="shared" si="6"/>
        <v>0</v>
      </c>
      <c r="Q22" s="244">
        <f t="shared" si="6"/>
        <v>0</v>
      </c>
      <c r="R22" s="244">
        <f t="shared" si="6"/>
        <v>0</v>
      </c>
      <c r="S22" s="244">
        <f t="shared" si="6"/>
        <v>0</v>
      </c>
      <c r="T22" s="244">
        <f t="shared" si="6"/>
        <v>0</v>
      </c>
      <c r="U22" s="244">
        <f t="shared" si="6"/>
        <v>0</v>
      </c>
      <c r="V22" s="244">
        <f t="shared" si="6"/>
        <v>0</v>
      </c>
      <c r="W22" s="244">
        <f t="shared" si="6"/>
        <v>0</v>
      </c>
      <c r="X22" s="244">
        <f t="shared" si="6"/>
        <v>0</v>
      </c>
      <c r="Y22" s="244">
        <f t="shared" si="6"/>
        <v>0</v>
      </c>
      <c r="Z22" s="244">
        <f t="shared" si="6"/>
        <v>0</v>
      </c>
      <c r="AA22" s="244">
        <f t="shared" si="6"/>
        <v>0</v>
      </c>
      <c r="AB22" s="244">
        <f t="shared" si="6"/>
        <v>0</v>
      </c>
      <c r="AC22" s="244">
        <f t="shared" si="6"/>
        <v>0</v>
      </c>
      <c r="AD22" s="244">
        <f t="shared" si="6"/>
        <v>0</v>
      </c>
      <c r="AE22" s="244">
        <f t="shared" si="6"/>
        <v>0</v>
      </c>
      <c r="AF22" s="244">
        <f t="shared" si="6"/>
        <v>0</v>
      </c>
      <c r="AG22" s="244">
        <f t="shared" si="6"/>
        <v>0</v>
      </c>
      <c r="AH22" s="244">
        <f t="shared" si="6"/>
        <v>0</v>
      </c>
      <c r="AI22" s="244">
        <f t="shared" si="6"/>
        <v>0</v>
      </c>
      <c r="AJ22" s="244">
        <f t="shared" si="6"/>
        <v>0</v>
      </c>
      <c r="AK22" s="244">
        <f t="shared" si="6"/>
        <v>0</v>
      </c>
      <c r="AL22" s="244">
        <f t="shared" si="6"/>
        <v>0</v>
      </c>
      <c r="AM22" s="244">
        <f t="shared" si="6"/>
        <v>0</v>
      </c>
      <c r="AN22" s="244">
        <f t="shared" si="6"/>
        <v>0</v>
      </c>
      <c r="AO22" s="1">
        <f>SUM(F22:AN22)</f>
        <v>-46012</v>
      </c>
    </row>
    <row r="23" spans="2:41" x14ac:dyDescent="0.25">
      <c r="B23" s="103"/>
      <c r="C23" s="104"/>
      <c r="D23" s="104"/>
      <c r="E23" s="104"/>
      <c r="F23" s="104"/>
      <c r="G23" s="104"/>
      <c r="H23" s="104"/>
      <c r="I23" s="104"/>
      <c r="J23" s="104"/>
      <c r="K23" s="104"/>
      <c r="L23" s="104"/>
      <c r="M23" s="104"/>
      <c r="N23" s="104"/>
      <c r="O23" s="104"/>
      <c r="P23" s="104"/>
      <c r="Q23" s="104"/>
      <c r="R23" s="104"/>
      <c r="S23" s="104"/>
      <c r="T23" s="104"/>
      <c r="U23" s="104"/>
      <c r="V23" s="104"/>
      <c r="W23" s="104"/>
      <c r="X23" s="104"/>
      <c r="Y23" s="104"/>
      <c r="Z23" s="104"/>
      <c r="AA23" s="104"/>
      <c r="AB23" s="104"/>
      <c r="AC23" s="104"/>
      <c r="AD23" s="104"/>
      <c r="AE23" s="104"/>
      <c r="AF23" s="104"/>
      <c r="AG23" s="104"/>
      <c r="AH23" s="104"/>
      <c r="AI23" s="104"/>
      <c r="AJ23" s="104"/>
      <c r="AK23" s="104"/>
      <c r="AL23" s="104"/>
      <c r="AM23" s="104"/>
      <c r="AN23" s="104"/>
    </row>
    <row r="24" spans="2:41" x14ac:dyDescent="0.25">
      <c r="B24" s="103" t="s">
        <v>640</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row>
    <row r="25" spans="2:41" x14ac:dyDescent="0.25">
      <c r="B25" s="103" t="s">
        <v>3</v>
      </c>
      <c r="C25" s="104" t="s">
        <v>14</v>
      </c>
      <c r="D25" s="428">
        <f>ROUND(D4-D17,0)</f>
        <v>1636</v>
      </c>
      <c r="E25" s="773">
        <f t="shared" ref="E25:AN25" si="7">E4-E17</f>
        <v>1656.5803525349329</v>
      </c>
      <c r="F25" s="244">
        <f t="shared" si="7"/>
        <v>0</v>
      </c>
      <c r="G25" s="244">
        <f t="shared" si="7"/>
        <v>0</v>
      </c>
      <c r="H25" s="244">
        <f t="shared" si="7"/>
        <v>0</v>
      </c>
      <c r="I25" s="244">
        <f t="shared" si="7"/>
        <v>0</v>
      </c>
      <c r="J25" s="244">
        <f t="shared" si="7"/>
        <v>0</v>
      </c>
      <c r="K25" s="244">
        <f t="shared" si="7"/>
        <v>0</v>
      </c>
      <c r="L25" s="244">
        <f t="shared" si="7"/>
        <v>0</v>
      </c>
      <c r="M25" s="244">
        <f t="shared" si="7"/>
        <v>0</v>
      </c>
      <c r="N25" s="244">
        <f t="shared" si="7"/>
        <v>0</v>
      </c>
      <c r="O25" s="244">
        <f t="shared" si="7"/>
        <v>0</v>
      </c>
      <c r="P25" s="244">
        <f t="shared" si="7"/>
        <v>0</v>
      </c>
      <c r="Q25" s="244">
        <f t="shared" si="7"/>
        <v>0</v>
      </c>
      <c r="R25" s="244">
        <f t="shared" si="7"/>
        <v>0</v>
      </c>
      <c r="S25" s="244">
        <f t="shared" si="7"/>
        <v>0</v>
      </c>
      <c r="T25" s="244">
        <f t="shared" si="7"/>
        <v>0</v>
      </c>
      <c r="U25" s="244">
        <f t="shared" si="7"/>
        <v>0</v>
      </c>
      <c r="V25" s="244">
        <f t="shared" si="7"/>
        <v>0</v>
      </c>
      <c r="W25" s="244">
        <f t="shared" si="7"/>
        <v>0</v>
      </c>
      <c r="X25" s="244">
        <f t="shared" si="7"/>
        <v>0</v>
      </c>
      <c r="Y25" s="244">
        <f t="shared" si="7"/>
        <v>0</v>
      </c>
      <c r="Z25" s="244">
        <f t="shared" si="7"/>
        <v>0</v>
      </c>
      <c r="AA25" s="244">
        <f t="shared" si="7"/>
        <v>0</v>
      </c>
      <c r="AB25" s="244">
        <f t="shared" si="7"/>
        <v>0</v>
      </c>
      <c r="AC25" s="244">
        <f t="shared" si="7"/>
        <v>0</v>
      </c>
      <c r="AD25" s="244">
        <f t="shared" si="7"/>
        <v>0</v>
      </c>
      <c r="AE25" s="244">
        <f t="shared" si="7"/>
        <v>0</v>
      </c>
      <c r="AF25" s="244">
        <f t="shared" si="7"/>
        <v>0</v>
      </c>
      <c r="AG25" s="244">
        <f t="shared" si="7"/>
        <v>0</v>
      </c>
      <c r="AH25" s="244">
        <f t="shared" si="7"/>
        <v>0</v>
      </c>
      <c r="AI25" s="244">
        <f t="shared" si="7"/>
        <v>0</v>
      </c>
      <c r="AJ25" s="244">
        <f t="shared" si="7"/>
        <v>0</v>
      </c>
      <c r="AK25" s="244">
        <f t="shared" si="7"/>
        <v>0</v>
      </c>
      <c r="AL25" s="244">
        <f t="shared" si="7"/>
        <v>0</v>
      </c>
      <c r="AM25" s="244">
        <f t="shared" si="7"/>
        <v>0</v>
      </c>
      <c r="AN25" s="244">
        <f t="shared" si="7"/>
        <v>0</v>
      </c>
      <c r="AO25" s="1"/>
    </row>
    <row r="26" spans="2:41" x14ac:dyDescent="0.25">
      <c r="B26" s="103" t="s">
        <v>4</v>
      </c>
      <c r="C26" s="104" t="s">
        <v>14</v>
      </c>
      <c r="D26" s="428">
        <f>ROUND(D4-D18,0)</f>
        <v>45431</v>
      </c>
      <c r="E26" s="773">
        <f t="shared" ref="E26:AN26" si="8">E4-E18</f>
        <v>46011.580352534933</v>
      </c>
      <c r="F26" s="244">
        <f t="shared" si="8"/>
        <v>0</v>
      </c>
      <c r="G26" s="244">
        <f t="shared" si="8"/>
        <v>0</v>
      </c>
      <c r="H26" s="244">
        <f t="shared" si="8"/>
        <v>0</v>
      </c>
      <c r="I26" s="244">
        <f t="shared" si="8"/>
        <v>0</v>
      </c>
      <c r="J26" s="244">
        <f t="shared" si="8"/>
        <v>0</v>
      </c>
      <c r="K26" s="244">
        <f t="shared" si="8"/>
        <v>0</v>
      </c>
      <c r="L26" s="244">
        <f t="shared" si="8"/>
        <v>0</v>
      </c>
      <c r="M26" s="244">
        <f t="shared" si="8"/>
        <v>0</v>
      </c>
      <c r="N26" s="244">
        <f t="shared" si="8"/>
        <v>0</v>
      </c>
      <c r="O26" s="244">
        <f t="shared" si="8"/>
        <v>0</v>
      </c>
      <c r="P26" s="244">
        <f t="shared" si="8"/>
        <v>0</v>
      </c>
      <c r="Q26" s="244">
        <f t="shared" si="8"/>
        <v>0</v>
      </c>
      <c r="R26" s="244">
        <f t="shared" si="8"/>
        <v>0</v>
      </c>
      <c r="S26" s="244">
        <f t="shared" si="8"/>
        <v>0</v>
      </c>
      <c r="T26" s="244">
        <f t="shared" si="8"/>
        <v>0</v>
      </c>
      <c r="U26" s="244">
        <f t="shared" si="8"/>
        <v>0</v>
      </c>
      <c r="V26" s="244">
        <f t="shared" si="8"/>
        <v>0</v>
      </c>
      <c r="W26" s="244">
        <f t="shared" si="8"/>
        <v>0</v>
      </c>
      <c r="X26" s="244">
        <f t="shared" si="8"/>
        <v>0</v>
      </c>
      <c r="Y26" s="244">
        <f t="shared" si="8"/>
        <v>0</v>
      </c>
      <c r="Z26" s="244">
        <f t="shared" si="8"/>
        <v>0</v>
      </c>
      <c r="AA26" s="244">
        <f t="shared" si="8"/>
        <v>0</v>
      </c>
      <c r="AB26" s="244">
        <f t="shared" si="8"/>
        <v>0</v>
      </c>
      <c r="AC26" s="244">
        <f t="shared" si="8"/>
        <v>0</v>
      </c>
      <c r="AD26" s="244">
        <f t="shared" si="8"/>
        <v>0</v>
      </c>
      <c r="AE26" s="244">
        <f t="shared" si="8"/>
        <v>0</v>
      </c>
      <c r="AF26" s="244">
        <f t="shared" si="8"/>
        <v>0</v>
      </c>
      <c r="AG26" s="244">
        <f t="shared" si="8"/>
        <v>0</v>
      </c>
      <c r="AH26" s="244">
        <f t="shared" si="8"/>
        <v>0</v>
      </c>
      <c r="AI26" s="244">
        <f t="shared" si="8"/>
        <v>0</v>
      </c>
      <c r="AJ26" s="244">
        <f t="shared" si="8"/>
        <v>0</v>
      </c>
      <c r="AK26" s="244">
        <f t="shared" si="8"/>
        <v>0</v>
      </c>
      <c r="AL26" s="244">
        <f t="shared" si="8"/>
        <v>0</v>
      </c>
      <c r="AM26" s="244">
        <f t="shared" si="8"/>
        <v>0</v>
      </c>
      <c r="AN26" s="244">
        <f t="shared" si="8"/>
        <v>0</v>
      </c>
      <c r="AO26" s="1"/>
    </row>
    <row r="27" spans="2:41" x14ac:dyDescent="0.25">
      <c r="B27" s="102"/>
      <c r="C27" s="40"/>
      <c r="D27" s="424"/>
      <c r="E27" s="424"/>
      <c r="F27" s="424"/>
      <c r="G27" s="424"/>
      <c r="H27" s="424"/>
      <c r="I27" s="424"/>
      <c r="J27" s="424"/>
      <c r="K27" s="424"/>
      <c r="L27" s="424"/>
      <c r="M27" s="424"/>
      <c r="N27" s="424"/>
      <c r="O27" s="424"/>
      <c r="P27" s="424"/>
      <c r="Q27" s="424"/>
      <c r="R27" s="424"/>
      <c r="S27" s="424"/>
      <c r="T27" s="424"/>
      <c r="U27" s="424"/>
      <c r="V27" s="424"/>
      <c r="W27" s="424"/>
      <c r="X27" s="424"/>
      <c r="Y27" s="424"/>
      <c r="Z27" s="424"/>
      <c r="AA27" s="424"/>
      <c r="AB27" s="424"/>
      <c r="AC27" s="424"/>
      <c r="AD27" s="424"/>
      <c r="AE27" s="424"/>
      <c r="AF27" s="424"/>
      <c r="AG27" s="424"/>
      <c r="AH27" s="424"/>
      <c r="AI27" s="424"/>
      <c r="AJ27" s="424"/>
      <c r="AK27" s="424"/>
      <c r="AL27" s="424"/>
      <c r="AM27" s="424"/>
      <c r="AN27" s="424"/>
    </row>
    <row r="28" spans="2:41" x14ac:dyDescent="0.25">
      <c r="B28" s="102" t="s">
        <v>641</v>
      </c>
      <c r="C28" s="40"/>
      <c r="D28" s="424"/>
      <c r="E28" s="424"/>
      <c r="F28" s="424"/>
      <c r="G28" s="424"/>
      <c r="H28" s="424"/>
      <c r="I28" s="424"/>
      <c r="J28" s="424"/>
      <c r="K28" s="424"/>
      <c r="L28" s="424"/>
      <c r="M28" s="424"/>
      <c r="N28" s="424"/>
      <c r="O28" s="424"/>
      <c r="P28" s="424"/>
      <c r="Q28" s="424"/>
      <c r="R28" s="424"/>
      <c r="S28" s="424"/>
      <c r="T28" s="424"/>
      <c r="U28" s="424"/>
      <c r="V28" s="424"/>
      <c r="W28" s="424"/>
      <c r="X28" s="424"/>
      <c r="Y28" s="424"/>
      <c r="Z28" s="424"/>
      <c r="AA28" s="424"/>
      <c r="AB28" s="424"/>
      <c r="AC28" s="424"/>
      <c r="AD28" s="424"/>
      <c r="AE28" s="424"/>
      <c r="AF28" s="424"/>
      <c r="AG28" s="424"/>
      <c r="AH28" s="424"/>
      <c r="AI28" s="424"/>
      <c r="AJ28" s="424"/>
      <c r="AK28" s="424"/>
      <c r="AL28" s="424"/>
      <c r="AM28" s="424"/>
      <c r="AN28" s="424"/>
    </row>
    <row r="29" spans="2:41" x14ac:dyDescent="0.25">
      <c r="B29" s="102" t="s">
        <v>3</v>
      </c>
      <c r="C29" s="40" t="s">
        <v>14</v>
      </c>
      <c r="D29" s="428">
        <f t="shared" ref="D29:AN29" si="9">D4-D17</f>
        <v>1635.8591894329365</v>
      </c>
      <c r="E29" s="773">
        <f t="shared" si="9"/>
        <v>1656.5803525349329</v>
      </c>
      <c r="F29" s="244">
        <f t="shared" si="9"/>
        <v>0</v>
      </c>
      <c r="G29" s="244">
        <f t="shared" si="9"/>
        <v>0</v>
      </c>
      <c r="H29" s="244">
        <f t="shared" si="9"/>
        <v>0</v>
      </c>
      <c r="I29" s="244">
        <f t="shared" si="9"/>
        <v>0</v>
      </c>
      <c r="J29" s="244">
        <f t="shared" si="9"/>
        <v>0</v>
      </c>
      <c r="K29" s="244">
        <f t="shared" si="9"/>
        <v>0</v>
      </c>
      <c r="L29" s="244">
        <f t="shared" si="9"/>
        <v>0</v>
      </c>
      <c r="M29" s="244">
        <f t="shared" si="9"/>
        <v>0</v>
      </c>
      <c r="N29" s="244">
        <f t="shared" si="9"/>
        <v>0</v>
      </c>
      <c r="O29" s="244">
        <f t="shared" si="9"/>
        <v>0</v>
      </c>
      <c r="P29" s="244">
        <f t="shared" si="9"/>
        <v>0</v>
      </c>
      <c r="Q29" s="244">
        <f t="shared" si="9"/>
        <v>0</v>
      </c>
      <c r="R29" s="244">
        <f t="shared" si="9"/>
        <v>0</v>
      </c>
      <c r="S29" s="244">
        <f t="shared" si="9"/>
        <v>0</v>
      </c>
      <c r="T29" s="244">
        <f t="shared" si="9"/>
        <v>0</v>
      </c>
      <c r="U29" s="244">
        <f t="shared" si="9"/>
        <v>0</v>
      </c>
      <c r="V29" s="244">
        <f t="shared" si="9"/>
        <v>0</v>
      </c>
      <c r="W29" s="244">
        <f t="shared" si="9"/>
        <v>0</v>
      </c>
      <c r="X29" s="244">
        <f t="shared" si="9"/>
        <v>0</v>
      </c>
      <c r="Y29" s="244">
        <f t="shared" si="9"/>
        <v>0</v>
      </c>
      <c r="Z29" s="244">
        <f t="shared" si="9"/>
        <v>0</v>
      </c>
      <c r="AA29" s="244">
        <f t="shared" si="9"/>
        <v>0</v>
      </c>
      <c r="AB29" s="244">
        <f t="shared" si="9"/>
        <v>0</v>
      </c>
      <c r="AC29" s="244">
        <f t="shared" si="9"/>
        <v>0</v>
      </c>
      <c r="AD29" s="244">
        <f t="shared" si="9"/>
        <v>0</v>
      </c>
      <c r="AE29" s="244">
        <f t="shared" si="9"/>
        <v>0</v>
      </c>
      <c r="AF29" s="244">
        <f t="shared" si="9"/>
        <v>0</v>
      </c>
      <c r="AG29" s="244">
        <f t="shared" si="9"/>
        <v>0</v>
      </c>
      <c r="AH29" s="244">
        <f t="shared" si="9"/>
        <v>0</v>
      </c>
      <c r="AI29" s="244">
        <f t="shared" si="9"/>
        <v>0</v>
      </c>
      <c r="AJ29" s="244">
        <f t="shared" si="9"/>
        <v>0</v>
      </c>
      <c r="AK29" s="244">
        <f t="shared" si="9"/>
        <v>0</v>
      </c>
      <c r="AL29" s="244">
        <f t="shared" si="9"/>
        <v>0</v>
      </c>
      <c r="AM29" s="244">
        <f t="shared" si="9"/>
        <v>0</v>
      </c>
      <c r="AN29" s="244">
        <f t="shared" si="9"/>
        <v>0</v>
      </c>
      <c r="AO29" s="1"/>
    </row>
    <row r="30" spans="2:41" x14ac:dyDescent="0.25">
      <c r="B30" s="102" t="s">
        <v>4</v>
      </c>
      <c r="C30" s="40" t="s">
        <v>14</v>
      </c>
      <c r="D30" s="428">
        <f t="shared" ref="D30:AN30" si="10">D4-D18</f>
        <v>45430.859189432937</v>
      </c>
      <c r="E30" s="773">
        <f t="shared" si="10"/>
        <v>46011.580352534933</v>
      </c>
      <c r="F30" s="244">
        <f t="shared" si="10"/>
        <v>0</v>
      </c>
      <c r="G30" s="244">
        <f t="shared" si="10"/>
        <v>0</v>
      </c>
      <c r="H30" s="244">
        <f t="shared" si="10"/>
        <v>0</v>
      </c>
      <c r="I30" s="244">
        <f t="shared" si="10"/>
        <v>0</v>
      </c>
      <c r="J30" s="244">
        <f t="shared" si="10"/>
        <v>0</v>
      </c>
      <c r="K30" s="244">
        <f t="shared" si="10"/>
        <v>0</v>
      </c>
      <c r="L30" s="244">
        <f t="shared" si="10"/>
        <v>0</v>
      </c>
      <c r="M30" s="244">
        <f t="shared" si="10"/>
        <v>0</v>
      </c>
      <c r="N30" s="244">
        <f t="shared" si="10"/>
        <v>0</v>
      </c>
      <c r="O30" s="244">
        <f t="shared" si="10"/>
        <v>0</v>
      </c>
      <c r="P30" s="244">
        <f t="shared" si="10"/>
        <v>0</v>
      </c>
      <c r="Q30" s="244">
        <f t="shared" si="10"/>
        <v>0</v>
      </c>
      <c r="R30" s="244">
        <f t="shared" si="10"/>
        <v>0</v>
      </c>
      <c r="S30" s="244">
        <f t="shared" si="10"/>
        <v>0</v>
      </c>
      <c r="T30" s="244">
        <f t="shared" si="10"/>
        <v>0</v>
      </c>
      <c r="U30" s="244">
        <f t="shared" si="10"/>
        <v>0</v>
      </c>
      <c r="V30" s="244">
        <f t="shared" si="10"/>
        <v>0</v>
      </c>
      <c r="W30" s="244">
        <f t="shared" si="10"/>
        <v>0</v>
      </c>
      <c r="X30" s="244">
        <f t="shared" si="10"/>
        <v>0</v>
      </c>
      <c r="Y30" s="244">
        <f t="shared" si="10"/>
        <v>0</v>
      </c>
      <c r="Z30" s="244">
        <f t="shared" si="10"/>
        <v>0</v>
      </c>
      <c r="AA30" s="244">
        <f t="shared" si="10"/>
        <v>0</v>
      </c>
      <c r="AB30" s="244">
        <f t="shared" si="10"/>
        <v>0</v>
      </c>
      <c r="AC30" s="244">
        <f t="shared" si="10"/>
        <v>0</v>
      </c>
      <c r="AD30" s="244">
        <f t="shared" si="10"/>
        <v>0</v>
      </c>
      <c r="AE30" s="244">
        <f t="shared" si="10"/>
        <v>0</v>
      </c>
      <c r="AF30" s="244">
        <f t="shared" si="10"/>
        <v>0</v>
      </c>
      <c r="AG30" s="244">
        <f t="shared" si="10"/>
        <v>0</v>
      </c>
      <c r="AH30" s="244">
        <f t="shared" si="10"/>
        <v>0</v>
      </c>
      <c r="AI30" s="244">
        <f t="shared" si="10"/>
        <v>0</v>
      </c>
      <c r="AJ30" s="244">
        <f t="shared" si="10"/>
        <v>0</v>
      </c>
      <c r="AK30" s="244">
        <f t="shared" si="10"/>
        <v>0</v>
      </c>
      <c r="AL30" s="244">
        <f t="shared" si="10"/>
        <v>0</v>
      </c>
      <c r="AM30" s="244">
        <f t="shared" si="10"/>
        <v>0</v>
      </c>
      <c r="AN30" s="244">
        <f t="shared" si="10"/>
        <v>0</v>
      </c>
      <c r="AO30" s="1"/>
    </row>
    <row r="31" spans="2:41" x14ac:dyDescent="0.25">
      <c r="B31" s="102"/>
      <c r="C31" s="40"/>
      <c r="D31" s="424"/>
      <c r="E31" s="424"/>
      <c r="F31" s="424"/>
      <c r="G31" s="424"/>
      <c r="H31" s="424"/>
      <c r="I31" s="424"/>
      <c r="J31" s="424"/>
      <c r="K31" s="424"/>
      <c r="L31" s="424"/>
      <c r="M31" s="424"/>
      <c r="N31" s="424"/>
      <c r="O31" s="424"/>
      <c r="P31" s="424"/>
      <c r="Q31" s="424"/>
      <c r="R31" s="424"/>
      <c r="S31" s="424"/>
      <c r="T31" s="424"/>
      <c r="U31" s="424"/>
      <c r="V31" s="424"/>
      <c r="W31" s="424"/>
      <c r="X31" s="424"/>
      <c r="Y31" s="424"/>
      <c r="Z31" s="424"/>
      <c r="AA31" s="424"/>
      <c r="AB31" s="424"/>
      <c r="AC31" s="424"/>
      <c r="AD31" s="424"/>
      <c r="AE31" s="424"/>
      <c r="AF31" s="424"/>
      <c r="AG31" s="424"/>
      <c r="AH31" s="424"/>
      <c r="AI31" s="424"/>
      <c r="AJ31" s="424"/>
      <c r="AK31" s="424"/>
      <c r="AL31" s="424"/>
      <c r="AM31" s="424"/>
      <c r="AN31" s="424"/>
    </row>
    <row r="32" spans="2:41" x14ac:dyDescent="0.25">
      <c r="B32" s="102" t="s">
        <v>122</v>
      </c>
      <c r="C32" s="40"/>
      <c r="D32" s="40"/>
      <c r="E32" s="40"/>
      <c r="F32" s="40"/>
      <c r="G32" s="424"/>
      <c r="H32" s="424"/>
      <c r="I32" s="424"/>
      <c r="J32" s="424"/>
      <c r="K32" s="424"/>
      <c r="L32" s="424"/>
      <c r="M32" s="424"/>
      <c r="N32" s="424"/>
      <c r="O32" s="424"/>
      <c r="P32" s="424"/>
      <c r="Q32" s="424"/>
      <c r="R32" s="424"/>
      <c r="S32" s="424"/>
      <c r="T32" s="424"/>
      <c r="U32" s="424"/>
      <c r="V32" s="424"/>
      <c r="W32" s="424"/>
      <c r="X32" s="424"/>
      <c r="Y32" s="424"/>
      <c r="Z32" s="424"/>
      <c r="AA32" s="424"/>
      <c r="AB32" s="424"/>
      <c r="AC32" s="424"/>
      <c r="AD32" s="424"/>
      <c r="AE32" s="424"/>
      <c r="AF32" s="424"/>
      <c r="AG32" s="424"/>
      <c r="AH32" s="424"/>
      <c r="AI32" s="424"/>
      <c r="AJ32" s="424"/>
      <c r="AK32" s="424"/>
      <c r="AL32" s="424"/>
      <c r="AM32" s="424"/>
      <c r="AN32" s="424"/>
    </row>
    <row r="33" spans="2:41" x14ac:dyDescent="0.25">
      <c r="B33" s="102" t="s">
        <v>3</v>
      </c>
      <c r="C33" s="40" t="s">
        <v>14</v>
      </c>
      <c r="D33" s="428">
        <v>0</v>
      </c>
      <c r="E33" s="428">
        <f>ROUND(IF(D29&lt;E29,0,D29-E29),0)</f>
        <v>0</v>
      </c>
      <c r="F33" s="428">
        <f t="shared" ref="F33:AN33" si="11">ROUND(IF(E29&lt;F29,0,E29-F29),0)</f>
        <v>1657</v>
      </c>
      <c r="G33" s="428">
        <f t="shared" si="11"/>
        <v>0</v>
      </c>
      <c r="H33" s="428">
        <f t="shared" si="11"/>
        <v>0</v>
      </c>
      <c r="I33" s="428">
        <f t="shared" si="11"/>
        <v>0</v>
      </c>
      <c r="J33" s="428">
        <f t="shared" si="11"/>
        <v>0</v>
      </c>
      <c r="K33" s="428">
        <f t="shared" si="11"/>
        <v>0</v>
      </c>
      <c r="L33" s="428">
        <f t="shared" si="11"/>
        <v>0</v>
      </c>
      <c r="M33" s="428">
        <f t="shared" si="11"/>
        <v>0</v>
      </c>
      <c r="N33" s="428">
        <f t="shared" si="11"/>
        <v>0</v>
      </c>
      <c r="O33" s="428">
        <f t="shared" si="11"/>
        <v>0</v>
      </c>
      <c r="P33" s="428">
        <f t="shared" si="11"/>
        <v>0</v>
      </c>
      <c r="Q33" s="428">
        <f t="shared" si="11"/>
        <v>0</v>
      </c>
      <c r="R33" s="428">
        <f t="shared" si="11"/>
        <v>0</v>
      </c>
      <c r="S33" s="428">
        <f t="shared" si="11"/>
        <v>0</v>
      </c>
      <c r="T33" s="428">
        <f t="shared" si="11"/>
        <v>0</v>
      </c>
      <c r="U33" s="428">
        <f t="shared" si="11"/>
        <v>0</v>
      </c>
      <c r="V33" s="428">
        <f t="shared" si="11"/>
        <v>0</v>
      </c>
      <c r="W33" s="428">
        <f t="shared" si="11"/>
        <v>0</v>
      </c>
      <c r="X33" s="428">
        <f t="shared" si="11"/>
        <v>0</v>
      </c>
      <c r="Y33" s="428">
        <f t="shared" si="11"/>
        <v>0</v>
      </c>
      <c r="Z33" s="428">
        <f t="shared" si="11"/>
        <v>0</v>
      </c>
      <c r="AA33" s="428">
        <f t="shared" si="11"/>
        <v>0</v>
      </c>
      <c r="AB33" s="428">
        <f t="shared" si="11"/>
        <v>0</v>
      </c>
      <c r="AC33" s="428">
        <f t="shared" si="11"/>
        <v>0</v>
      </c>
      <c r="AD33" s="428">
        <f t="shared" si="11"/>
        <v>0</v>
      </c>
      <c r="AE33" s="428">
        <f t="shared" si="11"/>
        <v>0</v>
      </c>
      <c r="AF33" s="428">
        <f t="shared" si="11"/>
        <v>0</v>
      </c>
      <c r="AG33" s="428">
        <f t="shared" si="11"/>
        <v>0</v>
      </c>
      <c r="AH33" s="428">
        <f t="shared" si="11"/>
        <v>0</v>
      </c>
      <c r="AI33" s="428">
        <f t="shared" si="11"/>
        <v>0</v>
      </c>
      <c r="AJ33" s="428">
        <f t="shared" si="11"/>
        <v>0</v>
      </c>
      <c r="AK33" s="428">
        <f t="shared" si="11"/>
        <v>0</v>
      </c>
      <c r="AL33" s="428">
        <f t="shared" si="11"/>
        <v>0</v>
      </c>
      <c r="AM33" s="428">
        <f t="shared" si="11"/>
        <v>0</v>
      </c>
      <c r="AN33" s="428">
        <f t="shared" si="11"/>
        <v>0</v>
      </c>
      <c r="AO33" s="1">
        <f>SUM(F33:AN33)</f>
        <v>1657</v>
      </c>
    </row>
    <row r="34" spans="2:41" x14ac:dyDescent="0.25">
      <c r="B34" s="102" t="s">
        <v>4</v>
      </c>
      <c r="C34" s="40" t="s">
        <v>14</v>
      </c>
      <c r="D34" s="428">
        <v>0</v>
      </c>
      <c r="E34" s="428">
        <f>ROUND(IF(D30&lt;E30,0,D30-E30),0)</f>
        <v>0</v>
      </c>
      <c r="F34" s="428">
        <f t="shared" ref="F34:AN34" si="12">ROUND(IF(E30&lt;F30,0,E30-F30),0)</f>
        <v>46012</v>
      </c>
      <c r="G34" s="428">
        <f t="shared" si="12"/>
        <v>0</v>
      </c>
      <c r="H34" s="428">
        <f t="shared" si="12"/>
        <v>0</v>
      </c>
      <c r="I34" s="428">
        <f t="shared" si="12"/>
        <v>0</v>
      </c>
      <c r="J34" s="428">
        <f t="shared" si="12"/>
        <v>0</v>
      </c>
      <c r="K34" s="428">
        <f t="shared" si="12"/>
        <v>0</v>
      </c>
      <c r="L34" s="428">
        <f t="shared" si="12"/>
        <v>0</v>
      </c>
      <c r="M34" s="428">
        <f t="shared" si="12"/>
        <v>0</v>
      </c>
      <c r="N34" s="428">
        <f t="shared" si="12"/>
        <v>0</v>
      </c>
      <c r="O34" s="428">
        <f t="shared" si="12"/>
        <v>0</v>
      </c>
      <c r="P34" s="428">
        <f t="shared" si="12"/>
        <v>0</v>
      </c>
      <c r="Q34" s="428">
        <f t="shared" si="12"/>
        <v>0</v>
      </c>
      <c r="R34" s="428">
        <f t="shared" si="12"/>
        <v>0</v>
      </c>
      <c r="S34" s="428">
        <f t="shared" si="12"/>
        <v>0</v>
      </c>
      <c r="T34" s="428">
        <f t="shared" si="12"/>
        <v>0</v>
      </c>
      <c r="U34" s="428">
        <f t="shared" si="12"/>
        <v>0</v>
      </c>
      <c r="V34" s="428">
        <f t="shared" si="12"/>
        <v>0</v>
      </c>
      <c r="W34" s="428">
        <f t="shared" si="12"/>
        <v>0</v>
      </c>
      <c r="X34" s="428">
        <f t="shared" si="12"/>
        <v>0</v>
      </c>
      <c r="Y34" s="428">
        <f t="shared" si="12"/>
        <v>0</v>
      </c>
      <c r="Z34" s="428">
        <f t="shared" si="12"/>
        <v>0</v>
      </c>
      <c r="AA34" s="428">
        <f t="shared" si="12"/>
        <v>0</v>
      </c>
      <c r="AB34" s="428">
        <f t="shared" si="12"/>
        <v>0</v>
      </c>
      <c r="AC34" s="428">
        <f t="shared" si="12"/>
        <v>0</v>
      </c>
      <c r="AD34" s="428">
        <f t="shared" si="12"/>
        <v>0</v>
      </c>
      <c r="AE34" s="428">
        <f t="shared" si="12"/>
        <v>0</v>
      </c>
      <c r="AF34" s="428">
        <f t="shared" si="12"/>
        <v>0</v>
      </c>
      <c r="AG34" s="428">
        <f t="shared" si="12"/>
        <v>0</v>
      </c>
      <c r="AH34" s="428">
        <f t="shared" si="12"/>
        <v>0</v>
      </c>
      <c r="AI34" s="428">
        <f t="shared" si="12"/>
        <v>0</v>
      </c>
      <c r="AJ34" s="428">
        <f t="shared" si="12"/>
        <v>0</v>
      </c>
      <c r="AK34" s="428">
        <f t="shared" si="12"/>
        <v>0</v>
      </c>
      <c r="AL34" s="428">
        <f t="shared" si="12"/>
        <v>0</v>
      </c>
      <c r="AM34" s="428">
        <f t="shared" si="12"/>
        <v>0</v>
      </c>
      <c r="AN34" s="428">
        <f t="shared" si="12"/>
        <v>0</v>
      </c>
      <c r="AO34" s="1">
        <f>SUM(F34:AN34)</f>
        <v>46012</v>
      </c>
    </row>
    <row r="35" spans="2:41" x14ac:dyDescent="0.25">
      <c r="B35" s="103"/>
      <c r="C35" s="104"/>
      <c r="D35" s="104"/>
      <c r="E35" s="104"/>
      <c r="F35" s="104"/>
      <c r="G35" s="104"/>
      <c r="H35" s="104"/>
      <c r="I35" s="104"/>
      <c r="J35" s="104"/>
      <c r="K35" s="104"/>
      <c r="L35" s="104"/>
      <c r="M35" s="104"/>
      <c r="N35" s="104"/>
      <c r="O35" s="104"/>
      <c r="P35" s="104"/>
      <c r="Q35" s="104"/>
      <c r="R35" s="104"/>
      <c r="S35" s="104"/>
      <c r="T35" s="104"/>
      <c r="U35" s="104"/>
      <c r="V35" s="104"/>
      <c r="W35" s="104"/>
      <c r="X35" s="104"/>
      <c r="Y35" s="104"/>
      <c r="Z35" s="104"/>
      <c r="AA35" s="104"/>
      <c r="AB35" s="104"/>
      <c r="AC35" s="104"/>
      <c r="AD35" s="104"/>
      <c r="AE35" s="104"/>
      <c r="AF35" s="104"/>
      <c r="AG35" s="104"/>
      <c r="AH35" s="104"/>
      <c r="AI35" s="104"/>
      <c r="AJ35" s="104"/>
      <c r="AK35" s="104"/>
      <c r="AL35" s="104"/>
      <c r="AM35" s="104"/>
      <c r="AN35" s="104"/>
    </row>
    <row r="36" spans="2:41" x14ac:dyDescent="0.25">
      <c r="B36" s="102" t="s">
        <v>642</v>
      </c>
      <c r="C36" s="40" t="s">
        <v>643</v>
      </c>
      <c r="D36" s="420">
        <v>272.33</v>
      </c>
      <c r="E36" s="420">
        <v>273.72000000000003</v>
      </c>
      <c r="F36" s="421"/>
      <c r="G36" s="421"/>
      <c r="H36" s="421"/>
      <c r="I36" s="421"/>
      <c r="J36" s="421"/>
      <c r="K36" s="421"/>
      <c r="L36" s="421"/>
      <c r="M36" s="421"/>
      <c r="N36" s="421"/>
      <c r="O36" s="421"/>
      <c r="P36" s="421"/>
      <c r="Q36" s="421"/>
      <c r="R36" s="421"/>
      <c r="S36" s="421"/>
      <c r="T36" s="421"/>
      <c r="U36" s="421"/>
      <c r="V36" s="421"/>
      <c r="W36" s="421"/>
      <c r="X36" s="421"/>
      <c r="Y36" s="421"/>
      <c r="Z36" s="421"/>
      <c r="AA36" s="421"/>
      <c r="AB36" s="421"/>
      <c r="AC36" s="421"/>
      <c r="AD36" s="421"/>
      <c r="AE36" s="421"/>
      <c r="AF36" s="421"/>
      <c r="AG36" s="421"/>
      <c r="AH36" s="421"/>
      <c r="AI36" s="421"/>
      <c r="AJ36" s="421"/>
      <c r="AK36" s="421"/>
      <c r="AL36" s="421"/>
      <c r="AM36" s="421"/>
      <c r="AN36" s="421"/>
    </row>
    <row r="37" spans="2:41" x14ac:dyDescent="0.25">
      <c r="B37" s="102" t="s">
        <v>644</v>
      </c>
      <c r="C37" s="40" t="s">
        <v>643</v>
      </c>
      <c r="D37" s="420">
        <v>168.85</v>
      </c>
      <c r="E37" s="420">
        <v>168.89</v>
      </c>
      <c r="F37" s="421"/>
      <c r="G37" s="421"/>
      <c r="H37" s="421"/>
      <c r="I37" s="421"/>
      <c r="J37" s="421"/>
      <c r="K37" s="421"/>
      <c r="L37" s="421"/>
      <c r="M37" s="421"/>
      <c r="N37" s="421"/>
      <c r="O37" s="421"/>
      <c r="P37" s="421"/>
      <c r="Q37" s="421"/>
      <c r="R37" s="421"/>
      <c r="S37" s="421"/>
      <c r="T37" s="421"/>
      <c r="U37" s="421"/>
      <c r="V37" s="421"/>
      <c r="W37" s="421"/>
      <c r="X37" s="421"/>
      <c r="Y37" s="421"/>
      <c r="Z37" s="421"/>
      <c r="AA37" s="421"/>
      <c r="AB37" s="421"/>
      <c r="AC37" s="421"/>
      <c r="AD37" s="421"/>
      <c r="AE37" s="421"/>
      <c r="AF37" s="421"/>
      <c r="AG37" s="421"/>
      <c r="AH37" s="421"/>
      <c r="AI37" s="421"/>
      <c r="AJ37" s="421"/>
      <c r="AK37" s="421"/>
      <c r="AL37" s="421"/>
      <c r="AM37" s="421"/>
      <c r="AN37" s="421"/>
    </row>
    <row r="38" spans="2:41" x14ac:dyDescent="0.25">
      <c r="B38" s="102" t="s">
        <v>645</v>
      </c>
      <c r="C38" s="40" t="s">
        <v>643</v>
      </c>
      <c r="D38" s="420">
        <v>145.24</v>
      </c>
      <c r="E38" s="420">
        <v>145.97999999999999</v>
      </c>
      <c r="F38" s="421"/>
      <c r="G38" s="421"/>
      <c r="H38" s="421"/>
      <c r="I38" s="421"/>
      <c r="J38" s="421"/>
      <c r="K38" s="421"/>
      <c r="L38" s="421"/>
      <c r="M38" s="421"/>
      <c r="N38" s="421"/>
      <c r="O38" s="421"/>
      <c r="P38" s="421"/>
      <c r="Q38" s="421"/>
      <c r="R38" s="421"/>
      <c r="S38" s="421"/>
      <c r="T38" s="421"/>
      <c r="U38" s="421"/>
      <c r="V38" s="421"/>
      <c r="W38" s="421"/>
      <c r="X38" s="421"/>
      <c r="Y38" s="421"/>
      <c r="Z38" s="421"/>
      <c r="AA38" s="421"/>
      <c r="AB38" s="421"/>
      <c r="AC38" s="421"/>
      <c r="AD38" s="421"/>
      <c r="AE38" s="421"/>
      <c r="AF38" s="421"/>
      <c r="AG38" s="421"/>
      <c r="AH38" s="421"/>
      <c r="AI38" s="421"/>
      <c r="AJ38" s="421"/>
      <c r="AK38" s="421"/>
      <c r="AL38" s="421"/>
      <c r="AM38" s="421"/>
      <c r="AN38" s="421"/>
    </row>
    <row r="39" spans="2:41" x14ac:dyDescent="0.25">
      <c r="B39" s="103"/>
      <c r="C39" s="104"/>
      <c r="D39" s="104"/>
      <c r="E39" s="104"/>
      <c r="F39" s="424"/>
      <c r="G39" s="424"/>
      <c r="H39" s="424"/>
      <c r="I39" s="424"/>
      <c r="J39" s="424"/>
      <c r="K39" s="424"/>
      <c r="L39" s="424"/>
      <c r="M39" s="424"/>
      <c r="N39" s="424"/>
      <c r="O39" s="424"/>
      <c r="P39" s="424"/>
      <c r="Q39" s="424"/>
      <c r="R39" s="424"/>
      <c r="S39" s="424"/>
      <c r="T39" s="424"/>
      <c r="U39" s="424"/>
      <c r="V39" s="424"/>
      <c r="W39" s="424"/>
      <c r="X39" s="424"/>
      <c r="Y39" s="424"/>
      <c r="Z39" s="424"/>
      <c r="AA39" s="424"/>
      <c r="AB39" s="424"/>
      <c r="AC39" s="424"/>
      <c r="AD39" s="424"/>
      <c r="AE39" s="424"/>
      <c r="AF39" s="424"/>
      <c r="AG39" s="424"/>
      <c r="AH39" s="424"/>
      <c r="AI39" s="424"/>
      <c r="AJ39" s="424"/>
      <c r="AK39" s="424"/>
      <c r="AL39" s="424"/>
      <c r="AM39" s="424"/>
      <c r="AN39" s="424"/>
    </row>
    <row r="40" spans="2:41" x14ac:dyDescent="0.25">
      <c r="B40" s="102" t="s">
        <v>123</v>
      </c>
      <c r="C40" s="40" t="s">
        <v>15</v>
      </c>
      <c r="D40" s="371">
        <v>0.4667</v>
      </c>
      <c r="E40" s="371">
        <v>0.4667</v>
      </c>
      <c r="F40" s="313"/>
      <c r="G40" s="313"/>
      <c r="H40" s="313"/>
      <c r="I40" s="313"/>
      <c r="J40" s="313"/>
      <c r="K40" s="313"/>
      <c r="L40" s="313"/>
      <c r="M40" s="313"/>
      <c r="N40" s="313"/>
      <c r="O40" s="313"/>
      <c r="P40" s="313"/>
      <c r="Q40" s="313"/>
      <c r="R40" s="313"/>
      <c r="S40" s="313"/>
      <c r="T40" s="313"/>
      <c r="U40" s="313"/>
      <c r="V40" s="313"/>
      <c r="W40" s="313"/>
      <c r="X40" s="313"/>
      <c r="Y40" s="313"/>
      <c r="Z40" s="313"/>
      <c r="AA40" s="313"/>
      <c r="AB40" s="313"/>
      <c r="AC40" s="313"/>
      <c r="AD40" s="313"/>
      <c r="AE40" s="313"/>
      <c r="AF40" s="313"/>
      <c r="AG40" s="313"/>
      <c r="AH40" s="313"/>
      <c r="AI40" s="313"/>
      <c r="AJ40" s="313"/>
      <c r="AK40" s="313"/>
      <c r="AL40" s="313"/>
      <c r="AM40" s="313"/>
      <c r="AN40" s="313"/>
    </row>
    <row r="41" spans="2:41" x14ac:dyDescent="0.25">
      <c r="B41" s="102" t="s">
        <v>151</v>
      </c>
      <c r="C41" s="40" t="s">
        <v>15</v>
      </c>
      <c r="D41" s="371">
        <v>0.38</v>
      </c>
      <c r="E41" s="371">
        <v>0.38300000000000001</v>
      </c>
      <c r="F41" s="313"/>
      <c r="G41" s="313"/>
      <c r="H41" s="313"/>
      <c r="I41" s="313"/>
      <c r="J41" s="313"/>
      <c r="K41" s="313"/>
      <c r="L41" s="313"/>
      <c r="M41" s="313"/>
      <c r="N41" s="313"/>
      <c r="O41" s="313"/>
      <c r="P41" s="313"/>
      <c r="Q41" s="313"/>
      <c r="R41" s="313"/>
      <c r="S41" s="313"/>
      <c r="T41" s="313"/>
      <c r="U41" s="313"/>
      <c r="V41" s="313"/>
      <c r="W41" s="313"/>
      <c r="X41" s="313"/>
      <c r="Y41" s="313"/>
      <c r="Z41" s="313"/>
      <c r="AA41" s="313"/>
      <c r="AB41" s="313"/>
      <c r="AC41" s="313"/>
      <c r="AD41" s="313"/>
      <c r="AE41" s="313"/>
      <c r="AF41" s="313"/>
      <c r="AG41" s="313"/>
      <c r="AH41" s="313"/>
      <c r="AI41" s="313"/>
      <c r="AJ41" s="313"/>
      <c r="AK41" s="313"/>
      <c r="AL41" s="313"/>
      <c r="AM41" s="313"/>
      <c r="AN41" s="313"/>
    </row>
    <row r="42" spans="2:41" x14ac:dyDescent="0.25">
      <c r="B42" s="102" t="s">
        <v>152</v>
      </c>
      <c r="C42" s="40" t="s">
        <v>15</v>
      </c>
      <c r="D42" s="371">
        <v>8.6699999999999999E-2</v>
      </c>
      <c r="E42" s="371">
        <v>8.3699999999999997E-2</v>
      </c>
      <c r="F42" s="313"/>
      <c r="G42" s="313"/>
      <c r="H42" s="313"/>
      <c r="I42" s="313"/>
      <c r="J42" s="313"/>
      <c r="K42" s="313"/>
      <c r="L42" s="313"/>
      <c r="M42" s="313"/>
      <c r="N42" s="313"/>
      <c r="O42" s="313"/>
      <c r="P42" s="313"/>
      <c r="Q42" s="313"/>
      <c r="R42" s="313"/>
      <c r="S42" s="313"/>
      <c r="T42" s="313"/>
      <c r="U42" s="313"/>
      <c r="V42" s="313"/>
      <c r="W42" s="313"/>
      <c r="X42" s="313"/>
      <c r="Y42" s="313"/>
      <c r="Z42" s="313"/>
      <c r="AA42" s="313"/>
      <c r="AB42" s="313"/>
      <c r="AC42" s="313"/>
      <c r="AD42" s="313"/>
      <c r="AE42" s="313"/>
      <c r="AF42" s="313"/>
      <c r="AG42" s="313"/>
      <c r="AH42" s="313"/>
      <c r="AI42" s="313"/>
      <c r="AJ42" s="313"/>
      <c r="AK42" s="313"/>
      <c r="AL42" s="313"/>
      <c r="AM42" s="313"/>
      <c r="AN42" s="313"/>
    </row>
    <row r="43" spans="2:41" x14ac:dyDescent="0.25">
      <c r="B43" s="102" t="s">
        <v>159</v>
      </c>
      <c r="C43" s="40" t="s">
        <v>15</v>
      </c>
      <c r="D43" s="371">
        <v>0.04</v>
      </c>
      <c r="E43" s="371">
        <v>0.04</v>
      </c>
      <c r="F43" s="313"/>
      <c r="G43" s="313"/>
      <c r="H43" s="313"/>
      <c r="I43" s="313"/>
      <c r="J43" s="313"/>
      <c r="K43" s="313"/>
      <c r="L43" s="313"/>
      <c r="M43" s="313"/>
      <c r="N43" s="313"/>
      <c r="O43" s="313"/>
      <c r="P43" s="313"/>
      <c r="Q43" s="313"/>
      <c r="R43" s="313"/>
      <c r="S43" s="313"/>
      <c r="T43" s="313"/>
      <c r="U43" s="313"/>
      <c r="V43" s="313"/>
      <c r="W43" s="313"/>
      <c r="X43" s="313"/>
      <c r="Y43" s="313"/>
      <c r="Z43" s="313"/>
      <c r="AA43" s="313"/>
      <c r="AB43" s="313"/>
      <c r="AC43" s="313"/>
      <c r="AD43" s="313"/>
      <c r="AE43" s="313"/>
      <c r="AF43" s="313"/>
      <c r="AG43" s="313"/>
      <c r="AH43" s="313"/>
      <c r="AI43" s="313"/>
      <c r="AJ43" s="313"/>
      <c r="AK43" s="313"/>
      <c r="AL43" s="313"/>
      <c r="AM43" s="313"/>
      <c r="AN43" s="313"/>
    </row>
    <row r="44" spans="2:41" x14ac:dyDescent="0.25">
      <c r="B44" s="102" t="s">
        <v>292</v>
      </c>
      <c r="C44" s="40" t="s">
        <v>15</v>
      </c>
      <c r="D44" s="371">
        <v>5.8099999999999999E-2</v>
      </c>
      <c r="E44" s="371">
        <v>5.8099999999999999E-2</v>
      </c>
      <c r="F44" s="313"/>
      <c r="G44" s="313"/>
      <c r="H44" s="313"/>
      <c r="I44" s="313"/>
      <c r="J44" s="313"/>
      <c r="K44" s="313"/>
      <c r="L44" s="313"/>
      <c r="M44" s="313"/>
      <c r="N44" s="313"/>
      <c r="O44" s="313"/>
      <c r="P44" s="313"/>
      <c r="Q44" s="313"/>
      <c r="R44" s="313"/>
      <c r="S44" s="313"/>
      <c r="T44" s="313"/>
      <c r="U44" s="313"/>
      <c r="V44" s="313"/>
      <c r="W44" s="313"/>
      <c r="X44" s="313"/>
      <c r="Y44" s="313"/>
      <c r="Z44" s="313"/>
      <c r="AA44" s="313"/>
      <c r="AB44" s="313"/>
      <c r="AC44" s="313"/>
      <c r="AD44" s="313"/>
      <c r="AE44" s="313"/>
      <c r="AF44" s="313"/>
      <c r="AG44" s="313"/>
      <c r="AH44" s="313"/>
      <c r="AI44" s="313"/>
      <c r="AJ44" s="313"/>
      <c r="AK44" s="313"/>
      <c r="AL44" s="313"/>
      <c r="AM44" s="313"/>
      <c r="AN44" s="313"/>
    </row>
    <row r="45" spans="2:41" x14ac:dyDescent="0.25">
      <c r="B45" s="102" t="s">
        <v>160</v>
      </c>
      <c r="C45" s="40" t="s">
        <v>15</v>
      </c>
      <c r="D45" s="371">
        <v>0</v>
      </c>
      <c r="E45" s="371">
        <v>0</v>
      </c>
      <c r="F45" s="313"/>
      <c r="G45" s="313"/>
      <c r="H45" s="313"/>
      <c r="I45" s="313"/>
      <c r="J45" s="313"/>
      <c r="K45" s="313"/>
      <c r="L45" s="313"/>
      <c r="M45" s="313"/>
      <c r="N45" s="313"/>
      <c r="O45" s="313"/>
      <c r="P45" s="313"/>
      <c r="Q45" s="313"/>
      <c r="R45" s="313"/>
      <c r="S45" s="313"/>
      <c r="T45" s="313"/>
      <c r="U45" s="313"/>
      <c r="V45" s="313"/>
      <c r="W45" s="313"/>
      <c r="X45" s="313"/>
      <c r="Y45" s="313"/>
      <c r="Z45" s="313"/>
      <c r="AA45" s="313"/>
      <c r="AB45" s="313"/>
      <c r="AC45" s="313"/>
      <c r="AD45" s="313"/>
      <c r="AE45" s="313"/>
      <c r="AF45" s="313"/>
      <c r="AG45" s="313"/>
      <c r="AH45" s="313"/>
      <c r="AI45" s="313"/>
      <c r="AJ45" s="313"/>
      <c r="AK45" s="313"/>
      <c r="AL45" s="313"/>
      <c r="AM45" s="313"/>
      <c r="AN45" s="313"/>
    </row>
    <row r="46" spans="2:41" x14ac:dyDescent="0.25">
      <c r="B46" s="103"/>
      <c r="C46" s="104"/>
      <c r="D46" s="104"/>
      <c r="E46" s="104"/>
      <c r="F46" s="429"/>
      <c r="G46" s="429"/>
      <c r="H46" s="429"/>
      <c r="I46" s="429"/>
      <c r="J46" s="429"/>
      <c r="K46" s="429"/>
      <c r="L46" s="429"/>
      <c r="M46" s="429"/>
      <c r="N46" s="429"/>
      <c r="O46" s="429"/>
      <c r="P46" s="429"/>
      <c r="Q46" s="429"/>
      <c r="R46" s="429"/>
      <c r="S46" s="429"/>
      <c r="T46" s="429"/>
      <c r="U46" s="429"/>
      <c r="V46" s="429"/>
      <c r="W46" s="429"/>
      <c r="X46" s="429"/>
      <c r="Y46" s="429"/>
      <c r="Z46" s="429"/>
      <c r="AA46" s="429"/>
      <c r="AB46" s="429"/>
      <c r="AC46" s="429"/>
      <c r="AD46" s="429"/>
      <c r="AE46" s="429"/>
      <c r="AF46" s="429"/>
      <c r="AG46" s="429"/>
      <c r="AH46" s="429"/>
      <c r="AI46" s="429"/>
      <c r="AJ46" s="429"/>
      <c r="AK46" s="429"/>
      <c r="AL46" s="429"/>
      <c r="AM46" s="429"/>
      <c r="AN46" s="429"/>
    </row>
    <row r="47" spans="2:41" x14ac:dyDescent="0.25">
      <c r="B47" s="105" t="s">
        <v>110</v>
      </c>
      <c r="C47" s="40"/>
      <c r="D47" s="40"/>
      <c r="E47" s="40"/>
      <c r="F47" s="94"/>
      <c r="G47" s="94"/>
      <c r="H47" s="94"/>
      <c r="I47" s="94"/>
      <c r="J47" s="94"/>
      <c r="K47" s="94"/>
      <c r="L47" s="94"/>
      <c r="M47" s="94"/>
      <c r="N47" s="94"/>
      <c r="O47" s="94"/>
      <c r="P47" s="94"/>
      <c r="Q47" s="94"/>
      <c r="R47" s="94"/>
      <c r="S47" s="94"/>
      <c r="T47" s="94"/>
      <c r="U47" s="94"/>
      <c r="V47" s="94"/>
      <c r="W47" s="94"/>
      <c r="X47" s="94"/>
      <c r="Y47" s="94"/>
      <c r="Z47" s="94"/>
      <c r="AA47" s="94"/>
      <c r="AB47" s="94"/>
      <c r="AC47" s="94"/>
      <c r="AD47" s="94"/>
      <c r="AE47" s="94"/>
      <c r="AF47" s="94"/>
      <c r="AG47" s="94"/>
      <c r="AH47" s="94"/>
      <c r="AI47" s="94"/>
      <c r="AJ47" s="94"/>
      <c r="AK47" s="94"/>
      <c r="AL47" s="94"/>
      <c r="AM47" s="94"/>
      <c r="AN47" s="94"/>
    </row>
    <row r="48" spans="2:41" x14ac:dyDescent="0.25">
      <c r="B48" s="102" t="s">
        <v>3</v>
      </c>
      <c r="C48" s="40" t="s">
        <v>115</v>
      </c>
      <c r="D48" s="430">
        <v>18054.532943578</v>
      </c>
      <c r="E48" s="430">
        <v>18464.929370473343</v>
      </c>
      <c r="F48" s="312"/>
      <c r="G48" s="312"/>
      <c r="H48" s="312"/>
      <c r="I48" s="312"/>
      <c r="J48" s="312"/>
      <c r="K48" s="312"/>
      <c r="L48" s="312"/>
      <c r="M48" s="312"/>
      <c r="N48" s="312"/>
      <c r="O48" s="312"/>
      <c r="P48" s="312"/>
      <c r="Q48" s="312"/>
      <c r="R48" s="312"/>
      <c r="S48" s="312"/>
      <c r="T48" s="312"/>
      <c r="U48" s="312"/>
      <c r="V48" s="312"/>
      <c r="W48" s="312"/>
      <c r="X48" s="312"/>
      <c r="Y48" s="312"/>
      <c r="Z48" s="312"/>
      <c r="AA48" s="312"/>
      <c r="AB48" s="312"/>
      <c r="AC48" s="312"/>
      <c r="AD48" s="312"/>
      <c r="AE48" s="312"/>
      <c r="AF48" s="312"/>
      <c r="AG48" s="312"/>
      <c r="AH48" s="312"/>
      <c r="AI48" s="312"/>
      <c r="AJ48" s="312"/>
      <c r="AK48" s="312"/>
      <c r="AL48" s="312"/>
      <c r="AM48" s="312"/>
      <c r="AN48" s="312"/>
    </row>
    <row r="49" spans="2:41" x14ac:dyDescent="0.25">
      <c r="B49" s="102" t="s">
        <v>4</v>
      </c>
      <c r="C49" s="40" t="s">
        <v>115</v>
      </c>
      <c r="D49" s="430">
        <v>0</v>
      </c>
      <c r="E49" s="430">
        <v>0</v>
      </c>
      <c r="F49" s="312"/>
      <c r="G49" s="312"/>
      <c r="H49" s="312"/>
      <c r="I49" s="312"/>
      <c r="J49" s="312"/>
      <c r="K49" s="312"/>
      <c r="L49" s="312"/>
      <c r="M49" s="312"/>
      <c r="N49" s="312"/>
      <c r="O49" s="312"/>
      <c r="P49" s="312"/>
      <c r="Q49" s="312"/>
      <c r="R49" s="312"/>
      <c r="S49" s="312"/>
      <c r="T49" s="312"/>
      <c r="U49" s="312"/>
      <c r="V49" s="312"/>
      <c r="W49" s="312"/>
      <c r="X49" s="312"/>
      <c r="Y49" s="312"/>
      <c r="Z49" s="312"/>
      <c r="AA49" s="312"/>
      <c r="AB49" s="312"/>
      <c r="AC49" s="312"/>
      <c r="AD49" s="312"/>
      <c r="AE49" s="312"/>
      <c r="AF49" s="312"/>
      <c r="AG49" s="312"/>
      <c r="AH49" s="312"/>
      <c r="AI49" s="312"/>
      <c r="AJ49" s="312"/>
      <c r="AK49" s="312"/>
      <c r="AL49" s="312"/>
      <c r="AM49" s="312"/>
      <c r="AN49" s="312"/>
    </row>
    <row r="50" spans="2:41" x14ac:dyDescent="0.25">
      <c r="B50" s="103"/>
      <c r="C50" s="104"/>
      <c r="D50" s="104"/>
      <c r="E50" s="104"/>
      <c r="F50" s="429"/>
      <c r="G50" s="429"/>
      <c r="H50" s="429"/>
      <c r="I50" s="429"/>
      <c r="J50" s="429"/>
      <c r="K50" s="429"/>
      <c r="L50" s="429"/>
      <c r="M50" s="429"/>
      <c r="N50" s="429"/>
      <c r="O50" s="429"/>
      <c r="P50" s="429"/>
      <c r="Q50" s="429"/>
      <c r="R50" s="429"/>
      <c r="S50" s="429"/>
      <c r="T50" s="429"/>
      <c r="U50" s="429"/>
      <c r="V50" s="429"/>
      <c r="W50" s="429"/>
      <c r="X50" s="429"/>
      <c r="Y50" s="429"/>
      <c r="Z50" s="429"/>
      <c r="AA50" s="429"/>
      <c r="AB50" s="429"/>
      <c r="AC50" s="429"/>
      <c r="AD50" s="429"/>
      <c r="AE50" s="429"/>
      <c r="AF50" s="429"/>
      <c r="AG50" s="429"/>
      <c r="AH50" s="429"/>
      <c r="AI50" s="429"/>
      <c r="AJ50" s="429"/>
      <c r="AK50" s="429"/>
      <c r="AL50" s="429"/>
      <c r="AM50" s="429"/>
      <c r="AN50" s="429"/>
    </row>
    <row r="51" spans="2:41" x14ac:dyDescent="0.25">
      <c r="B51" s="105" t="s">
        <v>116</v>
      </c>
      <c r="C51" s="40"/>
      <c r="D51" s="40"/>
      <c r="E51" s="40"/>
      <c r="F51" s="400"/>
      <c r="G51" s="400"/>
      <c r="H51" s="400"/>
      <c r="I51" s="400"/>
      <c r="J51" s="400"/>
      <c r="K51" s="400"/>
      <c r="L51" s="400"/>
      <c r="M51" s="400"/>
      <c r="N51" s="400"/>
      <c r="O51" s="400"/>
      <c r="P51" s="400"/>
      <c r="Q51" s="400"/>
      <c r="R51" s="400"/>
      <c r="S51" s="400"/>
      <c r="T51" s="400"/>
      <c r="U51" s="400"/>
      <c r="V51" s="400"/>
      <c r="W51" s="400"/>
      <c r="X51" s="400"/>
      <c r="Y51" s="400"/>
      <c r="Z51" s="400"/>
      <c r="AA51" s="400"/>
      <c r="AB51" s="400"/>
      <c r="AC51" s="400"/>
      <c r="AD51" s="400"/>
      <c r="AE51" s="400"/>
      <c r="AF51" s="400"/>
      <c r="AG51" s="400"/>
      <c r="AH51" s="400"/>
      <c r="AI51" s="400"/>
      <c r="AJ51" s="400"/>
      <c r="AK51" s="400"/>
      <c r="AL51" s="400"/>
      <c r="AM51" s="400"/>
      <c r="AN51" s="400"/>
    </row>
    <row r="52" spans="2:41" x14ac:dyDescent="0.25">
      <c r="B52" s="102" t="s">
        <v>3</v>
      </c>
      <c r="C52" s="40" t="s">
        <v>117</v>
      </c>
      <c r="D52" s="430">
        <v>13647.44425039473</v>
      </c>
      <c r="E52" s="430">
        <v>13956.606742615624</v>
      </c>
      <c r="F52" s="312"/>
      <c r="G52" s="312"/>
      <c r="H52" s="312"/>
      <c r="I52" s="312"/>
      <c r="J52" s="312"/>
      <c r="K52" s="312"/>
      <c r="L52" s="312"/>
      <c r="M52" s="312"/>
      <c r="N52" s="312"/>
      <c r="O52" s="312"/>
      <c r="P52" s="312"/>
      <c r="Q52" s="312"/>
      <c r="R52" s="312"/>
      <c r="S52" s="312"/>
      <c r="T52" s="312"/>
      <c r="U52" s="312"/>
      <c r="V52" s="312"/>
      <c r="W52" s="312"/>
      <c r="X52" s="312"/>
      <c r="Y52" s="312"/>
      <c r="Z52" s="312"/>
      <c r="AA52" s="312"/>
      <c r="AB52" s="312"/>
      <c r="AC52" s="312"/>
      <c r="AD52" s="312"/>
      <c r="AE52" s="312"/>
      <c r="AF52" s="312"/>
      <c r="AG52" s="312"/>
      <c r="AH52" s="312"/>
      <c r="AI52" s="312"/>
      <c r="AJ52" s="312"/>
      <c r="AK52" s="312"/>
      <c r="AL52" s="312"/>
      <c r="AM52" s="312"/>
      <c r="AN52" s="312"/>
      <c r="AO52" s="1">
        <f>AN52-F52</f>
        <v>0</v>
      </c>
    </row>
    <row r="53" spans="2:41" x14ac:dyDescent="0.25">
      <c r="B53" s="102" t="s">
        <v>4</v>
      </c>
      <c r="C53" s="40" t="s">
        <v>117</v>
      </c>
      <c r="D53" s="430">
        <v>0</v>
      </c>
      <c r="E53" s="430">
        <v>0</v>
      </c>
      <c r="F53" s="312"/>
      <c r="G53" s="312"/>
      <c r="H53" s="312"/>
      <c r="I53" s="312"/>
      <c r="J53" s="312"/>
      <c r="K53" s="312"/>
      <c r="L53" s="312"/>
      <c r="M53" s="312"/>
      <c r="N53" s="312"/>
      <c r="O53" s="312"/>
      <c r="P53" s="312"/>
      <c r="Q53" s="312"/>
      <c r="R53" s="312"/>
      <c r="S53" s="312"/>
      <c r="T53" s="312"/>
      <c r="U53" s="312"/>
      <c r="V53" s="312"/>
      <c r="W53" s="312"/>
      <c r="X53" s="312"/>
      <c r="Y53" s="312"/>
      <c r="Z53" s="312"/>
      <c r="AA53" s="312"/>
      <c r="AB53" s="312"/>
      <c r="AC53" s="312"/>
      <c r="AD53" s="312"/>
      <c r="AE53" s="312"/>
      <c r="AF53" s="312"/>
      <c r="AG53" s="312"/>
      <c r="AH53" s="312"/>
      <c r="AI53" s="312"/>
      <c r="AJ53" s="312"/>
      <c r="AK53" s="312"/>
      <c r="AL53" s="312"/>
      <c r="AM53" s="312"/>
      <c r="AN53" s="312"/>
      <c r="AO53" s="1">
        <f>AN53-F53</f>
        <v>0</v>
      </c>
    </row>
    <row r="54" spans="2:41" x14ac:dyDescent="0.25">
      <c r="B54" s="103"/>
      <c r="C54" s="104"/>
      <c r="D54" s="104"/>
      <c r="E54" s="104"/>
      <c r="F54" s="1"/>
      <c r="G54" s="1"/>
      <c r="H54" s="1"/>
      <c r="I54" s="1"/>
      <c r="J54" s="1"/>
      <c r="K54" s="1"/>
      <c r="L54" s="1"/>
      <c r="M54" s="1"/>
      <c r="N54" s="1"/>
      <c r="O54" s="1"/>
      <c r="P54" s="1"/>
      <c r="Q54" s="1"/>
      <c r="T54" s="1"/>
      <c r="U54" s="1"/>
      <c r="W54" s="1"/>
      <c r="X54" s="1"/>
      <c r="Y54" s="1"/>
      <c r="Z54" s="1"/>
      <c r="AB54" s="1"/>
      <c r="AC54" s="1"/>
      <c r="AE54" s="1"/>
      <c r="AF54" s="1"/>
      <c r="AG54" s="1"/>
      <c r="AH54" s="1"/>
      <c r="AI54" s="1"/>
      <c r="AJ54" s="1"/>
      <c r="AK54" s="1"/>
      <c r="AL54" s="1"/>
      <c r="AM54" s="1"/>
    </row>
    <row r="55" spans="2:41" x14ac:dyDescent="0.25">
      <c r="B55" s="102" t="s">
        <v>647</v>
      </c>
      <c r="C55" s="40"/>
      <c r="D55" s="134"/>
      <c r="E55" s="134"/>
      <c r="F55" s="134"/>
      <c r="G55" s="134"/>
      <c r="H55" s="134"/>
      <c r="I55" s="134"/>
      <c r="J55" s="134"/>
      <c r="K55" s="134"/>
      <c r="L55" s="134"/>
      <c r="M55" s="134"/>
      <c r="N55" s="134"/>
      <c r="O55" s="134"/>
      <c r="P55" s="134"/>
      <c r="Q55" s="134"/>
      <c r="R55" s="4"/>
      <c r="S55" s="4"/>
      <c r="T55" s="134"/>
      <c r="U55" s="134"/>
      <c r="V55" s="4"/>
      <c r="W55" s="134"/>
      <c r="X55" s="134"/>
      <c r="Y55" s="134"/>
      <c r="Z55" s="134"/>
      <c r="AA55" s="4"/>
      <c r="AB55" s="134"/>
      <c r="AC55" s="134"/>
      <c r="AD55" s="4"/>
      <c r="AE55" s="134"/>
      <c r="AF55" s="134"/>
      <c r="AG55" s="134"/>
      <c r="AH55" s="134"/>
      <c r="AI55" s="134"/>
      <c r="AJ55" s="134"/>
      <c r="AK55" s="134"/>
      <c r="AL55" s="134"/>
      <c r="AM55" s="134"/>
      <c r="AN55" s="4"/>
    </row>
    <row r="56" spans="2:41" x14ac:dyDescent="0.25">
      <c r="B56" s="102" t="s">
        <v>648</v>
      </c>
      <c r="C56" s="40" t="s">
        <v>14</v>
      </c>
      <c r="D56" s="244">
        <f t="shared" ref="D56:AN57" si="13">D17</f>
        <v>43795</v>
      </c>
      <c r="E56" s="244">
        <f t="shared" si="13"/>
        <v>44355</v>
      </c>
      <c r="F56" s="244">
        <f t="shared" si="13"/>
        <v>0</v>
      </c>
      <c r="G56" s="244">
        <f t="shared" si="13"/>
        <v>0</v>
      </c>
      <c r="H56" s="244">
        <f t="shared" si="13"/>
        <v>0</v>
      </c>
      <c r="I56" s="244">
        <f t="shared" si="13"/>
        <v>0</v>
      </c>
      <c r="J56" s="244">
        <f t="shared" si="13"/>
        <v>0</v>
      </c>
      <c r="K56" s="244">
        <f t="shared" si="13"/>
        <v>0</v>
      </c>
      <c r="L56" s="244">
        <f t="shared" si="13"/>
        <v>0</v>
      </c>
      <c r="M56" s="244">
        <f t="shared" si="13"/>
        <v>0</v>
      </c>
      <c r="N56" s="244">
        <f t="shared" si="13"/>
        <v>0</v>
      </c>
      <c r="O56" s="244">
        <f t="shared" si="13"/>
        <v>0</v>
      </c>
      <c r="P56" s="244">
        <f t="shared" si="13"/>
        <v>0</v>
      </c>
      <c r="Q56" s="244">
        <f t="shared" si="13"/>
        <v>0</v>
      </c>
      <c r="R56" s="244">
        <f t="shared" si="13"/>
        <v>0</v>
      </c>
      <c r="S56" s="244">
        <f t="shared" si="13"/>
        <v>0</v>
      </c>
      <c r="T56" s="244">
        <f t="shared" si="13"/>
        <v>0</v>
      </c>
      <c r="U56" s="244">
        <f t="shared" si="13"/>
        <v>0</v>
      </c>
      <c r="V56" s="244">
        <f t="shared" si="13"/>
        <v>0</v>
      </c>
      <c r="W56" s="244">
        <f t="shared" si="13"/>
        <v>0</v>
      </c>
      <c r="X56" s="244">
        <f t="shared" si="13"/>
        <v>0</v>
      </c>
      <c r="Y56" s="244">
        <f t="shared" si="13"/>
        <v>0</v>
      </c>
      <c r="Z56" s="244">
        <f t="shared" si="13"/>
        <v>0</v>
      </c>
      <c r="AA56" s="244">
        <f t="shared" si="13"/>
        <v>0</v>
      </c>
      <c r="AB56" s="244">
        <f t="shared" si="13"/>
        <v>0</v>
      </c>
      <c r="AC56" s="244">
        <f t="shared" si="13"/>
        <v>0</v>
      </c>
      <c r="AD56" s="244">
        <f t="shared" si="13"/>
        <v>0</v>
      </c>
      <c r="AE56" s="244">
        <f t="shared" si="13"/>
        <v>0</v>
      </c>
      <c r="AF56" s="244">
        <f t="shared" si="13"/>
        <v>0</v>
      </c>
      <c r="AG56" s="244">
        <f t="shared" si="13"/>
        <v>0</v>
      </c>
      <c r="AH56" s="244">
        <f t="shared" si="13"/>
        <v>0</v>
      </c>
      <c r="AI56" s="244">
        <f t="shared" si="13"/>
        <v>0</v>
      </c>
      <c r="AJ56" s="244">
        <f t="shared" si="13"/>
        <v>0</v>
      </c>
      <c r="AK56" s="244">
        <f t="shared" si="13"/>
        <v>0</v>
      </c>
      <c r="AL56" s="244">
        <f t="shared" si="13"/>
        <v>0</v>
      </c>
      <c r="AM56" s="244">
        <f t="shared" si="13"/>
        <v>0</v>
      </c>
      <c r="AN56" s="244">
        <f t="shared" si="13"/>
        <v>0</v>
      </c>
    </row>
    <row r="57" spans="2:41" x14ac:dyDescent="0.25">
      <c r="B57" s="102" t="s">
        <v>649</v>
      </c>
      <c r="C57" s="40" t="s">
        <v>14</v>
      </c>
      <c r="D57" s="244">
        <f t="shared" si="13"/>
        <v>0</v>
      </c>
      <c r="E57" s="244">
        <f t="shared" si="13"/>
        <v>0</v>
      </c>
      <c r="F57" s="244">
        <f t="shared" si="13"/>
        <v>0</v>
      </c>
      <c r="G57" s="244">
        <f t="shared" si="13"/>
        <v>0</v>
      </c>
      <c r="H57" s="244">
        <f t="shared" si="13"/>
        <v>0</v>
      </c>
      <c r="I57" s="244">
        <f t="shared" si="13"/>
        <v>0</v>
      </c>
      <c r="J57" s="244">
        <f t="shared" si="13"/>
        <v>0</v>
      </c>
      <c r="K57" s="244">
        <f t="shared" si="13"/>
        <v>0</v>
      </c>
      <c r="L57" s="244">
        <f t="shared" si="13"/>
        <v>0</v>
      </c>
      <c r="M57" s="244">
        <f t="shared" si="13"/>
        <v>0</v>
      </c>
      <c r="N57" s="244">
        <f t="shared" si="13"/>
        <v>0</v>
      </c>
      <c r="O57" s="244">
        <f t="shared" si="13"/>
        <v>0</v>
      </c>
      <c r="P57" s="244">
        <f t="shared" si="13"/>
        <v>0</v>
      </c>
      <c r="Q57" s="244">
        <f t="shared" si="13"/>
        <v>0</v>
      </c>
      <c r="R57" s="244">
        <f t="shared" si="13"/>
        <v>0</v>
      </c>
      <c r="S57" s="244">
        <f t="shared" si="13"/>
        <v>0</v>
      </c>
      <c r="T57" s="244">
        <f t="shared" si="13"/>
        <v>0</v>
      </c>
      <c r="U57" s="244">
        <f t="shared" si="13"/>
        <v>0</v>
      </c>
      <c r="V57" s="244">
        <f t="shared" si="13"/>
        <v>0</v>
      </c>
      <c r="W57" s="244">
        <f t="shared" si="13"/>
        <v>0</v>
      </c>
      <c r="X57" s="244">
        <f t="shared" si="13"/>
        <v>0</v>
      </c>
      <c r="Y57" s="244">
        <f t="shared" si="13"/>
        <v>0</v>
      </c>
      <c r="Z57" s="244">
        <f t="shared" si="13"/>
        <v>0</v>
      </c>
      <c r="AA57" s="244">
        <f t="shared" si="13"/>
        <v>0</v>
      </c>
      <c r="AB57" s="244">
        <f t="shared" si="13"/>
        <v>0</v>
      </c>
      <c r="AC57" s="244">
        <f t="shared" si="13"/>
        <v>0</v>
      </c>
      <c r="AD57" s="244">
        <f t="shared" si="13"/>
        <v>0</v>
      </c>
      <c r="AE57" s="244">
        <f t="shared" si="13"/>
        <v>0</v>
      </c>
      <c r="AF57" s="244">
        <f t="shared" si="13"/>
        <v>0</v>
      </c>
      <c r="AG57" s="244">
        <f t="shared" si="13"/>
        <v>0</v>
      </c>
      <c r="AH57" s="244">
        <f t="shared" si="13"/>
        <v>0</v>
      </c>
      <c r="AI57" s="244">
        <f t="shared" si="13"/>
        <v>0</v>
      </c>
      <c r="AJ57" s="244">
        <f t="shared" si="13"/>
        <v>0</v>
      </c>
      <c r="AK57" s="244">
        <f t="shared" si="13"/>
        <v>0</v>
      </c>
      <c r="AL57" s="244">
        <f t="shared" si="13"/>
        <v>0</v>
      </c>
      <c r="AM57" s="244">
        <f t="shared" si="13"/>
        <v>0</v>
      </c>
      <c r="AN57" s="244">
        <f t="shared" si="13"/>
        <v>0</v>
      </c>
    </row>
    <row r="58" spans="2:41" x14ac:dyDescent="0.25">
      <c r="B58" s="106" t="s">
        <v>3</v>
      </c>
      <c r="C58" s="40"/>
      <c r="D58" s="40"/>
      <c r="E58" s="40"/>
      <c r="F58" s="134"/>
      <c r="G58" s="134"/>
      <c r="H58" s="134"/>
      <c r="I58" s="134"/>
      <c r="J58" s="134"/>
      <c r="K58" s="134"/>
      <c r="L58" s="134"/>
      <c r="M58" s="134"/>
      <c r="N58" s="134"/>
      <c r="O58" s="134"/>
      <c r="P58" s="134"/>
      <c r="Q58" s="134"/>
      <c r="R58" s="134"/>
      <c r="S58" s="134"/>
      <c r="T58" s="134"/>
      <c r="U58" s="134"/>
      <c r="V58" s="134"/>
      <c r="W58" s="134"/>
      <c r="X58" s="134"/>
      <c r="Y58" s="134"/>
      <c r="Z58" s="134"/>
      <c r="AA58" s="134"/>
      <c r="AB58" s="134"/>
      <c r="AC58" s="134"/>
      <c r="AD58" s="134"/>
      <c r="AE58" s="134"/>
      <c r="AF58" s="134"/>
      <c r="AG58" s="134"/>
      <c r="AH58" s="134"/>
      <c r="AI58" s="134"/>
      <c r="AJ58" s="134"/>
      <c r="AK58" s="134"/>
      <c r="AL58" s="134"/>
      <c r="AM58" s="134"/>
      <c r="AN58" s="134"/>
    </row>
    <row r="59" spans="2:41" x14ac:dyDescent="0.25">
      <c r="B59" s="102" t="s">
        <v>127</v>
      </c>
      <c r="C59" s="40" t="s">
        <v>135</v>
      </c>
      <c r="D59" s="244">
        <f>ROUND(D36/1000*D56*30.4375*12*(1+D43),0)</f>
        <v>4530473</v>
      </c>
      <c r="E59" s="244">
        <f t="shared" ref="E59:AN59" si="14">ROUND(E36/1000*E56*30.4375*12*(1+E43),0)</f>
        <v>4611824</v>
      </c>
      <c r="F59" s="244">
        <f t="shared" si="14"/>
        <v>0</v>
      </c>
      <c r="G59" s="244">
        <f t="shared" si="14"/>
        <v>0</v>
      </c>
      <c r="H59" s="244">
        <f t="shared" si="14"/>
        <v>0</v>
      </c>
      <c r="I59" s="244">
        <f t="shared" si="14"/>
        <v>0</v>
      </c>
      <c r="J59" s="244">
        <f t="shared" si="14"/>
        <v>0</v>
      </c>
      <c r="K59" s="244">
        <f t="shared" si="14"/>
        <v>0</v>
      </c>
      <c r="L59" s="244">
        <f t="shared" si="14"/>
        <v>0</v>
      </c>
      <c r="M59" s="244">
        <f t="shared" si="14"/>
        <v>0</v>
      </c>
      <c r="N59" s="244">
        <f t="shared" si="14"/>
        <v>0</v>
      </c>
      <c r="O59" s="244">
        <f t="shared" si="14"/>
        <v>0</v>
      </c>
      <c r="P59" s="244">
        <f t="shared" si="14"/>
        <v>0</v>
      </c>
      <c r="Q59" s="244">
        <f t="shared" si="14"/>
        <v>0</v>
      </c>
      <c r="R59" s="244">
        <f t="shared" si="14"/>
        <v>0</v>
      </c>
      <c r="S59" s="244">
        <f t="shared" si="14"/>
        <v>0</v>
      </c>
      <c r="T59" s="244">
        <f t="shared" si="14"/>
        <v>0</v>
      </c>
      <c r="U59" s="244">
        <f t="shared" si="14"/>
        <v>0</v>
      </c>
      <c r="V59" s="244">
        <f t="shared" si="14"/>
        <v>0</v>
      </c>
      <c r="W59" s="244">
        <f t="shared" si="14"/>
        <v>0</v>
      </c>
      <c r="X59" s="244">
        <f t="shared" si="14"/>
        <v>0</v>
      </c>
      <c r="Y59" s="244">
        <f t="shared" si="14"/>
        <v>0</v>
      </c>
      <c r="Z59" s="244">
        <f t="shared" si="14"/>
        <v>0</v>
      </c>
      <c r="AA59" s="244">
        <f t="shared" si="14"/>
        <v>0</v>
      </c>
      <c r="AB59" s="244">
        <f t="shared" si="14"/>
        <v>0</v>
      </c>
      <c r="AC59" s="244">
        <f t="shared" si="14"/>
        <v>0</v>
      </c>
      <c r="AD59" s="244">
        <f t="shared" si="14"/>
        <v>0</v>
      </c>
      <c r="AE59" s="244">
        <f t="shared" si="14"/>
        <v>0</v>
      </c>
      <c r="AF59" s="244">
        <f t="shared" si="14"/>
        <v>0</v>
      </c>
      <c r="AG59" s="244">
        <f t="shared" si="14"/>
        <v>0</v>
      </c>
      <c r="AH59" s="244">
        <f t="shared" si="14"/>
        <v>0</v>
      </c>
      <c r="AI59" s="244">
        <f t="shared" si="14"/>
        <v>0</v>
      </c>
      <c r="AJ59" s="244">
        <f t="shared" si="14"/>
        <v>0</v>
      </c>
      <c r="AK59" s="244">
        <f t="shared" si="14"/>
        <v>0</v>
      </c>
      <c r="AL59" s="244">
        <f t="shared" si="14"/>
        <v>0</v>
      </c>
      <c r="AM59" s="244">
        <f t="shared" si="14"/>
        <v>0</v>
      </c>
      <c r="AN59" s="244">
        <f t="shared" si="14"/>
        <v>0</v>
      </c>
    </row>
    <row r="60" spans="2:41" x14ac:dyDescent="0.25">
      <c r="B60" s="102" t="s">
        <v>128</v>
      </c>
      <c r="C60" s="40" t="s">
        <v>135</v>
      </c>
      <c r="D60" s="244">
        <f>ROUND(D36/1000*D56*30.4375*12,0)</f>
        <v>4356224</v>
      </c>
      <c r="E60" s="244">
        <f t="shared" ref="E60:AN60" si="15">ROUND(E36/1000*E56*30.4375*12,0)</f>
        <v>4434446</v>
      </c>
      <c r="F60" s="244">
        <f t="shared" si="15"/>
        <v>0</v>
      </c>
      <c r="G60" s="244">
        <f t="shared" si="15"/>
        <v>0</v>
      </c>
      <c r="H60" s="244">
        <f t="shared" si="15"/>
        <v>0</v>
      </c>
      <c r="I60" s="244">
        <f t="shared" si="15"/>
        <v>0</v>
      </c>
      <c r="J60" s="244">
        <f t="shared" si="15"/>
        <v>0</v>
      </c>
      <c r="K60" s="244">
        <f t="shared" si="15"/>
        <v>0</v>
      </c>
      <c r="L60" s="244">
        <f t="shared" si="15"/>
        <v>0</v>
      </c>
      <c r="M60" s="244">
        <f t="shared" si="15"/>
        <v>0</v>
      </c>
      <c r="N60" s="244">
        <f t="shared" si="15"/>
        <v>0</v>
      </c>
      <c r="O60" s="244">
        <f t="shared" si="15"/>
        <v>0</v>
      </c>
      <c r="P60" s="244">
        <f t="shared" si="15"/>
        <v>0</v>
      </c>
      <c r="Q60" s="244">
        <f t="shared" si="15"/>
        <v>0</v>
      </c>
      <c r="R60" s="244">
        <f t="shared" si="15"/>
        <v>0</v>
      </c>
      <c r="S60" s="244">
        <f t="shared" si="15"/>
        <v>0</v>
      </c>
      <c r="T60" s="244">
        <f t="shared" si="15"/>
        <v>0</v>
      </c>
      <c r="U60" s="244">
        <f t="shared" si="15"/>
        <v>0</v>
      </c>
      <c r="V60" s="244">
        <f t="shared" si="15"/>
        <v>0</v>
      </c>
      <c r="W60" s="244">
        <f t="shared" si="15"/>
        <v>0</v>
      </c>
      <c r="X60" s="244">
        <f t="shared" si="15"/>
        <v>0</v>
      </c>
      <c r="Y60" s="244">
        <f t="shared" si="15"/>
        <v>0</v>
      </c>
      <c r="Z60" s="244">
        <f t="shared" si="15"/>
        <v>0</v>
      </c>
      <c r="AA60" s="244">
        <f t="shared" si="15"/>
        <v>0</v>
      </c>
      <c r="AB60" s="244">
        <f t="shared" si="15"/>
        <v>0</v>
      </c>
      <c r="AC60" s="244">
        <f t="shared" si="15"/>
        <v>0</v>
      </c>
      <c r="AD60" s="244">
        <f t="shared" si="15"/>
        <v>0</v>
      </c>
      <c r="AE60" s="244">
        <f t="shared" si="15"/>
        <v>0</v>
      </c>
      <c r="AF60" s="244">
        <f t="shared" si="15"/>
        <v>0</v>
      </c>
      <c r="AG60" s="244">
        <f t="shared" si="15"/>
        <v>0</v>
      </c>
      <c r="AH60" s="244">
        <f t="shared" si="15"/>
        <v>0</v>
      </c>
      <c r="AI60" s="244">
        <f t="shared" si="15"/>
        <v>0</v>
      </c>
      <c r="AJ60" s="244">
        <f t="shared" si="15"/>
        <v>0</v>
      </c>
      <c r="AK60" s="244">
        <f t="shared" si="15"/>
        <v>0</v>
      </c>
      <c r="AL60" s="244">
        <f t="shared" si="15"/>
        <v>0</v>
      </c>
      <c r="AM60" s="244">
        <f t="shared" si="15"/>
        <v>0</v>
      </c>
      <c r="AN60" s="244">
        <f t="shared" si="15"/>
        <v>0</v>
      </c>
    </row>
    <row r="61" spans="2:41" x14ac:dyDescent="0.25">
      <c r="B61" s="102" t="s">
        <v>129</v>
      </c>
      <c r="C61" s="40" t="s">
        <v>135</v>
      </c>
      <c r="D61" s="244">
        <f>ROUND(D37/1000*D56*30.4375*12,0)</f>
        <v>2700945</v>
      </c>
      <c r="E61" s="244">
        <f t="shared" ref="E61:AN61" si="16">ROUND(E37/1000*E56*30.4375*12,0)</f>
        <v>2736130</v>
      </c>
      <c r="F61" s="244">
        <f t="shared" si="16"/>
        <v>0</v>
      </c>
      <c r="G61" s="244">
        <f t="shared" si="16"/>
        <v>0</v>
      </c>
      <c r="H61" s="244">
        <f t="shared" si="16"/>
        <v>0</v>
      </c>
      <c r="I61" s="244">
        <f t="shared" si="16"/>
        <v>0</v>
      </c>
      <c r="J61" s="244">
        <f t="shared" si="16"/>
        <v>0</v>
      </c>
      <c r="K61" s="244">
        <f t="shared" si="16"/>
        <v>0</v>
      </c>
      <c r="L61" s="244">
        <f t="shared" si="16"/>
        <v>0</v>
      </c>
      <c r="M61" s="244">
        <f t="shared" si="16"/>
        <v>0</v>
      </c>
      <c r="N61" s="244">
        <f t="shared" si="16"/>
        <v>0</v>
      </c>
      <c r="O61" s="244">
        <f t="shared" si="16"/>
        <v>0</v>
      </c>
      <c r="P61" s="244">
        <f t="shared" si="16"/>
        <v>0</v>
      </c>
      <c r="Q61" s="244">
        <f t="shared" si="16"/>
        <v>0</v>
      </c>
      <c r="R61" s="244">
        <f t="shared" si="16"/>
        <v>0</v>
      </c>
      <c r="S61" s="244">
        <f t="shared" si="16"/>
        <v>0</v>
      </c>
      <c r="T61" s="244">
        <f t="shared" si="16"/>
        <v>0</v>
      </c>
      <c r="U61" s="244">
        <f t="shared" si="16"/>
        <v>0</v>
      </c>
      <c r="V61" s="244">
        <f t="shared" si="16"/>
        <v>0</v>
      </c>
      <c r="W61" s="244">
        <f t="shared" si="16"/>
        <v>0</v>
      </c>
      <c r="X61" s="244">
        <f t="shared" si="16"/>
        <v>0</v>
      </c>
      <c r="Y61" s="244">
        <f t="shared" si="16"/>
        <v>0</v>
      </c>
      <c r="Z61" s="244">
        <f t="shared" si="16"/>
        <v>0</v>
      </c>
      <c r="AA61" s="244">
        <f t="shared" si="16"/>
        <v>0</v>
      </c>
      <c r="AB61" s="244">
        <f t="shared" si="16"/>
        <v>0</v>
      </c>
      <c r="AC61" s="244">
        <f t="shared" si="16"/>
        <v>0</v>
      </c>
      <c r="AD61" s="244">
        <f t="shared" si="16"/>
        <v>0</v>
      </c>
      <c r="AE61" s="244">
        <f t="shared" si="16"/>
        <v>0</v>
      </c>
      <c r="AF61" s="244">
        <f t="shared" si="16"/>
        <v>0</v>
      </c>
      <c r="AG61" s="244">
        <f t="shared" si="16"/>
        <v>0</v>
      </c>
      <c r="AH61" s="244">
        <f t="shared" si="16"/>
        <v>0</v>
      </c>
      <c r="AI61" s="244">
        <f t="shared" si="16"/>
        <v>0</v>
      </c>
      <c r="AJ61" s="244">
        <f t="shared" si="16"/>
        <v>0</v>
      </c>
      <c r="AK61" s="244">
        <f t="shared" si="16"/>
        <v>0</v>
      </c>
      <c r="AL61" s="244">
        <f t="shared" si="16"/>
        <v>0</v>
      </c>
      <c r="AM61" s="244">
        <f t="shared" si="16"/>
        <v>0</v>
      </c>
      <c r="AN61" s="244">
        <f t="shared" si="16"/>
        <v>0</v>
      </c>
    </row>
    <row r="62" spans="2:41" x14ac:dyDescent="0.25">
      <c r="B62" s="102" t="s">
        <v>130</v>
      </c>
      <c r="C62" s="40" t="s">
        <v>135</v>
      </c>
      <c r="D62" s="244">
        <f>ROUND(D38/1000*D56*30.4375*12,0)</f>
        <v>2323277</v>
      </c>
      <c r="E62" s="244">
        <f t="shared" ref="E62:AN62" si="17">ROUND(E38/1000*E56*30.4375*12,0)</f>
        <v>2364973</v>
      </c>
      <c r="F62" s="244">
        <f t="shared" si="17"/>
        <v>0</v>
      </c>
      <c r="G62" s="244">
        <f t="shared" si="17"/>
        <v>0</v>
      </c>
      <c r="H62" s="244">
        <f t="shared" si="17"/>
        <v>0</v>
      </c>
      <c r="I62" s="244">
        <f t="shared" si="17"/>
        <v>0</v>
      </c>
      <c r="J62" s="244">
        <f t="shared" si="17"/>
        <v>0</v>
      </c>
      <c r="K62" s="244">
        <f t="shared" si="17"/>
        <v>0</v>
      </c>
      <c r="L62" s="244">
        <f t="shared" si="17"/>
        <v>0</v>
      </c>
      <c r="M62" s="244">
        <f t="shared" si="17"/>
        <v>0</v>
      </c>
      <c r="N62" s="244">
        <f t="shared" si="17"/>
        <v>0</v>
      </c>
      <c r="O62" s="244">
        <f t="shared" si="17"/>
        <v>0</v>
      </c>
      <c r="P62" s="244">
        <f t="shared" si="17"/>
        <v>0</v>
      </c>
      <c r="Q62" s="244">
        <f t="shared" si="17"/>
        <v>0</v>
      </c>
      <c r="R62" s="244">
        <f t="shared" si="17"/>
        <v>0</v>
      </c>
      <c r="S62" s="244">
        <f t="shared" si="17"/>
        <v>0</v>
      </c>
      <c r="T62" s="244">
        <f t="shared" si="17"/>
        <v>0</v>
      </c>
      <c r="U62" s="244">
        <f t="shared" si="17"/>
        <v>0</v>
      </c>
      <c r="V62" s="244">
        <f t="shared" si="17"/>
        <v>0</v>
      </c>
      <c r="W62" s="244">
        <f t="shared" si="17"/>
        <v>0</v>
      </c>
      <c r="X62" s="244">
        <f t="shared" si="17"/>
        <v>0</v>
      </c>
      <c r="Y62" s="244">
        <f t="shared" si="17"/>
        <v>0</v>
      </c>
      <c r="Z62" s="244">
        <f t="shared" si="17"/>
        <v>0</v>
      </c>
      <c r="AA62" s="244">
        <f t="shared" si="17"/>
        <v>0</v>
      </c>
      <c r="AB62" s="244">
        <f t="shared" si="17"/>
        <v>0</v>
      </c>
      <c r="AC62" s="244">
        <f t="shared" si="17"/>
        <v>0</v>
      </c>
      <c r="AD62" s="244">
        <f t="shared" si="17"/>
        <v>0</v>
      </c>
      <c r="AE62" s="244">
        <f t="shared" si="17"/>
        <v>0</v>
      </c>
      <c r="AF62" s="244">
        <f t="shared" si="17"/>
        <v>0</v>
      </c>
      <c r="AG62" s="244">
        <f t="shared" si="17"/>
        <v>0</v>
      </c>
      <c r="AH62" s="244">
        <f t="shared" si="17"/>
        <v>0</v>
      </c>
      <c r="AI62" s="244">
        <f t="shared" si="17"/>
        <v>0</v>
      </c>
      <c r="AJ62" s="244">
        <f t="shared" si="17"/>
        <v>0</v>
      </c>
      <c r="AK62" s="244">
        <f t="shared" si="17"/>
        <v>0</v>
      </c>
      <c r="AL62" s="244">
        <f t="shared" si="17"/>
        <v>0</v>
      </c>
      <c r="AM62" s="244">
        <f t="shared" si="17"/>
        <v>0</v>
      </c>
      <c r="AN62" s="244">
        <f t="shared" si="17"/>
        <v>0</v>
      </c>
    </row>
    <row r="63" spans="2:41" x14ac:dyDescent="0.25">
      <c r="B63" s="102" t="s">
        <v>131</v>
      </c>
      <c r="C63" s="40" t="s">
        <v>135</v>
      </c>
      <c r="D63" s="244">
        <f>ROUND(D38/1000*D56*30.4375*12*(1+D45),0)</f>
        <v>2323277</v>
      </c>
      <c r="E63" s="244">
        <f t="shared" ref="E63:AN63" si="18">ROUND(E38/1000*E56*30.4375*12*(1+E45),0)</f>
        <v>2364973</v>
      </c>
      <c r="F63" s="244">
        <f t="shared" si="18"/>
        <v>0</v>
      </c>
      <c r="G63" s="244">
        <f t="shared" si="18"/>
        <v>0</v>
      </c>
      <c r="H63" s="244">
        <f t="shared" si="18"/>
        <v>0</v>
      </c>
      <c r="I63" s="244">
        <f t="shared" si="18"/>
        <v>0</v>
      </c>
      <c r="J63" s="244">
        <f t="shared" si="18"/>
        <v>0</v>
      </c>
      <c r="K63" s="244">
        <f t="shared" si="18"/>
        <v>0</v>
      </c>
      <c r="L63" s="244">
        <f t="shared" si="18"/>
        <v>0</v>
      </c>
      <c r="M63" s="244">
        <f t="shared" si="18"/>
        <v>0</v>
      </c>
      <c r="N63" s="244">
        <f t="shared" si="18"/>
        <v>0</v>
      </c>
      <c r="O63" s="244">
        <f t="shared" si="18"/>
        <v>0</v>
      </c>
      <c r="P63" s="244">
        <f t="shared" si="18"/>
        <v>0</v>
      </c>
      <c r="Q63" s="244">
        <f t="shared" si="18"/>
        <v>0</v>
      </c>
      <c r="R63" s="244">
        <f t="shared" si="18"/>
        <v>0</v>
      </c>
      <c r="S63" s="244">
        <f t="shared" si="18"/>
        <v>0</v>
      </c>
      <c r="T63" s="244">
        <f t="shared" si="18"/>
        <v>0</v>
      </c>
      <c r="U63" s="244">
        <f t="shared" si="18"/>
        <v>0</v>
      </c>
      <c r="V63" s="244">
        <f t="shared" si="18"/>
        <v>0</v>
      </c>
      <c r="W63" s="244">
        <f t="shared" si="18"/>
        <v>0</v>
      </c>
      <c r="X63" s="244">
        <f t="shared" si="18"/>
        <v>0</v>
      </c>
      <c r="Y63" s="244">
        <f t="shared" si="18"/>
        <v>0</v>
      </c>
      <c r="Z63" s="244">
        <f t="shared" si="18"/>
        <v>0</v>
      </c>
      <c r="AA63" s="244">
        <f t="shared" si="18"/>
        <v>0</v>
      </c>
      <c r="AB63" s="244">
        <f t="shared" si="18"/>
        <v>0</v>
      </c>
      <c r="AC63" s="244">
        <f t="shared" si="18"/>
        <v>0</v>
      </c>
      <c r="AD63" s="244">
        <f t="shared" si="18"/>
        <v>0</v>
      </c>
      <c r="AE63" s="244">
        <f t="shared" si="18"/>
        <v>0</v>
      </c>
      <c r="AF63" s="244">
        <f t="shared" si="18"/>
        <v>0</v>
      </c>
      <c r="AG63" s="244">
        <f t="shared" si="18"/>
        <v>0</v>
      </c>
      <c r="AH63" s="244">
        <f t="shared" si="18"/>
        <v>0</v>
      </c>
      <c r="AI63" s="244">
        <f t="shared" si="18"/>
        <v>0</v>
      </c>
      <c r="AJ63" s="244">
        <f t="shared" si="18"/>
        <v>0</v>
      </c>
      <c r="AK63" s="244">
        <f t="shared" si="18"/>
        <v>0</v>
      </c>
      <c r="AL63" s="244">
        <f t="shared" si="18"/>
        <v>0</v>
      </c>
      <c r="AM63" s="244">
        <f t="shared" si="18"/>
        <v>0</v>
      </c>
      <c r="AN63" s="244">
        <f t="shared" si="18"/>
        <v>0</v>
      </c>
    </row>
    <row r="64" spans="2:41" x14ac:dyDescent="0.25">
      <c r="B64" s="106" t="s">
        <v>4</v>
      </c>
      <c r="C64" s="40"/>
      <c r="D64" s="40"/>
      <c r="E64" s="40"/>
      <c r="F64" s="134"/>
      <c r="G64" s="134"/>
      <c r="H64" s="134"/>
      <c r="I64" s="134"/>
      <c r="J64" s="134"/>
      <c r="K64" s="134"/>
      <c r="L64" s="134"/>
      <c r="M64" s="134"/>
      <c r="N64" s="134"/>
      <c r="O64" s="134"/>
      <c r="P64" s="134"/>
      <c r="Q64" s="134"/>
      <c r="R64" s="134"/>
      <c r="S64" s="134"/>
      <c r="T64" s="134"/>
      <c r="U64" s="134"/>
      <c r="V64" s="134"/>
      <c r="W64" s="134"/>
      <c r="X64" s="134"/>
      <c r="Y64" s="134"/>
      <c r="Z64" s="134"/>
      <c r="AA64" s="134"/>
      <c r="AB64" s="134"/>
      <c r="AC64" s="134"/>
      <c r="AD64" s="134"/>
      <c r="AE64" s="134"/>
      <c r="AF64" s="134"/>
      <c r="AG64" s="134"/>
      <c r="AH64" s="134"/>
      <c r="AI64" s="134"/>
      <c r="AJ64" s="134"/>
      <c r="AK64" s="134"/>
      <c r="AL64" s="134"/>
      <c r="AM64" s="134"/>
      <c r="AN64" s="134"/>
    </row>
    <row r="65" spans="2:40" x14ac:dyDescent="0.25">
      <c r="B65" s="102" t="s">
        <v>131</v>
      </c>
      <c r="C65" s="40" t="s">
        <v>135</v>
      </c>
      <c r="D65" s="244">
        <f>ROUND(D38/1000*D57*30.4375*12*(1+D45),0)</f>
        <v>0</v>
      </c>
      <c r="E65" s="244">
        <f t="shared" ref="E65:AN65" si="19">ROUND(E38/1000*E57*30.4375*12*(1+E45),0)</f>
        <v>0</v>
      </c>
      <c r="F65" s="244">
        <f t="shared" si="19"/>
        <v>0</v>
      </c>
      <c r="G65" s="244">
        <f t="shared" si="19"/>
        <v>0</v>
      </c>
      <c r="H65" s="244">
        <f t="shared" si="19"/>
        <v>0</v>
      </c>
      <c r="I65" s="244">
        <f t="shared" si="19"/>
        <v>0</v>
      </c>
      <c r="J65" s="244">
        <f t="shared" si="19"/>
        <v>0</v>
      </c>
      <c r="K65" s="244">
        <f t="shared" si="19"/>
        <v>0</v>
      </c>
      <c r="L65" s="244">
        <f t="shared" si="19"/>
        <v>0</v>
      </c>
      <c r="M65" s="244">
        <f t="shared" si="19"/>
        <v>0</v>
      </c>
      <c r="N65" s="244">
        <f t="shared" si="19"/>
        <v>0</v>
      </c>
      <c r="O65" s="244">
        <f t="shared" si="19"/>
        <v>0</v>
      </c>
      <c r="P65" s="244">
        <f t="shared" si="19"/>
        <v>0</v>
      </c>
      <c r="Q65" s="244">
        <f t="shared" si="19"/>
        <v>0</v>
      </c>
      <c r="R65" s="244">
        <f t="shared" si="19"/>
        <v>0</v>
      </c>
      <c r="S65" s="244">
        <f t="shared" si="19"/>
        <v>0</v>
      </c>
      <c r="T65" s="244">
        <f t="shared" si="19"/>
        <v>0</v>
      </c>
      <c r="U65" s="244">
        <f t="shared" si="19"/>
        <v>0</v>
      </c>
      <c r="V65" s="244">
        <f t="shared" si="19"/>
        <v>0</v>
      </c>
      <c r="W65" s="244">
        <f t="shared" si="19"/>
        <v>0</v>
      </c>
      <c r="X65" s="244">
        <f t="shared" si="19"/>
        <v>0</v>
      </c>
      <c r="Y65" s="244">
        <f t="shared" si="19"/>
        <v>0</v>
      </c>
      <c r="Z65" s="244">
        <f t="shared" si="19"/>
        <v>0</v>
      </c>
      <c r="AA65" s="244">
        <f t="shared" si="19"/>
        <v>0</v>
      </c>
      <c r="AB65" s="244">
        <f t="shared" si="19"/>
        <v>0</v>
      </c>
      <c r="AC65" s="244">
        <f t="shared" si="19"/>
        <v>0</v>
      </c>
      <c r="AD65" s="244">
        <f t="shared" si="19"/>
        <v>0</v>
      </c>
      <c r="AE65" s="244">
        <f t="shared" si="19"/>
        <v>0</v>
      </c>
      <c r="AF65" s="244">
        <f t="shared" si="19"/>
        <v>0</v>
      </c>
      <c r="AG65" s="244">
        <f t="shared" si="19"/>
        <v>0</v>
      </c>
      <c r="AH65" s="244">
        <f t="shared" si="19"/>
        <v>0</v>
      </c>
      <c r="AI65" s="244">
        <f t="shared" si="19"/>
        <v>0</v>
      </c>
      <c r="AJ65" s="244">
        <f t="shared" si="19"/>
        <v>0</v>
      </c>
      <c r="AK65" s="244">
        <f t="shared" si="19"/>
        <v>0</v>
      </c>
      <c r="AL65" s="244">
        <f t="shared" si="19"/>
        <v>0</v>
      </c>
      <c r="AM65" s="244">
        <f t="shared" si="19"/>
        <v>0</v>
      </c>
      <c r="AN65" s="244">
        <f t="shared" si="19"/>
        <v>0</v>
      </c>
    </row>
    <row r="66" spans="2:40" x14ac:dyDescent="0.25">
      <c r="B66" s="102" t="s">
        <v>132</v>
      </c>
      <c r="C66" s="40" t="s">
        <v>135</v>
      </c>
      <c r="D66" s="244">
        <f>ROUND(D57*D37/1000*30.4375*12*0.8,0)</f>
        <v>0</v>
      </c>
      <c r="E66" s="244">
        <f t="shared" ref="E66:AN66" si="20">ROUND(E57*E37/1000*30.4375*12*0.8,0)</f>
        <v>0</v>
      </c>
      <c r="F66" s="244">
        <f t="shared" si="20"/>
        <v>0</v>
      </c>
      <c r="G66" s="244">
        <f t="shared" si="20"/>
        <v>0</v>
      </c>
      <c r="H66" s="244">
        <f t="shared" si="20"/>
        <v>0</v>
      </c>
      <c r="I66" s="244">
        <f t="shared" si="20"/>
        <v>0</v>
      </c>
      <c r="J66" s="244">
        <f t="shared" si="20"/>
        <v>0</v>
      </c>
      <c r="K66" s="244">
        <f t="shared" si="20"/>
        <v>0</v>
      </c>
      <c r="L66" s="244">
        <f t="shared" si="20"/>
        <v>0</v>
      </c>
      <c r="M66" s="244">
        <f t="shared" si="20"/>
        <v>0</v>
      </c>
      <c r="N66" s="244">
        <f t="shared" si="20"/>
        <v>0</v>
      </c>
      <c r="O66" s="244">
        <f t="shared" si="20"/>
        <v>0</v>
      </c>
      <c r="P66" s="244">
        <f t="shared" si="20"/>
        <v>0</v>
      </c>
      <c r="Q66" s="244">
        <f t="shared" si="20"/>
        <v>0</v>
      </c>
      <c r="R66" s="244">
        <f t="shared" si="20"/>
        <v>0</v>
      </c>
      <c r="S66" s="244">
        <f t="shared" si="20"/>
        <v>0</v>
      </c>
      <c r="T66" s="244">
        <f t="shared" si="20"/>
        <v>0</v>
      </c>
      <c r="U66" s="244">
        <f t="shared" si="20"/>
        <v>0</v>
      </c>
      <c r="V66" s="244">
        <f t="shared" si="20"/>
        <v>0</v>
      </c>
      <c r="W66" s="244">
        <f t="shared" si="20"/>
        <v>0</v>
      </c>
      <c r="X66" s="244">
        <f t="shared" si="20"/>
        <v>0</v>
      </c>
      <c r="Y66" s="244">
        <f t="shared" si="20"/>
        <v>0</v>
      </c>
      <c r="Z66" s="244">
        <f t="shared" si="20"/>
        <v>0</v>
      </c>
      <c r="AA66" s="244">
        <f t="shared" si="20"/>
        <v>0</v>
      </c>
      <c r="AB66" s="244">
        <f t="shared" si="20"/>
        <v>0</v>
      </c>
      <c r="AC66" s="244">
        <f t="shared" si="20"/>
        <v>0</v>
      </c>
      <c r="AD66" s="244">
        <f t="shared" si="20"/>
        <v>0</v>
      </c>
      <c r="AE66" s="244">
        <f t="shared" si="20"/>
        <v>0</v>
      </c>
      <c r="AF66" s="244">
        <f t="shared" si="20"/>
        <v>0</v>
      </c>
      <c r="AG66" s="244">
        <f t="shared" si="20"/>
        <v>0</v>
      </c>
      <c r="AH66" s="244">
        <f t="shared" si="20"/>
        <v>0</v>
      </c>
      <c r="AI66" s="244">
        <f t="shared" si="20"/>
        <v>0</v>
      </c>
      <c r="AJ66" s="244">
        <f t="shared" si="20"/>
        <v>0</v>
      </c>
      <c r="AK66" s="244">
        <f t="shared" si="20"/>
        <v>0</v>
      </c>
      <c r="AL66" s="244">
        <f t="shared" si="20"/>
        <v>0</v>
      </c>
      <c r="AM66" s="244">
        <f t="shared" si="20"/>
        <v>0</v>
      </c>
      <c r="AN66" s="244">
        <f t="shared" si="20"/>
        <v>0</v>
      </c>
    </row>
    <row r="67" spans="2:40" x14ac:dyDescent="0.25">
      <c r="B67" s="107" t="s">
        <v>133</v>
      </c>
      <c r="C67" s="40" t="s">
        <v>135</v>
      </c>
      <c r="D67" s="431">
        <f>ROUND(D13*0.07/1000*86400*365.25/1000,0)</f>
        <v>0</v>
      </c>
      <c r="E67" s="431">
        <f t="shared" ref="E67:AN67" si="21">ROUND(E13*0.07/1000*86400*365.25/1000,0)</f>
        <v>0</v>
      </c>
      <c r="F67" s="431">
        <f t="shared" si="21"/>
        <v>0</v>
      </c>
      <c r="G67" s="431">
        <f t="shared" si="21"/>
        <v>0</v>
      </c>
      <c r="H67" s="431">
        <f t="shared" si="21"/>
        <v>0</v>
      </c>
      <c r="I67" s="431">
        <f t="shared" si="21"/>
        <v>0</v>
      </c>
      <c r="J67" s="431">
        <f t="shared" si="21"/>
        <v>0</v>
      </c>
      <c r="K67" s="431">
        <f t="shared" si="21"/>
        <v>0</v>
      </c>
      <c r="L67" s="431">
        <f t="shared" si="21"/>
        <v>0</v>
      </c>
      <c r="M67" s="431">
        <f t="shared" si="21"/>
        <v>0</v>
      </c>
      <c r="N67" s="431">
        <f t="shared" si="21"/>
        <v>0</v>
      </c>
      <c r="O67" s="431">
        <f t="shared" si="21"/>
        <v>0</v>
      </c>
      <c r="P67" s="431">
        <f t="shared" si="21"/>
        <v>0</v>
      </c>
      <c r="Q67" s="431">
        <f t="shared" si="21"/>
        <v>0</v>
      </c>
      <c r="R67" s="431">
        <f t="shared" si="21"/>
        <v>0</v>
      </c>
      <c r="S67" s="431">
        <f t="shared" si="21"/>
        <v>0</v>
      </c>
      <c r="T67" s="431">
        <f t="shared" si="21"/>
        <v>0</v>
      </c>
      <c r="U67" s="431">
        <f t="shared" si="21"/>
        <v>0</v>
      </c>
      <c r="V67" s="431">
        <f t="shared" si="21"/>
        <v>0</v>
      </c>
      <c r="W67" s="431">
        <f t="shared" si="21"/>
        <v>0</v>
      </c>
      <c r="X67" s="431">
        <f t="shared" si="21"/>
        <v>0</v>
      </c>
      <c r="Y67" s="431">
        <f t="shared" si="21"/>
        <v>0</v>
      </c>
      <c r="Z67" s="431">
        <f t="shared" si="21"/>
        <v>0</v>
      </c>
      <c r="AA67" s="431">
        <f t="shared" si="21"/>
        <v>0</v>
      </c>
      <c r="AB67" s="431">
        <f t="shared" si="21"/>
        <v>0</v>
      </c>
      <c r="AC67" s="431">
        <f t="shared" si="21"/>
        <v>0</v>
      </c>
      <c r="AD67" s="431">
        <f t="shared" si="21"/>
        <v>0</v>
      </c>
      <c r="AE67" s="431">
        <f t="shared" si="21"/>
        <v>0</v>
      </c>
      <c r="AF67" s="431">
        <f t="shared" si="21"/>
        <v>0</v>
      </c>
      <c r="AG67" s="431">
        <f t="shared" si="21"/>
        <v>0</v>
      </c>
      <c r="AH67" s="431">
        <f t="shared" si="21"/>
        <v>0</v>
      </c>
      <c r="AI67" s="431">
        <f t="shared" si="21"/>
        <v>0</v>
      </c>
      <c r="AJ67" s="431">
        <f t="shared" si="21"/>
        <v>0</v>
      </c>
      <c r="AK67" s="431">
        <f t="shared" si="21"/>
        <v>0</v>
      </c>
      <c r="AL67" s="431">
        <f t="shared" si="21"/>
        <v>0</v>
      </c>
      <c r="AM67" s="431">
        <f t="shared" si="21"/>
        <v>0</v>
      </c>
      <c r="AN67" s="431">
        <f t="shared" si="21"/>
        <v>0</v>
      </c>
    </row>
    <row r="68" spans="2:40" ht="15.75" thickBot="1" x14ac:dyDescent="0.3">
      <c r="B68" s="108" t="s">
        <v>134</v>
      </c>
      <c r="C68" s="109" t="s">
        <v>135</v>
      </c>
      <c r="D68" s="432">
        <f>ROUND(D66+D67,0)</f>
        <v>0</v>
      </c>
      <c r="E68" s="432">
        <f t="shared" ref="E68:AN68" si="22">ROUND(E66+E67,0)</f>
        <v>0</v>
      </c>
      <c r="F68" s="432">
        <f t="shared" si="22"/>
        <v>0</v>
      </c>
      <c r="G68" s="432">
        <f t="shared" si="22"/>
        <v>0</v>
      </c>
      <c r="H68" s="432">
        <f t="shared" si="22"/>
        <v>0</v>
      </c>
      <c r="I68" s="432">
        <f t="shared" si="22"/>
        <v>0</v>
      </c>
      <c r="J68" s="432">
        <f t="shared" si="22"/>
        <v>0</v>
      </c>
      <c r="K68" s="432">
        <f t="shared" si="22"/>
        <v>0</v>
      </c>
      <c r="L68" s="432">
        <f t="shared" si="22"/>
        <v>0</v>
      </c>
      <c r="M68" s="432">
        <f t="shared" si="22"/>
        <v>0</v>
      </c>
      <c r="N68" s="432">
        <f t="shared" si="22"/>
        <v>0</v>
      </c>
      <c r="O68" s="432">
        <f t="shared" si="22"/>
        <v>0</v>
      </c>
      <c r="P68" s="432">
        <f t="shared" si="22"/>
        <v>0</v>
      </c>
      <c r="Q68" s="432">
        <f t="shared" si="22"/>
        <v>0</v>
      </c>
      <c r="R68" s="432">
        <f t="shared" si="22"/>
        <v>0</v>
      </c>
      <c r="S68" s="432">
        <f t="shared" si="22"/>
        <v>0</v>
      </c>
      <c r="T68" s="432">
        <f t="shared" si="22"/>
        <v>0</v>
      </c>
      <c r="U68" s="432">
        <f t="shared" si="22"/>
        <v>0</v>
      </c>
      <c r="V68" s="432">
        <f t="shared" si="22"/>
        <v>0</v>
      </c>
      <c r="W68" s="432">
        <f t="shared" si="22"/>
        <v>0</v>
      </c>
      <c r="X68" s="432">
        <f t="shared" si="22"/>
        <v>0</v>
      </c>
      <c r="Y68" s="432">
        <f t="shared" si="22"/>
        <v>0</v>
      </c>
      <c r="Z68" s="432">
        <f t="shared" si="22"/>
        <v>0</v>
      </c>
      <c r="AA68" s="432">
        <f t="shared" si="22"/>
        <v>0</v>
      </c>
      <c r="AB68" s="432">
        <f t="shared" si="22"/>
        <v>0</v>
      </c>
      <c r="AC68" s="432">
        <f t="shared" si="22"/>
        <v>0</v>
      </c>
      <c r="AD68" s="432">
        <f t="shared" si="22"/>
        <v>0</v>
      </c>
      <c r="AE68" s="432">
        <f t="shared" si="22"/>
        <v>0</v>
      </c>
      <c r="AF68" s="432">
        <f t="shared" si="22"/>
        <v>0</v>
      </c>
      <c r="AG68" s="432">
        <f t="shared" si="22"/>
        <v>0</v>
      </c>
      <c r="AH68" s="432">
        <f t="shared" si="22"/>
        <v>0</v>
      </c>
      <c r="AI68" s="432">
        <f t="shared" si="22"/>
        <v>0</v>
      </c>
      <c r="AJ68" s="432">
        <f t="shared" si="22"/>
        <v>0</v>
      </c>
      <c r="AK68" s="432">
        <f t="shared" si="22"/>
        <v>0</v>
      </c>
      <c r="AL68" s="432">
        <f t="shared" si="22"/>
        <v>0</v>
      </c>
      <c r="AM68" s="432">
        <f t="shared" si="22"/>
        <v>0</v>
      </c>
      <c r="AN68" s="432">
        <f t="shared" si="22"/>
        <v>0</v>
      </c>
    </row>
    <row r="69" spans="2:40" ht="15.75" thickTop="1" x14ac:dyDescent="0.25"/>
  </sheetData>
  <mergeCells count="2">
    <mergeCell ref="B1:B2"/>
    <mergeCell ref="C1:C2"/>
  </mergeCells>
  <pageMargins left="0.511811024" right="0.511811024" top="0.78740157499999996" bottom="0.78740157499999996" header="0.31496062000000002" footer="0.3149606200000000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D7DF87-2FEA-48A5-A4F0-87B54DF4DD84}">
  <dimension ref="A1:R391"/>
  <sheetViews>
    <sheetView topLeftCell="E327" zoomScale="115" zoomScaleNormal="115" workbookViewId="0">
      <selection activeCell="O341" sqref="O341:O345"/>
    </sheetView>
  </sheetViews>
  <sheetFormatPr defaultRowHeight="15" x14ac:dyDescent="0.25"/>
  <cols>
    <col min="1" max="1" width="14.140625" customWidth="1"/>
    <col min="2" max="2" width="15.5703125" customWidth="1"/>
    <col min="3" max="3" width="46.28515625" customWidth="1"/>
    <col min="4" max="4" width="11.28515625" customWidth="1"/>
    <col min="5" max="5" width="12.42578125" customWidth="1"/>
    <col min="6" max="6" width="14.28515625" customWidth="1"/>
    <col min="7" max="7" width="18.85546875" customWidth="1"/>
    <col min="8" max="9" width="15.7109375" customWidth="1"/>
    <col min="10" max="10" width="15" customWidth="1"/>
    <col min="11" max="11" width="14" customWidth="1"/>
    <col min="12" max="12" width="15.5703125" customWidth="1"/>
    <col min="13" max="13" width="14.7109375" customWidth="1"/>
    <col min="14" max="14" width="41.140625" customWidth="1"/>
    <col min="15" max="15" width="14.5703125" customWidth="1"/>
    <col min="16" max="16" width="13.140625" customWidth="1"/>
    <col min="17" max="17" width="13.5703125" customWidth="1"/>
    <col min="18" max="18" width="13.85546875" customWidth="1"/>
    <col min="19" max="19" width="32.42578125" customWidth="1"/>
    <col min="20" max="20" width="15.7109375" customWidth="1"/>
    <col min="21" max="21" width="8" customWidth="1"/>
    <col min="22" max="44" width="15.7109375" customWidth="1"/>
    <col min="45" max="45" width="16.7109375" customWidth="1"/>
  </cols>
  <sheetData>
    <row r="1" spans="1:11" ht="15.75" thickTop="1" x14ac:dyDescent="0.25">
      <c r="A1" s="309" t="s">
        <v>520</v>
      </c>
      <c r="C1" s="1093" t="s">
        <v>673</v>
      </c>
      <c r="D1" s="1094"/>
      <c r="E1" s="1094"/>
      <c r="F1" s="1095"/>
      <c r="G1" s="585"/>
      <c r="H1" s="586"/>
      <c r="I1" s="586"/>
      <c r="J1" s="586"/>
      <c r="K1" s="586"/>
    </row>
    <row r="2" spans="1:11" ht="15.75" thickBot="1" x14ac:dyDescent="0.3">
      <c r="A2" s="145" t="s">
        <v>521</v>
      </c>
      <c r="C2" s="585"/>
      <c r="D2" s="585"/>
      <c r="E2" s="585"/>
      <c r="F2" s="587"/>
      <c r="G2" s="585"/>
      <c r="H2" s="586"/>
      <c r="I2" s="586"/>
      <c r="J2" s="586"/>
      <c r="K2" s="586"/>
    </row>
    <row r="3" spans="1:11" ht="15.75" thickTop="1" x14ac:dyDescent="0.25">
      <c r="A3" s="213" t="s">
        <v>522</v>
      </c>
      <c r="C3" s="588" t="s">
        <v>646</v>
      </c>
      <c r="D3" s="589" t="s">
        <v>532</v>
      </c>
      <c r="E3" s="590" t="s">
        <v>11</v>
      </c>
      <c r="F3" s="591" t="s">
        <v>651</v>
      </c>
      <c r="G3" s="585"/>
      <c r="H3" s="586"/>
      <c r="I3" s="586"/>
      <c r="J3" s="586"/>
      <c r="K3" s="586"/>
    </row>
    <row r="4" spans="1:11" x14ac:dyDescent="0.25">
      <c r="C4" s="592"/>
      <c r="D4" s="593" t="s">
        <v>20</v>
      </c>
      <c r="E4" s="593" t="s">
        <v>534</v>
      </c>
      <c r="F4" s="594" t="s">
        <v>222</v>
      </c>
      <c r="G4" s="585"/>
      <c r="H4" s="586"/>
      <c r="I4" s="586"/>
      <c r="J4" s="586"/>
      <c r="K4" s="586"/>
    </row>
    <row r="5" spans="1:11" x14ac:dyDescent="0.25">
      <c r="C5" s="595" t="s">
        <v>70</v>
      </c>
      <c r="D5" s="606">
        <f>ROUND(F5/E5,2)</f>
        <v>0</v>
      </c>
      <c r="E5" s="929">
        <f>SUM('Base Física'!F33:AN33)</f>
        <v>1657</v>
      </c>
      <c r="F5" s="930">
        <f>ROUND(G57*$I$12,2)</f>
        <v>0</v>
      </c>
      <c r="G5" s="596"/>
      <c r="I5" s="596"/>
      <c r="J5" s="596"/>
      <c r="K5" s="596"/>
    </row>
    <row r="6" spans="1:11" x14ac:dyDescent="0.25">
      <c r="B6" s="585"/>
      <c r="C6" s="595" t="s">
        <v>65</v>
      </c>
      <c r="D6" s="606">
        <f t="shared" ref="D6:D11" si="0">ROUND(F6/E6,2)</f>
        <v>0</v>
      </c>
      <c r="E6" s="929">
        <f>E5</f>
        <v>1657</v>
      </c>
      <c r="F6" s="930">
        <f>ROUND(G216*$I$12,2)</f>
        <v>0</v>
      </c>
      <c r="G6" s="596"/>
      <c r="H6" s="596"/>
      <c r="I6" s="596"/>
      <c r="J6" s="596"/>
      <c r="K6" s="596"/>
    </row>
    <row r="7" spans="1:11" x14ac:dyDescent="0.25">
      <c r="B7" s="585"/>
      <c r="C7" s="595" t="s">
        <v>66</v>
      </c>
      <c r="D7" s="606">
        <f t="shared" si="0"/>
        <v>0</v>
      </c>
      <c r="E7" s="929">
        <f t="shared" ref="E7:E11" si="1">E6</f>
        <v>1657</v>
      </c>
      <c r="F7" s="930">
        <f>ROUND(G241*$I$12,2)</f>
        <v>0</v>
      </c>
      <c r="G7" s="596"/>
      <c r="H7" s="596"/>
      <c r="I7" s="596"/>
      <c r="J7" s="596"/>
      <c r="K7" s="596"/>
    </row>
    <row r="8" spans="1:11" x14ac:dyDescent="0.25">
      <c r="B8" s="585"/>
      <c r="C8" s="595" t="s">
        <v>161</v>
      </c>
      <c r="D8" s="606">
        <f t="shared" si="0"/>
        <v>0</v>
      </c>
      <c r="E8" s="929">
        <f t="shared" si="1"/>
        <v>1657</v>
      </c>
      <c r="F8" s="930">
        <f>ROUND(G291*$I$12,2)</f>
        <v>0</v>
      </c>
      <c r="G8" s="596"/>
      <c r="H8" s="596"/>
      <c r="I8" s="596"/>
      <c r="J8" s="596"/>
      <c r="K8" s="596"/>
    </row>
    <row r="9" spans="1:11" x14ac:dyDescent="0.25">
      <c r="B9" s="585"/>
      <c r="C9" s="595" t="s">
        <v>67</v>
      </c>
      <c r="D9" s="606">
        <f t="shared" si="0"/>
        <v>0</v>
      </c>
      <c r="E9" s="929">
        <f t="shared" si="1"/>
        <v>1657</v>
      </c>
      <c r="F9" s="930">
        <f>ROUND(G297*$I$12/2,2)</f>
        <v>0</v>
      </c>
      <c r="G9" s="596"/>
      <c r="H9" s="596"/>
      <c r="I9" s="596"/>
      <c r="J9" s="596"/>
      <c r="K9" s="596"/>
    </row>
    <row r="10" spans="1:11" x14ac:dyDescent="0.25">
      <c r="B10" s="585"/>
      <c r="C10" s="595" t="s">
        <v>69</v>
      </c>
      <c r="D10" s="606">
        <f t="shared" si="0"/>
        <v>0</v>
      </c>
      <c r="E10" s="929">
        <f t="shared" si="1"/>
        <v>1657</v>
      </c>
      <c r="F10" s="930">
        <f>ROUND(G297*$I$12/2,2)</f>
        <v>0</v>
      </c>
      <c r="G10" s="596"/>
      <c r="H10" s="596"/>
      <c r="I10" s="596"/>
      <c r="J10" s="596"/>
      <c r="K10" s="596"/>
    </row>
    <row r="11" spans="1:11" ht="15.75" thickBot="1" x14ac:dyDescent="0.3">
      <c r="B11" s="585"/>
      <c r="C11" s="597" t="s">
        <v>68</v>
      </c>
      <c r="D11" s="931">
        <f t="shared" si="0"/>
        <v>0</v>
      </c>
      <c r="E11" s="903">
        <f t="shared" si="1"/>
        <v>1657</v>
      </c>
      <c r="F11" s="932">
        <f>ROUND(G308*$I$12,2)</f>
        <v>0</v>
      </c>
      <c r="G11" s="596"/>
      <c r="H11" s="596"/>
      <c r="I11" s="596"/>
      <c r="J11" s="596"/>
      <c r="K11" s="596"/>
    </row>
    <row r="12" spans="1:11" ht="16.5" thickTop="1" thickBot="1" x14ac:dyDescent="0.3">
      <c r="B12" s="585"/>
      <c r="C12" s="598" t="s">
        <v>92</v>
      </c>
      <c r="D12" s="599">
        <f>SUM(D5:D11)</f>
        <v>0</v>
      </c>
      <c r="E12" s="600">
        <f>E11</f>
        <v>1657</v>
      </c>
      <c r="F12" s="745">
        <f>SUM(F5:F11)</f>
        <v>0</v>
      </c>
      <c r="G12" s="904">
        <f>Cronograma!AL12</f>
        <v>5.8</v>
      </c>
      <c r="H12" s="905">
        <f>F12-G12</f>
        <v>-5.8</v>
      </c>
      <c r="I12" s="911">
        <v>0.12148358036336138</v>
      </c>
      <c r="J12" s="917"/>
      <c r="K12" s="596"/>
    </row>
    <row r="13" spans="1:11" ht="15.75" thickTop="1" x14ac:dyDescent="0.25">
      <c r="B13" s="585"/>
      <c r="C13" s="601" t="s">
        <v>0</v>
      </c>
      <c r="D13" s="933">
        <f t="shared" ref="D13:D18" si="2">ROUND(F13/E13,2)</f>
        <v>0</v>
      </c>
      <c r="E13" s="902">
        <f>SUM('Base Física'!F34:AN34)</f>
        <v>46012</v>
      </c>
      <c r="F13" s="934">
        <f>ROUND(G320*$I$19,2)</f>
        <v>0</v>
      </c>
      <c r="G13" s="904"/>
      <c r="H13" s="93"/>
      <c r="I13" s="596"/>
      <c r="J13" s="596"/>
      <c r="K13" s="596"/>
    </row>
    <row r="14" spans="1:11" x14ac:dyDescent="0.25">
      <c r="B14" s="585"/>
      <c r="C14" s="595" t="s">
        <v>1</v>
      </c>
      <c r="D14" s="606">
        <f t="shared" si="2"/>
        <v>0</v>
      </c>
      <c r="E14" s="929">
        <f>E13</f>
        <v>46012</v>
      </c>
      <c r="F14" s="930">
        <f>ROUND(G334*$I$19,2)</f>
        <v>0</v>
      </c>
      <c r="G14" s="904"/>
      <c r="H14" s="904"/>
      <c r="I14" s="596"/>
      <c r="J14" s="596"/>
      <c r="K14" s="596"/>
    </row>
    <row r="15" spans="1:11" x14ac:dyDescent="0.25">
      <c r="B15" s="585"/>
      <c r="C15" s="595" t="s">
        <v>162</v>
      </c>
      <c r="D15" s="606">
        <f t="shared" si="2"/>
        <v>0</v>
      </c>
      <c r="E15" s="929">
        <f t="shared" ref="E15:E18" si="3">E13</f>
        <v>46012</v>
      </c>
      <c r="F15" s="930">
        <f>ROUND(G340*$I$19,2)</f>
        <v>0</v>
      </c>
      <c r="G15" s="904"/>
      <c r="H15" s="904"/>
      <c r="I15" s="596"/>
      <c r="J15" s="596"/>
      <c r="K15" s="596"/>
    </row>
    <row r="16" spans="1:11" x14ac:dyDescent="0.25">
      <c r="B16" s="585"/>
      <c r="C16" s="595" t="s">
        <v>71</v>
      </c>
      <c r="D16" s="606">
        <f t="shared" si="2"/>
        <v>0</v>
      </c>
      <c r="E16" s="929">
        <f t="shared" si="3"/>
        <v>46012</v>
      </c>
      <c r="F16" s="930">
        <f>ROUND(G346*$I$19/2,2)</f>
        <v>0</v>
      </c>
      <c r="G16" s="904"/>
      <c r="H16" s="904"/>
      <c r="I16" s="596"/>
      <c r="J16" s="596"/>
      <c r="K16" s="596"/>
    </row>
    <row r="17" spans="2:12" x14ac:dyDescent="0.25">
      <c r="B17" s="585"/>
      <c r="C17" s="595" t="s">
        <v>72</v>
      </c>
      <c r="D17" s="606">
        <f t="shared" si="2"/>
        <v>0</v>
      </c>
      <c r="E17" s="929">
        <f t="shared" si="3"/>
        <v>46012</v>
      </c>
      <c r="F17" s="930">
        <f>ROUND(G346*$I$19/2,2)</f>
        <v>0</v>
      </c>
      <c r="G17" s="904"/>
      <c r="H17" s="904"/>
      <c r="I17" s="596"/>
      <c r="J17" s="596"/>
      <c r="K17" s="596"/>
    </row>
    <row r="18" spans="2:12" ht="15.75" thickBot="1" x14ac:dyDescent="0.3">
      <c r="B18" s="585"/>
      <c r="C18" s="597" t="s">
        <v>73</v>
      </c>
      <c r="D18" s="931">
        <f t="shared" si="2"/>
        <v>0</v>
      </c>
      <c r="E18" s="903">
        <f t="shared" si="3"/>
        <v>46012</v>
      </c>
      <c r="F18" s="932">
        <f>ROUND(G356*$I$19/2,2)</f>
        <v>0</v>
      </c>
      <c r="G18" s="904"/>
      <c r="H18" s="904"/>
      <c r="I18" s="596"/>
      <c r="J18" s="596"/>
      <c r="K18" s="596"/>
    </row>
    <row r="19" spans="2:12" ht="16.5" thickTop="1" thickBot="1" x14ac:dyDescent="0.3">
      <c r="B19" s="585"/>
      <c r="C19" s="598" t="s">
        <v>91</v>
      </c>
      <c r="D19" s="599">
        <f>SUM(D13:D18)</f>
        <v>0</v>
      </c>
      <c r="E19" s="600">
        <f>E18</f>
        <v>46012</v>
      </c>
      <c r="F19" s="746">
        <f>SUM(F13:F18)</f>
        <v>0</v>
      </c>
      <c r="G19" s="904">
        <f>Cronograma!AL19</f>
        <v>0</v>
      </c>
      <c r="H19" s="905">
        <f>F19-G19</f>
        <v>0</v>
      </c>
      <c r="I19" s="911">
        <v>0.80059966414273942</v>
      </c>
      <c r="J19" s="917"/>
      <c r="K19" s="596"/>
    </row>
    <row r="20" spans="2:12" ht="16.5" thickTop="1" thickBot="1" x14ac:dyDescent="0.3">
      <c r="B20" s="585"/>
      <c r="C20" s="602" t="s">
        <v>90</v>
      </c>
      <c r="D20" s="603">
        <f>D19+D12</f>
        <v>0</v>
      </c>
      <c r="E20" s="604"/>
      <c r="F20" s="747">
        <f>F12+F19</f>
        <v>0</v>
      </c>
      <c r="G20" s="906"/>
      <c r="H20" s="904"/>
      <c r="I20" s="596"/>
      <c r="J20" s="596"/>
      <c r="K20" s="596"/>
    </row>
    <row r="21" spans="2:12" ht="16.5" thickTop="1" thickBot="1" x14ac:dyDescent="0.3">
      <c r="B21" s="585"/>
      <c r="C21" s="585"/>
      <c r="D21" s="585"/>
      <c r="E21" s="585"/>
      <c r="F21" s="587"/>
      <c r="G21" s="906"/>
      <c r="H21" s="904"/>
      <c r="I21" s="596"/>
      <c r="J21" s="596"/>
      <c r="K21" s="596"/>
    </row>
    <row r="22" spans="2:12" ht="15.75" thickTop="1" x14ac:dyDescent="0.25">
      <c r="B22" s="585"/>
      <c r="C22" s="588" t="s">
        <v>533</v>
      </c>
      <c r="D22" s="589" t="s">
        <v>532</v>
      </c>
      <c r="E22" s="590" t="s">
        <v>11</v>
      </c>
      <c r="F22" s="591" t="s">
        <v>651</v>
      </c>
      <c r="G22" s="906"/>
      <c r="H22" s="904"/>
      <c r="I22" s="596"/>
      <c r="J22" s="596"/>
      <c r="K22" s="596"/>
    </row>
    <row r="23" spans="2:12" x14ac:dyDescent="0.25">
      <c r="B23" s="585"/>
      <c r="C23" s="592"/>
      <c r="D23" s="593" t="s">
        <v>20</v>
      </c>
      <c r="E23" s="593" t="s">
        <v>534</v>
      </c>
      <c r="F23" s="594" t="s">
        <v>222</v>
      </c>
      <c r="G23" s="906"/>
      <c r="H23" s="904"/>
      <c r="I23" s="596"/>
      <c r="J23" s="596"/>
      <c r="K23" s="596"/>
    </row>
    <row r="24" spans="2:12" x14ac:dyDescent="0.25">
      <c r="B24" s="585"/>
      <c r="C24" s="605" t="s">
        <v>70</v>
      </c>
      <c r="D24" s="606">
        <f t="shared" ref="D24:D30" si="4">ROUND(F24/E24,2)</f>
        <v>0</v>
      </c>
      <c r="E24" s="929">
        <f>SUM('Base Física'!F21:AN21)</f>
        <v>-46012</v>
      </c>
      <c r="F24" s="930">
        <f>G57-F5</f>
        <v>0</v>
      </c>
      <c r="G24" s="906"/>
      <c r="H24" s="904"/>
      <c r="I24" s="596"/>
      <c r="J24" s="596"/>
      <c r="K24" s="596"/>
    </row>
    <row r="25" spans="2:12" x14ac:dyDescent="0.25">
      <c r="B25" s="585"/>
      <c r="C25" s="605" t="s">
        <v>65</v>
      </c>
      <c r="D25" s="606">
        <f t="shared" si="4"/>
        <v>0</v>
      </c>
      <c r="E25" s="929">
        <f>E24</f>
        <v>-46012</v>
      </c>
      <c r="F25" s="930">
        <f>G216-F6</f>
        <v>0</v>
      </c>
      <c r="G25" s="906"/>
      <c r="H25" s="904"/>
      <c r="I25" s="596"/>
      <c r="J25" s="596"/>
      <c r="K25" s="596"/>
    </row>
    <row r="26" spans="2:12" x14ac:dyDescent="0.25">
      <c r="B26" s="585"/>
      <c r="C26" s="605" t="s">
        <v>66</v>
      </c>
      <c r="D26" s="606">
        <f t="shared" si="4"/>
        <v>0</v>
      </c>
      <c r="E26" s="929">
        <f>E25</f>
        <v>-46012</v>
      </c>
      <c r="F26" s="930">
        <f>G241-F7</f>
        <v>0</v>
      </c>
      <c r="G26" s="906"/>
      <c r="H26" s="904"/>
      <c r="I26" s="596"/>
      <c r="J26" s="596"/>
      <c r="K26" s="596"/>
    </row>
    <row r="27" spans="2:12" x14ac:dyDescent="0.25">
      <c r="B27" s="585"/>
      <c r="C27" s="597" t="s">
        <v>161</v>
      </c>
      <c r="D27" s="606">
        <f t="shared" si="4"/>
        <v>0</v>
      </c>
      <c r="E27" s="929">
        <f>E25</f>
        <v>-46012</v>
      </c>
      <c r="F27" s="930">
        <f>G291-F8</f>
        <v>0</v>
      </c>
      <c r="G27" s="906"/>
      <c r="H27" s="904"/>
      <c r="I27" s="596"/>
      <c r="J27" s="596"/>
      <c r="K27" s="596"/>
    </row>
    <row r="28" spans="2:12" x14ac:dyDescent="0.25">
      <c r="B28" s="585"/>
      <c r="C28" s="595" t="s">
        <v>67</v>
      </c>
      <c r="D28" s="606">
        <f t="shared" si="4"/>
        <v>0</v>
      </c>
      <c r="E28" s="929">
        <f t="shared" ref="E28:E30" si="5">E27</f>
        <v>-46012</v>
      </c>
      <c r="F28" s="930">
        <f>G297/2-F9</f>
        <v>0</v>
      </c>
      <c r="G28" s="906"/>
      <c r="H28" s="904"/>
      <c r="I28" s="596"/>
      <c r="J28" s="596"/>
      <c r="K28" s="596"/>
    </row>
    <row r="29" spans="2:12" x14ac:dyDescent="0.25">
      <c r="B29" s="585"/>
      <c r="C29" s="595" t="s">
        <v>69</v>
      </c>
      <c r="D29" s="606">
        <f t="shared" si="4"/>
        <v>0</v>
      </c>
      <c r="E29" s="929">
        <f t="shared" si="5"/>
        <v>-46012</v>
      </c>
      <c r="F29" s="930">
        <f>G297/2-F10</f>
        <v>0</v>
      </c>
      <c r="G29" s="906"/>
      <c r="H29" s="904"/>
      <c r="I29" s="596"/>
      <c r="J29" s="596"/>
      <c r="K29" s="596"/>
      <c r="L29" s="71"/>
    </row>
    <row r="30" spans="2:12" ht="15.75" thickBot="1" x14ac:dyDescent="0.3">
      <c r="B30" s="585"/>
      <c r="C30" s="597" t="s">
        <v>68</v>
      </c>
      <c r="D30" s="931">
        <f t="shared" si="4"/>
        <v>0</v>
      </c>
      <c r="E30" s="903">
        <f t="shared" si="5"/>
        <v>-46012</v>
      </c>
      <c r="F30" s="932">
        <f>G308-F11</f>
        <v>0</v>
      </c>
      <c r="G30" s="906"/>
      <c r="H30" s="904"/>
      <c r="I30" s="596"/>
      <c r="J30" s="596"/>
      <c r="K30" s="596"/>
    </row>
    <row r="31" spans="2:12" ht="16.5" thickTop="1" thickBot="1" x14ac:dyDescent="0.3">
      <c r="B31" s="585"/>
      <c r="C31" s="598" t="s">
        <v>92</v>
      </c>
      <c r="D31" s="607">
        <f>SUM(D24:D27)</f>
        <v>0</v>
      </c>
      <c r="E31" s="600">
        <f>E27</f>
        <v>-46012</v>
      </c>
      <c r="F31" s="748">
        <f>SUM(F24:F30)</f>
        <v>0</v>
      </c>
      <c r="G31" s="907">
        <f>Cronograma!AL31</f>
        <v>0</v>
      </c>
      <c r="H31" s="905">
        <f>F31-G31</f>
        <v>0</v>
      </c>
      <c r="I31" s="596"/>
      <c r="J31" s="596"/>
      <c r="K31" s="596"/>
    </row>
    <row r="32" spans="2:12" ht="15.75" thickTop="1" x14ac:dyDescent="0.25">
      <c r="B32" s="585"/>
      <c r="C32" s="608" t="s">
        <v>0</v>
      </c>
      <c r="D32" s="933">
        <f>ROUND(F32/E32,2)</f>
        <v>0</v>
      </c>
      <c r="E32" s="902">
        <f>SUM('Base Física'!F22:AN22)</f>
        <v>-46012</v>
      </c>
      <c r="F32" s="934">
        <f>G320-F13</f>
        <v>0</v>
      </c>
      <c r="G32" s="906"/>
      <c r="H32" s="904"/>
      <c r="I32" s="596"/>
      <c r="J32" s="596"/>
      <c r="K32" s="596"/>
    </row>
    <row r="33" spans="2:15" x14ac:dyDescent="0.25">
      <c r="B33" s="585"/>
      <c r="C33" s="605" t="s">
        <v>1</v>
      </c>
      <c r="D33" s="606">
        <f t="shared" ref="D33:D37" si="6">ROUND(F33/E33,2)</f>
        <v>0</v>
      </c>
      <c r="E33" s="929">
        <f>E32</f>
        <v>-46012</v>
      </c>
      <c r="F33" s="930">
        <f>G334-F14</f>
        <v>0</v>
      </c>
      <c r="G33" s="906"/>
      <c r="H33" s="904"/>
      <c r="I33" s="596"/>
      <c r="J33" s="596"/>
      <c r="K33" s="596"/>
    </row>
    <row r="34" spans="2:15" x14ac:dyDescent="0.25">
      <c r="B34" s="585"/>
      <c r="C34" s="597" t="s">
        <v>162</v>
      </c>
      <c r="D34" s="606">
        <f t="shared" si="6"/>
        <v>0</v>
      </c>
      <c r="E34" s="929">
        <f>E33</f>
        <v>-46012</v>
      </c>
      <c r="F34" s="930">
        <f>G342-F15</f>
        <v>0</v>
      </c>
      <c r="G34" s="906"/>
      <c r="H34" s="904"/>
      <c r="I34" s="596"/>
      <c r="J34" s="596"/>
      <c r="K34" s="596"/>
    </row>
    <row r="35" spans="2:15" x14ac:dyDescent="0.25">
      <c r="B35" s="585"/>
      <c r="C35" s="595" t="s">
        <v>71</v>
      </c>
      <c r="D35" s="606">
        <f t="shared" si="6"/>
        <v>0</v>
      </c>
      <c r="E35" s="929">
        <f t="shared" ref="E35:E37" si="7">E33</f>
        <v>-46012</v>
      </c>
      <c r="F35" s="930">
        <f>G346/2-F16</f>
        <v>0</v>
      </c>
      <c r="G35" s="906"/>
      <c r="H35" s="904"/>
      <c r="I35" s="596"/>
      <c r="J35" s="596"/>
      <c r="K35" s="596"/>
    </row>
    <row r="36" spans="2:15" x14ac:dyDescent="0.25">
      <c r="B36" s="585"/>
      <c r="C36" s="595" t="s">
        <v>72</v>
      </c>
      <c r="D36" s="606">
        <f t="shared" si="6"/>
        <v>0</v>
      </c>
      <c r="E36" s="929">
        <f t="shared" si="7"/>
        <v>-46012</v>
      </c>
      <c r="F36" s="930">
        <f>G346/2-F17</f>
        <v>0</v>
      </c>
      <c r="G36" s="906"/>
      <c r="H36" s="904"/>
      <c r="I36" s="596"/>
      <c r="J36" s="596"/>
      <c r="K36" s="596"/>
      <c r="L36" s="71"/>
    </row>
    <row r="37" spans="2:15" ht="15.75" thickBot="1" x14ac:dyDescent="0.3">
      <c r="B37" s="585"/>
      <c r="C37" s="597" t="s">
        <v>73</v>
      </c>
      <c r="D37" s="931">
        <f t="shared" si="6"/>
        <v>0</v>
      </c>
      <c r="E37" s="903">
        <f t="shared" si="7"/>
        <v>-46012</v>
      </c>
      <c r="F37" s="932">
        <f>G356-F18</f>
        <v>0</v>
      </c>
      <c r="G37" s="906"/>
      <c r="H37" s="904"/>
      <c r="I37" s="596"/>
      <c r="J37" s="596"/>
      <c r="K37" s="596"/>
    </row>
    <row r="38" spans="2:15" ht="16.5" thickTop="1" thickBot="1" x14ac:dyDescent="0.3">
      <c r="B38" s="585"/>
      <c r="C38" s="598" t="s">
        <v>91</v>
      </c>
      <c r="D38" s="607">
        <f>SUM(D32:D34)</f>
        <v>0</v>
      </c>
      <c r="E38" s="600">
        <f>E34</f>
        <v>-46012</v>
      </c>
      <c r="F38" s="745">
        <f>SUM(F32:F37)</f>
        <v>0</v>
      </c>
      <c r="G38" s="907">
        <f>Cronograma!AL38</f>
        <v>0</v>
      </c>
      <c r="H38" s="905">
        <f>F38-G38</f>
        <v>0</v>
      </c>
      <c r="I38" s="586"/>
      <c r="J38" s="586"/>
      <c r="K38" s="586"/>
    </row>
    <row r="39" spans="2:15" ht="16.5" thickTop="1" thickBot="1" x14ac:dyDescent="0.3">
      <c r="B39" s="585"/>
      <c r="C39" s="602" t="s">
        <v>90</v>
      </c>
      <c r="D39" s="603">
        <f>D38+D31</f>
        <v>0</v>
      </c>
      <c r="E39" s="604"/>
      <c r="F39" s="749">
        <f>F31+F38</f>
        <v>0</v>
      </c>
      <c r="G39" s="906"/>
      <c r="H39" s="908"/>
      <c r="I39" s="586"/>
      <c r="J39" s="586"/>
      <c r="K39" s="586"/>
    </row>
    <row r="40" spans="2:15" ht="15.75" customHeight="1" thickTop="1" thickBot="1" x14ac:dyDescent="0.3">
      <c r="B40" s="585"/>
      <c r="C40" s="585"/>
      <c r="D40" s="585"/>
      <c r="E40" s="585"/>
      <c r="F40" s="587"/>
      <c r="G40" s="906"/>
      <c r="H40" s="908"/>
      <c r="I40" s="586"/>
      <c r="J40" s="586"/>
      <c r="K40" s="586"/>
      <c r="L40" s="71"/>
      <c r="M40" s="71"/>
      <c r="N40" s="71"/>
      <c r="O40" s="71"/>
    </row>
    <row r="41" spans="2:15" ht="15.75" customHeight="1" thickTop="1" thickBot="1" x14ac:dyDescent="0.3">
      <c r="B41" s="585"/>
      <c r="C41" s="588" t="str">
        <f>C3</f>
        <v>1. INVESTIMENTOS EM FUNÇÃO DA DEMANDA REPRIMIDA</v>
      </c>
      <c r="D41" s="589" t="s">
        <v>532</v>
      </c>
      <c r="E41" s="590" t="s">
        <v>11</v>
      </c>
      <c r="F41" s="591" t="s">
        <v>651</v>
      </c>
      <c r="G41" s="906"/>
      <c r="H41" s="908"/>
      <c r="I41" s="586"/>
      <c r="J41" s="586"/>
      <c r="K41" s="586"/>
      <c r="L41" s="71"/>
      <c r="M41" s="71"/>
      <c r="N41" s="71"/>
      <c r="O41" s="71"/>
    </row>
    <row r="42" spans="2:15" ht="15.75" customHeight="1" thickTop="1" x14ac:dyDescent="0.25">
      <c r="B42" s="585"/>
      <c r="C42" s="890" t="s">
        <v>92</v>
      </c>
      <c r="D42" s="891">
        <f>D12</f>
        <v>0</v>
      </c>
      <c r="E42" s="892">
        <f>E12</f>
        <v>1657</v>
      </c>
      <c r="F42" s="750">
        <f>F12</f>
        <v>0</v>
      </c>
      <c r="G42" s="907">
        <f>Cronograma!AL12</f>
        <v>5.8</v>
      </c>
      <c r="H42" s="905">
        <f>F42-G42</f>
        <v>-5.8</v>
      </c>
      <c r="I42" s="586"/>
      <c r="J42" s="586"/>
      <c r="K42" s="586"/>
      <c r="L42" s="71"/>
      <c r="M42" s="71"/>
      <c r="N42" s="71"/>
      <c r="O42" s="71"/>
    </row>
    <row r="43" spans="2:15" ht="15.75" customHeight="1" thickBot="1" x14ac:dyDescent="0.3">
      <c r="B43" s="585"/>
      <c r="C43" s="893" t="s">
        <v>91</v>
      </c>
      <c r="D43" s="894">
        <f>D19</f>
        <v>0</v>
      </c>
      <c r="E43" s="895">
        <f>E19</f>
        <v>46012</v>
      </c>
      <c r="F43" s="752">
        <f>F19</f>
        <v>0</v>
      </c>
      <c r="G43" s="907">
        <f>Cronograma!AL19</f>
        <v>0</v>
      </c>
      <c r="H43" s="905">
        <f>F43-G43</f>
        <v>0</v>
      </c>
      <c r="I43" s="586"/>
      <c r="J43" s="586"/>
      <c r="K43" s="586"/>
      <c r="L43" s="71"/>
      <c r="M43" s="71"/>
      <c r="N43" s="71"/>
      <c r="O43" s="71"/>
    </row>
    <row r="44" spans="2:15" ht="15.75" customHeight="1" thickTop="1" thickBot="1" x14ac:dyDescent="0.3">
      <c r="B44" s="585"/>
      <c r="C44" s="602" t="s">
        <v>90</v>
      </c>
      <c r="D44" s="603">
        <f>D20</f>
        <v>0</v>
      </c>
      <c r="E44" s="604"/>
      <c r="F44" s="749">
        <f>F42+F43</f>
        <v>0</v>
      </c>
      <c r="G44" s="907">
        <f>Cronograma!AL20</f>
        <v>0</v>
      </c>
      <c r="H44" s="905">
        <f>F44-G44</f>
        <v>0</v>
      </c>
      <c r="I44" s="586"/>
      <c r="J44" s="586"/>
      <c r="K44" s="586"/>
      <c r="L44" s="71"/>
      <c r="M44" s="71"/>
      <c r="N44" s="71"/>
      <c r="O44" s="71"/>
    </row>
    <row r="45" spans="2:15" ht="15.75" customHeight="1" thickTop="1" thickBot="1" x14ac:dyDescent="0.3">
      <c r="B45" s="585"/>
      <c r="C45" s="588" t="str">
        <f>C22</f>
        <v>2. INVESTIMENTOS EM FUNÇÃO DO CRESCIMENTO VEGETATIVO</v>
      </c>
      <c r="D45" s="589" t="s">
        <v>532</v>
      </c>
      <c r="E45" s="590" t="s">
        <v>11</v>
      </c>
      <c r="F45" s="591" t="s">
        <v>651</v>
      </c>
      <c r="G45" s="906"/>
      <c r="H45" s="908"/>
      <c r="I45" s="586"/>
      <c r="J45" s="586"/>
      <c r="K45" s="586"/>
      <c r="L45" s="71"/>
      <c r="M45" s="71"/>
      <c r="N45" s="71"/>
      <c r="O45" s="71"/>
    </row>
    <row r="46" spans="2:15" ht="15.75" customHeight="1" thickTop="1" x14ac:dyDescent="0.25">
      <c r="B46" s="585"/>
      <c r="C46" s="896" t="s">
        <v>92</v>
      </c>
      <c r="D46" s="897">
        <f>D31</f>
        <v>0</v>
      </c>
      <c r="E46" s="902">
        <f>E31</f>
        <v>-46012</v>
      </c>
      <c r="F46" s="898">
        <f>F31</f>
        <v>0</v>
      </c>
      <c r="G46" s="907">
        <f>Cronograma!AL31</f>
        <v>0</v>
      </c>
      <c r="H46" s="905">
        <f>F46-G46</f>
        <v>0</v>
      </c>
      <c r="I46" s="586"/>
      <c r="J46" s="586"/>
      <c r="K46" s="586"/>
      <c r="L46" s="71"/>
      <c r="M46" s="71"/>
      <c r="N46" s="71"/>
      <c r="O46" s="71"/>
    </row>
    <row r="47" spans="2:15" ht="15.75" customHeight="1" thickBot="1" x14ac:dyDescent="0.3">
      <c r="B47" s="585"/>
      <c r="C47" s="899" t="s">
        <v>91</v>
      </c>
      <c r="D47" s="900">
        <f>D38</f>
        <v>0</v>
      </c>
      <c r="E47" s="903">
        <f>E38</f>
        <v>-46012</v>
      </c>
      <c r="F47" s="901">
        <f>F38</f>
        <v>0</v>
      </c>
      <c r="G47" s="907">
        <f>Cronograma!AL38</f>
        <v>0</v>
      </c>
      <c r="H47" s="905">
        <f>F47-G47</f>
        <v>0</v>
      </c>
      <c r="I47" s="586"/>
      <c r="J47" s="586"/>
      <c r="K47" s="586"/>
      <c r="L47" s="71"/>
      <c r="M47" s="71"/>
      <c r="N47" s="71"/>
      <c r="O47" s="71"/>
    </row>
    <row r="48" spans="2:15" ht="15.75" customHeight="1" thickTop="1" thickBot="1" x14ac:dyDescent="0.3">
      <c r="B48" s="585"/>
      <c r="C48" s="602" t="s">
        <v>90</v>
      </c>
      <c r="D48" s="603">
        <f>D39</f>
        <v>0</v>
      </c>
      <c r="E48" s="604"/>
      <c r="F48" s="749">
        <f>F46+F47</f>
        <v>0</v>
      </c>
      <c r="G48" s="907">
        <f>Cronograma!AL39</f>
        <v>0</v>
      </c>
      <c r="H48" s="905">
        <f>F48-G48</f>
        <v>0</v>
      </c>
      <c r="I48" s="586"/>
      <c r="J48" s="586"/>
      <c r="K48" s="586"/>
      <c r="L48" s="71"/>
      <c r="M48" s="71"/>
      <c r="N48" s="71"/>
      <c r="O48" s="71"/>
    </row>
    <row r="49" spans="2:15" ht="15.75" customHeight="1" thickTop="1" x14ac:dyDescent="0.25">
      <c r="B49" s="585"/>
      <c r="C49" s="609"/>
      <c r="D49" s="609"/>
      <c r="E49" s="609"/>
      <c r="F49" s="587"/>
      <c r="G49" s="906"/>
      <c r="H49" s="908"/>
      <c r="I49" s="586"/>
      <c r="J49" s="586"/>
      <c r="K49" s="586"/>
      <c r="L49" s="71"/>
      <c r="M49" s="71"/>
      <c r="N49" s="71"/>
      <c r="O49" s="71"/>
    </row>
    <row r="50" spans="2:15" ht="15.75" customHeight="1" thickBot="1" x14ac:dyDescent="0.3">
      <c r="B50" s="585"/>
      <c r="C50" s="1096" t="s">
        <v>665</v>
      </c>
      <c r="D50" s="1097"/>
      <c r="E50" s="1097"/>
      <c r="F50" s="1098"/>
      <c r="G50" s="909"/>
      <c r="H50" s="908"/>
      <c r="I50" s="586"/>
      <c r="J50" s="586"/>
      <c r="K50" s="586"/>
      <c r="L50" s="71"/>
      <c r="M50" s="71"/>
      <c r="N50" s="71"/>
      <c r="O50" s="71"/>
    </row>
    <row r="51" spans="2:15" ht="15.75" customHeight="1" thickTop="1" x14ac:dyDescent="0.25">
      <c r="B51" s="585"/>
      <c r="C51" s="1091" t="s">
        <v>666</v>
      </c>
      <c r="D51" s="1092"/>
      <c r="E51" s="1092"/>
      <c r="F51" s="750">
        <f>F42+F46</f>
        <v>0</v>
      </c>
      <c r="G51" s="909"/>
      <c r="H51" s="905"/>
      <c r="I51" s="611"/>
      <c r="J51" s="611"/>
      <c r="K51" s="611"/>
      <c r="L51" s="71"/>
      <c r="M51" s="71"/>
      <c r="N51" s="71"/>
      <c r="O51" s="71"/>
    </row>
    <row r="52" spans="2:15" x14ac:dyDescent="0.25">
      <c r="B52" s="585"/>
      <c r="C52" s="1089" t="s">
        <v>674</v>
      </c>
      <c r="D52" s="1090"/>
      <c r="E52" s="1090"/>
      <c r="F52" s="751">
        <f>F43+F47</f>
        <v>0</v>
      </c>
      <c r="G52" s="909"/>
      <c r="H52" s="905"/>
      <c r="I52" s="611"/>
      <c r="J52" s="611"/>
      <c r="K52" s="611"/>
    </row>
    <row r="53" spans="2:15" ht="15.75" thickBot="1" x14ac:dyDescent="0.3">
      <c r="B53" s="585"/>
      <c r="C53" s="1099" t="s">
        <v>665</v>
      </c>
      <c r="D53" s="1100"/>
      <c r="E53" s="1100"/>
      <c r="F53" s="752">
        <f>F51+F52</f>
        <v>0</v>
      </c>
      <c r="G53" s="910">
        <f>Cronograma!AL46</f>
        <v>0</v>
      </c>
      <c r="H53" s="905">
        <f>F53-G53</f>
        <v>0</v>
      </c>
      <c r="I53" s="611"/>
      <c r="J53" s="611"/>
      <c r="K53" s="611"/>
    </row>
    <row r="54" spans="2:15" ht="15.75" thickTop="1" x14ac:dyDescent="0.25">
      <c r="B54" s="93" t="s">
        <v>1385</v>
      </c>
      <c r="C54" s="613"/>
      <c r="D54" s="585"/>
      <c r="E54" s="614"/>
      <c r="F54" s="615"/>
      <c r="G54" s="610"/>
      <c r="H54" s="586"/>
      <c r="I54" s="611"/>
      <c r="J54" s="611"/>
      <c r="K54" s="611"/>
    </row>
    <row r="55" spans="2:15" x14ac:dyDescent="0.25">
      <c r="B55" s="672" t="s">
        <v>675</v>
      </c>
      <c r="C55" s="673"/>
      <c r="D55" s="673"/>
      <c r="E55" s="673"/>
      <c r="F55" s="674"/>
      <c r="G55" s="675">
        <f>G57+G216+G241+G291+G297+G308</f>
        <v>0</v>
      </c>
      <c r="H55" s="676"/>
      <c r="I55" s="611"/>
      <c r="J55" s="611"/>
      <c r="K55" s="611"/>
    </row>
    <row r="56" spans="2:15" ht="15.75" thickBot="1" x14ac:dyDescent="0.3">
      <c r="B56" s="585"/>
      <c r="C56" s="613"/>
      <c r="D56" s="585"/>
      <c r="E56" s="614"/>
      <c r="F56" s="587"/>
      <c r="G56" s="615"/>
      <c r="H56" s="616"/>
      <c r="I56" s="611"/>
      <c r="J56" s="611"/>
      <c r="K56" s="611"/>
    </row>
    <row r="57" spans="2:15" ht="16.5" thickTop="1" thickBot="1" x14ac:dyDescent="0.3">
      <c r="B57" s="617" t="s">
        <v>854</v>
      </c>
      <c r="C57" s="618"/>
      <c r="D57" s="619"/>
      <c r="E57" s="620"/>
      <c r="F57" s="621"/>
      <c r="G57" s="622">
        <f>G59+G107+G129+G165+G170+G190+G205</f>
        <v>0</v>
      </c>
      <c r="H57" s="623"/>
      <c r="I57" s="611"/>
      <c r="J57" s="611"/>
      <c r="K57" s="611"/>
    </row>
    <row r="58" spans="2:15" ht="15.75" thickTop="1" x14ac:dyDescent="0.25">
      <c r="B58" s="624"/>
      <c r="C58" s="613"/>
      <c r="D58" s="585"/>
      <c r="E58" s="614"/>
      <c r="F58" s="587"/>
      <c r="G58" s="610"/>
      <c r="H58" s="616"/>
      <c r="I58" s="611"/>
      <c r="J58" s="611"/>
      <c r="K58" s="611"/>
    </row>
    <row r="59" spans="2:15" ht="15" customHeight="1" x14ac:dyDescent="0.25">
      <c r="B59" s="687" t="s">
        <v>676</v>
      </c>
      <c r="C59" s="687"/>
      <c r="D59" s="687"/>
      <c r="E59" s="774"/>
      <c r="F59" s="774"/>
      <c r="G59" s="625">
        <f>G61+G67+G72+G74+G77+G82+G84+G86+G90+G93+G95+G100</f>
        <v>0</v>
      </c>
      <c r="H59" s="626"/>
      <c r="I59" s="611"/>
      <c r="J59" s="611"/>
      <c r="K59" s="611"/>
    </row>
    <row r="60" spans="2:15" x14ac:dyDescent="0.25">
      <c r="B60" s="669" t="s">
        <v>677</v>
      </c>
      <c r="C60" s="612" t="s">
        <v>678</v>
      </c>
      <c r="D60" s="628" t="s">
        <v>216</v>
      </c>
      <c r="E60" s="628" t="s">
        <v>679</v>
      </c>
      <c r="F60" s="629" t="s">
        <v>680</v>
      </c>
      <c r="G60" s="630" t="s">
        <v>681</v>
      </c>
      <c r="H60" s="628" t="s">
        <v>682</v>
      </c>
      <c r="I60" s="611"/>
      <c r="J60" s="611"/>
      <c r="K60" s="611"/>
    </row>
    <row r="61" spans="2:15" x14ac:dyDescent="0.25">
      <c r="B61" s="669"/>
      <c r="C61" s="631" t="s">
        <v>683</v>
      </c>
      <c r="D61" s="628"/>
      <c r="E61" s="631"/>
      <c r="F61" s="632"/>
      <c r="G61" s="633">
        <f>SUM(G62:G66)</f>
        <v>0</v>
      </c>
      <c r="H61" s="630"/>
      <c r="I61" s="611"/>
      <c r="J61" s="611"/>
      <c r="K61" s="611"/>
    </row>
    <row r="62" spans="2:15" x14ac:dyDescent="0.25">
      <c r="B62" s="670">
        <v>10102</v>
      </c>
      <c r="C62" s="635" t="s">
        <v>684</v>
      </c>
      <c r="D62" s="636" t="s">
        <v>397</v>
      </c>
      <c r="E62" s="744"/>
      <c r="F62" s="742"/>
      <c r="G62" s="637">
        <f>E62*F62</f>
        <v>0</v>
      </c>
      <c r="H62" s="638" t="s">
        <v>685</v>
      </c>
      <c r="I62" s="611"/>
      <c r="J62" s="611"/>
      <c r="K62" s="611"/>
    </row>
    <row r="63" spans="2:15" x14ac:dyDescent="0.25">
      <c r="B63" s="670">
        <v>10103</v>
      </c>
      <c r="C63" s="635" t="s">
        <v>686</v>
      </c>
      <c r="D63" s="636" t="s">
        <v>397</v>
      </c>
      <c r="E63" s="744"/>
      <c r="F63" s="742"/>
      <c r="G63" s="637">
        <f>E63*F63</f>
        <v>0</v>
      </c>
      <c r="H63" s="638" t="s">
        <v>685</v>
      </c>
      <c r="I63" s="611"/>
      <c r="J63" s="611"/>
      <c r="K63" s="611"/>
    </row>
    <row r="64" spans="2:15" x14ac:dyDescent="0.25">
      <c r="B64" s="670">
        <v>10104</v>
      </c>
      <c r="C64" s="635" t="s">
        <v>687</v>
      </c>
      <c r="D64" s="636" t="s">
        <v>397</v>
      </c>
      <c r="E64" s="744"/>
      <c r="F64" s="742"/>
      <c r="G64" s="637">
        <f t="shared" ref="G64:G71" si="8">E64*F64</f>
        <v>0</v>
      </c>
      <c r="H64" s="638" t="s">
        <v>685</v>
      </c>
      <c r="I64" s="611"/>
      <c r="J64" s="611"/>
      <c r="K64" s="611"/>
    </row>
    <row r="65" spans="2:11" x14ac:dyDescent="0.25">
      <c r="B65" s="670">
        <v>10105</v>
      </c>
      <c r="C65" s="635" t="s">
        <v>688</v>
      </c>
      <c r="D65" s="636" t="s">
        <v>397</v>
      </c>
      <c r="E65" s="744"/>
      <c r="F65" s="742"/>
      <c r="G65" s="637">
        <f t="shared" si="8"/>
        <v>0</v>
      </c>
      <c r="H65" s="638" t="s">
        <v>685</v>
      </c>
      <c r="I65" s="611"/>
      <c r="J65" s="611"/>
      <c r="K65" s="611"/>
    </row>
    <row r="66" spans="2:11" x14ac:dyDescent="0.25">
      <c r="B66" s="670">
        <v>10201</v>
      </c>
      <c r="C66" s="635" t="s">
        <v>689</v>
      </c>
      <c r="D66" s="636" t="s">
        <v>397</v>
      </c>
      <c r="E66" s="744"/>
      <c r="F66" s="742"/>
      <c r="G66" s="637">
        <f t="shared" si="8"/>
        <v>0</v>
      </c>
      <c r="H66" s="638" t="s">
        <v>685</v>
      </c>
      <c r="I66" s="611"/>
      <c r="J66" s="611"/>
      <c r="K66" s="611"/>
    </row>
    <row r="67" spans="2:11" x14ac:dyDescent="0.25">
      <c r="B67" s="669"/>
      <c r="C67" s="631" t="s">
        <v>690</v>
      </c>
      <c r="D67" s="628"/>
      <c r="E67" s="654"/>
      <c r="F67" s="629"/>
      <c r="G67" s="633">
        <f>SUM(G68:G71)</f>
        <v>0</v>
      </c>
      <c r="H67" s="612"/>
      <c r="I67" s="611"/>
      <c r="J67" s="611"/>
      <c r="K67" s="611"/>
    </row>
    <row r="68" spans="2:11" x14ac:dyDescent="0.25">
      <c r="B68" s="670">
        <v>300101</v>
      </c>
      <c r="C68" s="635" t="s">
        <v>691</v>
      </c>
      <c r="D68" s="636" t="s">
        <v>397</v>
      </c>
      <c r="E68" s="744"/>
      <c r="F68" s="742"/>
      <c r="G68" s="637">
        <f t="shared" si="8"/>
        <v>0</v>
      </c>
      <c r="H68" s="638" t="s">
        <v>685</v>
      </c>
      <c r="I68" s="611"/>
      <c r="J68" s="611"/>
      <c r="K68" s="611"/>
    </row>
    <row r="69" spans="2:11" x14ac:dyDescent="0.25">
      <c r="B69" s="670">
        <v>300103</v>
      </c>
      <c r="C69" s="635" t="s">
        <v>692</v>
      </c>
      <c r="D69" s="636" t="s">
        <v>397</v>
      </c>
      <c r="E69" s="744"/>
      <c r="F69" s="742"/>
      <c r="G69" s="637">
        <f t="shared" si="8"/>
        <v>0</v>
      </c>
      <c r="H69" s="638" t="s">
        <v>685</v>
      </c>
      <c r="I69" s="611"/>
      <c r="J69" s="611"/>
      <c r="K69" s="611"/>
    </row>
    <row r="70" spans="2:11" x14ac:dyDescent="0.25">
      <c r="B70" s="670">
        <v>30702</v>
      </c>
      <c r="C70" s="635" t="s">
        <v>693</v>
      </c>
      <c r="D70" s="636" t="s">
        <v>397</v>
      </c>
      <c r="E70" s="744"/>
      <c r="F70" s="742"/>
      <c r="G70" s="637">
        <f t="shared" si="8"/>
        <v>0</v>
      </c>
      <c r="H70" s="638" t="s">
        <v>685</v>
      </c>
      <c r="I70" s="611"/>
      <c r="J70" s="611"/>
      <c r="K70" s="611"/>
    </row>
    <row r="71" spans="2:11" x14ac:dyDescent="0.25">
      <c r="B71" s="670">
        <v>30703</v>
      </c>
      <c r="C71" s="635" t="s">
        <v>694</v>
      </c>
      <c r="D71" s="636" t="s">
        <v>397</v>
      </c>
      <c r="E71" s="744"/>
      <c r="F71" s="742"/>
      <c r="G71" s="637">
        <f t="shared" si="8"/>
        <v>0</v>
      </c>
      <c r="H71" s="638" t="s">
        <v>685</v>
      </c>
      <c r="I71" s="611"/>
      <c r="J71" s="611"/>
      <c r="K71" s="611"/>
    </row>
    <row r="72" spans="2:11" x14ac:dyDescent="0.25">
      <c r="B72" s="671"/>
      <c r="C72" s="631" t="s">
        <v>695</v>
      </c>
      <c r="D72" s="628"/>
      <c r="E72" s="654"/>
      <c r="F72" s="629"/>
      <c r="G72" s="633">
        <f>SUM(G73)</f>
        <v>0</v>
      </c>
      <c r="H72" s="612"/>
      <c r="I72" s="611"/>
      <c r="J72" s="611"/>
      <c r="K72" s="611"/>
    </row>
    <row r="73" spans="2:11" x14ac:dyDescent="0.25">
      <c r="B73" s="670">
        <v>81801</v>
      </c>
      <c r="C73" s="635" t="s">
        <v>696</v>
      </c>
      <c r="D73" s="636" t="s">
        <v>216</v>
      </c>
      <c r="E73" s="744"/>
      <c r="F73" s="742"/>
      <c r="G73" s="637">
        <f t="shared" ref="G73" si="9">E73*F73</f>
        <v>0</v>
      </c>
      <c r="H73" s="638" t="s">
        <v>685</v>
      </c>
      <c r="I73" s="611"/>
      <c r="J73" s="611"/>
      <c r="K73" s="611"/>
    </row>
    <row r="74" spans="2:11" x14ac:dyDescent="0.25">
      <c r="B74" s="671"/>
      <c r="C74" s="631" t="s">
        <v>698</v>
      </c>
      <c r="D74" s="628"/>
      <c r="E74" s="654"/>
      <c r="F74" s="629"/>
      <c r="G74" s="633">
        <f>SUM(G75:G76)</f>
        <v>0</v>
      </c>
      <c r="H74" s="630"/>
      <c r="I74" s="611"/>
      <c r="J74" s="611"/>
      <c r="K74" s="611"/>
    </row>
    <row r="75" spans="2:11" x14ac:dyDescent="0.25">
      <c r="B75" s="670">
        <v>100401</v>
      </c>
      <c r="C75" s="635" t="s">
        <v>699</v>
      </c>
      <c r="D75" s="636" t="s">
        <v>397</v>
      </c>
      <c r="E75" s="744"/>
      <c r="F75" s="742"/>
      <c r="G75" s="637">
        <f t="shared" ref="G75:G76" si="10">E75*F75</f>
        <v>0</v>
      </c>
      <c r="H75" s="638" t="s">
        <v>685</v>
      </c>
      <c r="I75" s="611"/>
      <c r="J75" s="611"/>
      <c r="K75" s="611"/>
    </row>
    <row r="76" spans="2:11" x14ac:dyDescent="0.25">
      <c r="B76" s="670">
        <v>100403</v>
      </c>
      <c r="C76" s="634" t="s">
        <v>700</v>
      </c>
      <c r="D76" s="636" t="s">
        <v>397</v>
      </c>
      <c r="E76" s="744"/>
      <c r="F76" s="742"/>
      <c r="G76" s="637">
        <f t="shared" si="10"/>
        <v>0</v>
      </c>
      <c r="H76" s="638" t="s">
        <v>685</v>
      </c>
      <c r="I76" s="611"/>
      <c r="J76" s="611"/>
      <c r="K76" s="611"/>
    </row>
    <row r="77" spans="2:11" x14ac:dyDescent="0.25">
      <c r="B77" s="669"/>
      <c r="C77" s="631" t="s">
        <v>701</v>
      </c>
      <c r="D77" s="628"/>
      <c r="E77" s="654"/>
      <c r="F77" s="629"/>
      <c r="G77" s="633">
        <f>SUM(G78:G81)</f>
        <v>0</v>
      </c>
      <c r="H77" s="630"/>
      <c r="I77" s="611"/>
      <c r="J77" s="611"/>
      <c r="K77" s="611"/>
    </row>
    <row r="78" spans="2:11" x14ac:dyDescent="0.25">
      <c r="B78" s="670">
        <v>120501</v>
      </c>
      <c r="C78" s="634" t="s">
        <v>702</v>
      </c>
      <c r="D78" s="636" t="s">
        <v>546</v>
      </c>
      <c r="E78" s="744"/>
      <c r="F78" s="742"/>
      <c r="G78" s="637">
        <f t="shared" ref="G78:G81" si="11">E78*F78</f>
        <v>0</v>
      </c>
      <c r="H78" s="638" t="s">
        <v>685</v>
      </c>
      <c r="I78" s="611"/>
      <c r="J78" s="611"/>
      <c r="K78" s="611"/>
    </row>
    <row r="79" spans="2:11" x14ac:dyDescent="0.25">
      <c r="B79" s="670">
        <v>120502</v>
      </c>
      <c r="C79" s="634" t="s">
        <v>703</v>
      </c>
      <c r="D79" s="636" t="s">
        <v>546</v>
      </c>
      <c r="E79" s="744"/>
      <c r="F79" s="742"/>
      <c r="G79" s="637">
        <f t="shared" si="11"/>
        <v>0</v>
      </c>
      <c r="H79" s="638" t="s">
        <v>685</v>
      </c>
      <c r="I79" s="611"/>
      <c r="J79" s="611"/>
      <c r="K79" s="611"/>
    </row>
    <row r="80" spans="2:11" x14ac:dyDescent="0.25">
      <c r="B80" s="670">
        <v>120503</v>
      </c>
      <c r="C80" s="634" t="s">
        <v>704</v>
      </c>
      <c r="D80" s="636" t="s">
        <v>397</v>
      </c>
      <c r="E80" s="744"/>
      <c r="F80" s="742"/>
      <c r="G80" s="637">
        <f t="shared" si="11"/>
        <v>0</v>
      </c>
      <c r="H80" s="638" t="s">
        <v>685</v>
      </c>
      <c r="I80" s="611"/>
      <c r="J80" s="611"/>
      <c r="K80" s="611"/>
    </row>
    <row r="81" spans="2:11" x14ac:dyDescent="0.25">
      <c r="B81" s="670">
        <v>120504</v>
      </c>
      <c r="C81" s="634" t="s">
        <v>705</v>
      </c>
      <c r="D81" s="636" t="s">
        <v>126</v>
      </c>
      <c r="E81" s="744"/>
      <c r="F81" s="742"/>
      <c r="G81" s="637">
        <f t="shared" si="11"/>
        <v>0</v>
      </c>
      <c r="H81" s="638" t="s">
        <v>685</v>
      </c>
      <c r="I81" s="611"/>
      <c r="J81" s="611"/>
      <c r="K81" s="611"/>
    </row>
    <row r="82" spans="2:11" x14ac:dyDescent="0.25">
      <c r="B82" s="671"/>
      <c r="C82" s="631" t="s">
        <v>706</v>
      </c>
      <c r="D82" s="628"/>
      <c r="E82" s="654"/>
      <c r="F82" s="629"/>
      <c r="G82" s="633">
        <f>G83</f>
        <v>0</v>
      </c>
      <c r="H82" s="630"/>
      <c r="I82" s="611"/>
      <c r="J82" s="611"/>
      <c r="K82" s="611"/>
    </row>
    <row r="83" spans="2:11" x14ac:dyDescent="0.25">
      <c r="B83" s="670">
        <v>130101</v>
      </c>
      <c r="C83" s="634" t="s">
        <v>707</v>
      </c>
      <c r="D83" s="636" t="s">
        <v>397</v>
      </c>
      <c r="E83" s="744"/>
      <c r="F83" s="742"/>
      <c r="G83" s="637">
        <f t="shared" ref="G83" si="12">E83*F83</f>
        <v>0</v>
      </c>
      <c r="H83" s="638" t="s">
        <v>685</v>
      </c>
      <c r="I83" s="611"/>
      <c r="J83" s="611"/>
      <c r="K83" s="611"/>
    </row>
    <row r="84" spans="2:11" x14ac:dyDescent="0.25">
      <c r="B84" s="671"/>
      <c r="C84" s="631" t="s">
        <v>708</v>
      </c>
      <c r="D84" s="628"/>
      <c r="E84" s="654"/>
      <c r="F84" s="629"/>
      <c r="G84" s="633">
        <f>G85</f>
        <v>0</v>
      </c>
      <c r="H84" s="630"/>
      <c r="I84" s="611"/>
      <c r="J84" s="611"/>
      <c r="K84" s="611"/>
    </row>
    <row r="85" spans="2:11" x14ac:dyDescent="0.25">
      <c r="B85" s="670">
        <v>130201</v>
      </c>
      <c r="C85" s="634" t="s">
        <v>709</v>
      </c>
      <c r="D85" s="636" t="s">
        <v>397</v>
      </c>
      <c r="E85" s="744"/>
      <c r="F85" s="742"/>
      <c r="G85" s="637">
        <f t="shared" ref="G85" si="13">E85*F85</f>
        <v>0</v>
      </c>
      <c r="H85" s="638" t="s">
        <v>685</v>
      </c>
      <c r="I85" s="611"/>
      <c r="J85" s="611"/>
      <c r="K85" s="611"/>
    </row>
    <row r="86" spans="2:11" x14ac:dyDescent="0.25">
      <c r="B86" s="671"/>
      <c r="C86" s="631" t="s">
        <v>710</v>
      </c>
      <c r="D86" s="628"/>
      <c r="E86" s="654"/>
      <c r="F86" s="629"/>
      <c r="G86" s="633">
        <f>SUM(G87:G89)</f>
        <v>0</v>
      </c>
      <c r="H86" s="630"/>
      <c r="I86" s="611"/>
      <c r="J86" s="611"/>
      <c r="K86" s="611"/>
    </row>
    <row r="87" spans="2:11" x14ac:dyDescent="0.25">
      <c r="B87" s="670">
        <v>130305</v>
      </c>
      <c r="C87" s="634" t="s">
        <v>711</v>
      </c>
      <c r="D87" s="636" t="s">
        <v>397</v>
      </c>
      <c r="E87" s="744"/>
      <c r="F87" s="742"/>
      <c r="G87" s="637">
        <f t="shared" ref="G87:G89" si="14">E87*F87</f>
        <v>0</v>
      </c>
      <c r="H87" s="638" t="s">
        <v>685</v>
      </c>
      <c r="I87" s="611"/>
      <c r="J87" s="611"/>
      <c r="K87" s="611"/>
    </row>
    <row r="88" spans="2:11" x14ac:dyDescent="0.25">
      <c r="B88" s="670">
        <v>130313</v>
      </c>
      <c r="C88" s="634" t="s">
        <v>712</v>
      </c>
      <c r="D88" s="636" t="s">
        <v>397</v>
      </c>
      <c r="E88" s="744"/>
      <c r="F88" s="742"/>
      <c r="G88" s="637">
        <f t="shared" si="14"/>
        <v>0</v>
      </c>
      <c r="H88" s="638" t="s">
        <v>685</v>
      </c>
      <c r="I88" s="611"/>
      <c r="J88" s="611"/>
      <c r="K88" s="611"/>
    </row>
    <row r="89" spans="2:11" x14ac:dyDescent="0.25">
      <c r="B89" s="670">
        <v>130318</v>
      </c>
      <c r="C89" s="634" t="s">
        <v>713</v>
      </c>
      <c r="D89" s="636" t="s">
        <v>697</v>
      </c>
      <c r="E89" s="744"/>
      <c r="F89" s="742"/>
      <c r="G89" s="637">
        <f t="shared" si="14"/>
        <v>0</v>
      </c>
      <c r="H89" s="638" t="s">
        <v>685</v>
      </c>
      <c r="I89" s="611"/>
      <c r="J89" s="611"/>
      <c r="K89" s="611"/>
    </row>
    <row r="90" spans="2:11" x14ac:dyDescent="0.25">
      <c r="B90" s="671"/>
      <c r="C90" s="631" t="s">
        <v>714</v>
      </c>
      <c r="D90" s="628"/>
      <c r="E90" s="654"/>
      <c r="F90" s="629"/>
      <c r="G90" s="633">
        <f>SUM(G91:G92)</f>
        <v>0</v>
      </c>
      <c r="H90" s="630"/>
      <c r="I90" s="611"/>
      <c r="J90" s="611"/>
      <c r="K90" s="611"/>
    </row>
    <row r="91" spans="2:11" x14ac:dyDescent="0.25">
      <c r="B91" s="670">
        <v>140714</v>
      </c>
      <c r="C91" s="634" t="s">
        <v>715</v>
      </c>
      <c r="D91" s="636" t="s">
        <v>126</v>
      </c>
      <c r="E91" s="744"/>
      <c r="F91" s="742"/>
      <c r="G91" s="637">
        <f t="shared" ref="G91:G92" si="15">E91*F91</f>
        <v>0</v>
      </c>
      <c r="H91" s="638" t="s">
        <v>685</v>
      </c>
      <c r="I91" s="611"/>
      <c r="J91" s="611"/>
      <c r="K91" s="611"/>
    </row>
    <row r="92" spans="2:11" x14ac:dyDescent="0.25">
      <c r="B92" s="670">
        <v>140723</v>
      </c>
      <c r="C92" s="634" t="s">
        <v>716</v>
      </c>
      <c r="D92" s="636" t="s">
        <v>126</v>
      </c>
      <c r="E92" s="744"/>
      <c r="F92" s="742"/>
      <c r="G92" s="637">
        <f t="shared" si="15"/>
        <v>0</v>
      </c>
      <c r="H92" s="638" t="s">
        <v>685</v>
      </c>
      <c r="I92" s="611"/>
      <c r="J92" s="611"/>
      <c r="K92" s="611"/>
    </row>
    <row r="93" spans="2:11" x14ac:dyDescent="0.25">
      <c r="B93" s="671"/>
      <c r="C93" s="631" t="s">
        <v>717</v>
      </c>
      <c r="D93" s="628"/>
      <c r="E93" s="654"/>
      <c r="F93" s="629"/>
      <c r="G93" s="633">
        <f>G94</f>
        <v>0</v>
      </c>
      <c r="H93" s="630"/>
      <c r="I93" s="611"/>
      <c r="J93" s="611"/>
      <c r="K93" s="611"/>
    </row>
    <row r="94" spans="2:11" ht="24.75" x14ac:dyDescent="0.25">
      <c r="B94" s="670">
        <v>150104</v>
      </c>
      <c r="C94" s="634" t="s">
        <v>718</v>
      </c>
      <c r="D94" s="636" t="s">
        <v>697</v>
      </c>
      <c r="E94" s="744"/>
      <c r="F94" s="742"/>
      <c r="G94" s="637">
        <f t="shared" ref="G94" si="16">E94*F94</f>
        <v>0</v>
      </c>
      <c r="H94" s="638" t="s">
        <v>685</v>
      </c>
      <c r="I94" s="611"/>
      <c r="J94" s="611"/>
      <c r="K94" s="611"/>
    </row>
    <row r="95" spans="2:11" x14ac:dyDescent="0.25">
      <c r="B95" s="671"/>
      <c r="C95" s="631" t="s">
        <v>719</v>
      </c>
      <c r="D95" s="628"/>
      <c r="E95" s="654"/>
      <c r="F95" s="629"/>
      <c r="G95" s="633">
        <f>SUM(G96:G99)</f>
        <v>0</v>
      </c>
      <c r="H95" s="630"/>
      <c r="I95" s="611"/>
      <c r="J95" s="611"/>
      <c r="K95" s="611"/>
    </row>
    <row r="96" spans="2:11" x14ac:dyDescent="0.25">
      <c r="B96" s="670">
        <v>160101</v>
      </c>
      <c r="C96" s="634" t="s">
        <v>720</v>
      </c>
      <c r="D96" s="636" t="s">
        <v>397</v>
      </c>
      <c r="E96" s="744"/>
      <c r="F96" s="742"/>
      <c r="G96" s="637">
        <f t="shared" ref="G96:G99" si="17">E96*F96</f>
        <v>0</v>
      </c>
      <c r="H96" s="638" t="s">
        <v>685</v>
      </c>
      <c r="I96" s="611"/>
      <c r="J96" s="611"/>
      <c r="K96" s="611"/>
    </row>
    <row r="97" spans="2:11" x14ac:dyDescent="0.25">
      <c r="B97" s="670">
        <v>160102</v>
      </c>
      <c r="C97" s="634" t="s">
        <v>721</v>
      </c>
      <c r="D97" s="636" t="s">
        <v>397</v>
      </c>
      <c r="E97" s="744"/>
      <c r="F97" s="742"/>
      <c r="G97" s="637">
        <f t="shared" si="17"/>
        <v>0</v>
      </c>
      <c r="H97" s="638" t="s">
        <v>685</v>
      </c>
      <c r="I97" s="611"/>
      <c r="J97" s="611"/>
      <c r="K97" s="611"/>
    </row>
    <row r="98" spans="2:11" x14ac:dyDescent="0.25">
      <c r="B98" s="670">
        <v>160301</v>
      </c>
      <c r="C98" s="634" t="s">
        <v>722</v>
      </c>
      <c r="D98" s="636" t="s">
        <v>397</v>
      </c>
      <c r="E98" s="744"/>
      <c r="F98" s="742"/>
      <c r="G98" s="637">
        <f t="shared" si="17"/>
        <v>0</v>
      </c>
      <c r="H98" s="638" t="s">
        <v>685</v>
      </c>
      <c r="I98" s="611"/>
      <c r="J98" s="611"/>
      <c r="K98" s="611"/>
    </row>
    <row r="99" spans="2:11" x14ac:dyDescent="0.25">
      <c r="B99" s="670">
        <v>160401</v>
      </c>
      <c r="C99" s="634" t="s">
        <v>723</v>
      </c>
      <c r="D99" s="636" t="s">
        <v>397</v>
      </c>
      <c r="E99" s="744"/>
      <c r="F99" s="742"/>
      <c r="G99" s="637">
        <f t="shared" si="17"/>
        <v>0</v>
      </c>
      <c r="H99" s="638" t="s">
        <v>685</v>
      </c>
      <c r="I99" s="611"/>
      <c r="J99" s="611"/>
      <c r="K99" s="611"/>
    </row>
    <row r="100" spans="2:11" ht="24.75" x14ac:dyDescent="0.25">
      <c r="B100" s="671"/>
      <c r="C100" s="631" t="s">
        <v>724</v>
      </c>
      <c r="D100" s="628"/>
      <c r="E100" s="654"/>
      <c r="F100" s="629"/>
      <c r="G100" s="633">
        <f>SUM(G101:G105)</f>
        <v>0</v>
      </c>
      <c r="H100" s="630"/>
      <c r="I100" s="611"/>
      <c r="J100" s="611"/>
      <c r="K100" s="611"/>
    </row>
    <row r="101" spans="2:11" ht="24.75" x14ac:dyDescent="0.25">
      <c r="B101" s="670">
        <v>190609</v>
      </c>
      <c r="C101" s="634" t="s">
        <v>725</v>
      </c>
      <c r="D101" s="636" t="s">
        <v>697</v>
      </c>
      <c r="E101" s="744"/>
      <c r="F101" s="742"/>
      <c r="G101" s="637">
        <f t="shared" ref="G101:G105" si="18">E101*F101</f>
        <v>0</v>
      </c>
      <c r="H101" s="638" t="s">
        <v>685</v>
      </c>
      <c r="I101" s="611"/>
      <c r="J101" s="611"/>
      <c r="K101" s="611"/>
    </row>
    <row r="102" spans="2:11" x14ac:dyDescent="0.25">
      <c r="B102" s="670">
        <v>190611</v>
      </c>
      <c r="C102" s="634" t="s">
        <v>726</v>
      </c>
      <c r="D102" s="636" t="s">
        <v>697</v>
      </c>
      <c r="E102" s="744"/>
      <c r="F102" s="742"/>
      <c r="G102" s="637">
        <f t="shared" si="18"/>
        <v>0</v>
      </c>
      <c r="H102" s="638" t="s">
        <v>685</v>
      </c>
      <c r="I102" s="611"/>
      <c r="J102" s="611"/>
      <c r="K102" s="611"/>
    </row>
    <row r="103" spans="2:11" ht="24.75" x14ac:dyDescent="0.25">
      <c r="B103" s="670">
        <v>190624</v>
      </c>
      <c r="C103" s="634" t="s">
        <v>727</v>
      </c>
      <c r="D103" s="636" t="s">
        <v>697</v>
      </c>
      <c r="E103" s="744"/>
      <c r="F103" s="742"/>
      <c r="G103" s="637">
        <f t="shared" si="18"/>
        <v>0</v>
      </c>
      <c r="H103" s="638" t="s">
        <v>685</v>
      </c>
      <c r="I103" s="611"/>
      <c r="J103" s="611"/>
      <c r="K103" s="611"/>
    </row>
    <row r="104" spans="2:11" ht="24.75" x14ac:dyDescent="0.25">
      <c r="B104" s="670">
        <v>190629</v>
      </c>
      <c r="C104" s="634" t="s">
        <v>728</v>
      </c>
      <c r="D104" s="636" t="s">
        <v>697</v>
      </c>
      <c r="E104" s="744"/>
      <c r="F104" s="742"/>
      <c r="G104" s="637">
        <f t="shared" si="18"/>
        <v>0</v>
      </c>
      <c r="H104" s="638" t="s">
        <v>685</v>
      </c>
      <c r="I104" s="611"/>
      <c r="J104" s="611"/>
      <c r="K104" s="611"/>
    </row>
    <row r="105" spans="2:11" x14ac:dyDescent="0.25">
      <c r="B105" s="670">
        <v>190631</v>
      </c>
      <c r="C105" s="634" t="s">
        <v>729</v>
      </c>
      <c r="D105" s="636" t="s">
        <v>697</v>
      </c>
      <c r="E105" s="744"/>
      <c r="F105" s="742"/>
      <c r="G105" s="637">
        <f t="shared" si="18"/>
        <v>0</v>
      </c>
      <c r="H105" s="638" t="s">
        <v>685</v>
      </c>
      <c r="I105" s="611"/>
      <c r="J105" s="611"/>
      <c r="K105" s="611"/>
    </row>
    <row r="106" spans="2:11" x14ac:dyDescent="0.25">
      <c r="B106" s="639"/>
      <c r="C106" s="639"/>
      <c r="D106" s="639"/>
      <c r="E106" s="639"/>
      <c r="F106" s="640"/>
      <c r="G106" s="610"/>
      <c r="H106" s="615"/>
      <c r="I106" s="611"/>
      <c r="J106" s="611"/>
      <c r="K106" s="611"/>
    </row>
    <row r="107" spans="2:11" x14ac:dyDescent="0.25">
      <c r="B107" s="1101" t="s">
        <v>730</v>
      </c>
      <c r="C107" s="1101"/>
      <c r="D107" s="1101"/>
      <c r="E107" s="1101"/>
      <c r="F107" s="1101"/>
      <c r="G107" s="641">
        <f>G109+G115+G126</f>
        <v>0</v>
      </c>
      <c r="H107" s="630"/>
      <c r="I107" s="611"/>
      <c r="J107" s="611"/>
      <c r="K107" s="611"/>
    </row>
    <row r="108" spans="2:11" x14ac:dyDescent="0.25">
      <c r="B108" s="627" t="s">
        <v>677</v>
      </c>
      <c r="C108" s="612" t="s">
        <v>678</v>
      </c>
      <c r="D108" s="628" t="s">
        <v>216</v>
      </c>
      <c r="E108" s="628" t="s">
        <v>679</v>
      </c>
      <c r="F108" s="629" t="s">
        <v>680</v>
      </c>
      <c r="G108" s="630" t="s">
        <v>681</v>
      </c>
      <c r="H108" s="628" t="s">
        <v>682</v>
      </c>
      <c r="I108" s="611"/>
      <c r="J108" s="611"/>
      <c r="K108" s="611"/>
    </row>
    <row r="109" spans="2:11" x14ac:dyDescent="0.25">
      <c r="B109" s="627"/>
      <c r="C109" s="631" t="s">
        <v>683</v>
      </c>
      <c r="D109" s="642"/>
      <c r="E109" s="631"/>
      <c r="F109" s="632"/>
      <c r="G109" s="643">
        <f>SUM(G110:G114)</f>
        <v>0</v>
      </c>
      <c r="H109" s="630"/>
      <c r="I109" s="611"/>
      <c r="J109" s="611"/>
      <c r="K109" s="611"/>
    </row>
    <row r="110" spans="2:11" x14ac:dyDescent="0.25">
      <c r="B110" s="634">
        <v>10102</v>
      </c>
      <c r="C110" s="635" t="s">
        <v>684</v>
      </c>
      <c r="D110" s="644" t="s">
        <v>397</v>
      </c>
      <c r="E110" s="744"/>
      <c r="F110" s="742"/>
      <c r="G110" s="645">
        <f>E110*F110</f>
        <v>0</v>
      </c>
      <c r="H110" s="638" t="s">
        <v>685</v>
      </c>
      <c r="I110" s="611"/>
      <c r="J110" s="611"/>
      <c r="K110" s="611"/>
    </row>
    <row r="111" spans="2:11" x14ac:dyDescent="0.25">
      <c r="B111" s="634">
        <v>10103</v>
      </c>
      <c r="C111" s="635" t="s">
        <v>686</v>
      </c>
      <c r="D111" s="644" t="s">
        <v>397</v>
      </c>
      <c r="E111" s="744"/>
      <c r="F111" s="742"/>
      <c r="G111" s="646">
        <f>E111*F111</f>
        <v>0</v>
      </c>
      <c r="H111" s="638" t="s">
        <v>685</v>
      </c>
      <c r="I111" s="611"/>
      <c r="J111" s="611"/>
      <c r="K111" s="611"/>
    </row>
    <row r="112" spans="2:11" x14ac:dyDescent="0.25">
      <c r="B112" s="634">
        <v>10104</v>
      </c>
      <c r="C112" s="635" t="s">
        <v>687</v>
      </c>
      <c r="D112" s="644" t="s">
        <v>397</v>
      </c>
      <c r="E112" s="744"/>
      <c r="F112" s="742"/>
      <c r="G112" s="646">
        <f t="shared" ref="G112:G114" si="19">E112*F112</f>
        <v>0</v>
      </c>
      <c r="H112" s="638" t="s">
        <v>685</v>
      </c>
      <c r="I112" s="611"/>
      <c r="J112" s="611"/>
      <c r="K112" s="611"/>
    </row>
    <row r="113" spans="2:11" x14ac:dyDescent="0.25">
      <c r="B113" s="634">
        <v>10105</v>
      </c>
      <c r="C113" s="635" t="s">
        <v>688</v>
      </c>
      <c r="D113" s="644" t="s">
        <v>397</v>
      </c>
      <c r="E113" s="744"/>
      <c r="F113" s="742"/>
      <c r="G113" s="646">
        <f t="shared" si="19"/>
        <v>0</v>
      </c>
      <c r="H113" s="638" t="s">
        <v>685</v>
      </c>
      <c r="I113" s="611"/>
      <c r="J113" s="611"/>
      <c r="K113" s="611"/>
    </row>
    <row r="114" spans="2:11" x14ac:dyDescent="0.25">
      <c r="B114" s="634">
        <v>10201</v>
      </c>
      <c r="C114" s="635" t="s">
        <v>689</v>
      </c>
      <c r="D114" s="644" t="s">
        <v>397</v>
      </c>
      <c r="E114" s="744"/>
      <c r="F114" s="742"/>
      <c r="G114" s="646">
        <f t="shared" si="19"/>
        <v>0</v>
      </c>
      <c r="H114" s="638" t="s">
        <v>685</v>
      </c>
      <c r="I114" s="611"/>
      <c r="J114" s="611"/>
      <c r="K114" s="611"/>
    </row>
    <row r="115" spans="2:11" x14ac:dyDescent="0.25">
      <c r="B115" s="631"/>
      <c r="C115" s="631" t="s">
        <v>731</v>
      </c>
      <c r="D115" s="642"/>
      <c r="E115" s="654"/>
      <c r="F115" s="629"/>
      <c r="G115" s="643">
        <f>SUM(G116:G125)</f>
        <v>0</v>
      </c>
      <c r="H115" s="630"/>
      <c r="I115" s="611"/>
      <c r="J115" s="611"/>
      <c r="K115" s="611"/>
    </row>
    <row r="116" spans="2:11" x14ac:dyDescent="0.25">
      <c r="B116" s="634">
        <v>150301</v>
      </c>
      <c r="C116" s="634" t="s">
        <v>732</v>
      </c>
      <c r="D116" s="644" t="s">
        <v>397</v>
      </c>
      <c r="E116" s="744"/>
      <c r="F116" s="742"/>
      <c r="G116" s="646">
        <f t="shared" ref="G116:G125" si="20">E116*F116</f>
        <v>0</v>
      </c>
      <c r="H116" s="638" t="s">
        <v>685</v>
      </c>
      <c r="I116" s="611"/>
      <c r="J116" s="611"/>
      <c r="K116" s="611"/>
    </row>
    <row r="117" spans="2:11" x14ac:dyDescent="0.25">
      <c r="B117" s="634">
        <v>150401</v>
      </c>
      <c r="C117" s="634" t="s">
        <v>733</v>
      </c>
      <c r="D117" s="644" t="s">
        <v>397</v>
      </c>
      <c r="E117" s="744"/>
      <c r="F117" s="742"/>
      <c r="G117" s="646">
        <f t="shared" si="20"/>
        <v>0</v>
      </c>
      <c r="H117" s="638" t="s">
        <v>685</v>
      </c>
      <c r="I117" s="611"/>
      <c r="J117" s="611"/>
      <c r="K117" s="611"/>
    </row>
    <row r="118" spans="2:11" x14ac:dyDescent="0.25">
      <c r="B118" s="634">
        <v>150501</v>
      </c>
      <c r="C118" s="634" t="s">
        <v>734</v>
      </c>
      <c r="D118" s="644" t="s">
        <v>397</v>
      </c>
      <c r="E118" s="744"/>
      <c r="F118" s="742"/>
      <c r="G118" s="646">
        <f t="shared" si="20"/>
        <v>0</v>
      </c>
      <c r="H118" s="638" t="s">
        <v>685</v>
      </c>
      <c r="I118" s="611"/>
      <c r="J118" s="611"/>
      <c r="K118" s="611"/>
    </row>
    <row r="119" spans="2:11" ht="24.75" x14ac:dyDescent="0.25">
      <c r="B119" s="634">
        <v>150902</v>
      </c>
      <c r="C119" s="634" t="s">
        <v>735</v>
      </c>
      <c r="D119" s="644" t="s">
        <v>736</v>
      </c>
      <c r="E119" s="744"/>
      <c r="F119" s="742"/>
      <c r="G119" s="646">
        <f t="shared" si="20"/>
        <v>0</v>
      </c>
      <c r="H119" s="638" t="s">
        <v>685</v>
      </c>
      <c r="I119" s="611"/>
      <c r="J119" s="611"/>
      <c r="K119" s="611"/>
    </row>
    <row r="120" spans="2:11" x14ac:dyDescent="0.25">
      <c r="B120" s="634">
        <v>150903</v>
      </c>
      <c r="C120" s="634" t="s">
        <v>737</v>
      </c>
      <c r="D120" s="644" t="s">
        <v>736</v>
      </c>
      <c r="E120" s="744"/>
      <c r="F120" s="742"/>
      <c r="G120" s="646">
        <f t="shared" si="20"/>
        <v>0</v>
      </c>
      <c r="H120" s="638" t="s">
        <v>685</v>
      </c>
      <c r="I120" s="611"/>
      <c r="J120" s="611"/>
      <c r="K120" s="611"/>
    </row>
    <row r="121" spans="2:11" x14ac:dyDescent="0.25">
      <c r="B121" s="634">
        <v>150904</v>
      </c>
      <c r="C121" s="634" t="s">
        <v>738</v>
      </c>
      <c r="D121" s="644" t="s">
        <v>736</v>
      </c>
      <c r="E121" s="744"/>
      <c r="F121" s="742"/>
      <c r="G121" s="646">
        <f t="shared" si="20"/>
        <v>0</v>
      </c>
      <c r="H121" s="638" t="s">
        <v>685</v>
      </c>
      <c r="I121" s="611"/>
      <c r="J121" s="611"/>
      <c r="K121" s="611"/>
    </row>
    <row r="122" spans="2:11" x14ac:dyDescent="0.25">
      <c r="B122" s="634">
        <v>150905</v>
      </c>
      <c r="C122" s="634" t="s">
        <v>739</v>
      </c>
      <c r="D122" s="644" t="s">
        <v>736</v>
      </c>
      <c r="E122" s="744"/>
      <c r="F122" s="742"/>
      <c r="G122" s="646">
        <f t="shared" si="20"/>
        <v>0</v>
      </c>
      <c r="H122" s="638" t="s">
        <v>685</v>
      </c>
      <c r="I122" s="611"/>
      <c r="J122" s="611"/>
      <c r="K122" s="611"/>
    </row>
    <row r="123" spans="2:11" x14ac:dyDescent="0.25">
      <c r="B123" s="634">
        <v>150906</v>
      </c>
      <c r="C123" s="634" t="s">
        <v>740</v>
      </c>
      <c r="D123" s="644" t="s">
        <v>397</v>
      </c>
      <c r="E123" s="744"/>
      <c r="F123" s="742"/>
      <c r="G123" s="646">
        <f t="shared" si="20"/>
        <v>0</v>
      </c>
      <c r="H123" s="638" t="s">
        <v>685</v>
      </c>
      <c r="I123" s="611"/>
      <c r="J123" s="611"/>
      <c r="K123" s="611"/>
    </row>
    <row r="124" spans="2:11" x14ac:dyDescent="0.25">
      <c r="B124" s="634">
        <v>150915</v>
      </c>
      <c r="C124" s="634" t="s">
        <v>741</v>
      </c>
      <c r="D124" s="644" t="s">
        <v>736</v>
      </c>
      <c r="E124" s="744"/>
      <c r="F124" s="742"/>
      <c r="G124" s="646">
        <f t="shared" si="20"/>
        <v>0</v>
      </c>
      <c r="H124" s="638" t="s">
        <v>685</v>
      </c>
      <c r="I124" s="611"/>
      <c r="J124" s="611"/>
      <c r="K124" s="611"/>
    </row>
    <row r="125" spans="2:11" x14ac:dyDescent="0.25">
      <c r="B125" s="634">
        <v>40803</v>
      </c>
      <c r="C125" s="634" t="s">
        <v>742</v>
      </c>
      <c r="D125" s="644" t="s">
        <v>736</v>
      </c>
      <c r="E125" s="744"/>
      <c r="F125" s="742"/>
      <c r="G125" s="646">
        <f t="shared" si="20"/>
        <v>0</v>
      </c>
      <c r="H125" s="638" t="s">
        <v>685</v>
      </c>
      <c r="I125" s="611"/>
      <c r="J125" s="611"/>
      <c r="K125" s="611"/>
    </row>
    <row r="126" spans="2:11" x14ac:dyDescent="0.25">
      <c r="B126" s="631"/>
      <c r="C126" s="631" t="s">
        <v>743</v>
      </c>
      <c r="D126" s="642"/>
      <c r="E126" s="654"/>
      <c r="F126" s="629"/>
      <c r="G126" s="643">
        <f>SUM(G127)</f>
        <v>0</v>
      </c>
      <c r="H126" s="630"/>
      <c r="I126" s="611"/>
      <c r="J126" s="611"/>
      <c r="K126" s="611"/>
    </row>
    <row r="127" spans="2:11" x14ac:dyDescent="0.25">
      <c r="B127" s="634"/>
      <c r="C127" s="634" t="s">
        <v>744</v>
      </c>
      <c r="D127" s="644" t="s">
        <v>554</v>
      </c>
      <c r="E127" s="744"/>
      <c r="F127" s="742"/>
      <c r="G127" s="646">
        <f t="shared" ref="G127" si="21">E127*F127</f>
        <v>0</v>
      </c>
      <c r="H127" s="638" t="s">
        <v>745</v>
      </c>
      <c r="I127" s="611"/>
      <c r="J127" s="611"/>
      <c r="K127" s="611"/>
    </row>
    <row r="128" spans="2:11" x14ac:dyDescent="0.25">
      <c r="B128" s="639"/>
      <c r="C128" s="639"/>
      <c r="D128" s="639"/>
      <c r="E128" s="639"/>
      <c r="F128" s="640"/>
      <c r="G128" s="610"/>
      <c r="H128" s="615"/>
      <c r="I128" s="611"/>
      <c r="J128" s="611"/>
      <c r="K128" s="611"/>
    </row>
    <row r="129" spans="2:11" x14ac:dyDescent="0.25">
      <c r="B129" s="1101" t="s">
        <v>746</v>
      </c>
      <c r="C129" s="1101"/>
      <c r="D129" s="1101"/>
      <c r="E129" s="1101"/>
      <c r="F129" s="1101"/>
      <c r="G129" s="641">
        <f>G131+G137+G142+G151+G162</f>
        <v>0</v>
      </c>
      <c r="H129" s="626"/>
      <c r="I129" s="611"/>
      <c r="J129" s="611"/>
      <c r="K129" s="611"/>
    </row>
    <row r="130" spans="2:11" x14ac:dyDescent="0.25">
      <c r="B130" s="627" t="s">
        <v>677</v>
      </c>
      <c r="C130" s="612" t="s">
        <v>678</v>
      </c>
      <c r="D130" s="628" t="s">
        <v>216</v>
      </c>
      <c r="E130" s="628" t="s">
        <v>679</v>
      </c>
      <c r="F130" s="629" t="s">
        <v>680</v>
      </c>
      <c r="G130" s="630" t="s">
        <v>681</v>
      </c>
      <c r="H130" s="628" t="s">
        <v>682</v>
      </c>
      <c r="I130" s="611"/>
      <c r="J130" s="611"/>
      <c r="K130" s="611"/>
    </row>
    <row r="131" spans="2:11" x14ac:dyDescent="0.25">
      <c r="B131" s="627"/>
      <c r="C131" s="631" t="s">
        <v>683</v>
      </c>
      <c r="D131" s="631"/>
      <c r="E131" s="631"/>
      <c r="F131" s="632"/>
      <c r="G131" s="643">
        <f>SUM(G132:G136)</f>
        <v>0</v>
      </c>
      <c r="H131" s="630"/>
      <c r="I131" s="611"/>
      <c r="J131" s="611"/>
      <c r="K131" s="611"/>
    </row>
    <row r="132" spans="2:11" x14ac:dyDescent="0.25">
      <c r="B132" s="634">
        <v>10102</v>
      </c>
      <c r="C132" s="635" t="s">
        <v>684</v>
      </c>
      <c r="D132" s="644" t="s">
        <v>397</v>
      </c>
      <c r="E132" s="744"/>
      <c r="F132" s="742"/>
      <c r="G132" s="645">
        <f>E132*F132</f>
        <v>0</v>
      </c>
      <c r="H132" s="638" t="s">
        <v>685</v>
      </c>
      <c r="I132" s="611"/>
      <c r="J132" s="611"/>
      <c r="K132" s="611"/>
    </row>
    <row r="133" spans="2:11" x14ac:dyDescent="0.25">
      <c r="B133" s="634">
        <v>10103</v>
      </c>
      <c r="C133" s="635" t="s">
        <v>686</v>
      </c>
      <c r="D133" s="644" t="s">
        <v>397</v>
      </c>
      <c r="E133" s="744"/>
      <c r="F133" s="742"/>
      <c r="G133" s="646">
        <f>E133*F133</f>
        <v>0</v>
      </c>
      <c r="H133" s="638" t="s">
        <v>685</v>
      </c>
      <c r="I133" s="611"/>
      <c r="J133" s="611"/>
      <c r="K133" s="611"/>
    </row>
    <row r="134" spans="2:11" x14ac:dyDescent="0.25">
      <c r="B134" s="634">
        <v>10104</v>
      </c>
      <c r="C134" s="635" t="s">
        <v>687</v>
      </c>
      <c r="D134" s="644" t="s">
        <v>397</v>
      </c>
      <c r="E134" s="744"/>
      <c r="F134" s="742"/>
      <c r="G134" s="646">
        <f t="shared" ref="G134:G136" si="22">E134*F134</f>
        <v>0</v>
      </c>
      <c r="H134" s="638" t="s">
        <v>685</v>
      </c>
      <c r="I134" s="611"/>
      <c r="J134" s="611"/>
      <c r="K134" s="611"/>
    </row>
    <row r="135" spans="2:11" x14ac:dyDescent="0.25">
      <c r="B135" s="634">
        <v>10105</v>
      </c>
      <c r="C135" s="635" t="s">
        <v>688</v>
      </c>
      <c r="D135" s="644" t="s">
        <v>397</v>
      </c>
      <c r="E135" s="744"/>
      <c r="F135" s="742"/>
      <c r="G135" s="646">
        <f t="shared" si="22"/>
        <v>0</v>
      </c>
      <c r="H135" s="638" t="s">
        <v>685</v>
      </c>
      <c r="I135" s="611"/>
      <c r="J135" s="611"/>
      <c r="K135" s="611"/>
    </row>
    <row r="136" spans="2:11" x14ac:dyDescent="0.25">
      <c r="B136" s="634">
        <v>10201</v>
      </c>
      <c r="C136" s="635" t="s">
        <v>689</v>
      </c>
      <c r="D136" s="644" t="s">
        <v>397</v>
      </c>
      <c r="E136" s="744"/>
      <c r="F136" s="742"/>
      <c r="G136" s="646">
        <f t="shared" si="22"/>
        <v>0</v>
      </c>
      <c r="H136" s="638" t="s">
        <v>685</v>
      </c>
      <c r="I136" s="611"/>
      <c r="J136" s="611"/>
      <c r="K136" s="611"/>
    </row>
    <row r="137" spans="2:11" x14ac:dyDescent="0.25">
      <c r="B137" s="627"/>
      <c r="C137" s="631" t="s">
        <v>690</v>
      </c>
      <c r="D137" s="628"/>
      <c r="E137" s="654"/>
      <c r="F137" s="629"/>
      <c r="G137" s="633">
        <f>SUM(G138:G141)</f>
        <v>0</v>
      </c>
      <c r="H137" s="612"/>
      <c r="I137" s="611"/>
      <c r="J137" s="611"/>
      <c r="K137" s="611"/>
    </row>
    <row r="138" spans="2:11" x14ac:dyDescent="0.25">
      <c r="B138" s="634">
        <v>300101</v>
      </c>
      <c r="C138" s="634" t="s">
        <v>691</v>
      </c>
      <c r="D138" s="636" t="s">
        <v>397</v>
      </c>
      <c r="E138" s="744"/>
      <c r="F138" s="742"/>
      <c r="G138" s="637">
        <f t="shared" ref="G138:G141" si="23">E138*F138</f>
        <v>0</v>
      </c>
      <c r="H138" s="638" t="s">
        <v>685</v>
      </c>
      <c r="I138" s="611"/>
      <c r="J138" s="611"/>
      <c r="K138" s="611"/>
    </row>
    <row r="139" spans="2:11" x14ac:dyDescent="0.25">
      <c r="B139" s="634">
        <v>300103</v>
      </c>
      <c r="C139" s="634" t="s">
        <v>692</v>
      </c>
      <c r="D139" s="636" t="s">
        <v>397</v>
      </c>
      <c r="E139" s="744"/>
      <c r="F139" s="742"/>
      <c r="G139" s="637">
        <f t="shared" si="23"/>
        <v>0</v>
      </c>
      <c r="H139" s="638" t="s">
        <v>685</v>
      </c>
      <c r="I139" s="611"/>
      <c r="J139" s="611"/>
      <c r="K139" s="611"/>
    </row>
    <row r="140" spans="2:11" x14ac:dyDescent="0.25">
      <c r="B140" s="634">
        <v>40101</v>
      </c>
      <c r="C140" s="634" t="s">
        <v>747</v>
      </c>
      <c r="D140" s="636" t="s">
        <v>736</v>
      </c>
      <c r="E140" s="744"/>
      <c r="F140" s="742"/>
      <c r="G140" s="637">
        <f t="shared" si="23"/>
        <v>0</v>
      </c>
      <c r="H140" s="638" t="s">
        <v>685</v>
      </c>
      <c r="I140" s="611"/>
      <c r="J140" s="611"/>
      <c r="K140" s="611"/>
    </row>
    <row r="141" spans="2:11" ht="24.75" x14ac:dyDescent="0.25">
      <c r="B141" s="634">
        <v>40503</v>
      </c>
      <c r="C141" s="634" t="s">
        <v>748</v>
      </c>
      <c r="D141" s="636" t="s">
        <v>736</v>
      </c>
      <c r="E141" s="744"/>
      <c r="F141" s="742"/>
      <c r="G141" s="637">
        <f t="shared" si="23"/>
        <v>0</v>
      </c>
      <c r="H141" s="638" t="s">
        <v>685</v>
      </c>
      <c r="I141" s="611"/>
      <c r="J141" s="611"/>
      <c r="K141" s="611"/>
    </row>
    <row r="142" spans="2:11" x14ac:dyDescent="0.25">
      <c r="B142" s="631"/>
      <c r="C142" s="631" t="s">
        <v>749</v>
      </c>
      <c r="D142" s="628"/>
      <c r="E142" s="654"/>
      <c r="F142" s="629"/>
      <c r="G142" s="633">
        <f>SUM(G143:G150)</f>
        <v>0</v>
      </c>
      <c r="H142" s="612"/>
      <c r="I142" s="611"/>
      <c r="J142" s="611"/>
      <c r="K142" s="611"/>
    </row>
    <row r="143" spans="2:11" x14ac:dyDescent="0.25">
      <c r="B143" s="634">
        <v>70201</v>
      </c>
      <c r="C143" s="634" t="s">
        <v>750</v>
      </c>
      <c r="D143" s="636" t="s">
        <v>736</v>
      </c>
      <c r="E143" s="744"/>
      <c r="F143" s="742"/>
      <c r="G143" s="637">
        <f t="shared" ref="G143:G150" si="24">E143*F143</f>
        <v>0</v>
      </c>
      <c r="H143" s="638" t="s">
        <v>685</v>
      </c>
      <c r="I143" s="611"/>
      <c r="J143" s="611"/>
      <c r="K143" s="611"/>
    </row>
    <row r="144" spans="2:11" x14ac:dyDescent="0.25">
      <c r="B144" s="634">
        <v>7302</v>
      </c>
      <c r="C144" s="634" t="s">
        <v>751</v>
      </c>
      <c r="D144" s="636" t="s">
        <v>736</v>
      </c>
      <c r="E144" s="744"/>
      <c r="F144" s="742"/>
      <c r="G144" s="637">
        <f t="shared" si="24"/>
        <v>0</v>
      </c>
      <c r="H144" s="638" t="s">
        <v>685</v>
      </c>
      <c r="I144" s="611"/>
      <c r="J144" s="611"/>
      <c r="K144" s="611"/>
    </row>
    <row r="145" spans="2:11" x14ac:dyDescent="0.25">
      <c r="B145" s="634">
        <v>81801</v>
      </c>
      <c r="C145" s="634" t="s">
        <v>696</v>
      </c>
      <c r="D145" s="636" t="s">
        <v>697</v>
      </c>
      <c r="E145" s="744"/>
      <c r="F145" s="742"/>
      <c r="G145" s="637">
        <f t="shared" si="24"/>
        <v>0</v>
      </c>
      <c r="H145" s="638" t="s">
        <v>685</v>
      </c>
      <c r="I145" s="611"/>
      <c r="J145" s="611"/>
      <c r="K145" s="611"/>
    </row>
    <row r="146" spans="2:11" ht="24.75" x14ac:dyDescent="0.25">
      <c r="B146" s="634">
        <v>91412</v>
      </c>
      <c r="C146" s="634" t="s">
        <v>752</v>
      </c>
      <c r="D146" s="636" t="s">
        <v>126</v>
      </c>
      <c r="E146" s="744"/>
      <c r="F146" s="742"/>
      <c r="G146" s="637">
        <f t="shared" si="24"/>
        <v>0</v>
      </c>
      <c r="H146" s="638" t="s">
        <v>685</v>
      </c>
      <c r="I146" s="611"/>
      <c r="J146" s="611"/>
      <c r="K146" s="611"/>
    </row>
    <row r="147" spans="2:11" x14ac:dyDescent="0.25">
      <c r="B147" s="634">
        <v>80513</v>
      </c>
      <c r="C147" s="634" t="s">
        <v>753</v>
      </c>
      <c r="D147" s="636" t="s">
        <v>126</v>
      </c>
      <c r="E147" s="744"/>
      <c r="F147" s="742"/>
      <c r="G147" s="637">
        <f t="shared" si="24"/>
        <v>0</v>
      </c>
      <c r="H147" s="638" t="s">
        <v>685</v>
      </c>
      <c r="I147" s="611"/>
      <c r="J147" s="611"/>
      <c r="K147" s="611"/>
    </row>
    <row r="148" spans="2:11" x14ac:dyDescent="0.25">
      <c r="B148" s="634"/>
      <c r="C148" s="634" t="s">
        <v>754</v>
      </c>
      <c r="D148" s="636" t="s">
        <v>126</v>
      </c>
      <c r="E148" s="744"/>
      <c r="F148" s="742"/>
      <c r="G148" s="637">
        <f t="shared" si="24"/>
        <v>0</v>
      </c>
      <c r="H148" s="638" t="s">
        <v>857</v>
      </c>
      <c r="I148" s="611"/>
      <c r="J148" s="611"/>
      <c r="K148" s="611"/>
    </row>
    <row r="149" spans="2:11" x14ac:dyDescent="0.25">
      <c r="B149" s="634">
        <v>40602</v>
      </c>
      <c r="C149" s="634" t="s">
        <v>755</v>
      </c>
      <c r="D149" s="636" t="s">
        <v>736</v>
      </c>
      <c r="E149" s="744"/>
      <c r="F149" s="742"/>
      <c r="G149" s="637">
        <f t="shared" si="24"/>
        <v>0</v>
      </c>
      <c r="H149" s="638" t="s">
        <v>685</v>
      </c>
      <c r="I149" s="611"/>
      <c r="J149" s="611"/>
      <c r="K149" s="611"/>
    </row>
    <row r="150" spans="2:11" ht="24.75" x14ac:dyDescent="0.25">
      <c r="B150" s="634">
        <v>40607</v>
      </c>
      <c r="C150" s="634" t="s">
        <v>756</v>
      </c>
      <c r="D150" s="636" t="s">
        <v>736</v>
      </c>
      <c r="E150" s="744"/>
      <c r="F150" s="742"/>
      <c r="G150" s="637">
        <f t="shared" si="24"/>
        <v>0</v>
      </c>
      <c r="H150" s="638" t="s">
        <v>685</v>
      </c>
      <c r="I150" s="611"/>
      <c r="J150" s="611"/>
      <c r="K150" s="611"/>
    </row>
    <row r="151" spans="2:11" x14ac:dyDescent="0.25">
      <c r="B151" s="634"/>
      <c r="C151" s="631" t="s">
        <v>757</v>
      </c>
      <c r="D151" s="628"/>
      <c r="E151" s="654"/>
      <c r="F151" s="629"/>
      <c r="G151" s="633">
        <f>SUM(G152:G161)</f>
        <v>0</v>
      </c>
      <c r="H151" s="638"/>
      <c r="I151" s="611"/>
      <c r="J151" s="611"/>
      <c r="K151" s="611"/>
    </row>
    <row r="152" spans="2:11" x14ac:dyDescent="0.25">
      <c r="B152" s="634">
        <v>800206</v>
      </c>
      <c r="C152" s="634" t="s">
        <v>758</v>
      </c>
      <c r="D152" s="636" t="s">
        <v>126</v>
      </c>
      <c r="E152" s="744"/>
      <c r="F152" s="742"/>
      <c r="G152" s="637">
        <f t="shared" ref="G152:G161" si="25">E152*F152</f>
        <v>0</v>
      </c>
      <c r="H152" s="638" t="s">
        <v>685</v>
      </c>
      <c r="I152" s="611"/>
      <c r="J152" s="611"/>
      <c r="K152" s="611"/>
    </row>
    <row r="153" spans="2:11" x14ac:dyDescent="0.25">
      <c r="B153" s="634">
        <v>800207</v>
      </c>
      <c r="C153" s="634" t="s">
        <v>759</v>
      </c>
      <c r="D153" s="636" t="s">
        <v>126</v>
      </c>
      <c r="E153" s="744"/>
      <c r="F153" s="742"/>
      <c r="G153" s="637">
        <f t="shared" si="25"/>
        <v>0</v>
      </c>
      <c r="H153" s="638" t="s">
        <v>685</v>
      </c>
      <c r="I153" s="611"/>
      <c r="J153" s="611"/>
      <c r="K153" s="611"/>
    </row>
    <row r="154" spans="2:11" x14ac:dyDescent="0.25">
      <c r="B154" s="634">
        <v>81004</v>
      </c>
      <c r="C154" s="634" t="s">
        <v>760</v>
      </c>
      <c r="D154" s="636" t="s">
        <v>736</v>
      </c>
      <c r="E154" s="744"/>
      <c r="F154" s="742"/>
      <c r="G154" s="637">
        <f t="shared" si="25"/>
        <v>0</v>
      </c>
      <c r="H154" s="638" t="s">
        <v>685</v>
      </c>
      <c r="I154" s="611"/>
      <c r="J154" s="611"/>
      <c r="K154" s="611"/>
    </row>
    <row r="155" spans="2:11" x14ac:dyDescent="0.25">
      <c r="B155" s="634">
        <v>800802</v>
      </c>
      <c r="C155" s="634" t="s">
        <v>761</v>
      </c>
      <c r="D155" s="636" t="s">
        <v>546</v>
      </c>
      <c r="E155" s="744"/>
      <c r="F155" s="742"/>
      <c r="G155" s="637">
        <f t="shared" si="25"/>
        <v>0</v>
      </c>
      <c r="H155" s="638" t="s">
        <v>685</v>
      </c>
      <c r="I155" s="611"/>
      <c r="J155" s="611"/>
      <c r="K155" s="611"/>
    </row>
    <row r="156" spans="2:11" x14ac:dyDescent="0.25">
      <c r="B156" s="634">
        <v>80803</v>
      </c>
      <c r="C156" s="634" t="s">
        <v>762</v>
      </c>
      <c r="D156" s="636" t="s">
        <v>546</v>
      </c>
      <c r="E156" s="744"/>
      <c r="F156" s="742"/>
      <c r="G156" s="637">
        <f t="shared" si="25"/>
        <v>0</v>
      </c>
      <c r="H156" s="638" t="s">
        <v>685</v>
      </c>
      <c r="I156" s="611"/>
      <c r="J156" s="611"/>
      <c r="K156" s="611"/>
    </row>
    <row r="157" spans="2:11" x14ac:dyDescent="0.25">
      <c r="B157" s="634">
        <v>80602</v>
      </c>
      <c r="C157" s="634" t="s">
        <v>763</v>
      </c>
      <c r="D157" s="636" t="s">
        <v>397</v>
      </c>
      <c r="E157" s="744"/>
      <c r="F157" s="742"/>
      <c r="G157" s="637">
        <f t="shared" si="25"/>
        <v>0</v>
      </c>
      <c r="H157" s="638" t="s">
        <v>685</v>
      </c>
      <c r="I157" s="611"/>
      <c r="J157" s="611"/>
      <c r="K157" s="611"/>
    </row>
    <row r="158" spans="2:11" x14ac:dyDescent="0.25">
      <c r="B158" s="634">
        <v>50104</v>
      </c>
      <c r="C158" s="634" t="s">
        <v>764</v>
      </c>
      <c r="D158" s="636" t="s">
        <v>397</v>
      </c>
      <c r="E158" s="744"/>
      <c r="F158" s="742"/>
      <c r="G158" s="637">
        <f t="shared" si="25"/>
        <v>0</v>
      </c>
      <c r="H158" s="638" t="s">
        <v>685</v>
      </c>
      <c r="I158" s="611"/>
      <c r="J158" s="611"/>
      <c r="K158" s="611"/>
    </row>
    <row r="159" spans="2:11" x14ac:dyDescent="0.25">
      <c r="B159" s="634">
        <v>40602</v>
      </c>
      <c r="C159" s="634" t="s">
        <v>755</v>
      </c>
      <c r="D159" s="636" t="s">
        <v>736</v>
      </c>
      <c r="E159" s="744"/>
      <c r="F159" s="742"/>
      <c r="G159" s="637">
        <f t="shared" si="25"/>
        <v>0</v>
      </c>
      <c r="H159" s="638" t="s">
        <v>685</v>
      </c>
      <c r="I159" s="611"/>
      <c r="J159" s="611"/>
      <c r="K159" s="611"/>
    </row>
    <row r="160" spans="2:11" ht="24.75" x14ac:dyDescent="0.25">
      <c r="B160" s="634">
        <v>40607</v>
      </c>
      <c r="C160" s="634" t="s">
        <v>756</v>
      </c>
      <c r="D160" s="636" t="s">
        <v>736</v>
      </c>
      <c r="E160" s="744"/>
      <c r="F160" s="742"/>
      <c r="G160" s="637">
        <f t="shared" si="25"/>
        <v>0</v>
      </c>
      <c r="H160" s="638" t="s">
        <v>685</v>
      </c>
      <c r="I160" s="611"/>
      <c r="J160" s="611"/>
      <c r="K160" s="611"/>
    </row>
    <row r="161" spans="2:11" x14ac:dyDescent="0.25">
      <c r="B161" s="634">
        <v>150617</v>
      </c>
      <c r="C161" s="634" t="s">
        <v>765</v>
      </c>
      <c r="D161" s="636" t="s">
        <v>697</v>
      </c>
      <c r="E161" s="744"/>
      <c r="F161" s="742"/>
      <c r="G161" s="637">
        <f t="shared" si="25"/>
        <v>0</v>
      </c>
      <c r="H161" s="638" t="s">
        <v>858</v>
      </c>
      <c r="I161" s="611"/>
      <c r="J161" s="611"/>
      <c r="K161" s="611"/>
    </row>
    <row r="162" spans="2:11" x14ac:dyDescent="0.25">
      <c r="B162" s="631"/>
      <c r="C162" s="631" t="s">
        <v>766</v>
      </c>
      <c r="D162" s="628"/>
      <c r="E162" s="628"/>
      <c r="F162" s="628"/>
      <c r="G162" s="633">
        <f>SUM(G163:G163)</f>
        <v>0</v>
      </c>
      <c r="H162" s="630"/>
      <c r="I162" s="611"/>
      <c r="J162" s="611"/>
      <c r="K162" s="611"/>
    </row>
    <row r="163" spans="2:11" ht="24.75" x14ac:dyDescent="0.25">
      <c r="B163" s="634"/>
      <c r="C163" s="634" t="s">
        <v>767</v>
      </c>
      <c r="D163" s="636" t="s">
        <v>697</v>
      </c>
      <c r="E163" s="743"/>
      <c r="F163" s="742"/>
      <c r="G163" s="637">
        <f t="shared" ref="G163" si="26">E163*F163</f>
        <v>0</v>
      </c>
      <c r="H163" s="638" t="s">
        <v>768</v>
      </c>
      <c r="I163" s="611"/>
      <c r="J163" s="611"/>
      <c r="K163" s="611"/>
    </row>
    <row r="164" spans="2:11" x14ac:dyDescent="0.25">
      <c r="B164" s="639"/>
      <c r="C164" s="585"/>
      <c r="D164" s="585"/>
      <c r="E164" s="585"/>
      <c r="F164" s="587"/>
      <c r="G164" s="585"/>
      <c r="H164" s="586"/>
      <c r="I164" s="611"/>
      <c r="J164" s="611"/>
      <c r="K164" s="611"/>
    </row>
    <row r="165" spans="2:11" x14ac:dyDescent="0.25">
      <c r="B165" s="1101" t="s">
        <v>769</v>
      </c>
      <c r="C165" s="1101"/>
      <c r="D165" s="1101"/>
      <c r="E165" s="1101"/>
      <c r="F165" s="1101"/>
      <c r="G165" s="641">
        <f>G167+G168</f>
        <v>0</v>
      </c>
      <c r="H165" s="626"/>
      <c r="I165" s="611"/>
      <c r="J165" s="611"/>
      <c r="K165" s="611"/>
    </row>
    <row r="166" spans="2:11" x14ac:dyDescent="0.25">
      <c r="B166" s="627" t="s">
        <v>677</v>
      </c>
      <c r="C166" s="612" t="s">
        <v>678</v>
      </c>
      <c r="D166" s="628" t="s">
        <v>216</v>
      </c>
      <c r="E166" s="628" t="s">
        <v>679</v>
      </c>
      <c r="F166" s="629" t="s">
        <v>680</v>
      </c>
      <c r="G166" s="630" t="s">
        <v>681</v>
      </c>
      <c r="H166" s="628" t="s">
        <v>682</v>
      </c>
      <c r="I166" s="611"/>
      <c r="J166" s="611"/>
      <c r="K166" s="611"/>
    </row>
    <row r="167" spans="2:11" x14ac:dyDescent="0.25">
      <c r="B167" s="634">
        <v>10201</v>
      </c>
      <c r="C167" s="635" t="s">
        <v>689</v>
      </c>
      <c r="D167" s="634" t="s">
        <v>397</v>
      </c>
      <c r="E167" s="741"/>
      <c r="F167" s="742"/>
      <c r="G167" s="646">
        <f t="shared" ref="G167:G168" si="27">E167*F167</f>
        <v>0</v>
      </c>
      <c r="H167" s="638" t="s">
        <v>685</v>
      </c>
      <c r="I167" s="611"/>
      <c r="J167" s="611"/>
      <c r="K167" s="611"/>
    </row>
    <row r="168" spans="2:11" ht="24.75" x14ac:dyDescent="0.25">
      <c r="B168" s="634"/>
      <c r="C168" s="634" t="s">
        <v>770</v>
      </c>
      <c r="D168" s="636" t="s">
        <v>771</v>
      </c>
      <c r="E168" s="778"/>
      <c r="F168" s="742"/>
      <c r="G168" s="637">
        <f t="shared" si="27"/>
        <v>0</v>
      </c>
      <c r="H168" s="638" t="s">
        <v>768</v>
      </c>
      <c r="I168" s="611"/>
      <c r="J168" s="611"/>
      <c r="K168" s="611"/>
    </row>
    <row r="169" spans="2:11" x14ac:dyDescent="0.25">
      <c r="B169" s="585"/>
      <c r="C169" s="585"/>
      <c r="D169" s="585"/>
      <c r="E169" s="585"/>
      <c r="F169" s="587"/>
      <c r="G169" s="585"/>
      <c r="H169" s="586"/>
      <c r="I169" s="611"/>
      <c r="J169" s="611"/>
      <c r="K169" s="611"/>
    </row>
    <row r="170" spans="2:11" x14ac:dyDescent="0.25">
      <c r="B170" s="1101" t="s">
        <v>772</v>
      </c>
      <c r="C170" s="1101"/>
      <c r="D170" s="1101"/>
      <c r="E170" s="1101"/>
      <c r="F170" s="1101"/>
      <c r="G170" s="641">
        <f>G172+G178+G183</f>
        <v>0</v>
      </c>
      <c r="H170" s="685"/>
      <c r="I170" s="611"/>
      <c r="J170" s="611"/>
      <c r="K170" s="611"/>
    </row>
    <row r="171" spans="2:11" x14ac:dyDescent="0.25">
      <c r="B171" s="627" t="s">
        <v>677</v>
      </c>
      <c r="C171" s="612" t="s">
        <v>678</v>
      </c>
      <c r="D171" s="628" t="s">
        <v>216</v>
      </c>
      <c r="E171" s="628" t="s">
        <v>679</v>
      </c>
      <c r="F171" s="629" t="s">
        <v>680</v>
      </c>
      <c r="G171" s="630" t="s">
        <v>681</v>
      </c>
      <c r="H171" s="628" t="s">
        <v>682</v>
      </c>
      <c r="I171" s="611"/>
      <c r="J171" s="611"/>
      <c r="K171" s="611"/>
    </row>
    <row r="172" spans="2:11" x14ac:dyDescent="0.25">
      <c r="B172" s="627"/>
      <c r="C172" s="631" t="s">
        <v>683</v>
      </c>
      <c r="D172" s="631"/>
      <c r="E172" s="631"/>
      <c r="F172" s="632"/>
      <c r="G172" s="643">
        <f>SUM(G173:G177)</f>
        <v>0</v>
      </c>
      <c r="H172" s="630"/>
      <c r="I172" s="611"/>
      <c r="J172" s="611"/>
      <c r="K172" s="611"/>
    </row>
    <row r="173" spans="2:11" x14ac:dyDescent="0.25">
      <c r="B173" s="634">
        <v>10102</v>
      </c>
      <c r="C173" s="635" t="s">
        <v>684</v>
      </c>
      <c r="D173" s="644" t="s">
        <v>397</v>
      </c>
      <c r="E173" s="744"/>
      <c r="F173" s="742"/>
      <c r="G173" s="645">
        <f>E173*F173</f>
        <v>0</v>
      </c>
      <c r="H173" s="638" t="s">
        <v>685</v>
      </c>
      <c r="I173" s="611"/>
      <c r="J173" s="611"/>
      <c r="K173" s="611"/>
    </row>
    <row r="174" spans="2:11" x14ac:dyDescent="0.25">
      <c r="B174" s="634">
        <v>10103</v>
      </c>
      <c r="C174" s="635" t="s">
        <v>686</v>
      </c>
      <c r="D174" s="644" t="s">
        <v>397</v>
      </c>
      <c r="E174" s="744"/>
      <c r="F174" s="742"/>
      <c r="G174" s="646">
        <f>E174*F174</f>
        <v>0</v>
      </c>
      <c r="H174" s="638" t="s">
        <v>685</v>
      </c>
      <c r="I174" s="611"/>
      <c r="J174" s="611"/>
      <c r="K174" s="611"/>
    </row>
    <row r="175" spans="2:11" x14ac:dyDescent="0.25">
      <c r="B175" s="634">
        <v>10104</v>
      </c>
      <c r="C175" s="635" t="s">
        <v>687</v>
      </c>
      <c r="D175" s="644" t="s">
        <v>397</v>
      </c>
      <c r="E175" s="744"/>
      <c r="F175" s="742"/>
      <c r="G175" s="646">
        <f t="shared" ref="G175:G177" si="28">E175*F175</f>
        <v>0</v>
      </c>
      <c r="H175" s="638" t="s">
        <v>685</v>
      </c>
      <c r="I175" s="611"/>
      <c r="J175" s="611"/>
      <c r="K175" s="611"/>
    </row>
    <row r="176" spans="2:11" x14ac:dyDescent="0.25">
      <c r="B176" s="634">
        <v>10105</v>
      </c>
      <c r="C176" s="635" t="s">
        <v>688</v>
      </c>
      <c r="D176" s="644" t="s">
        <v>397</v>
      </c>
      <c r="E176" s="744"/>
      <c r="F176" s="742"/>
      <c r="G176" s="646">
        <f t="shared" si="28"/>
        <v>0</v>
      </c>
      <c r="H176" s="638" t="s">
        <v>685</v>
      </c>
      <c r="I176" s="611"/>
      <c r="J176" s="611"/>
      <c r="K176" s="611"/>
    </row>
    <row r="177" spans="2:13" x14ac:dyDescent="0.25">
      <c r="B177" s="634">
        <v>10201</v>
      </c>
      <c r="C177" s="635" t="s">
        <v>689</v>
      </c>
      <c r="D177" s="644" t="s">
        <v>397</v>
      </c>
      <c r="E177" s="744"/>
      <c r="F177" s="742"/>
      <c r="G177" s="646">
        <f t="shared" si="28"/>
        <v>0</v>
      </c>
      <c r="H177" s="638" t="s">
        <v>685</v>
      </c>
      <c r="I177" s="611"/>
      <c r="J177" s="611"/>
      <c r="K177" s="611"/>
    </row>
    <row r="178" spans="2:13" x14ac:dyDescent="0.25">
      <c r="B178" s="627"/>
      <c r="C178" s="631" t="s">
        <v>690</v>
      </c>
      <c r="D178" s="628"/>
      <c r="E178" s="654"/>
      <c r="F178" s="629"/>
      <c r="G178" s="633">
        <f>SUM(G179:G182)</f>
        <v>0</v>
      </c>
      <c r="H178" s="612"/>
      <c r="I178" s="611"/>
      <c r="J178" s="611"/>
      <c r="K178" s="611"/>
    </row>
    <row r="179" spans="2:13" x14ac:dyDescent="0.25">
      <c r="B179" s="634">
        <v>300101</v>
      </c>
      <c r="C179" s="634" t="s">
        <v>691</v>
      </c>
      <c r="D179" s="636" t="s">
        <v>397</v>
      </c>
      <c r="E179" s="743"/>
      <c r="F179" s="742"/>
      <c r="G179" s="637">
        <f t="shared" ref="G179:G182" si="29">E179*F179</f>
        <v>0</v>
      </c>
      <c r="H179" s="638" t="s">
        <v>685</v>
      </c>
      <c r="I179" s="611"/>
      <c r="J179" s="611"/>
      <c r="K179" s="611"/>
    </row>
    <row r="180" spans="2:13" x14ac:dyDescent="0.25">
      <c r="B180" s="634">
        <v>300103</v>
      </c>
      <c r="C180" s="634" t="s">
        <v>692</v>
      </c>
      <c r="D180" s="636" t="s">
        <v>397</v>
      </c>
      <c r="E180" s="743"/>
      <c r="F180" s="742"/>
      <c r="G180" s="637">
        <f t="shared" si="29"/>
        <v>0</v>
      </c>
      <c r="H180" s="638" t="s">
        <v>685</v>
      </c>
      <c r="I180" s="611"/>
      <c r="J180" s="611"/>
      <c r="K180" s="611"/>
    </row>
    <row r="181" spans="2:13" x14ac:dyDescent="0.25">
      <c r="B181" s="634">
        <v>40101</v>
      </c>
      <c r="C181" s="634" t="s">
        <v>747</v>
      </c>
      <c r="D181" s="636" t="s">
        <v>736</v>
      </c>
      <c r="E181" s="743"/>
      <c r="F181" s="742"/>
      <c r="G181" s="637">
        <f t="shared" si="29"/>
        <v>0</v>
      </c>
      <c r="H181" s="638" t="s">
        <v>685</v>
      </c>
      <c r="I181" s="611"/>
      <c r="J181" s="611"/>
      <c r="K181" s="611"/>
    </row>
    <row r="182" spans="2:13" ht="24.75" x14ac:dyDescent="0.25">
      <c r="B182" s="634">
        <v>40503</v>
      </c>
      <c r="C182" s="634" t="s">
        <v>748</v>
      </c>
      <c r="D182" s="636" t="s">
        <v>736</v>
      </c>
      <c r="E182" s="743"/>
      <c r="F182" s="742"/>
      <c r="G182" s="637">
        <f t="shared" si="29"/>
        <v>0</v>
      </c>
      <c r="H182" s="638" t="s">
        <v>685</v>
      </c>
      <c r="I182" s="611"/>
      <c r="J182" s="611"/>
      <c r="K182" s="611"/>
    </row>
    <row r="183" spans="2:13" x14ac:dyDescent="0.25">
      <c r="B183" s="631"/>
      <c r="C183" s="631" t="s">
        <v>773</v>
      </c>
      <c r="D183" s="628"/>
      <c r="E183" s="654"/>
      <c r="F183" s="629"/>
      <c r="G183" s="633">
        <f>SUM(G184:G188)</f>
        <v>0</v>
      </c>
      <c r="H183" s="630"/>
      <c r="I183" s="611"/>
      <c r="J183" s="611"/>
      <c r="K183" s="611"/>
    </row>
    <row r="184" spans="2:13" ht="108" x14ac:dyDescent="0.25">
      <c r="B184" s="634"/>
      <c r="C184" s="647" t="s">
        <v>774</v>
      </c>
      <c r="D184" s="636" t="s">
        <v>697</v>
      </c>
      <c r="E184" s="743"/>
      <c r="F184" s="742"/>
      <c r="G184" s="650">
        <f t="shared" ref="G184:G188" si="30">E184*F184</f>
        <v>0</v>
      </c>
      <c r="H184" s="638" t="s">
        <v>857</v>
      </c>
      <c r="I184" s="611"/>
      <c r="J184" s="611"/>
      <c r="K184" s="611"/>
      <c r="M184" s="3"/>
    </row>
    <row r="185" spans="2:13" x14ac:dyDescent="0.25">
      <c r="B185" s="634">
        <v>81004</v>
      </c>
      <c r="C185" s="634" t="s">
        <v>760</v>
      </c>
      <c r="D185" s="636" t="s">
        <v>736</v>
      </c>
      <c r="E185" s="743"/>
      <c r="F185" s="742"/>
      <c r="G185" s="637">
        <f t="shared" si="30"/>
        <v>0</v>
      </c>
      <c r="H185" s="638" t="s">
        <v>685</v>
      </c>
      <c r="I185" s="611"/>
      <c r="J185" s="611"/>
      <c r="K185" s="611"/>
    </row>
    <row r="186" spans="2:13" x14ac:dyDescent="0.25">
      <c r="B186" s="634">
        <v>800802</v>
      </c>
      <c r="C186" s="634" t="s">
        <v>761</v>
      </c>
      <c r="D186" s="636" t="s">
        <v>546</v>
      </c>
      <c r="E186" s="743"/>
      <c r="F186" s="742"/>
      <c r="G186" s="637">
        <f t="shared" si="30"/>
        <v>0</v>
      </c>
      <c r="H186" s="638" t="s">
        <v>685</v>
      </c>
      <c r="I186" s="611"/>
      <c r="J186" s="611"/>
      <c r="K186" s="611"/>
    </row>
    <row r="187" spans="2:13" x14ac:dyDescent="0.25">
      <c r="B187" s="634">
        <v>80803</v>
      </c>
      <c r="C187" s="634" t="s">
        <v>762</v>
      </c>
      <c r="D187" s="636" t="s">
        <v>546</v>
      </c>
      <c r="E187" s="743"/>
      <c r="F187" s="742"/>
      <c r="G187" s="637">
        <f t="shared" si="30"/>
        <v>0</v>
      </c>
      <c r="H187" s="638" t="s">
        <v>685</v>
      </c>
      <c r="I187" s="611"/>
      <c r="J187" s="611"/>
      <c r="K187" s="611"/>
    </row>
    <row r="188" spans="2:13" x14ac:dyDescent="0.25">
      <c r="B188" s="634">
        <v>80602</v>
      </c>
      <c r="C188" s="634" t="s">
        <v>763</v>
      </c>
      <c r="D188" s="636" t="s">
        <v>397</v>
      </c>
      <c r="E188" s="743"/>
      <c r="F188" s="742"/>
      <c r="G188" s="637">
        <f t="shared" si="30"/>
        <v>0</v>
      </c>
      <c r="H188" s="638" t="s">
        <v>685</v>
      </c>
      <c r="I188" s="611"/>
      <c r="J188" s="611"/>
      <c r="K188" s="611"/>
    </row>
    <row r="189" spans="2:13" x14ac:dyDescent="0.25">
      <c r="B189" s="585"/>
      <c r="C189" s="585"/>
      <c r="D189" s="585"/>
      <c r="E189" s="585"/>
      <c r="F189" s="587"/>
      <c r="G189" s="585"/>
      <c r="H189" s="586"/>
      <c r="I189" s="611"/>
      <c r="J189" s="611"/>
      <c r="K189" s="611"/>
    </row>
    <row r="190" spans="2:13" x14ac:dyDescent="0.25">
      <c r="B190" s="1101" t="s">
        <v>775</v>
      </c>
      <c r="C190" s="1101"/>
      <c r="D190" s="1101"/>
      <c r="E190" s="1101"/>
      <c r="F190" s="1101"/>
      <c r="G190" s="641">
        <f>G192+G198</f>
        <v>0</v>
      </c>
      <c r="H190" s="626"/>
      <c r="I190" s="611"/>
      <c r="J190" s="611"/>
      <c r="K190" s="611"/>
    </row>
    <row r="191" spans="2:13" x14ac:dyDescent="0.25">
      <c r="B191" s="627" t="s">
        <v>677</v>
      </c>
      <c r="C191" s="612" t="s">
        <v>678</v>
      </c>
      <c r="D191" s="628" t="s">
        <v>216</v>
      </c>
      <c r="E191" s="628" t="s">
        <v>679</v>
      </c>
      <c r="F191" s="629" t="s">
        <v>680</v>
      </c>
      <c r="G191" s="630" t="s">
        <v>681</v>
      </c>
      <c r="H191" s="628" t="s">
        <v>682</v>
      </c>
      <c r="I191" s="611"/>
      <c r="J191" s="611"/>
      <c r="K191" s="611"/>
    </row>
    <row r="192" spans="2:13" x14ac:dyDescent="0.25">
      <c r="B192" s="627"/>
      <c r="C192" s="631" t="s">
        <v>683</v>
      </c>
      <c r="D192" s="631"/>
      <c r="E192" s="631"/>
      <c r="F192" s="632"/>
      <c r="G192" s="643">
        <f>SUM(G193:G197)</f>
        <v>0</v>
      </c>
      <c r="H192" s="630"/>
      <c r="I192" s="611"/>
      <c r="J192" s="611"/>
      <c r="K192" s="611"/>
    </row>
    <row r="193" spans="2:11" x14ac:dyDescent="0.25">
      <c r="B193" s="634">
        <v>10102</v>
      </c>
      <c r="C193" s="635" t="s">
        <v>684</v>
      </c>
      <c r="D193" s="644" t="s">
        <v>397</v>
      </c>
      <c r="E193" s="744"/>
      <c r="F193" s="742"/>
      <c r="G193" s="645">
        <f>E193*F193</f>
        <v>0</v>
      </c>
      <c r="H193" s="638" t="s">
        <v>685</v>
      </c>
      <c r="I193" s="611"/>
      <c r="J193" s="611"/>
      <c r="K193" s="611"/>
    </row>
    <row r="194" spans="2:11" x14ac:dyDescent="0.25">
      <c r="B194" s="634">
        <v>10103</v>
      </c>
      <c r="C194" s="635" t="s">
        <v>686</v>
      </c>
      <c r="D194" s="644" t="s">
        <v>397</v>
      </c>
      <c r="E194" s="744"/>
      <c r="F194" s="742"/>
      <c r="G194" s="646">
        <f>E194*F194</f>
        <v>0</v>
      </c>
      <c r="H194" s="638" t="s">
        <v>685</v>
      </c>
      <c r="I194" s="611"/>
      <c r="J194" s="611"/>
      <c r="K194" s="611"/>
    </row>
    <row r="195" spans="2:11" x14ac:dyDescent="0.25">
      <c r="B195" s="634">
        <v>10104</v>
      </c>
      <c r="C195" s="635" t="s">
        <v>687</v>
      </c>
      <c r="D195" s="644" t="s">
        <v>397</v>
      </c>
      <c r="E195" s="744"/>
      <c r="F195" s="742"/>
      <c r="G195" s="646">
        <f t="shared" ref="G195:G197" si="31">E195*F195</f>
        <v>0</v>
      </c>
      <c r="H195" s="638" t="s">
        <v>685</v>
      </c>
      <c r="I195" s="611"/>
      <c r="J195" s="611"/>
      <c r="K195" s="611"/>
    </row>
    <row r="196" spans="2:11" x14ac:dyDescent="0.25">
      <c r="B196" s="634">
        <v>10105</v>
      </c>
      <c r="C196" s="635" t="s">
        <v>688</v>
      </c>
      <c r="D196" s="644" t="s">
        <v>397</v>
      </c>
      <c r="E196" s="744"/>
      <c r="F196" s="742"/>
      <c r="G196" s="646">
        <f t="shared" si="31"/>
        <v>0</v>
      </c>
      <c r="H196" s="638" t="s">
        <v>685</v>
      </c>
      <c r="I196" s="611"/>
      <c r="J196" s="611"/>
      <c r="K196" s="611"/>
    </row>
    <row r="197" spans="2:11" x14ac:dyDescent="0.25">
      <c r="B197" s="634">
        <v>10201</v>
      </c>
      <c r="C197" s="635" t="s">
        <v>689</v>
      </c>
      <c r="D197" s="644" t="s">
        <v>397</v>
      </c>
      <c r="E197" s="744"/>
      <c r="F197" s="742"/>
      <c r="G197" s="646">
        <f t="shared" si="31"/>
        <v>0</v>
      </c>
      <c r="H197" s="638" t="s">
        <v>685</v>
      </c>
      <c r="I197" s="611"/>
      <c r="J197" s="611"/>
      <c r="K197" s="611"/>
    </row>
    <row r="198" spans="2:11" x14ac:dyDescent="0.25">
      <c r="B198" s="631"/>
      <c r="C198" s="631" t="s">
        <v>776</v>
      </c>
      <c r="D198" s="628"/>
      <c r="E198" s="654"/>
      <c r="F198" s="629"/>
      <c r="G198" s="633">
        <f>SUM(G199:G203)</f>
        <v>0</v>
      </c>
      <c r="H198" s="630"/>
      <c r="I198" s="611"/>
      <c r="J198" s="611"/>
      <c r="K198" s="611"/>
    </row>
    <row r="199" spans="2:11" x14ac:dyDescent="0.25">
      <c r="B199" s="634"/>
      <c r="C199" s="634" t="s">
        <v>777</v>
      </c>
      <c r="D199" s="636" t="s">
        <v>778</v>
      </c>
      <c r="E199" s="744"/>
      <c r="F199" s="742"/>
      <c r="G199" s="637">
        <f t="shared" ref="G199:G203" si="32">E199*F199</f>
        <v>0</v>
      </c>
      <c r="H199" s="638" t="s">
        <v>768</v>
      </c>
      <c r="I199" s="611"/>
      <c r="J199" s="611"/>
      <c r="K199" s="611"/>
    </row>
    <row r="200" spans="2:11" ht="24.75" x14ac:dyDescent="0.25">
      <c r="B200" s="634"/>
      <c r="C200" s="634" t="s">
        <v>779</v>
      </c>
      <c r="D200" s="636" t="s">
        <v>778</v>
      </c>
      <c r="E200" s="744"/>
      <c r="F200" s="742"/>
      <c r="G200" s="637">
        <f t="shared" si="32"/>
        <v>0</v>
      </c>
      <c r="H200" s="638" t="s">
        <v>768</v>
      </c>
      <c r="I200" s="611"/>
      <c r="J200" s="611"/>
      <c r="K200" s="611"/>
    </row>
    <row r="201" spans="2:11" ht="24.75" x14ac:dyDescent="0.25">
      <c r="B201" s="634"/>
      <c r="C201" s="634" t="s">
        <v>780</v>
      </c>
      <c r="D201" s="636" t="s">
        <v>778</v>
      </c>
      <c r="E201" s="744"/>
      <c r="F201" s="742"/>
      <c r="G201" s="637">
        <f t="shared" si="32"/>
        <v>0</v>
      </c>
      <c r="H201" s="638" t="s">
        <v>768</v>
      </c>
      <c r="I201" s="611"/>
      <c r="J201" s="611"/>
      <c r="K201" s="611"/>
    </row>
    <row r="202" spans="2:11" ht="24.75" x14ac:dyDescent="0.25">
      <c r="B202" s="634"/>
      <c r="C202" s="634" t="s">
        <v>781</v>
      </c>
      <c r="D202" s="636" t="s">
        <v>778</v>
      </c>
      <c r="E202" s="744"/>
      <c r="F202" s="742"/>
      <c r="G202" s="637">
        <f t="shared" si="32"/>
        <v>0</v>
      </c>
      <c r="H202" s="638" t="s">
        <v>768</v>
      </c>
      <c r="I202" s="611"/>
      <c r="J202" s="611"/>
      <c r="K202" s="611"/>
    </row>
    <row r="203" spans="2:11" ht="24.75" x14ac:dyDescent="0.25">
      <c r="B203" s="634"/>
      <c r="C203" s="634" t="s">
        <v>782</v>
      </c>
      <c r="D203" s="636" t="s">
        <v>778</v>
      </c>
      <c r="E203" s="744"/>
      <c r="F203" s="742"/>
      <c r="G203" s="637">
        <f t="shared" si="32"/>
        <v>0</v>
      </c>
      <c r="H203" s="638" t="s">
        <v>768</v>
      </c>
      <c r="I203" s="611"/>
      <c r="J203" s="611"/>
      <c r="K203" s="611"/>
    </row>
    <row r="204" spans="2:11" x14ac:dyDescent="0.25">
      <c r="B204" s="639"/>
      <c r="C204" s="639"/>
      <c r="D204" s="648"/>
      <c r="E204" s="649"/>
      <c r="F204" s="640"/>
      <c r="G204" s="649"/>
      <c r="H204" s="615"/>
      <c r="I204" s="611"/>
      <c r="J204" s="611"/>
      <c r="K204" s="611"/>
    </row>
    <row r="205" spans="2:11" x14ac:dyDescent="0.25">
      <c r="B205" s="1101" t="s">
        <v>783</v>
      </c>
      <c r="C205" s="1101"/>
      <c r="D205" s="1101"/>
      <c r="E205" s="1101"/>
      <c r="F205" s="1101"/>
      <c r="G205" s="641">
        <f>G207+G213</f>
        <v>0</v>
      </c>
      <c r="H205" s="685"/>
      <c r="I205" s="611"/>
      <c r="J205" s="611"/>
      <c r="K205" s="611"/>
    </row>
    <row r="206" spans="2:11" x14ac:dyDescent="0.25">
      <c r="B206" s="627" t="s">
        <v>677</v>
      </c>
      <c r="C206" s="612" t="s">
        <v>678</v>
      </c>
      <c r="D206" s="628" t="s">
        <v>216</v>
      </c>
      <c r="E206" s="628" t="s">
        <v>679</v>
      </c>
      <c r="F206" s="629" t="s">
        <v>680</v>
      </c>
      <c r="G206" s="630" t="s">
        <v>681</v>
      </c>
      <c r="H206" s="628" t="s">
        <v>682</v>
      </c>
      <c r="I206" s="611"/>
      <c r="J206" s="611"/>
      <c r="K206" s="611"/>
    </row>
    <row r="207" spans="2:11" x14ac:dyDescent="0.25">
      <c r="B207" s="627"/>
      <c r="C207" s="631" t="s">
        <v>683</v>
      </c>
      <c r="D207" s="631"/>
      <c r="E207" s="631"/>
      <c r="F207" s="632"/>
      <c r="G207" s="643">
        <f>SUM(G208:G212)</f>
        <v>0</v>
      </c>
      <c r="H207" s="630"/>
      <c r="I207" s="611"/>
      <c r="J207" s="611"/>
      <c r="K207" s="611"/>
    </row>
    <row r="208" spans="2:11" x14ac:dyDescent="0.25">
      <c r="B208" s="634">
        <v>10102</v>
      </c>
      <c r="C208" s="635" t="s">
        <v>684</v>
      </c>
      <c r="D208" s="644" t="s">
        <v>397</v>
      </c>
      <c r="E208" s="744"/>
      <c r="F208" s="742"/>
      <c r="G208" s="645">
        <f>E208*F208</f>
        <v>0</v>
      </c>
      <c r="H208" s="638" t="s">
        <v>685</v>
      </c>
      <c r="I208" s="611"/>
      <c r="J208" s="611"/>
      <c r="K208" s="611"/>
    </row>
    <row r="209" spans="2:12" x14ac:dyDescent="0.25">
      <c r="B209" s="634">
        <v>10103</v>
      </c>
      <c r="C209" s="635" t="s">
        <v>686</v>
      </c>
      <c r="D209" s="644" t="s">
        <v>397</v>
      </c>
      <c r="E209" s="744"/>
      <c r="F209" s="742"/>
      <c r="G209" s="646">
        <f>E209*F209</f>
        <v>0</v>
      </c>
      <c r="H209" s="638" t="s">
        <v>685</v>
      </c>
      <c r="I209" s="611"/>
      <c r="J209" s="611"/>
      <c r="K209" s="611"/>
    </row>
    <row r="210" spans="2:12" x14ac:dyDescent="0.25">
      <c r="B210" s="634">
        <v>10104</v>
      </c>
      <c r="C210" s="635" t="s">
        <v>687</v>
      </c>
      <c r="D210" s="644" t="s">
        <v>397</v>
      </c>
      <c r="E210" s="744"/>
      <c r="F210" s="742"/>
      <c r="G210" s="646">
        <f t="shared" ref="G210:G212" si="33">E210*F210</f>
        <v>0</v>
      </c>
      <c r="H210" s="638" t="s">
        <v>685</v>
      </c>
      <c r="I210" s="611"/>
      <c r="J210" s="611"/>
      <c r="K210" s="611"/>
    </row>
    <row r="211" spans="2:12" x14ac:dyDescent="0.25">
      <c r="B211" s="634">
        <v>10105</v>
      </c>
      <c r="C211" s="635" t="s">
        <v>688</v>
      </c>
      <c r="D211" s="644" t="s">
        <v>397</v>
      </c>
      <c r="E211" s="744"/>
      <c r="F211" s="742"/>
      <c r="G211" s="646">
        <f t="shared" si="33"/>
        <v>0</v>
      </c>
      <c r="H211" s="638" t="s">
        <v>685</v>
      </c>
      <c r="I211" s="611"/>
      <c r="J211" s="611"/>
      <c r="K211" s="611"/>
    </row>
    <row r="212" spans="2:12" x14ac:dyDescent="0.25">
      <c r="B212" s="634">
        <v>10201</v>
      </c>
      <c r="C212" s="635" t="s">
        <v>689</v>
      </c>
      <c r="D212" s="644" t="s">
        <v>397</v>
      </c>
      <c r="E212" s="744"/>
      <c r="F212" s="742"/>
      <c r="G212" s="646">
        <f t="shared" si="33"/>
        <v>0</v>
      </c>
      <c r="H212" s="638" t="s">
        <v>685</v>
      </c>
      <c r="I212" s="611"/>
      <c r="J212" s="611"/>
      <c r="K212" s="611"/>
    </row>
    <row r="213" spans="2:12" x14ac:dyDescent="0.25">
      <c r="B213" s="631"/>
      <c r="C213" s="631" t="s">
        <v>784</v>
      </c>
      <c r="D213" s="628"/>
      <c r="E213" s="654"/>
      <c r="F213" s="629"/>
      <c r="G213" s="633">
        <f>SUM(G214:G214)</f>
        <v>0</v>
      </c>
      <c r="H213" s="630"/>
      <c r="I213" s="611"/>
      <c r="J213" s="611"/>
      <c r="K213" s="611"/>
    </row>
    <row r="214" spans="2:12" ht="36" x14ac:dyDescent="0.25">
      <c r="B214" s="647" t="s">
        <v>785</v>
      </c>
      <c r="C214" s="647" t="s">
        <v>786</v>
      </c>
      <c r="D214" s="636" t="s">
        <v>126</v>
      </c>
      <c r="E214" s="743"/>
      <c r="F214" s="742"/>
      <c r="G214" s="646">
        <f t="shared" ref="G214" si="34">E214*F214</f>
        <v>0</v>
      </c>
      <c r="H214" s="638" t="s">
        <v>768</v>
      </c>
      <c r="I214" s="611"/>
      <c r="J214" s="611"/>
      <c r="K214" s="611"/>
    </row>
    <row r="215" spans="2:12" ht="15.75" thickBot="1" x14ac:dyDescent="0.3">
      <c r="B215" s="639"/>
      <c r="C215" s="639"/>
      <c r="D215" s="648"/>
      <c r="E215" s="649"/>
      <c r="F215" s="640"/>
      <c r="G215" s="649"/>
      <c r="H215" s="615"/>
      <c r="I215" s="611"/>
      <c r="J215" s="611"/>
      <c r="K215" s="611"/>
    </row>
    <row r="216" spans="2:12" ht="16.5" thickTop="1" thickBot="1" x14ac:dyDescent="0.3">
      <c r="B216" s="617" t="s">
        <v>787</v>
      </c>
      <c r="C216" s="618"/>
      <c r="D216" s="619"/>
      <c r="E216" s="620"/>
      <c r="F216" s="621"/>
      <c r="G216" s="622">
        <f>G218+G229</f>
        <v>0</v>
      </c>
      <c r="H216" s="623"/>
      <c r="I216" s="611"/>
      <c r="J216" s="611"/>
      <c r="K216" s="611"/>
      <c r="L216" s="611"/>
    </row>
    <row r="217" spans="2:12" ht="15.75" thickTop="1" x14ac:dyDescent="0.25">
      <c r="B217" s="639"/>
      <c r="C217" s="639"/>
      <c r="D217" s="648"/>
      <c r="E217" s="649"/>
      <c r="F217" s="640"/>
      <c r="G217" s="649"/>
      <c r="H217" s="615"/>
      <c r="I217" s="611"/>
      <c r="J217" s="611"/>
      <c r="K217" s="611"/>
      <c r="L217" s="611"/>
    </row>
    <row r="218" spans="2:12" x14ac:dyDescent="0.25">
      <c r="B218" s="1101" t="s">
        <v>788</v>
      </c>
      <c r="C218" s="1101"/>
      <c r="D218" s="1101"/>
      <c r="E218" s="1101"/>
      <c r="F218" s="1101"/>
      <c r="G218" s="641">
        <f>G220+G226</f>
        <v>0</v>
      </c>
      <c r="H218" s="626"/>
      <c r="I218" s="611"/>
      <c r="J218" s="611"/>
      <c r="K218" s="611"/>
      <c r="L218" s="611"/>
    </row>
    <row r="219" spans="2:12" x14ac:dyDescent="0.25">
      <c r="B219" s="627" t="s">
        <v>677</v>
      </c>
      <c r="C219" s="612" t="s">
        <v>678</v>
      </c>
      <c r="D219" s="628" t="s">
        <v>216</v>
      </c>
      <c r="E219" s="628" t="s">
        <v>679</v>
      </c>
      <c r="F219" s="629" t="s">
        <v>680</v>
      </c>
      <c r="G219" s="630" t="s">
        <v>681</v>
      </c>
      <c r="H219" s="628" t="s">
        <v>682</v>
      </c>
      <c r="I219" s="611"/>
      <c r="J219" s="611"/>
      <c r="K219" s="611"/>
      <c r="L219" s="611"/>
    </row>
    <row r="220" spans="2:12" x14ac:dyDescent="0.25">
      <c r="B220" s="627"/>
      <c r="C220" s="631" t="s">
        <v>683</v>
      </c>
      <c r="D220" s="642"/>
      <c r="E220" s="631"/>
      <c r="F220" s="632"/>
      <c r="G220" s="651">
        <f>SUM(G221:G225)</f>
        <v>0</v>
      </c>
      <c r="H220" s="630"/>
      <c r="I220" s="611"/>
      <c r="J220" s="611"/>
      <c r="K220" s="611"/>
      <c r="L220" s="611"/>
    </row>
    <row r="221" spans="2:12" x14ac:dyDescent="0.25">
      <c r="B221" s="634">
        <v>10102</v>
      </c>
      <c r="C221" s="635" t="s">
        <v>684</v>
      </c>
      <c r="D221" s="644" t="s">
        <v>397</v>
      </c>
      <c r="E221" s="744"/>
      <c r="F221" s="742"/>
      <c r="G221" s="652">
        <f>E221*F221</f>
        <v>0</v>
      </c>
      <c r="H221" s="638" t="s">
        <v>685</v>
      </c>
      <c r="I221" s="611"/>
      <c r="J221" s="611"/>
      <c r="K221" s="611"/>
      <c r="L221" s="611"/>
    </row>
    <row r="222" spans="2:12" x14ac:dyDescent="0.25">
      <c r="B222" s="634">
        <v>10103</v>
      </c>
      <c r="C222" s="635" t="s">
        <v>686</v>
      </c>
      <c r="D222" s="644" t="s">
        <v>397</v>
      </c>
      <c r="E222" s="744"/>
      <c r="F222" s="742"/>
      <c r="G222" s="653">
        <f>E222*F222</f>
        <v>0</v>
      </c>
      <c r="H222" s="638" t="s">
        <v>685</v>
      </c>
      <c r="I222" s="611"/>
      <c r="J222" s="611"/>
      <c r="K222" s="611"/>
      <c r="L222" s="611"/>
    </row>
    <row r="223" spans="2:12" x14ac:dyDescent="0.25">
      <c r="B223" s="634">
        <v>10104</v>
      </c>
      <c r="C223" s="635" t="s">
        <v>687</v>
      </c>
      <c r="D223" s="644" t="s">
        <v>397</v>
      </c>
      <c r="E223" s="744"/>
      <c r="F223" s="742"/>
      <c r="G223" s="653">
        <f t="shared" ref="G223:G225" si="35">E223*F223</f>
        <v>0</v>
      </c>
      <c r="H223" s="638" t="s">
        <v>685</v>
      </c>
      <c r="I223" s="611"/>
      <c r="J223" s="611"/>
      <c r="K223" s="611"/>
      <c r="L223" s="611"/>
    </row>
    <row r="224" spans="2:12" x14ac:dyDescent="0.25">
      <c r="B224" s="634">
        <v>10105</v>
      </c>
      <c r="C224" s="635" t="s">
        <v>688</v>
      </c>
      <c r="D224" s="644" t="s">
        <v>397</v>
      </c>
      <c r="E224" s="744"/>
      <c r="F224" s="742"/>
      <c r="G224" s="653">
        <f t="shared" si="35"/>
        <v>0</v>
      </c>
      <c r="H224" s="638" t="s">
        <v>685</v>
      </c>
      <c r="I224" s="611"/>
      <c r="J224" s="611"/>
      <c r="K224" s="611"/>
      <c r="L224" s="611"/>
    </row>
    <row r="225" spans="2:12" x14ac:dyDescent="0.25">
      <c r="B225" s="634">
        <v>10201</v>
      </c>
      <c r="C225" s="635" t="s">
        <v>689</v>
      </c>
      <c r="D225" s="644" t="s">
        <v>397</v>
      </c>
      <c r="E225" s="744"/>
      <c r="F225" s="742"/>
      <c r="G225" s="653">
        <f t="shared" si="35"/>
        <v>0</v>
      </c>
      <c r="H225" s="638" t="s">
        <v>685</v>
      </c>
      <c r="I225" s="611"/>
      <c r="J225" s="611"/>
      <c r="K225" s="611"/>
      <c r="L225" s="611"/>
    </row>
    <row r="226" spans="2:12" x14ac:dyDescent="0.25">
      <c r="B226" s="631"/>
      <c r="C226" s="631" t="s">
        <v>789</v>
      </c>
      <c r="D226" s="628"/>
      <c r="E226" s="654"/>
      <c r="F226" s="629"/>
      <c r="G226" s="654">
        <f>SUM(G227:G227)</f>
        <v>0</v>
      </c>
      <c r="H226" s="630"/>
      <c r="I226" s="611"/>
      <c r="J226" s="611"/>
      <c r="K226" s="611"/>
      <c r="L226" s="611"/>
    </row>
    <row r="227" spans="2:12" ht="36.75" x14ac:dyDescent="0.25">
      <c r="B227" s="634" t="s">
        <v>790</v>
      </c>
      <c r="C227" s="635" t="s">
        <v>791</v>
      </c>
      <c r="D227" s="644" t="s">
        <v>126</v>
      </c>
      <c r="E227" s="743"/>
      <c r="F227" s="742"/>
      <c r="G227" s="653">
        <f t="shared" ref="G227" si="36">E227*F227</f>
        <v>0</v>
      </c>
      <c r="H227" s="638" t="s">
        <v>768</v>
      </c>
      <c r="I227" s="611"/>
      <c r="J227" s="611"/>
      <c r="K227" s="611"/>
      <c r="L227" s="611"/>
    </row>
    <row r="228" spans="2:12" x14ac:dyDescent="0.25">
      <c r="B228" s="585"/>
      <c r="C228" s="585"/>
      <c r="D228" s="585"/>
      <c r="E228" s="585"/>
      <c r="F228" s="587"/>
      <c r="G228" s="585"/>
      <c r="H228" s="586"/>
      <c r="I228" s="611"/>
      <c r="J228" s="611"/>
      <c r="K228" s="611"/>
      <c r="L228" s="611"/>
    </row>
    <row r="229" spans="2:12" x14ac:dyDescent="0.25">
      <c r="B229" s="1101" t="s">
        <v>792</v>
      </c>
      <c r="C229" s="1101"/>
      <c r="D229" s="1101"/>
      <c r="E229" s="1101"/>
      <c r="F229" s="1101"/>
      <c r="G229" s="641">
        <f>G231+G237</f>
        <v>0</v>
      </c>
      <c r="H229" s="626"/>
      <c r="I229" s="611"/>
      <c r="J229" s="611"/>
      <c r="K229" s="611"/>
      <c r="L229" s="611"/>
    </row>
    <row r="230" spans="2:12" x14ac:dyDescent="0.25">
      <c r="B230" s="627" t="s">
        <v>677</v>
      </c>
      <c r="C230" s="612" t="s">
        <v>678</v>
      </c>
      <c r="D230" s="628" t="s">
        <v>216</v>
      </c>
      <c r="E230" s="628" t="s">
        <v>679</v>
      </c>
      <c r="F230" s="629" t="s">
        <v>680</v>
      </c>
      <c r="G230" s="630" t="s">
        <v>681</v>
      </c>
      <c r="H230" s="628" t="s">
        <v>682</v>
      </c>
      <c r="I230" s="611"/>
      <c r="J230" s="611"/>
      <c r="K230" s="611"/>
      <c r="L230" s="611"/>
    </row>
    <row r="231" spans="2:12" x14ac:dyDescent="0.25">
      <c r="B231" s="627"/>
      <c r="C231" s="631" t="s">
        <v>683</v>
      </c>
      <c r="D231" s="628"/>
      <c r="E231" s="628"/>
      <c r="F231" s="632"/>
      <c r="G231" s="651">
        <f>SUM(G232:G236)</f>
        <v>0</v>
      </c>
      <c r="H231" s="630"/>
      <c r="I231" s="611"/>
      <c r="J231" s="611"/>
      <c r="K231" s="611"/>
      <c r="L231" s="611"/>
    </row>
    <row r="232" spans="2:12" x14ac:dyDescent="0.25">
      <c r="B232" s="634">
        <v>10102</v>
      </c>
      <c r="C232" s="635" t="s">
        <v>684</v>
      </c>
      <c r="D232" s="636" t="s">
        <v>397</v>
      </c>
      <c r="E232" s="743"/>
      <c r="F232" s="742"/>
      <c r="G232" s="655">
        <f>E232*F232</f>
        <v>0</v>
      </c>
      <c r="H232" s="638" t="s">
        <v>685</v>
      </c>
      <c r="I232" s="611"/>
      <c r="J232" s="611"/>
      <c r="K232" s="611"/>
      <c r="L232" s="611"/>
    </row>
    <row r="233" spans="2:12" x14ac:dyDescent="0.25">
      <c r="B233" s="634">
        <v>10103</v>
      </c>
      <c r="C233" s="635" t="s">
        <v>686</v>
      </c>
      <c r="D233" s="636" t="s">
        <v>397</v>
      </c>
      <c r="E233" s="743"/>
      <c r="F233" s="742"/>
      <c r="G233" s="653">
        <f>E233*F233</f>
        <v>0</v>
      </c>
      <c r="H233" s="638" t="s">
        <v>685</v>
      </c>
      <c r="I233" s="611"/>
      <c r="J233" s="611"/>
      <c r="K233" s="611"/>
      <c r="L233" s="611"/>
    </row>
    <row r="234" spans="2:12" x14ac:dyDescent="0.25">
      <c r="B234" s="634">
        <v>10104</v>
      </c>
      <c r="C234" s="635" t="s">
        <v>687</v>
      </c>
      <c r="D234" s="636" t="s">
        <v>397</v>
      </c>
      <c r="E234" s="743"/>
      <c r="F234" s="742"/>
      <c r="G234" s="653">
        <f t="shared" ref="G234:G236" si="37">E234*F234</f>
        <v>0</v>
      </c>
      <c r="H234" s="638" t="s">
        <v>685</v>
      </c>
      <c r="I234" s="611"/>
      <c r="J234" s="611"/>
      <c r="K234" s="611"/>
      <c r="L234" s="611"/>
    </row>
    <row r="235" spans="2:12" x14ac:dyDescent="0.25">
      <c r="B235" s="634">
        <v>10105</v>
      </c>
      <c r="C235" s="635" t="s">
        <v>688</v>
      </c>
      <c r="D235" s="636" t="s">
        <v>397</v>
      </c>
      <c r="E235" s="743"/>
      <c r="F235" s="742"/>
      <c r="G235" s="653">
        <f t="shared" si="37"/>
        <v>0</v>
      </c>
      <c r="H235" s="638" t="s">
        <v>685</v>
      </c>
      <c r="I235" s="611"/>
      <c r="J235" s="611"/>
      <c r="K235" s="611"/>
      <c r="L235" s="611"/>
    </row>
    <row r="236" spans="2:12" x14ac:dyDescent="0.25">
      <c r="B236" s="634">
        <v>10201</v>
      </c>
      <c r="C236" s="635" t="s">
        <v>689</v>
      </c>
      <c r="D236" s="636" t="s">
        <v>397</v>
      </c>
      <c r="E236" s="743"/>
      <c r="F236" s="742"/>
      <c r="G236" s="653">
        <f t="shared" si="37"/>
        <v>0</v>
      </c>
      <c r="H236" s="638" t="s">
        <v>685</v>
      </c>
      <c r="I236" s="611"/>
      <c r="J236" s="611"/>
      <c r="K236" s="611"/>
      <c r="L236" s="611"/>
    </row>
    <row r="237" spans="2:12" x14ac:dyDescent="0.25">
      <c r="B237" s="631"/>
      <c r="C237" s="631" t="s">
        <v>793</v>
      </c>
      <c r="D237" s="628"/>
      <c r="E237" s="633"/>
      <c r="F237" s="629"/>
      <c r="G237" s="633">
        <f>SUM(G238:G239)</f>
        <v>0</v>
      </c>
      <c r="H237" s="630"/>
      <c r="I237" s="611"/>
      <c r="J237" s="611"/>
      <c r="K237" s="611"/>
      <c r="L237" s="611"/>
    </row>
    <row r="238" spans="2:12" ht="36.75" x14ac:dyDescent="0.25">
      <c r="B238" s="634" t="s">
        <v>794</v>
      </c>
      <c r="C238" s="635" t="s">
        <v>795</v>
      </c>
      <c r="D238" s="636" t="s">
        <v>126</v>
      </c>
      <c r="E238" s="743"/>
      <c r="F238" s="742"/>
      <c r="G238" s="653">
        <f t="shared" ref="G238:G239" si="38">E238*F238</f>
        <v>0</v>
      </c>
      <c r="H238" s="638" t="s">
        <v>768</v>
      </c>
      <c r="I238" s="611"/>
      <c r="J238" s="611"/>
      <c r="K238" s="611"/>
      <c r="L238" s="611"/>
    </row>
    <row r="239" spans="2:12" ht="48.75" x14ac:dyDescent="0.25">
      <c r="B239" s="634" t="s">
        <v>796</v>
      </c>
      <c r="C239" s="635" t="s">
        <v>797</v>
      </c>
      <c r="D239" s="636" t="s">
        <v>126</v>
      </c>
      <c r="E239" s="743"/>
      <c r="F239" s="742"/>
      <c r="G239" s="653">
        <f t="shared" si="38"/>
        <v>0</v>
      </c>
      <c r="H239" s="638" t="s">
        <v>768</v>
      </c>
      <c r="I239" s="611"/>
      <c r="J239" s="611"/>
      <c r="K239" s="611"/>
      <c r="L239" s="611"/>
    </row>
    <row r="240" spans="2:12" ht="15.75" thickBot="1" x14ac:dyDescent="0.3">
      <c r="B240" s="585"/>
      <c r="C240" s="585"/>
      <c r="D240" s="585"/>
      <c r="E240" s="585"/>
      <c r="F240" s="587"/>
      <c r="G240" s="585"/>
      <c r="H240" s="586"/>
      <c r="I240" s="611"/>
      <c r="J240" s="611"/>
      <c r="K240" s="611"/>
      <c r="L240" s="611"/>
    </row>
    <row r="241" spans="2:12" ht="16.5" thickTop="1" thickBot="1" x14ac:dyDescent="0.3">
      <c r="B241" s="617" t="s">
        <v>798</v>
      </c>
      <c r="C241" s="618"/>
      <c r="D241" s="619"/>
      <c r="E241" s="620"/>
      <c r="F241" s="621"/>
      <c r="G241" s="622">
        <f>G243</f>
        <v>0</v>
      </c>
      <c r="H241" s="623"/>
      <c r="I241" s="611"/>
      <c r="J241" s="611"/>
      <c r="K241" s="611"/>
      <c r="L241" s="611"/>
    </row>
    <row r="242" spans="2:12" ht="15.75" thickTop="1" x14ac:dyDescent="0.25">
      <c r="B242" s="585"/>
      <c r="C242" s="585"/>
      <c r="D242" s="585"/>
      <c r="E242" s="585"/>
      <c r="F242" s="587"/>
      <c r="G242" s="585"/>
      <c r="H242" s="586"/>
      <c r="I242" s="611"/>
      <c r="J242" s="611"/>
      <c r="K242" s="611"/>
      <c r="L242" s="611"/>
    </row>
    <row r="243" spans="2:12" x14ac:dyDescent="0.25">
      <c r="B243" s="1101" t="s">
        <v>799</v>
      </c>
      <c r="C243" s="1101"/>
      <c r="D243" s="1101"/>
      <c r="E243" s="1101"/>
      <c r="F243" s="1101"/>
      <c r="G243" s="641">
        <f>G245+G254+G263+G272+G281</f>
        <v>0</v>
      </c>
      <c r="H243" s="686"/>
      <c r="I243" s="611"/>
      <c r="J243" s="611"/>
      <c r="K243" s="611"/>
      <c r="L243" s="611"/>
    </row>
    <row r="244" spans="2:12" x14ac:dyDescent="0.25">
      <c r="B244" s="627" t="s">
        <v>677</v>
      </c>
      <c r="C244" s="612" t="s">
        <v>678</v>
      </c>
      <c r="D244" s="628" t="s">
        <v>216</v>
      </c>
      <c r="E244" s="628" t="s">
        <v>679</v>
      </c>
      <c r="F244" s="629" t="s">
        <v>680</v>
      </c>
      <c r="G244" s="630" t="s">
        <v>681</v>
      </c>
      <c r="H244" s="628" t="s">
        <v>682</v>
      </c>
      <c r="I244" s="611"/>
      <c r="J244" s="611"/>
      <c r="K244" s="611"/>
      <c r="L244" s="611"/>
    </row>
    <row r="245" spans="2:12" x14ac:dyDescent="0.25">
      <c r="B245" s="627"/>
      <c r="C245" s="612" t="s">
        <v>800</v>
      </c>
      <c r="D245" s="628"/>
      <c r="E245" s="628"/>
      <c r="F245" s="629"/>
      <c r="G245" s="651">
        <f>G246+G252</f>
        <v>0</v>
      </c>
      <c r="H245" s="628"/>
      <c r="I245" s="611"/>
      <c r="J245" s="611"/>
      <c r="K245" s="611"/>
      <c r="L245" s="611"/>
    </row>
    <row r="246" spans="2:12" x14ac:dyDescent="0.25">
      <c r="B246" s="627"/>
      <c r="C246" s="631" t="s">
        <v>683</v>
      </c>
      <c r="D246" s="628"/>
      <c r="E246" s="628"/>
      <c r="F246" s="632"/>
      <c r="G246" s="651">
        <f>SUM(G247:G251)</f>
        <v>0</v>
      </c>
      <c r="H246" s="630"/>
      <c r="I246" s="611"/>
      <c r="J246" s="611"/>
      <c r="K246" s="611"/>
      <c r="L246" s="611"/>
    </row>
    <row r="247" spans="2:12" x14ac:dyDescent="0.25">
      <c r="B247" s="634">
        <v>10102</v>
      </c>
      <c r="C247" s="635" t="s">
        <v>684</v>
      </c>
      <c r="D247" s="636" t="s">
        <v>397</v>
      </c>
      <c r="E247" s="743"/>
      <c r="F247" s="742"/>
      <c r="G247" s="655">
        <f>E247*F247</f>
        <v>0</v>
      </c>
      <c r="H247" s="638" t="s">
        <v>685</v>
      </c>
      <c r="I247" s="611"/>
      <c r="J247" s="611"/>
      <c r="K247" s="611"/>
      <c r="L247" s="611"/>
    </row>
    <row r="248" spans="2:12" x14ac:dyDescent="0.25">
      <c r="B248" s="634">
        <v>10103</v>
      </c>
      <c r="C248" s="635" t="s">
        <v>686</v>
      </c>
      <c r="D248" s="636" t="s">
        <v>397</v>
      </c>
      <c r="E248" s="743"/>
      <c r="F248" s="742"/>
      <c r="G248" s="653">
        <f>E248*F248</f>
        <v>0</v>
      </c>
      <c r="H248" s="638" t="s">
        <v>685</v>
      </c>
      <c r="I248" s="611"/>
      <c r="J248" s="611"/>
      <c r="K248" s="611"/>
      <c r="L248" s="611"/>
    </row>
    <row r="249" spans="2:12" x14ac:dyDescent="0.25">
      <c r="B249" s="634">
        <v>10104</v>
      </c>
      <c r="C249" s="635" t="s">
        <v>687</v>
      </c>
      <c r="D249" s="636" t="s">
        <v>397</v>
      </c>
      <c r="E249" s="743"/>
      <c r="F249" s="742"/>
      <c r="G249" s="653">
        <f t="shared" ref="G249:G251" si="39">E249*F249</f>
        <v>0</v>
      </c>
      <c r="H249" s="638" t="s">
        <v>685</v>
      </c>
      <c r="I249" s="611"/>
      <c r="J249" s="611"/>
      <c r="K249" s="611"/>
      <c r="L249" s="611"/>
    </row>
    <row r="250" spans="2:12" x14ac:dyDescent="0.25">
      <c r="B250" s="634">
        <v>10105</v>
      </c>
      <c r="C250" s="635" t="s">
        <v>688</v>
      </c>
      <c r="D250" s="636" t="s">
        <v>397</v>
      </c>
      <c r="E250" s="743"/>
      <c r="F250" s="742"/>
      <c r="G250" s="653">
        <f t="shared" si="39"/>
        <v>0</v>
      </c>
      <c r="H250" s="638" t="s">
        <v>685</v>
      </c>
      <c r="I250" s="611"/>
      <c r="J250" s="611"/>
      <c r="K250" s="611"/>
      <c r="L250" s="611"/>
    </row>
    <row r="251" spans="2:12" x14ac:dyDescent="0.25">
      <c r="B251" s="634">
        <v>10201</v>
      </c>
      <c r="C251" s="635" t="s">
        <v>689</v>
      </c>
      <c r="D251" s="636" t="s">
        <v>397</v>
      </c>
      <c r="E251" s="743"/>
      <c r="F251" s="742"/>
      <c r="G251" s="653">
        <f t="shared" si="39"/>
        <v>0</v>
      </c>
      <c r="H251" s="638" t="s">
        <v>685</v>
      </c>
      <c r="I251" s="611"/>
      <c r="J251" s="611"/>
      <c r="K251" s="611"/>
      <c r="L251" s="611"/>
    </row>
    <row r="252" spans="2:12" x14ac:dyDescent="0.25">
      <c r="B252" s="634"/>
      <c r="C252" s="631" t="s">
        <v>801</v>
      </c>
      <c r="D252" s="628"/>
      <c r="E252" s="628"/>
      <c r="F252" s="632"/>
      <c r="G252" s="651">
        <f>SUM(G253:G253)</f>
        <v>0</v>
      </c>
      <c r="H252" s="638"/>
      <c r="I252" s="611"/>
      <c r="J252" s="611"/>
      <c r="K252" s="611"/>
      <c r="L252" s="611"/>
    </row>
    <row r="253" spans="2:12" x14ac:dyDescent="0.25">
      <c r="B253" s="634"/>
      <c r="C253" s="635" t="s">
        <v>802</v>
      </c>
      <c r="D253" s="636" t="s">
        <v>736</v>
      </c>
      <c r="E253" s="743"/>
      <c r="F253" s="742"/>
      <c r="G253" s="653">
        <f t="shared" ref="G253" si="40">E253*F253</f>
        <v>0</v>
      </c>
      <c r="H253" s="638" t="s">
        <v>768</v>
      </c>
      <c r="I253" s="611"/>
      <c r="J253" s="611"/>
      <c r="K253" s="611"/>
      <c r="L253" s="611"/>
    </row>
    <row r="254" spans="2:12" x14ac:dyDescent="0.25">
      <c r="B254" s="627"/>
      <c r="C254" s="612" t="s">
        <v>803</v>
      </c>
      <c r="D254" s="628"/>
      <c r="E254" s="628"/>
      <c r="F254" s="629"/>
      <c r="G254" s="651">
        <f>G255+G261</f>
        <v>0</v>
      </c>
      <c r="H254" s="628"/>
      <c r="I254" s="611"/>
      <c r="J254" s="611"/>
      <c r="K254" s="611"/>
      <c r="L254" s="611"/>
    </row>
    <row r="255" spans="2:12" x14ac:dyDescent="0.25">
      <c r="B255" s="627"/>
      <c r="C255" s="631" t="s">
        <v>683</v>
      </c>
      <c r="D255" s="628"/>
      <c r="E255" s="628"/>
      <c r="F255" s="632"/>
      <c r="G255" s="651">
        <f>SUM(G256:G260)</f>
        <v>0</v>
      </c>
      <c r="H255" s="630"/>
      <c r="I255" s="611"/>
      <c r="J255" s="611"/>
      <c r="K255" s="611"/>
      <c r="L255" s="611"/>
    </row>
    <row r="256" spans="2:12" x14ac:dyDescent="0.25">
      <c r="B256" s="634">
        <v>10102</v>
      </c>
      <c r="C256" s="635" t="s">
        <v>684</v>
      </c>
      <c r="D256" s="636" t="s">
        <v>397</v>
      </c>
      <c r="E256" s="743"/>
      <c r="F256" s="742"/>
      <c r="G256" s="655">
        <f>E256*F256</f>
        <v>0</v>
      </c>
      <c r="H256" s="638" t="s">
        <v>685</v>
      </c>
      <c r="I256" s="611"/>
      <c r="J256" s="611"/>
      <c r="K256" s="611"/>
      <c r="L256" s="611"/>
    </row>
    <row r="257" spans="2:12" x14ac:dyDescent="0.25">
      <c r="B257" s="634">
        <v>10103</v>
      </c>
      <c r="C257" s="635" t="s">
        <v>686</v>
      </c>
      <c r="D257" s="636" t="s">
        <v>397</v>
      </c>
      <c r="E257" s="743"/>
      <c r="F257" s="742"/>
      <c r="G257" s="653">
        <f>E257*F257</f>
        <v>0</v>
      </c>
      <c r="H257" s="638" t="s">
        <v>685</v>
      </c>
      <c r="I257" s="611"/>
      <c r="J257" s="611"/>
      <c r="K257" s="611"/>
      <c r="L257" s="611"/>
    </row>
    <row r="258" spans="2:12" x14ac:dyDescent="0.25">
      <c r="B258" s="634">
        <v>10104</v>
      </c>
      <c r="C258" s="635" t="s">
        <v>687</v>
      </c>
      <c r="D258" s="636" t="s">
        <v>397</v>
      </c>
      <c r="E258" s="743"/>
      <c r="F258" s="742"/>
      <c r="G258" s="653">
        <f t="shared" ref="G258:G260" si="41">E258*F258</f>
        <v>0</v>
      </c>
      <c r="H258" s="638" t="s">
        <v>685</v>
      </c>
      <c r="I258" s="611"/>
      <c r="J258" s="611"/>
      <c r="K258" s="611"/>
      <c r="L258" s="611"/>
    </row>
    <row r="259" spans="2:12" x14ac:dyDescent="0.25">
      <c r="B259" s="634">
        <v>10105</v>
      </c>
      <c r="C259" s="635" t="s">
        <v>688</v>
      </c>
      <c r="D259" s="636" t="s">
        <v>397</v>
      </c>
      <c r="E259" s="743"/>
      <c r="F259" s="742"/>
      <c r="G259" s="653">
        <f t="shared" si="41"/>
        <v>0</v>
      </c>
      <c r="H259" s="638" t="s">
        <v>685</v>
      </c>
      <c r="I259" s="611"/>
      <c r="J259" s="611"/>
      <c r="K259" s="611"/>
      <c r="L259" s="611"/>
    </row>
    <row r="260" spans="2:12" x14ac:dyDescent="0.25">
      <c r="B260" s="634">
        <v>10201</v>
      </c>
      <c r="C260" s="635" t="s">
        <v>689</v>
      </c>
      <c r="D260" s="636" t="s">
        <v>397</v>
      </c>
      <c r="E260" s="743"/>
      <c r="F260" s="742"/>
      <c r="G260" s="653">
        <f t="shared" si="41"/>
        <v>0</v>
      </c>
      <c r="H260" s="638" t="s">
        <v>685</v>
      </c>
      <c r="I260" s="611"/>
      <c r="J260" s="611"/>
      <c r="K260" s="611"/>
      <c r="L260" s="611"/>
    </row>
    <row r="261" spans="2:12" x14ac:dyDescent="0.25">
      <c r="B261" s="634"/>
      <c r="C261" s="631" t="s">
        <v>801</v>
      </c>
      <c r="D261" s="628"/>
      <c r="E261" s="628"/>
      <c r="F261" s="632"/>
      <c r="G261" s="651">
        <f>SUM(G262:G262)</f>
        <v>0</v>
      </c>
      <c r="H261" s="638"/>
      <c r="I261" s="611"/>
      <c r="J261" s="611"/>
      <c r="K261" s="611"/>
      <c r="L261" s="611"/>
    </row>
    <row r="262" spans="2:12" x14ac:dyDescent="0.25">
      <c r="B262" s="634"/>
      <c r="C262" s="635" t="s">
        <v>804</v>
      </c>
      <c r="D262" s="636" t="s">
        <v>736</v>
      </c>
      <c r="E262" s="743"/>
      <c r="F262" s="742"/>
      <c r="G262" s="653">
        <f>E262*F262</f>
        <v>0</v>
      </c>
      <c r="H262" s="638" t="s">
        <v>768</v>
      </c>
      <c r="I262" s="611"/>
      <c r="J262" s="611"/>
      <c r="K262" s="611"/>
      <c r="L262" s="611"/>
    </row>
    <row r="263" spans="2:12" x14ac:dyDescent="0.25">
      <c r="B263" s="627"/>
      <c r="C263" s="612" t="s">
        <v>805</v>
      </c>
      <c r="D263" s="628"/>
      <c r="E263" s="628"/>
      <c r="F263" s="629"/>
      <c r="G263" s="651">
        <f>G264+G270</f>
        <v>0</v>
      </c>
      <c r="H263" s="628"/>
      <c r="I263" s="611"/>
      <c r="J263" s="611"/>
      <c r="K263" s="611"/>
      <c r="L263" s="611"/>
    </row>
    <row r="264" spans="2:12" x14ac:dyDescent="0.25">
      <c r="B264" s="627"/>
      <c r="C264" s="631" t="s">
        <v>683</v>
      </c>
      <c r="D264" s="628"/>
      <c r="E264" s="628"/>
      <c r="F264" s="632"/>
      <c r="G264" s="651">
        <f>SUM(G265:G269)</f>
        <v>0</v>
      </c>
      <c r="H264" s="630"/>
      <c r="I264" s="611"/>
      <c r="J264" s="611"/>
      <c r="K264" s="611"/>
      <c r="L264" s="611"/>
    </row>
    <row r="265" spans="2:12" x14ac:dyDescent="0.25">
      <c r="B265" s="634">
        <v>10102</v>
      </c>
      <c r="C265" s="635" t="s">
        <v>684</v>
      </c>
      <c r="D265" s="636" t="s">
        <v>397</v>
      </c>
      <c r="E265" s="743"/>
      <c r="F265" s="742"/>
      <c r="G265" s="655">
        <f>E265*F265</f>
        <v>0</v>
      </c>
      <c r="H265" s="638" t="s">
        <v>685</v>
      </c>
      <c r="I265" s="611"/>
      <c r="J265" s="611"/>
      <c r="K265" s="611"/>
      <c r="L265" s="611"/>
    </row>
    <row r="266" spans="2:12" x14ac:dyDescent="0.25">
      <c r="B266" s="634">
        <v>10103</v>
      </c>
      <c r="C266" s="635" t="s">
        <v>686</v>
      </c>
      <c r="D266" s="636" t="s">
        <v>397</v>
      </c>
      <c r="E266" s="743"/>
      <c r="F266" s="742"/>
      <c r="G266" s="653">
        <f>E266*F266</f>
        <v>0</v>
      </c>
      <c r="H266" s="638" t="s">
        <v>685</v>
      </c>
      <c r="I266" s="611"/>
      <c r="J266" s="611"/>
      <c r="K266" s="611"/>
      <c r="L266" s="611"/>
    </row>
    <row r="267" spans="2:12" x14ac:dyDescent="0.25">
      <c r="B267" s="634">
        <v>10104</v>
      </c>
      <c r="C267" s="635" t="s">
        <v>687</v>
      </c>
      <c r="D267" s="636" t="s">
        <v>397</v>
      </c>
      <c r="E267" s="743"/>
      <c r="F267" s="742"/>
      <c r="G267" s="653">
        <f t="shared" ref="G267:G269" si="42">E267*F267</f>
        <v>0</v>
      </c>
      <c r="H267" s="638" t="s">
        <v>685</v>
      </c>
      <c r="I267" s="611"/>
      <c r="J267" s="611"/>
      <c r="K267" s="611"/>
      <c r="L267" s="611"/>
    </row>
    <row r="268" spans="2:12" x14ac:dyDescent="0.25">
      <c r="B268" s="634">
        <v>10105</v>
      </c>
      <c r="C268" s="635" t="s">
        <v>688</v>
      </c>
      <c r="D268" s="636" t="s">
        <v>397</v>
      </c>
      <c r="E268" s="743"/>
      <c r="F268" s="742"/>
      <c r="G268" s="653">
        <f t="shared" si="42"/>
        <v>0</v>
      </c>
      <c r="H268" s="638" t="s">
        <v>685</v>
      </c>
      <c r="I268" s="611"/>
      <c r="J268" s="611"/>
      <c r="K268" s="611"/>
      <c r="L268" s="611"/>
    </row>
    <row r="269" spans="2:12" x14ac:dyDescent="0.25">
      <c r="B269" s="634">
        <v>10201</v>
      </c>
      <c r="C269" s="635" t="s">
        <v>689</v>
      </c>
      <c r="D269" s="636" t="s">
        <v>397</v>
      </c>
      <c r="E269" s="743"/>
      <c r="F269" s="742"/>
      <c r="G269" s="653">
        <f t="shared" si="42"/>
        <v>0</v>
      </c>
      <c r="H269" s="638" t="s">
        <v>685</v>
      </c>
      <c r="I269" s="611"/>
      <c r="J269" s="611"/>
      <c r="K269" s="611"/>
      <c r="L269" s="611"/>
    </row>
    <row r="270" spans="2:12" x14ac:dyDescent="0.25">
      <c r="B270" s="634"/>
      <c r="C270" s="631" t="s">
        <v>801</v>
      </c>
      <c r="D270" s="628"/>
      <c r="E270" s="628"/>
      <c r="F270" s="632"/>
      <c r="G270" s="651">
        <f>SUM(G271:G271)</f>
        <v>0</v>
      </c>
      <c r="H270" s="638"/>
      <c r="I270" s="611"/>
      <c r="J270" s="611"/>
      <c r="K270" s="611"/>
      <c r="L270" s="611"/>
    </row>
    <row r="271" spans="2:12" x14ac:dyDescent="0.25">
      <c r="B271" s="634"/>
      <c r="C271" s="635" t="s">
        <v>806</v>
      </c>
      <c r="D271" s="636" t="s">
        <v>736</v>
      </c>
      <c r="E271" s="743"/>
      <c r="F271" s="742"/>
      <c r="G271" s="653">
        <f>E271*F271</f>
        <v>0</v>
      </c>
      <c r="H271" s="638" t="s">
        <v>768</v>
      </c>
      <c r="I271" s="611"/>
      <c r="J271" s="611"/>
      <c r="K271" s="611"/>
      <c r="L271" s="611"/>
    </row>
    <row r="272" spans="2:12" x14ac:dyDescent="0.25">
      <c r="B272" s="627"/>
      <c r="C272" s="612" t="s">
        <v>807</v>
      </c>
      <c r="D272" s="628"/>
      <c r="E272" s="628"/>
      <c r="F272" s="629"/>
      <c r="G272" s="651">
        <f>G273+G279</f>
        <v>0</v>
      </c>
      <c r="H272" s="628"/>
      <c r="I272" s="611"/>
      <c r="J272" s="611"/>
      <c r="K272" s="611"/>
      <c r="L272" s="611"/>
    </row>
    <row r="273" spans="2:12" x14ac:dyDescent="0.25">
      <c r="B273" s="627"/>
      <c r="C273" s="631" t="s">
        <v>683</v>
      </c>
      <c r="D273" s="628"/>
      <c r="E273" s="628"/>
      <c r="F273" s="632"/>
      <c r="G273" s="651">
        <f>SUM(G274:G278)</f>
        <v>0</v>
      </c>
      <c r="H273" s="630"/>
      <c r="I273" s="611"/>
      <c r="J273" s="611"/>
      <c r="K273" s="611"/>
      <c r="L273" s="611"/>
    </row>
    <row r="274" spans="2:12" x14ac:dyDescent="0.25">
      <c r="B274" s="634">
        <v>10102</v>
      </c>
      <c r="C274" s="635" t="s">
        <v>684</v>
      </c>
      <c r="D274" s="636" t="s">
        <v>397</v>
      </c>
      <c r="E274" s="743"/>
      <c r="F274" s="742"/>
      <c r="G274" s="655">
        <f>E274*F274</f>
        <v>0</v>
      </c>
      <c r="H274" s="638" t="s">
        <v>685</v>
      </c>
      <c r="I274" s="611"/>
      <c r="J274" s="611"/>
      <c r="K274" s="611"/>
      <c r="L274" s="611"/>
    </row>
    <row r="275" spans="2:12" x14ac:dyDescent="0.25">
      <c r="B275" s="634">
        <v>10103</v>
      </c>
      <c r="C275" s="635" t="s">
        <v>686</v>
      </c>
      <c r="D275" s="636" t="s">
        <v>397</v>
      </c>
      <c r="E275" s="743"/>
      <c r="F275" s="742"/>
      <c r="G275" s="653">
        <f>E275*F275</f>
        <v>0</v>
      </c>
      <c r="H275" s="638" t="s">
        <v>685</v>
      </c>
      <c r="I275" s="611"/>
      <c r="J275" s="611"/>
      <c r="K275" s="611"/>
      <c r="L275" s="611"/>
    </row>
    <row r="276" spans="2:12" x14ac:dyDescent="0.25">
      <c r="B276" s="634">
        <v>10104</v>
      </c>
      <c r="C276" s="635" t="s">
        <v>687</v>
      </c>
      <c r="D276" s="636" t="s">
        <v>397</v>
      </c>
      <c r="E276" s="743"/>
      <c r="F276" s="742"/>
      <c r="G276" s="653">
        <f t="shared" ref="G276:G278" si="43">E276*F276</f>
        <v>0</v>
      </c>
      <c r="H276" s="638" t="s">
        <v>685</v>
      </c>
      <c r="I276" s="611"/>
      <c r="J276" s="611"/>
      <c r="K276" s="611"/>
      <c r="L276" s="611"/>
    </row>
    <row r="277" spans="2:12" x14ac:dyDescent="0.25">
      <c r="B277" s="634">
        <v>10105</v>
      </c>
      <c r="C277" s="635" t="s">
        <v>688</v>
      </c>
      <c r="D277" s="636" t="s">
        <v>397</v>
      </c>
      <c r="E277" s="743"/>
      <c r="F277" s="742"/>
      <c r="G277" s="653">
        <f t="shared" si="43"/>
        <v>0</v>
      </c>
      <c r="H277" s="638" t="s">
        <v>685</v>
      </c>
      <c r="I277" s="611"/>
      <c r="J277" s="611"/>
      <c r="K277" s="611"/>
      <c r="L277" s="611"/>
    </row>
    <row r="278" spans="2:12" x14ac:dyDescent="0.25">
      <c r="B278" s="634">
        <v>10201</v>
      </c>
      <c r="C278" s="635" t="s">
        <v>689</v>
      </c>
      <c r="D278" s="636" t="s">
        <v>397</v>
      </c>
      <c r="E278" s="743"/>
      <c r="F278" s="742"/>
      <c r="G278" s="653">
        <f t="shared" si="43"/>
        <v>0</v>
      </c>
      <c r="H278" s="638" t="s">
        <v>685</v>
      </c>
      <c r="I278" s="611"/>
      <c r="J278" s="611"/>
      <c r="K278" s="611"/>
      <c r="L278" s="611"/>
    </row>
    <row r="279" spans="2:12" x14ac:dyDescent="0.25">
      <c r="B279" s="634"/>
      <c r="C279" s="631" t="s">
        <v>801</v>
      </c>
      <c r="D279" s="628"/>
      <c r="E279" s="628"/>
      <c r="F279" s="632"/>
      <c r="G279" s="651">
        <f>SUM(G280:G280)</f>
        <v>0</v>
      </c>
      <c r="H279" s="638"/>
      <c r="I279" s="611"/>
      <c r="J279" s="611"/>
      <c r="K279" s="611"/>
      <c r="L279" s="611"/>
    </row>
    <row r="280" spans="2:12" x14ac:dyDescent="0.25">
      <c r="B280" s="634"/>
      <c r="C280" s="635" t="s">
        <v>808</v>
      </c>
      <c r="D280" s="636" t="s">
        <v>736</v>
      </c>
      <c r="E280" s="743"/>
      <c r="F280" s="742"/>
      <c r="G280" s="653">
        <f>E280*F280</f>
        <v>0</v>
      </c>
      <c r="H280" s="638" t="s">
        <v>768</v>
      </c>
      <c r="I280" s="611"/>
      <c r="J280" s="611"/>
      <c r="K280" s="611"/>
      <c r="L280" s="611"/>
    </row>
    <row r="281" spans="2:12" x14ac:dyDescent="0.25">
      <c r="B281" s="627"/>
      <c r="C281" s="612" t="s">
        <v>809</v>
      </c>
      <c r="D281" s="628"/>
      <c r="E281" s="628"/>
      <c r="F281" s="629"/>
      <c r="G281" s="651">
        <f>G282+G288</f>
        <v>0</v>
      </c>
      <c r="H281" s="628"/>
      <c r="I281" s="611"/>
      <c r="J281" s="611"/>
      <c r="K281" s="611"/>
      <c r="L281" s="611"/>
    </row>
    <row r="282" spans="2:12" x14ac:dyDescent="0.25">
      <c r="B282" s="627"/>
      <c r="C282" s="631" t="s">
        <v>683</v>
      </c>
      <c r="D282" s="628"/>
      <c r="E282" s="628"/>
      <c r="F282" s="632"/>
      <c r="G282" s="651">
        <f>SUM(G283:G287)</f>
        <v>0</v>
      </c>
      <c r="H282" s="630"/>
      <c r="I282" s="611"/>
      <c r="J282" s="611"/>
      <c r="K282" s="611"/>
      <c r="L282" s="611"/>
    </row>
    <row r="283" spans="2:12" x14ac:dyDescent="0.25">
      <c r="B283" s="634">
        <v>10102</v>
      </c>
      <c r="C283" s="635" t="s">
        <v>684</v>
      </c>
      <c r="D283" s="636" t="s">
        <v>397</v>
      </c>
      <c r="E283" s="743"/>
      <c r="F283" s="742"/>
      <c r="G283" s="655">
        <f>E283*F283</f>
        <v>0</v>
      </c>
      <c r="H283" s="638" t="s">
        <v>685</v>
      </c>
      <c r="I283" s="611"/>
      <c r="J283" s="611"/>
      <c r="K283" s="611"/>
      <c r="L283" s="611"/>
    </row>
    <row r="284" spans="2:12" x14ac:dyDescent="0.25">
      <c r="B284" s="634">
        <v>10103</v>
      </c>
      <c r="C284" s="635" t="s">
        <v>686</v>
      </c>
      <c r="D284" s="636" t="s">
        <v>397</v>
      </c>
      <c r="E284" s="743"/>
      <c r="F284" s="742"/>
      <c r="G284" s="653">
        <f>E284*F284</f>
        <v>0</v>
      </c>
      <c r="H284" s="638" t="s">
        <v>685</v>
      </c>
      <c r="I284" s="611"/>
      <c r="J284" s="611"/>
      <c r="K284" s="611"/>
      <c r="L284" s="611"/>
    </row>
    <row r="285" spans="2:12" x14ac:dyDescent="0.25">
      <c r="B285" s="634">
        <v>10104</v>
      </c>
      <c r="C285" s="635" t="s">
        <v>687</v>
      </c>
      <c r="D285" s="636" t="s">
        <v>397</v>
      </c>
      <c r="E285" s="743"/>
      <c r="F285" s="742"/>
      <c r="G285" s="653">
        <f t="shared" ref="G285:G287" si="44">E285*F285</f>
        <v>0</v>
      </c>
      <c r="H285" s="638" t="s">
        <v>685</v>
      </c>
      <c r="I285" s="611"/>
      <c r="J285" s="611"/>
      <c r="K285" s="611"/>
      <c r="L285" s="611"/>
    </row>
    <row r="286" spans="2:12" x14ac:dyDescent="0.25">
      <c r="B286" s="634">
        <v>10105</v>
      </c>
      <c r="C286" s="635" t="s">
        <v>688</v>
      </c>
      <c r="D286" s="636" t="s">
        <v>397</v>
      </c>
      <c r="E286" s="743"/>
      <c r="F286" s="742"/>
      <c r="G286" s="653">
        <f t="shared" si="44"/>
        <v>0</v>
      </c>
      <c r="H286" s="638" t="s">
        <v>685</v>
      </c>
      <c r="I286" s="611"/>
      <c r="J286" s="611"/>
      <c r="K286" s="611"/>
      <c r="L286" s="611"/>
    </row>
    <row r="287" spans="2:12" x14ac:dyDescent="0.25">
      <c r="B287" s="634">
        <v>10201</v>
      </c>
      <c r="C287" s="635" t="s">
        <v>689</v>
      </c>
      <c r="D287" s="636" t="s">
        <v>397</v>
      </c>
      <c r="E287" s="743"/>
      <c r="F287" s="742"/>
      <c r="G287" s="653">
        <f t="shared" si="44"/>
        <v>0</v>
      </c>
      <c r="H287" s="638" t="s">
        <v>685</v>
      </c>
      <c r="I287" s="611"/>
      <c r="J287" s="611"/>
      <c r="K287" s="611"/>
      <c r="L287" s="611"/>
    </row>
    <row r="288" spans="2:12" x14ac:dyDescent="0.25">
      <c r="B288" s="634"/>
      <c r="C288" s="631" t="s">
        <v>801</v>
      </c>
      <c r="D288" s="628"/>
      <c r="E288" s="628"/>
      <c r="F288" s="632"/>
      <c r="G288" s="651">
        <f>SUM(G289:G289)</f>
        <v>0</v>
      </c>
      <c r="H288" s="638"/>
      <c r="I288" s="611"/>
      <c r="J288" s="611"/>
      <c r="K288" s="611"/>
      <c r="L288" s="611"/>
    </row>
    <row r="289" spans="2:17" x14ac:dyDescent="0.25">
      <c r="B289" s="634"/>
      <c r="C289" s="635" t="s">
        <v>810</v>
      </c>
      <c r="D289" s="636" t="s">
        <v>736</v>
      </c>
      <c r="E289" s="743"/>
      <c r="F289" s="742"/>
      <c r="G289" s="653">
        <f>E289*F289</f>
        <v>0</v>
      </c>
      <c r="H289" s="638" t="s">
        <v>768</v>
      </c>
      <c r="I289" s="611"/>
      <c r="J289" s="611"/>
      <c r="K289" s="611"/>
      <c r="L289" s="611"/>
    </row>
    <row r="290" spans="2:17" ht="15.75" thickBot="1" x14ac:dyDescent="0.3">
      <c r="B290" s="639"/>
      <c r="C290" s="656"/>
      <c r="D290" s="648"/>
      <c r="E290" s="657"/>
      <c r="F290" s="640"/>
      <c r="G290" s="658"/>
      <c r="H290" s="615"/>
      <c r="I290" s="611"/>
      <c r="J290" s="611"/>
      <c r="K290" s="611"/>
      <c r="L290" s="611"/>
    </row>
    <row r="291" spans="2:17" ht="16.5" thickTop="1" thickBot="1" x14ac:dyDescent="0.3">
      <c r="B291" s="617" t="s">
        <v>811</v>
      </c>
      <c r="C291" s="618"/>
      <c r="D291" s="619"/>
      <c r="E291" s="620"/>
      <c r="F291" s="621"/>
      <c r="G291" s="622">
        <f>G293</f>
        <v>0</v>
      </c>
      <c r="H291" s="623"/>
      <c r="I291" s="611"/>
      <c r="J291" s="611"/>
      <c r="K291" s="611"/>
      <c r="L291" s="611"/>
    </row>
    <row r="292" spans="2:17" ht="15.75" thickTop="1" x14ac:dyDescent="0.25">
      <c r="B292" s="639"/>
      <c r="C292" s="656"/>
      <c r="D292" s="648"/>
      <c r="E292" s="657"/>
      <c r="F292" s="640"/>
      <c r="G292" s="658"/>
      <c r="H292" s="615"/>
      <c r="I292" s="611"/>
      <c r="J292" s="611"/>
      <c r="K292" s="611"/>
      <c r="L292" s="611"/>
    </row>
    <row r="293" spans="2:17" x14ac:dyDescent="0.25">
      <c r="B293" s="659" t="s">
        <v>812</v>
      </c>
      <c r="C293" s="687"/>
      <c r="D293" s="687"/>
      <c r="E293" s="687"/>
      <c r="F293" s="688"/>
      <c r="G293" s="641">
        <f>G295</f>
        <v>0</v>
      </c>
      <c r="H293" s="685"/>
      <c r="I293" s="611"/>
      <c r="J293" s="18"/>
      <c r="K293" s="868" t="s">
        <v>1258</v>
      </c>
      <c r="L293" s="868"/>
      <c r="M293" s="18"/>
      <c r="P293" s="868" t="s">
        <v>1258</v>
      </c>
      <c r="Q293" s="868"/>
    </row>
    <row r="294" spans="2:17" ht="24" x14ac:dyDescent="0.25">
      <c r="B294" s="627" t="s">
        <v>677</v>
      </c>
      <c r="C294" s="612" t="s">
        <v>678</v>
      </c>
      <c r="D294" s="628" t="s">
        <v>216</v>
      </c>
      <c r="E294" s="628" t="s">
        <v>679</v>
      </c>
      <c r="F294" s="629" t="s">
        <v>680</v>
      </c>
      <c r="G294" s="630" t="s">
        <v>681</v>
      </c>
      <c r="H294" s="628" t="s">
        <v>682</v>
      </c>
      <c r="I294" s="611"/>
      <c r="J294" s="871" t="s">
        <v>1256</v>
      </c>
      <c r="K294" s="872" t="s">
        <v>1253</v>
      </c>
      <c r="L294" s="872" t="s">
        <v>1257</v>
      </c>
      <c r="M294" s="873" t="s">
        <v>1255</v>
      </c>
      <c r="O294" s="871" t="s">
        <v>1256</v>
      </c>
      <c r="P294" s="872" t="s">
        <v>1253</v>
      </c>
      <c r="Q294" s="872" t="s">
        <v>1257</v>
      </c>
    </row>
    <row r="295" spans="2:17" ht="72.75" customHeight="1" x14ac:dyDescent="0.25">
      <c r="B295" s="634" t="s">
        <v>813</v>
      </c>
      <c r="C295" s="635" t="s">
        <v>1268</v>
      </c>
      <c r="D295" s="636" t="s">
        <v>216</v>
      </c>
      <c r="E295" s="743"/>
      <c r="F295" s="742"/>
      <c r="G295" s="653">
        <f>E295*F295</f>
        <v>0</v>
      </c>
      <c r="H295" s="638" t="s">
        <v>768</v>
      </c>
      <c r="I295" s="611"/>
      <c r="J295" s="869">
        <f>'Base Física'!AO52</f>
        <v>0</v>
      </c>
      <c r="K295" s="870">
        <f>ROUND(J295*Histograma!O4,0)</f>
        <v>0</v>
      </c>
      <c r="L295" s="870">
        <v>4386</v>
      </c>
      <c r="M295" s="869">
        <f>J295-K295-L295</f>
        <v>-4386</v>
      </c>
      <c r="O295" s="869">
        <f>'Base Física'!AO52</f>
        <v>0</v>
      </c>
      <c r="P295" s="870">
        <f>ROUND(O295*Histograma!O4,0)</f>
        <v>0</v>
      </c>
      <c r="Q295" s="870">
        <v>4386</v>
      </c>
    </row>
    <row r="296" spans="2:17" ht="15.75" thickBot="1" x14ac:dyDescent="0.3">
      <c r="B296" s="639"/>
      <c r="C296" s="656"/>
      <c r="D296" s="648"/>
      <c r="E296" s="657"/>
      <c r="F296" s="640"/>
      <c r="G296" s="658"/>
      <c r="H296" s="615"/>
      <c r="I296" s="611"/>
      <c r="J296" s="859">
        <f>E295</f>
        <v>0</v>
      </c>
      <c r="K296" s="859">
        <f>E295</f>
        <v>0</v>
      </c>
      <c r="L296" s="859">
        <f>E295</f>
        <v>0</v>
      </c>
      <c r="M296" s="859">
        <f>E295</f>
        <v>0</v>
      </c>
      <c r="O296" s="859">
        <f>L295</f>
        <v>4386</v>
      </c>
      <c r="P296" s="859">
        <f>L295</f>
        <v>4386</v>
      </c>
      <c r="Q296" s="859">
        <f>L295</f>
        <v>4386</v>
      </c>
    </row>
    <row r="297" spans="2:17" ht="16.5" thickTop="1" thickBot="1" x14ac:dyDescent="0.3">
      <c r="B297" s="617" t="s">
        <v>814</v>
      </c>
      <c r="C297" s="618"/>
      <c r="D297" s="619"/>
      <c r="E297" s="620"/>
      <c r="F297" s="621"/>
      <c r="G297" s="622">
        <f>G299</f>
        <v>0</v>
      </c>
      <c r="H297" s="623"/>
      <c r="I297" s="611"/>
      <c r="J297" s="859">
        <f>J295*J296</f>
        <v>0</v>
      </c>
      <c r="K297" s="859">
        <f>K295*K296</f>
        <v>0</v>
      </c>
      <c r="L297" s="859">
        <f>L295*L296</f>
        <v>0</v>
      </c>
      <c r="M297" s="859">
        <f>M296*M295</f>
        <v>0</v>
      </c>
      <c r="O297" s="859">
        <f>O295*O296</f>
        <v>0</v>
      </c>
      <c r="P297" s="859">
        <f>P295*P296</f>
        <v>0</v>
      </c>
      <c r="Q297" s="859">
        <f>Q295*Q296</f>
        <v>19236996</v>
      </c>
    </row>
    <row r="298" spans="2:17" ht="15.75" thickTop="1" x14ac:dyDescent="0.25">
      <c r="B298" s="639"/>
      <c r="C298" s="656"/>
      <c r="D298" s="648"/>
      <c r="E298" s="657"/>
      <c r="F298" s="640"/>
      <c r="G298" s="658"/>
      <c r="H298" s="615"/>
      <c r="I298" s="611"/>
      <c r="J298" s="62" t="s">
        <v>291</v>
      </c>
      <c r="K298" s="18"/>
      <c r="L298" s="62" t="s">
        <v>1259</v>
      </c>
      <c r="M298" s="62" t="s">
        <v>1260</v>
      </c>
      <c r="O298" s="62" t="s">
        <v>291</v>
      </c>
      <c r="Q298" s="62" t="s">
        <v>1259</v>
      </c>
    </row>
    <row r="299" spans="2:17" x14ac:dyDescent="0.25">
      <c r="B299" s="1101" t="s">
        <v>815</v>
      </c>
      <c r="C299" s="1101"/>
      <c r="D299" s="1101"/>
      <c r="E299" s="1101"/>
      <c r="F299" s="1101"/>
      <c r="G299" s="625">
        <f>SUM(G301:G306)</f>
        <v>0</v>
      </c>
      <c r="H299" s="689"/>
      <c r="I299" s="611"/>
      <c r="J299" s="861">
        <f>G291</f>
        <v>0</v>
      </c>
      <c r="K299" s="18"/>
      <c r="L299" s="861">
        <f>K297+L297</f>
        <v>0</v>
      </c>
      <c r="M299" s="861">
        <f>'[2]FCD PROJETO'!AK29*80%</f>
        <v>489775.25376000005</v>
      </c>
      <c r="O299" s="861">
        <f>G291</f>
        <v>0</v>
      </c>
      <c r="Q299" s="861">
        <f>P297+Q297</f>
        <v>19236996</v>
      </c>
    </row>
    <row r="300" spans="2:17" x14ac:dyDescent="0.25">
      <c r="B300" s="627" t="s">
        <v>677</v>
      </c>
      <c r="C300" s="612" t="s">
        <v>678</v>
      </c>
      <c r="D300" s="628" t="s">
        <v>216</v>
      </c>
      <c r="E300" s="628" t="s">
        <v>679</v>
      </c>
      <c r="F300" s="629" t="s">
        <v>680</v>
      </c>
      <c r="G300" s="630" t="s">
        <v>681</v>
      </c>
      <c r="H300" s="628" t="s">
        <v>682</v>
      </c>
      <c r="I300" s="611"/>
      <c r="J300" s="611"/>
      <c r="K300" s="611"/>
      <c r="L300" s="611"/>
    </row>
    <row r="301" spans="2:17" ht="24.75" x14ac:dyDescent="0.25">
      <c r="B301" s="634"/>
      <c r="C301" s="635" t="s">
        <v>816</v>
      </c>
      <c r="D301" s="636" t="s">
        <v>554</v>
      </c>
      <c r="E301" s="743"/>
      <c r="F301" s="742"/>
      <c r="G301" s="655">
        <f>E301*F301</f>
        <v>0</v>
      </c>
      <c r="H301" s="638" t="s">
        <v>859</v>
      </c>
      <c r="I301" s="611"/>
      <c r="J301" s="611"/>
      <c r="K301" s="611"/>
      <c r="L301" s="611"/>
    </row>
    <row r="302" spans="2:17" x14ac:dyDescent="0.25">
      <c r="B302" s="634"/>
      <c r="C302" s="635" t="s">
        <v>817</v>
      </c>
      <c r="D302" s="636" t="s">
        <v>554</v>
      </c>
      <c r="E302" s="743"/>
      <c r="F302" s="742"/>
      <c r="G302" s="653">
        <f t="shared" ref="G302:G306" si="45">E302*F302</f>
        <v>0</v>
      </c>
      <c r="H302" s="638" t="s">
        <v>859</v>
      </c>
      <c r="I302" s="611"/>
      <c r="J302" s="611"/>
      <c r="K302" s="611"/>
      <c r="L302" s="611"/>
    </row>
    <row r="303" spans="2:17" ht="24.75" x14ac:dyDescent="0.25">
      <c r="B303" s="634"/>
      <c r="C303" s="635" t="s">
        <v>818</v>
      </c>
      <c r="D303" s="636" t="s">
        <v>554</v>
      </c>
      <c r="E303" s="743"/>
      <c r="F303" s="742"/>
      <c r="G303" s="653">
        <f t="shared" si="45"/>
        <v>0</v>
      </c>
      <c r="H303" s="638" t="s">
        <v>859</v>
      </c>
      <c r="I303" s="611"/>
      <c r="J303" s="611"/>
      <c r="K303" s="611"/>
      <c r="L303" s="611"/>
    </row>
    <row r="304" spans="2:17" ht="24.75" x14ac:dyDescent="0.25">
      <c r="B304" s="634"/>
      <c r="C304" s="635" t="s">
        <v>819</v>
      </c>
      <c r="D304" s="636" t="s">
        <v>554</v>
      </c>
      <c r="E304" s="743"/>
      <c r="F304" s="742"/>
      <c r="G304" s="653">
        <f t="shared" si="45"/>
        <v>0</v>
      </c>
      <c r="H304" s="638" t="s">
        <v>859</v>
      </c>
      <c r="I304" s="611"/>
      <c r="J304" s="611"/>
      <c r="K304" s="611"/>
      <c r="L304" s="611"/>
    </row>
    <row r="305" spans="2:12" ht="24.75" x14ac:dyDescent="0.25">
      <c r="B305" s="634"/>
      <c r="C305" s="635" t="s">
        <v>820</v>
      </c>
      <c r="D305" s="636" t="s">
        <v>554</v>
      </c>
      <c r="E305" s="743"/>
      <c r="F305" s="742"/>
      <c r="G305" s="653">
        <f t="shared" si="45"/>
        <v>0</v>
      </c>
      <c r="H305" s="638" t="s">
        <v>859</v>
      </c>
      <c r="I305" s="611"/>
      <c r="J305" s="611"/>
      <c r="K305" s="611"/>
      <c r="L305" s="611"/>
    </row>
    <row r="306" spans="2:12" x14ac:dyDescent="0.25">
      <c r="B306" s="634"/>
      <c r="C306" s="635" t="s">
        <v>821</v>
      </c>
      <c r="D306" s="636" t="s">
        <v>554</v>
      </c>
      <c r="E306" s="743"/>
      <c r="F306" s="742"/>
      <c r="G306" s="653">
        <f t="shared" si="45"/>
        <v>0</v>
      </c>
      <c r="H306" s="638" t="s">
        <v>859</v>
      </c>
      <c r="I306" s="611"/>
      <c r="J306" s="611"/>
      <c r="K306" s="611"/>
      <c r="L306" s="611"/>
    </row>
    <row r="307" spans="2:12" ht="15.75" thickBot="1" x14ac:dyDescent="0.3">
      <c r="B307" s="639"/>
      <c r="C307" s="656"/>
      <c r="D307" s="648"/>
      <c r="E307" s="657"/>
      <c r="F307" s="640"/>
      <c r="G307" s="658"/>
      <c r="H307" s="615"/>
      <c r="I307" s="611"/>
      <c r="J307" s="611"/>
      <c r="K307" s="611"/>
      <c r="L307" s="611"/>
    </row>
    <row r="308" spans="2:12" ht="16.5" thickTop="1" thickBot="1" x14ac:dyDescent="0.3">
      <c r="B308" s="617" t="s">
        <v>822</v>
      </c>
      <c r="C308" s="618"/>
      <c r="D308" s="619"/>
      <c r="E308" s="620"/>
      <c r="F308" s="621"/>
      <c r="G308" s="622">
        <f>G310</f>
        <v>0</v>
      </c>
      <c r="H308" s="623"/>
      <c r="I308" s="611"/>
      <c r="J308" s="611"/>
      <c r="K308" s="611"/>
      <c r="L308" s="611"/>
    </row>
    <row r="309" spans="2:12" ht="15.75" thickTop="1" x14ac:dyDescent="0.25">
      <c r="B309" s="639"/>
      <c r="C309" s="656"/>
      <c r="D309" s="648"/>
      <c r="E309" s="657"/>
      <c r="F309" s="640"/>
      <c r="G309" s="658"/>
      <c r="H309" s="615"/>
      <c r="I309" s="611"/>
      <c r="J309" s="611"/>
      <c r="K309" s="611"/>
      <c r="L309" s="611"/>
    </row>
    <row r="310" spans="2:12" x14ac:dyDescent="0.25">
      <c r="B310" s="1101" t="s">
        <v>823</v>
      </c>
      <c r="C310" s="1101"/>
      <c r="D310" s="1101"/>
      <c r="E310" s="1101"/>
      <c r="F310" s="1101"/>
      <c r="G310" s="625">
        <f>SUM(G312:G315)</f>
        <v>0</v>
      </c>
      <c r="H310" s="689"/>
      <c r="I310" s="611"/>
      <c r="J310" s="611"/>
      <c r="K310" s="611"/>
      <c r="L310" s="611"/>
    </row>
    <row r="311" spans="2:12" x14ac:dyDescent="0.25">
      <c r="B311" s="627" t="s">
        <v>677</v>
      </c>
      <c r="C311" s="612" t="s">
        <v>678</v>
      </c>
      <c r="D311" s="628" t="s">
        <v>216</v>
      </c>
      <c r="E311" s="628" t="s">
        <v>679</v>
      </c>
      <c r="F311" s="629" t="s">
        <v>680</v>
      </c>
      <c r="G311" s="630" t="s">
        <v>681</v>
      </c>
      <c r="H311" s="628" t="s">
        <v>682</v>
      </c>
      <c r="I311" s="611"/>
      <c r="J311" s="611"/>
      <c r="K311" s="611"/>
      <c r="L311" s="611"/>
    </row>
    <row r="312" spans="2:12" x14ac:dyDescent="0.25">
      <c r="B312" s="634"/>
      <c r="C312" s="635" t="s">
        <v>824</v>
      </c>
      <c r="D312" s="636" t="s">
        <v>554</v>
      </c>
      <c r="E312" s="743"/>
      <c r="F312" s="742"/>
      <c r="G312" s="653">
        <f t="shared" ref="G312:G315" si="46">E312*F312</f>
        <v>0</v>
      </c>
      <c r="H312" s="638" t="s">
        <v>859</v>
      </c>
      <c r="I312" s="611"/>
      <c r="J312" s="611"/>
      <c r="K312" s="611"/>
      <c r="L312" s="611"/>
    </row>
    <row r="313" spans="2:12" x14ac:dyDescent="0.25">
      <c r="B313" s="634"/>
      <c r="C313" s="635" t="s">
        <v>825</v>
      </c>
      <c r="D313" s="636" t="s">
        <v>554</v>
      </c>
      <c r="E313" s="743"/>
      <c r="F313" s="742"/>
      <c r="G313" s="653">
        <f t="shared" si="46"/>
        <v>0</v>
      </c>
      <c r="H313" s="638" t="s">
        <v>859</v>
      </c>
      <c r="I313" s="611"/>
      <c r="J313" s="611"/>
      <c r="K313" s="611"/>
      <c r="L313" s="611"/>
    </row>
    <row r="314" spans="2:12" x14ac:dyDescent="0.25">
      <c r="B314" s="634"/>
      <c r="C314" s="635" t="s">
        <v>826</v>
      </c>
      <c r="D314" s="636" t="s">
        <v>554</v>
      </c>
      <c r="E314" s="743"/>
      <c r="F314" s="742"/>
      <c r="G314" s="653">
        <f t="shared" si="46"/>
        <v>0</v>
      </c>
      <c r="H314" s="638" t="s">
        <v>859</v>
      </c>
      <c r="I314" s="611"/>
      <c r="J314" s="611"/>
      <c r="K314" s="611"/>
      <c r="L314" s="611"/>
    </row>
    <row r="315" spans="2:12" x14ac:dyDescent="0.25">
      <c r="B315" s="634"/>
      <c r="C315" s="635" t="s">
        <v>827</v>
      </c>
      <c r="D315" s="636" t="s">
        <v>554</v>
      </c>
      <c r="E315" s="743"/>
      <c r="F315" s="742"/>
      <c r="G315" s="653">
        <f t="shared" si="46"/>
        <v>0</v>
      </c>
      <c r="H315" s="638" t="s">
        <v>859</v>
      </c>
      <c r="I315" s="611"/>
      <c r="J315" s="611"/>
      <c r="K315" s="611"/>
      <c r="L315" s="611"/>
    </row>
    <row r="316" spans="2:12" x14ac:dyDescent="0.25">
      <c r="B316" s="585"/>
      <c r="C316" s="585"/>
      <c r="D316" s="585"/>
      <c r="E316" s="585"/>
      <c r="F316" s="587"/>
      <c r="G316" s="585"/>
      <c r="H316" s="586"/>
      <c r="I316" s="611"/>
      <c r="J316" s="611"/>
      <c r="K316" s="611"/>
      <c r="L316" s="611"/>
    </row>
    <row r="317" spans="2:12" ht="15.75" thickBot="1" x14ac:dyDescent="0.3">
      <c r="B317" s="639"/>
      <c r="C317" s="656"/>
      <c r="D317" s="648"/>
      <c r="E317" s="657"/>
      <c r="F317" s="640"/>
      <c r="G317" s="658"/>
      <c r="H317" s="615"/>
      <c r="I317" s="611"/>
      <c r="J317" s="611"/>
      <c r="K317" s="611"/>
      <c r="L317" s="611"/>
    </row>
    <row r="318" spans="2:12" ht="15.75" thickBot="1" x14ac:dyDescent="0.3">
      <c r="B318" s="1104" t="s">
        <v>860</v>
      </c>
      <c r="C318" s="1105"/>
      <c r="D318" s="1105"/>
      <c r="E318" s="1105"/>
      <c r="F318" s="1105"/>
      <c r="G318" s="677">
        <f>G320+G334+G340+G346+G356</f>
        <v>0</v>
      </c>
      <c r="H318" s="678"/>
      <c r="I318" s="611"/>
      <c r="J318" s="611"/>
      <c r="K318" s="611"/>
      <c r="L318" s="611"/>
    </row>
    <row r="319" spans="2:12" ht="15.75" thickBot="1" x14ac:dyDescent="0.3">
      <c r="B319" s="639"/>
      <c r="C319" s="656"/>
      <c r="D319" s="648"/>
      <c r="E319" s="657"/>
      <c r="F319" s="640"/>
      <c r="G319" s="658"/>
      <c r="H319" s="615"/>
      <c r="I319" s="611"/>
      <c r="J319" s="611"/>
      <c r="K319" s="611"/>
      <c r="L319" s="611"/>
    </row>
    <row r="320" spans="2:12" ht="15.75" thickBot="1" x14ac:dyDescent="0.3">
      <c r="B320" s="690" t="s">
        <v>828</v>
      </c>
      <c r="C320" s="691"/>
      <c r="D320" s="692"/>
      <c r="E320" s="693"/>
      <c r="F320" s="694"/>
      <c r="G320" s="695">
        <f>G322+G330</f>
        <v>0</v>
      </c>
      <c r="H320" s="696"/>
      <c r="I320" s="611"/>
      <c r="J320" s="611"/>
      <c r="K320" s="611"/>
      <c r="L320" s="611"/>
    </row>
    <row r="321" spans="2:18" x14ac:dyDescent="0.25">
      <c r="B321" s="697"/>
      <c r="C321" s="698"/>
      <c r="D321" s="699"/>
      <c r="E321" s="700"/>
      <c r="F321" s="701"/>
      <c r="G321" s="702"/>
      <c r="H321" s="703"/>
      <c r="I321" s="611"/>
      <c r="J321" s="611"/>
      <c r="K321" s="611"/>
      <c r="L321" s="611"/>
    </row>
    <row r="322" spans="2:18" x14ac:dyDescent="0.25">
      <c r="B322" s="1102" t="s">
        <v>829</v>
      </c>
      <c r="C322" s="1102"/>
      <c r="D322" s="1102"/>
      <c r="E322" s="1102"/>
      <c r="F322" s="1102"/>
      <c r="G322" s="704">
        <f>SUM(G324:G328)</f>
        <v>0</v>
      </c>
      <c r="H322" s="705"/>
      <c r="I322" s="611"/>
      <c r="J322" s="611"/>
      <c r="K322" s="611"/>
      <c r="L322" s="611"/>
    </row>
    <row r="323" spans="2:18" x14ac:dyDescent="0.25">
      <c r="B323" s="627" t="s">
        <v>677</v>
      </c>
      <c r="C323" s="612" t="s">
        <v>678</v>
      </c>
      <c r="D323" s="628" t="s">
        <v>216</v>
      </c>
      <c r="E323" s="628" t="s">
        <v>679</v>
      </c>
      <c r="F323" s="629" t="s">
        <v>680</v>
      </c>
      <c r="G323" s="630" t="s">
        <v>681</v>
      </c>
      <c r="H323" s="628" t="s">
        <v>682</v>
      </c>
      <c r="I323" s="611"/>
      <c r="J323" s="611"/>
      <c r="K323" s="611"/>
      <c r="L323" s="611"/>
      <c r="M323" s="918" t="s">
        <v>891</v>
      </c>
      <c r="N323" s="918" t="s">
        <v>895</v>
      </c>
      <c r="O323" s="918" t="s">
        <v>900</v>
      </c>
      <c r="P323" s="918" t="s">
        <v>15</v>
      </c>
      <c r="Q323" s="918" t="s">
        <v>902</v>
      </c>
      <c r="R323" s="918" t="s">
        <v>682</v>
      </c>
    </row>
    <row r="324" spans="2:18" ht="36" x14ac:dyDescent="0.25">
      <c r="B324" s="636" t="s">
        <v>830</v>
      </c>
      <c r="C324" s="647" t="s">
        <v>831</v>
      </c>
      <c r="D324" s="636" t="s">
        <v>126</v>
      </c>
      <c r="E324" s="743"/>
      <c r="F324" s="742"/>
      <c r="G324" s="653">
        <f>E324*F324</f>
        <v>0</v>
      </c>
      <c r="H324" s="638" t="s">
        <v>768</v>
      </c>
      <c r="I324" s="611"/>
      <c r="J324" s="611"/>
      <c r="K324" s="611"/>
      <c r="L324" s="611"/>
      <c r="M324" s="62" t="s">
        <v>892</v>
      </c>
      <c r="N324" s="925" t="s">
        <v>896</v>
      </c>
      <c r="O324" s="927"/>
      <c r="P324" s="919" t="e">
        <f>O324/$O$328</f>
        <v>#DIV/0!</v>
      </c>
      <c r="Q324" s="921"/>
      <c r="R324" s="638" t="s">
        <v>768</v>
      </c>
    </row>
    <row r="325" spans="2:18" ht="30.75" customHeight="1" x14ac:dyDescent="0.25">
      <c r="B325" s="636" t="s">
        <v>832</v>
      </c>
      <c r="C325" s="647" t="s">
        <v>887</v>
      </c>
      <c r="D325" s="636" t="s">
        <v>126</v>
      </c>
      <c r="E325" s="743"/>
      <c r="F325" s="742"/>
      <c r="G325" s="653">
        <f>E325*F325</f>
        <v>0</v>
      </c>
      <c r="H325" s="638" t="s">
        <v>768</v>
      </c>
      <c r="I325" s="611"/>
      <c r="J325" s="611"/>
      <c r="K325" s="611"/>
      <c r="L325" s="611"/>
      <c r="M325" s="62" t="s">
        <v>893</v>
      </c>
      <c r="N325" s="925" t="s">
        <v>897</v>
      </c>
      <c r="O325" s="927"/>
      <c r="P325" s="919" t="e">
        <f t="shared" ref="P325:P327" si="47">O325/$O$328</f>
        <v>#DIV/0!</v>
      </c>
      <c r="Q325" s="921"/>
      <c r="R325" s="638" t="s">
        <v>768</v>
      </c>
    </row>
    <row r="326" spans="2:18" ht="34.5" customHeight="1" x14ac:dyDescent="0.25">
      <c r="B326" s="636" t="s">
        <v>833</v>
      </c>
      <c r="C326" s="647" t="s">
        <v>888</v>
      </c>
      <c r="D326" s="636" t="s">
        <v>126</v>
      </c>
      <c r="E326" s="743"/>
      <c r="F326" s="742"/>
      <c r="G326" s="653">
        <f>E326*F326</f>
        <v>0</v>
      </c>
      <c r="H326" s="638" t="s">
        <v>768</v>
      </c>
      <c r="I326" s="611"/>
      <c r="J326" s="611"/>
      <c r="K326" s="611"/>
      <c r="L326" s="611"/>
      <c r="M326" s="62" t="s">
        <v>834</v>
      </c>
      <c r="N326" s="925" t="s">
        <v>898</v>
      </c>
      <c r="O326" s="927"/>
      <c r="P326" s="919" t="e">
        <f t="shared" si="47"/>
        <v>#DIV/0!</v>
      </c>
      <c r="Q326" s="921"/>
      <c r="R326" s="638" t="s">
        <v>768</v>
      </c>
    </row>
    <row r="327" spans="2:18" ht="48" x14ac:dyDescent="0.25">
      <c r="B327" s="636" t="s">
        <v>889</v>
      </c>
      <c r="C327" s="647" t="s">
        <v>890</v>
      </c>
      <c r="D327" s="636" t="s">
        <v>126</v>
      </c>
      <c r="E327" s="743"/>
      <c r="F327" s="742"/>
      <c r="G327" s="653">
        <f>E327*F327</f>
        <v>0</v>
      </c>
      <c r="H327" s="638" t="s">
        <v>768</v>
      </c>
      <c r="I327" s="611"/>
      <c r="J327" s="611"/>
      <c r="K327" s="611"/>
      <c r="L327" s="611"/>
      <c r="M327" s="235" t="s">
        <v>894</v>
      </c>
      <c r="N327" s="925" t="s">
        <v>899</v>
      </c>
      <c r="O327" s="927"/>
      <c r="P327" s="919" t="e">
        <f t="shared" si="47"/>
        <v>#DIV/0!</v>
      </c>
      <c r="Q327" s="921"/>
      <c r="R327" s="638" t="s">
        <v>768</v>
      </c>
    </row>
    <row r="328" spans="2:18" ht="39" customHeight="1" x14ac:dyDescent="0.25">
      <c r="B328" s="636" t="s">
        <v>834</v>
      </c>
      <c r="C328" s="647" t="s">
        <v>835</v>
      </c>
      <c r="D328" s="636" t="s">
        <v>126</v>
      </c>
      <c r="E328" s="743"/>
      <c r="F328" s="742"/>
      <c r="G328" s="653">
        <f>E328*F328</f>
        <v>0</v>
      </c>
      <c r="H328" s="638" t="s">
        <v>768</v>
      </c>
      <c r="I328" s="611"/>
      <c r="J328" s="611"/>
      <c r="K328" s="611"/>
      <c r="L328" s="611"/>
      <c r="M328" s="918" t="s">
        <v>5</v>
      </c>
      <c r="N328" s="926" t="s">
        <v>1384</v>
      </c>
      <c r="O328" s="928">
        <f>SUM(O324:O327)</f>
        <v>0</v>
      </c>
      <c r="P328" s="920" t="e">
        <f>SUM(P324:P327)</f>
        <v>#DIV/0!</v>
      </c>
      <c r="Q328" s="918" t="e">
        <f>(Q324*O324+Q325*O325+Q326*O326+O327*Q327)/O328</f>
        <v>#DIV/0!</v>
      </c>
      <c r="R328" s="918" t="e">
        <f>O328*Q328</f>
        <v>#DIV/0!</v>
      </c>
    </row>
    <row r="329" spans="2:18" x14ac:dyDescent="0.25">
      <c r="B329" s="639"/>
      <c r="C329" s="656"/>
      <c r="D329" s="648"/>
      <c r="E329" s="657"/>
      <c r="F329" s="640"/>
      <c r="G329" s="658"/>
      <c r="H329" s="615"/>
      <c r="I329" s="611"/>
      <c r="J329" s="611"/>
      <c r="K329" s="611"/>
      <c r="L329" s="611"/>
    </row>
    <row r="330" spans="2:18" x14ac:dyDescent="0.25">
      <c r="B330" s="1102" t="s">
        <v>836</v>
      </c>
      <c r="C330" s="1102"/>
      <c r="D330" s="1102"/>
      <c r="E330" s="1102"/>
      <c r="F330" s="1102"/>
      <c r="G330" s="704">
        <f>G332</f>
        <v>0</v>
      </c>
      <c r="H330" s="705"/>
      <c r="I330" s="611"/>
      <c r="J330" s="611"/>
      <c r="K330" s="611"/>
      <c r="L330" s="611"/>
    </row>
    <row r="331" spans="2:18" x14ac:dyDescent="0.25">
      <c r="B331" s="627" t="s">
        <v>677</v>
      </c>
      <c r="C331" s="612" t="s">
        <v>678</v>
      </c>
      <c r="D331" s="628" t="s">
        <v>216</v>
      </c>
      <c r="E331" s="628" t="s">
        <v>679</v>
      </c>
      <c r="F331" s="629" t="s">
        <v>680</v>
      </c>
      <c r="G331" s="630" t="s">
        <v>681</v>
      </c>
      <c r="H331" s="628" t="s">
        <v>682</v>
      </c>
      <c r="I331" s="611"/>
      <c r="J331" s="611"/>
      <c r="K331" s="611"/>
      <c r="L331" s="611"/>
    </row>
    <row r="332" spans="2:18" x14ac:dyDescent="0.25">
      <c r="B332" s="634"/>
      <c r="C332" s="635" t="s">
        <v>837</v>
      </c>
      <c r="D332" s="636" t="s">
        <v>216</v>
      </c>
      <c r="E332" s="743"/>
      <c r="F332" s="742"/>
      <c r="G332" s="653">
        <f>E332*F332</f>
        <v>0</v>
      </c>
      <c r="H332" s="638" t="s">
        <v>768</v>
      </c>
      <c r="I332" s="611"/>
      <c r="J332" s="611"/>
      <c r="K332" s="611"/>
      <c r="L332" s="611"/>
    </row>
    <row r="333" spans="2:18" ht="15.75" thickBot="1" x14ac:dyDescent="0.3">
      <c r="B333" s="639"/>
      <c r="C333" s="656"/>
      <c r="D333" s="648"/>
      <c r="E333" s="657"/>
      <c r="F333" s="640"/>
      <c r="G333" s="658"/>
      <c r="H333" s="615"/>
      <c r="I333" s="611"/>
      <c r="J333" s="611"/>
      <c r="K333" s="611"/>
      <c r="L333" s="611"/>
    </row>
    <row r="334" spans="2:18" ht="16.5" thickTop="1" thickBot="1" x14ac:dyDescent="0.3">
      <c r="B334" s="660" t="s">
        <v>838</v>
      </c>
      <c r="C334" s="661"/>
      <c r="D334" s="662"/>
      <c r="E334" s="663"/>
      <c r="F334" s="664"/>
      <c r="G334" s="665">
        <f>G336</f>
        <v>0</v>
      </c>
      <c r="H334" s="666"/>
      <c r="I334" s="611"/>
      <c r="J334" s="611"/>
      <c r="K334" s="611"/>
      <c r="L334" s="611"/>
    </row>
    <row r="335" spans="2:18" ht="15.75" thickTop="1" x14ac:dyDescent="0.25">
      <c r="B335" s="639"/>
      <c r="C335" s="656"/>
      <c r="D335" s="648"/>
      <c r="E335" s="657"/>
      <c r="F335" s="640"/>
      <c r="G335" s="658"/>
      <c r="H335" s="615"/>
      <c r="I335" s="611"/>
      <c r="J335" s="611"/>
      <c r="K335" s="611"/>
      <c r="L335" s="611"/>
    </row>
    <row r="336" spans="2:18" x14ac:dyDescent="0.25">
      <c r="B336" s="1102" t="s">
        <v>839</v>
      </c>
      <c r="C336" s="1102"/>
      <c r="D336" s="1102"/>
      <c r="E336" s="1102"/>
      <c r="F336" s="1102"/>
      <c r="G336" s="704">
        <f>G338</f>
        <v>0</v>
      </c>
      <c r="H336" s="705"/>
      <c r="I336" s="611"/>
      <c r="J336" s="611"/>
      <c r="K336" s="611"/>
      <c r="L336" s="611"/>
    </row>
    <row r="337" spans="2:17" x14ac:dyDescent="0.25">
      <c r="B337" s="627" t="s">
        <v>677</v>
      </c>
      <c r="C337" s="612" t="s">
        <v>678</v>
      </c>
      <c r="D337" s="628" t="s">
        <v>216</v>
      </c>
      <c r="E337" s="628" t="s">
        <v>679</v>
      </c>
      <c r="F337" s="629" t="s">
        <v>680</v>
      </c>
      <c r="G337" s="630" t="s">
        <v>681</v>
      </c>
      <c r="H337" s="628" t="s">
        <v>682</v>
      </c>
      <c r="I337" s="611"/>
      <c r="J337" s="611"/>
      <c r="K337" s="611"/>
      <c r="L337" s="611"/>
    </row>
    <row r="338" spans="2:17" ht="27.75" customHeight="1" x14ac:dyDescent="0.25">
      <c r="B338" s="634"/>
      <c r="C338" s="635" t="s">
        <v>840</v>
      </c>
      <c r="D338" s="636" t="s">
        <v>771</v>
      </c>
      <c r="E338" s="743"/>
      <c r="F338" s="742"/>
      <c r="G338" s="653">
        <f>E338*F338</f>
        <v>0</v>
      </c>
      <c r="H338" s="638" t="s">
        <v>768</v>
      </c>
      <c r="I338" s="611"/>
      <c r="J338" s="611"/>
      <c r="K338" s="611"/>
      <c r="L338" s="611"/>
    </row>
    <row r="339" spans="2:17" ht="15.75" thickBot="1" x14ac:dyDescent="0.3">
      <c r="B339" s="639"/>
      <c r="C339" s="656"/>
      <c r="D339" s="648"/>
      <c r="E339" s="657"/>
      <c r="F339" s="640"/>
      <c r="G339" s="658"/>
      <c r="H339" s="615"/>
      <c r="K339" s="867" t="s">
        <v>1258</v>
      </c>
      <c r="L339" s="867"/>
      <c r="N339" s="866" t="s">
        <v>1269</v>
      </c>
      <c r="O339" s="866"/>
      <c r="P339" s="866"/>
      <c r="Q339" s="866"/>
    </row>
    <row r="340" spans="2:17" ht="49.5" thickTop="1" thickBot="1" x14ac:dyDescent="0.3">
      <c r="B340" s="706" t="s">
        <v>841</v>
      </c>
      <c r="C340" s="707"/>
      <c r="D340" s="708"/>
      <c r="E340" s="709"/>
      <c r="F340" s="710"/>
      <c r="G340" s="711">
        <f>G342</f>
        <v>0</v>
      </c>
      <c r="H340" s="712"/>
      <c r="J340" s="867" t="s">
        <v>1256</v>
      </c>
      <c r="K340" s="867" t="s">
        <v>1253</v>
      </c>
      <c r="L340" s="867" t="s">
        <v>1254</v>
      </c>
      <c r="M340" s="867" t="s">
        <v>1255</v>
      </c>
      <c r="N340" s="62" t="s">
        <v>1261</v>
      </c>
      <c r="O340" s="62" t="s">
        <v>532</v>
      </c>
      <c r="P340" s="62" t="s">
        <v>1262</v>
      </c>
      <c r="Q340" s="864" t="s">
        <v>1263</v>
      </c>
    </row>
    <row r="341" spans="2:17" ht="15.75" thickTop="1" x14ac:dyDescent="0.25">
      <c r="B341" s="697"/>
      <c r="C341" s="698"/>
      <c r="D341" s="699"/>
      <c r="E341" s="700"/>
      <c r="F341" s="701"/>
      <c r="G341" s="702"/>
      <c r="H341" s="703"/>
      <c r="J341" s="858">
        <f>'Base Física'!AO53</f>
        <v>0</v>
      </c>
      <c r="K341" s="858">
        <f>Histograma!O4*J341</f>
        <v>0</v>
      </c>
      <c r="L341" s="858">
        <f>'Base Física'!F52</f>
        <v>0</v>
      </c>
      <c r="M341" s="858">
        <f>J341-K341-L341</f>
        <v>0</v>
      </c>
      <c r="N341" s="775" t="s">
        <v>1264</v>
      </c>
      <c r="O341" s="865"/>
      <c r="P341" s="863">
        <v>0.2</v>
      </c>
      <c r="Q341" s="96">
        <f>O341*P341</f>
        <v>0</v>
      </c>
    </row>
    <row r="342" spans="2:17" x14ac:dyDescent="0.25">
      <c r="B342" s="1102" t="s">
        <v>842</v>
      </c>
      <c r="C342" s="1102"/>
      <c r="D342" s="1102"/>
      <c r="E342" s="1102"/>
      <c r="F342" s="1102"/>
      <c r="G342" s="704">
        <f>G344</f>
        <v>0</v>
      </c>
      <c r="H342" s="705"/>
      <c r="J342" s="859">
        <v>1950.56</v>
      </c>
      <c r="K342" s="859">
        <v>1950.56</v>
      </c>
      <c r="L342" s="859">
        <v>1950.56</v>
      </c>
      <c r="M342" s="859">
        <v>1950.56</v>
      </c>
      <c r="N342" s="775" t="s">
        <v>1265</v>
      </c>
      <c r="O342" s="865"/>
      <c r="P342" s="863">
        <v>0.4</v>
      </c>
      <c r="Q342" s="96">
        <f t="shared" ref="Q342:Q345" si="48">O342*P342</f>
        <v>0</v>
      </c>
    </row>
    <row r="343" spans="2:17" x14ac:dyDescent="0.25">
      <c r="B343" s="627" t="s">
        <v>677</v>
      </c>
      <c r="C343" s="612" t="s">
        <v>678</v>
      </c>
      <c r="D343" s="628" t="s">
        <v>216</v>
      </c>
      <c r="E343" s="628" t="s">
        <v>679</v>
      </c>
      <c r="F343" s="629" t="s">
        <v>680</v>
      </c>
      <c r="G343" s="630" t="s">
        <v>681</v>
      </c>
      <c r="H343" s="628" t="s">
        <v>682</v>
      </c>
      <c r="J343" s="859">
        <f>J341*J342</f>
        <v>0</v>
      </c>
      <c r="K343" s="859">
        <f t="shared" ref="K343:M343" si="49">K341*K342</f>
        <v>0</v>
      </c>
      <c r="L343" s="859">
        <f t="shared" si="49"/>
        <v>0</v>
      </c>
      <c r="M343" s="859">
        <f t="shared" si="49"/>
        <v>0</v>
      </c>
      <c r="N343" s="775" t="s">
        <v>1266</v>
      </c>
      <c r="O343" s="865"/>
      <c r="P343" s="863">
        <v>0.2</v>
      </c>
      <c r="Q343" s="96">
        <f t="shared" si="48"/>
        <v>0</v>
      </c>
    </row>
    <row r="344" spans="2:17" ht="51" customHeight="1" x14ac:dyDescent="0.25">
      <c r="B344" s="647" t="s">
        <v>843</v>
      </c>
      <c r="C344" s="635" t="s">
        <v>1378</v>
      </c>
      <c r="D344" s="636" t="s">
        <v>216</v>
      </c>
      <c r="E344" s="743"/>
      <c r="F344" s="742"/>
      <c r="G344" s="653">
        <f>E344*F344</f>
        <v>0</v>
      </c>
      <c r="H344" s="638" t="s">
        <v>768</v>
      </c>
      <c r="J344" s="369" t="s">
        <v>266</v>
      </c>
      <c r="K344" s="14"/>
      <c r="L344" s="369" t="s">
        <v>1259</v>
      </c>
      <c r="M344" s="369" t="s">
        <v>1260</v>
      </c>
      <c r="N344" s="775" t="s">
        <v>1267</v>
      </c>
      <c r="O344" s="865"/>
      <c r="P344" s="863">
        <v>0.2</v>
      </c>
      <c r="Q344" s="96">
        <f t="shared" si="48"/>
        <v>0</v>
      </c>
    </row>
    <row r="345" spans="2:17" ht="15.75" thickBot="1" x14ac:dyDescent="0.3">
      <c r="B345" s="639"/>
      <c r="C345" s="656"/>
      <c r="D345" s="648"/>
      <c r="E345" s="657"/>
      <c r="F345" s="640"/>
      <c r="G345" s="658"/>
      <c r="H345" s="615"/>
      <c r="J345" s="859">
        <f>G344</f>
        <v>0</v>
      </c>
      <c r="K345" s="14"/>
      <c r="L345" s="859">
        <f>K343+L343</f>
        <v>0</v>
      </c>
      <c r="M345" s="859" t="e">
        <f>'FCD PROJETO'!AO36</f>
        <v>#DIV/0!</v>
      </c>
      <c r="N345" s="775" t="s">
        <v>1377</v>
      </c>
      <c r="O345" s="865"/>
      <c r="P345" s="863">
        <v>1</v>
      </c>
      <c r="Q345" s="96">
        <f t="shared" si="48"/>
        <v>0</v>
      </c>
    </row>
    <row r="346" spans="2:17" ht="16.5" thickTop="1" thickBot="1" x14ac:dyDescent="0.3">
      <c r="B346" s="706" t="s">
        <v>844</v>
      </c>
      <c r="C346" s="707"/>
      <c r="D346" s="708"/>
      <c r="E346" s="709"/>
      <c r="F346" s="710"/>
      <c r="G346" s="711">
        <f>G348</f>
        <v>0</v>
      </c>
      <c r="H346" s="712"/>
      <c r="I346" s="611"/>
      <c r="J346" s="611"/>
      <c r="K346" s="611"/>
      <c r="L346" s="611"/>
      <c r="N346" s="53"/>
      <c r="O346" s="53"/>
      <c r="P346" s="62" t="s">
        <v>5</v>
      </c>
      <c r="Q346" s="96">
        <f>SUM(Q341:Q345)</f>
        <v>0</v>
      </c>
    </row>
    <row r="347" spans="2:17" ht="15.75" thickTop="1" x14ac:dyDescent="0.25">
      <c r="B347" s="697"/>
      <c r="C347" s="698"/>
      <c r="D347" s="699"/>
      <c r="E347" s="700"/>
      <c r="F347" s="701"/>
      <c r="G347" s="702"/>
      <c r="H347" s="703"/>
      <c r="I347" s="611"/>
      <c r="J347" s="611"/>
      <c r="K347" s="611"/>
      <c r="L347" s="611"/>
    </row>
    <row r="348" spans="2:17" x14ac:dyDescent="0.25">
      <c r="B348" s="1103" t="s">
        <v>845</v>
      </c>
      <c r="C348" s="1103"/>
      <c r="D348" s="1103"/>
      <c r="E348" s="1103"/>
      <c r="F348" s="1103"/>
      <c r="G348" s="667">
        <f>SUM(G350:G354)</f>
        <v>0</v>
      </c>
      <c r="H348" s="668"/>
      <c r="I348" s="611"/>
      <c r="J348" s="611"/>
      <c r="K348" s="611"/>
      <c r="L348" s="611"/>
    </row>
    <row r="349" spans="2:17" x14ac:dyDescent="0.25">
      <c r="B349" s="627" t="s">
        <v>677</v>
      </c>
      <c r="C349" s="612" t="s">
        <v>678</v>
      </c>
      <c r="D349" s="628" t="s">
        <v>216</v>
      </c>
      <c r="E349" s="628" t="s">
        <v>679</v>
      </c>
      <c r="F349" s="629" t="s">
        <v>680</v>
      </c>
      <c r="G349" s="630" t="s">
        <v>681</v>
      </c>
      <c r="H349" s="628" t="s">
        <v>682</v>
      </c>
      <c r="I349" s="611"/>
      <c r="J349" s="611"/>
      <c r="K349" s="611"/>
      <c r="L349" s="611"/>
      <c r="O349" s="1"/>
    </row>
    <row r="350" spans="2:17" ht="24.75" x14ac:dyDescent="0.25">
      <c r="B350" s="634"/>
      <c r="C350" s="635" t="s">
        <v>846</v>
      </c>
      <c r="D350" s="636" t="s">
        <v>554</v>
      </c>
      <c r="E350" s="743"/>
      <c r="F350" s="742"/>
      <c r="G350" s="653">
        <f t="shared" ref="G350" si="50">E350*F350</f>
        <v>0</v>
      </c>
      <c r="H350" s="638" t="s">
        <v>859</v>
      </c>
      <c r="I350" s="611"/>
      <c r="J350" s="611"/>
      <c r="K350" s="611"/>
      <c r="L350" s="611"/>
      <c r="O350" s="3"/>
    </row>
    <row r="351" spans="2:17" ht="24.75" x14ac:dyDescent="0.25">
      <c r="B351" s="634"/>
      <c r="C351" s="635" t="s">
        <v>847</v>
      </c>
      <c r="D351" s="636" t="s">
        <v>554</v>
      </c>
      <c r="E351" s="743"/>
      <c r="F351" s="742"/>
      <c r="G351" s="653">
        <f>E351*F351</f>
        <v>0</v>
      </c>
      <c r="H351" s="638" t="s">
        <v>859</v>
      </c>
      <c r="I351" s="611"/>
      <c r="J351" s="611"/>
      <c r="K351" s="611"/>
      <c r="L351" s="611"/>
    </row>
    <row r="352" spans="2:17" x14ac:dyDescent="0.25">
      <c r="B352" s="634"/>
      <c r="C352" s="635" t="s">
        <v>848</v>
      </c>
      <c r="D352" s="636" t="s">
        <v>554</v>
      </c>
      <c r="E352" s="743"/>
      <c r="F352" s="742"/>
      <c r="G352" s="653">
        <f>E352*F352</f>
        <v>0</v>
      </c>
      <c r="H352" s="638" t="s">
        <v>859</v>
      </c>
      <c r="I352" s="611"/>
      <c r="J352" s="611"/>
      <c r="K352" s="611"/>
      <c r="L352" s="611"/>
    </row>
    <row r="353" spans="2:12" x14ac:dyDescent="0.25">
      <c r="B353" s="634"/>
      <c r="C353" s="635" t="s">
        <v>849</v>
      </c>
      <c r="D353" s="636" t="s">
        <v>554</v>
      </c>
      <c r="E353" s="743"/>
      <c r="F353" s="742"/>
      <c r="G353" s="653">
        <f>E353*F353</f>
        <v>0</v>
      </c>
      <c r="H353" s="638" t="s">
        <v>859</v>
      </c>
      <c r="I353" s="611"/>
      <c r="J353" s="611"/>
      <c r="K353" s="611"/>
      <c r="L353" s="611"/>
    </row>
    <row r="354" spans="2:12" ht="24.75" x14ac:dyDescent="0.25">
      <c r="B354" s="634"/>
      <c r="C354" s="635" t="s">
        <v>850</v>
      </c>
      <c r="D354" s="636" t="s">
        <v>554</v>
      </c>
      <c r="E354" s="743"/>
      <c r="F354" s="742"/>
      <c r="G354" s="653">
        <f>E354*F354</f>
        <v>0</v>
      </c>
      <c r="H354" s="638" t="s">
        <v>859</v>
      </c>
      <c r="I354" s="611"/>
      <c r="J354" s="611"/>
      <c r="K354" s="611"/>
      <c r="L354" s="611"/>
    </row>
    <row r="355" spans="2:12" ht="15.75" thickBot="1" x14ac:dyDescent="0.3">
      <c r="B355" s="585"/>
      <c r="C355" s="585"/>
      <c r="D355" s="585"/>
      <c r="E355" s="585"/>
      <c r="F355" s="587"/>
      <c r="G355" s="585"/>
      <c r="H355" s="586"/>
      <c r="I355" s="611"/>
      <c r="J355" s="611"/>
      <c r="K355" s="611"/>
      <c r="L355" s="611"/>
    </row>
    <row r="356" spans="2:12" ht="16.5" thickTop="1" thickBot="1" x14ac:dyDescent="0.3">
      <c r="B356" s="706" t="s">
        <v>851</v>
      </c>
      <c r="C356" s="707"/>
      <c r="D356" s="708"/>
      <c r="E356" s="709"/>
      <c r="F356" s="710"/>
      <c r="G356" s="711">
        <f>G358</f>
        <v>0</v>
      </c>
      <c r="H356" s="712"/>
      <c r="I356" s="611"/>
      <c r="J356" s="611"/>
      <c r="K356" s="611"/>
      <c r="L356" s="611"/>
    </row>
    <row r="357" spans="2:12" ht="15.75" thickTop="1" x14ac:dyDescent="0.25">
      <c r="B357" s="697"/>
      <c r="C357" s="698"/>
      <c r="D357" s="699"/>
      <c r="E357" s="700"/>
      <c r="F357" s="701"/>
      <c r="G357" s="702"/>
      <c r="H357" s="703"/>
      <c r="I357" s="611"/>
      <c r="J357" s="611"/>
      <c r="K357" s="611"/>
    </row>
    <row r="358" spans="2:12" x14ac:dyDescent="0.25">
      <c r="B358" s="1102" t="s">
        <v>823</v>
      </c>
      <c r="C358" s="1102"/>
      <c r="D358" s="1102"/>
      <c r="E358" s="1102"/>
      <c r="F358" s="1102"/>
      <c r="G358" s="713">
        <f>SUM(G360:G362)</f>
        <v>0</v>
      </c>
      <c r="H358" s="714"/>
      <c r="I358" s="611"/>
      <c r="J358" s="611"/>
      <c r="K358" s="611"/>
    </row>
    <row r="359" spans="2:12" x14ac:dyDescent="0.25">
      <c r="B359" s="627" t="s">
        <v>677</v>
      </c>
      <c r="C359" s="612" t="s">
        <v>678</v>
      </c>
      <c r="D359" s="628" t="s">
        <v>216</v>
      </c>
      <c r="E359" s="628" t="s">
        <v>679</v>
      </c>
      <c r="F359" s="629" t="s">
        <v>680</v>
      </c>
      <c r="G359" s="630" t="s">
        <v>681</v>
      </c>
      <c r="H359" s="628" t="s">
        <v>682</v>
      </c>
      <c r="I359" s="611"/>
      <c r="J359" s="611"/>
      <c r="K359" s="611"/>
    </row>
    <row r="360" spans="2:12" ht="15" customHeight="1" x14ac:dyDescent="0.25">
      <c r="B360" s="634"/>
      <c r="C360" s="635" t="s">
        <v>873</v>
      </c>
      <c r="D360" s="636" t="s">
        <v>554</v>
      </c>
      <c r="E360" s="743"/>
      <c r="F360" s="742"/>
      <c r="G360" s="653">
        <f t="shared" ref="G360:G362" si="51">E360*F360</f>
        <v>0</v>
      </c>
      <c r="H360" s="638" t="s">
        <v>859</v>
      </c>
      <c r="I360" s="611"/>
      <c r="J360" s="611"/>
      <c r="K360" s="611"/>
    </row>
    <row r="361" spans="2:12" ht="15" customHeight="1" x14ac:dyDescent="0.25">
      <c r="B361" s="634"/>
      <c r="C361" s="635" t="s">
        <v>852</v>
      </c>
      <c r="D361" s="636" t="s">
        <v>554</v>
      </c>
      <c r="E361" s="743"/>
      <c r="F361" s="742"/>
      <c r="G361" s="653">
        <f t="shared" si="51"/>
        <v>0</v>
      </c>
      <c r="H361" s="638" t="s">
        <v>859</v>
      </c>
      <c r="I361" s="611"/>
      <c r="J361" s="611"/>
      <c r="K361" s="611"/>
    </row>
    <row r="362" spans="2:12" ht="15" customHeight="1" x14ac:dyDescent="0.25">
      <c r="B362" s="634"/>
      <c r="C362" s="635" t="s">
        <v>853</v>
      </c>
      <c r="D362" s="636" t="s">
        <v>554</v>
      </c>
      <c r="E362" s="743"/>
      <c r="F362" s="742"/>
      <c r="G362" s="653">
        <f t="shared" si="51"/>
        <v>0</v>
      </c>
      <c r="H362" s="638" t="s">
        <v>859</v>
      </c>
      <c r="I362" s="611"/>
      <c r="J362" s="611"/>
      <c r="K362" s="611"/>
    </row>
    <row r="363" spans="2:12" x14ac:dyDescent="0.25">
      <c r="I363" s="611"/>
      <c r="J363" s="611"/>
      <c r="K363" s="611"/>
    </row>
    <row r="364" spans="2:12" x14ac:dyDescent="0.25">
      <c r="I364" s="611"/>
      <c r="J364" s="611"/>
      <c r="K364" s="611"/>
    </row>
    <row r="365" spans="2:12" x14ac:dyDescent="0.25">
      <c r="I365" s="611"/>
      <c r="J365" s="611"/>
      <c r="K365" s="611"/>
    </row>
    <row r="366" spans="2:12" x14ac:dyDescent="0.25">
      <c r="I366" s="611"/>
      <c r="J366" s="611"/>
    </row>
    <row r="367" spans="2:12" x14ac:dyDescent="0.25">
      <c r="I367" s="611"/>
      <c r="J367" s="611"/>
    </row>
    <row r="368" spans="2:12" x14ac:dyDescent="0.25">
      <c r="I368" s="611"/>
      <c r="J368" s="611"/>
    </row>
    <row r="369" spans="9:10" x14ac:dyDescent="0.25">
      <c r="I369" s="611"/>
      <c r="J369" s="611"/>
    </row>
    <row r="370" spans="9:10" x14ac:dyDescent="0.25">
      <c r="I370" s="611"/>
      <c r="J370" s="611"/>
    </row>
    <row r="371" spans="9:10" x14ac:dyDescent="0.25">
      <c r="I371" s="611"/>
      <c r="J371" s="611"/>
    </row>
    <row r="372" spans="9:10" x14ac:dyDescent="0.25">
      <c r="I372" s="611"/>
      <c r="J372" s="611"/>
    </row>
    <row r="373" spans="9:10" x14ac:dyDescent="0.25">
      <c r="I373" s="611"/>
      <c r="J373" s="611"/>
    </row>
    <row r="374" spans="9:10" x14ac:dyDescent="0.25">
      <c r="I374" s="611"/>
      <c r="J374" s="611"/>
    </row>
    <row r="375" spans="9:10" x14ac:dyDescent="0.25">
      <c r="I375" s="611"/>
      <c r="J375" s="611"/>
    </row>
    <row r="376" spans="9:10" x14ac:dyDescent="0.25">
      <c r="I376" s="611"/>
      <c r="J376" s="611"/>
    </row>
    <row r="377" spans="9:10" x14ac:dyDescent="0.25">
      <c r="I377" s="611"/>
      <c r="J377" s="611"/>
    </row>
    <row r="378" spans="9:10" x14ac:dyDescent="0.25">
      <c r="I378" s="611"/>
      <c r="J378" s="611"/>
    </row>
    <row r="379" spans="9:10" x14ac:dyDescent="0.25">
      <c r="I379" s="611"/>
      <c r="J379" s="611"/>
    </row>
    <row r="380" spans="9:10" x14ac:dyDescent="0.25">
      <c r="I380" s="611"/>
      <c r="J380" s="611"/>
    </row>
    <row r="381" spans="9:10" x14ac:dyDescent="0.25">
      <c r="I381" s="611"/>
      <c r="J381" s="611"/>
    </row>
    <row r="382" spans="9:10" x14ac:dyDescent="0.25">
      <c r="I382" s="611"/>
      <c r="J382" s="611"/>
    </row>
    <row r="383" spans="9:10" x14ac:dyDescent="0.25">
      <c r="I383" s="611"/>
      <c r="J383" s="611"/>
    </row>
    <row r="384" spans="9:10" x14ac:dyDescent="0.25">
      <c r="I384" s="611"/>
      <c r="J384" s="611"/>
    </row>
    <row r="385" spans="9:10" x14ac:dyDescent="0.25">
      <c r="I385" s="611"/>
      <c r="J385" s="611"/>
    </row>
    <row r="386" spans="9:10" x14ac:dyDescent="0.25">
      <c r="I386" s="611"/>
      <c r="J386" s="611"/>
    </row>
    <row r="387" spans="9:10" x14ac:dyDescent="0.25">
      <c r="I387" s="611"/>
      <c r="J387" s="611"/>
    </row>
    <row r="388" spans="9:10" x14ac:dyDescent="0.25">
      <c r="I388" s="611"/>
      <c r="J388" s="611"/>
    </row>
    <row r="389" spans="9:10" x14ac:dyDescent="0.25">
      <c r="I389" s="611"/>
      <c r="J389" s="611"/>
    </row>
    <row r="390" spans="9:10" x14ac:dyDescent="0.25">
      <c r="I390" s="611"/>
      <c r="J390" s="611"/>
    </row>
    <row r="391" spans="9:10" x14ac:dyDescent="0.25">
      <c r="I391" s="611"/>
      <c r="J391" s="611"/>
    </row>
  </sheetData>
  <mergeCells count="23">
    <mergeCell ref="B342:F342"/>
    <mergeCell ref="B348:F348"/>
    <mergeCell ref="B358:F358"/>
    <mergeCell ref="B299:F299"/>
    <mergeCell ref="B310:F310"/>
    <mergeCell ref="B318:F318"/>
    <mergeCell ref="B322:F322"/>
    <mergeCell ref="B330:F330"/>
    <mergeCell ref="B205:F205"/>
    <mergeCell ref="B218:F218"/>
    <mergeCell ref="B229:F229"/>
    <mergeCell ref="B243:F243"/>
    <mergeCell ref="B336:F336"/>
    <mergeCell ref="B107:F107"/>
    <mergeCell ref="B129:F129"/>
    <mergeCell ref="B165:F165"/>
    <mergeCell ref="B170:F170"/>
    <mergeCell ref="B190:F190"/>
    <mergeCell ref="C52:E52"/>
    <mergeCell ref="C51:E51"/>
    <mergeCell ref="C1:F1"/>
    <mergeCell ref="C50:F50"/>
    <mergeCell ref="C53:E53"/>
  </mergeCells>
  <pageMargins left="0.511811024" right="0.511811024" top="0.78740157499999996" bottom="0.78740157499999996" header="0.31496062000000002" footer="0.31496062000000002"/>
  <ignoredErrors>
    <ignoredError sqref="E13 E19 D12:E12 E27 G67 G72 G74 G77 G82:G84 G86 G100 G95 G93 G90 G115 G126 G137 G142 G151 G162 G178 G183 G198 G213 G226 G237 G252 G261 G270 G279 G288 D31" formula="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N99"/>
  <sheetViews>
    <sheetView showGridLines="0" zoomScale="80" zoomScaleNormal="80" workbookViewId="0">
      <pane xSplit="2" ySplit="1" topLeftCell="C2" activePane="bottomRight" state="frozen"/>
      <selection pane="topRight" activeCell="E1" sqref="E1"/>
      <selection pane="bottomLeft" activeCell="A3" sqref="A3"/>
      <selection pane="bottomRight" activeCell="P95" sqref="P95"/>
    </sheetView>
  </sheetViews>
  <sheetFormatPr defaultRowHeight="15" x14ac:dyDescent="0.25"/>
  <cols>
    <col min="1" max="1" width="14" customWidth="1"/>
    <col min="2" max="2" width="59.28515625" customWidth="1"/>
    <col min="3" max="37" width="18.7109375" customWidth="1"/>
    <col min="38" max="38" width="20.7109375" customWidth="1"/>
    <col min="39" max="39" width="19.85546875" customWidth="1"/>
    <col min="40" max="40" width="18.42578125" bestFit="1" customWidth="1"/>
    <col min="41" max="41" width="17.42578125" customWidth="1"/>
    <col min="42" max="45" width="9.28515625" bestFit="1" customWidth="1"/>
    <col min="47" max="47" width="9.28515625" bestFit="1" customWidth="1"/>
  </cols>
  <sheetData>
    <row r="1" spans="1:40" ht="15.75" thickBot="1" x14ac:dyDescent="0.3">
      <c r="A1" s="309" t="s">
        <v>520</v>
      </c>
      <c r="B1" s="445" t="s">
        <v>17</v>
      </c>
      <c r="C1" s="446">
        <v>1</v>
      </c>
      <c r="D1" s="446">
        <f t="shared" ref="D1:AF1" si="0">C1+1</f>
        <v>2</v>
      </c>
      <c r="E1" s="446">
        <f t="shared" si="0"/>
        <v>3</v>
      </c>
      <c r="F1" s="446">
        <f t="shared" si="0"/>
        <v>4</v>
      </c>
      <c r="G1" s="446">
        <f t="shared" si="0"/>
        <v>5</v>
      </c>
      <c r="H1" s="446">
        <f t="shared" si="0"/>
        <v>6</v>
      </c>
      <c r="I1" s="446">
        <f t="shared" si="0"/>
        <v>7</v>
      </c>
      <c r="J1" s="446">
        <f t="shared" si="0"/>
        <v>8</v>
      </c>
      <c r="K1" s="446">
        <f t="shared" si="0"/>
        <v>9</v>
      </c>
      <c r="L1" s="446">
        <f t="shared" si="0"/>
        <v>10</v>
      </c>
      <c r="M1" s="446">
        <f t="shared" si="0"/>
        <v>11</v>
      </c>
      <c r="N1" s="446">
        <f t="shared" si="0"/>
        <v>12</v>
      </c>
      <c r="O1" s="446">
        <f t="shared" si="0"/>
        <v>13</v>
      </c>
      <c r="P1" s="446">
        <f t="shared" si="0"/>
        <v>14</v>
      </c>
      <c r="Q1" s="446">
        <f t="shared" si="0"/>
        <v>15</v>
      </c>
      <c r="R1" s="446">
        <f t="shared" si="0"/>
        <v>16</v>
      </c>
      <c r="S1" s="446">
        <f t="shared" si="0"/>
        <v>17</v>
      </c>
      <c r="T1" s="446">
        <f t="shared" si="0"/>
        <v>18</v>
      </c>
      <c r="U1" s="446">
        <f t="shared" si="0"/>
        <v>19</v>
      </c>
      <c r="V1" s="446">
        <f t="shared" si="0"/>
        <v>20</v>
      </c>
      <c r="W1" s="446">
        <f t="shared" si="0"/>
        <v>21</v>
      </c>
      <c r="X1" s="446">
        <f t="shared" si="0"/>
        <v>22</v>
      </c>
      <c r="Y1" s="446">
        <f t="shared" si="0"/>
        <v>23</v>
      </c>
      <c r="Z1" s="446">
        <f t="shared" si="0"/>
        <v>24</v>
      </c>
      <c r="AA1" s="446">
        <f t="shared" si="0"/>
        <v>25</v>
      </c>
      <c r="AB1" s="446">
        <f t="shared" si="0"/>
        <v>26</v>
      </c>
      <c r="AC1" s="446">
        <f t="shared" si="0"/>
        <v>27</v>
      </c>
      <c r="AD1" s="446">
        <f t="shared" si="0"/>
        <v>28</v>
      </c>
      <c r="AE1" s="446">
        <f t="shared" si="0"/>
        <v>29</v>
      </c>
      <c r="AF1" s="446">
        <f t="shared" si="0"/>
        <v>30</v>
      </c>
      <c r="AG1" s="446">
        <f t="shared" ref="AG1" si="1">AF1+1</f>
        <v>31</v>
      </c>
      <c r="AH1" s="446">
        <f t="shared" ref="AH1" si="2">AG1+1</f>
        <v>32</v>
      </c>
      <c r="AI1" s="446">
        <f t="shared" ref="AI1" si="3">AH1+1</f>
        <v>33</v>
      </c>
      <c r="AJ1" s="446">
        <f t="shared" ref="AJ1" si="4">AI1+1</f>
        <v>34</v>
      </c>
      <c r="AK1" s="446">
        <f t="shared" ref="AK1" si="5">AJ1+1</f>
        <v>35</v>
      </c>
      <c r="AL1" s="447"/>
    </row>
    <row r="2" spans="1:40" ht="15.75" thickBot="1" x14ac:dyDescent="0.3">
      <c r="A2" s="145" t="s">
        <v>526</v>
      </c>
      <c r="B2" s="448"/>
      <c r="C2" s="71"/>
      <c r="D2" s="71"/>
      <c r="E2" s="71"/>
      <c r="F2" s="71"/>
      <c r="G2" s="71"/>
      <c r="H2" s="71"/>
      <c r="I2" s="71"/>
      <c r="J2" s="71"/>
      <c r="K2" s="71"/>
      <c r="L2" s="71"/>
      <c r="M2" s="71"/>
      <c r="N2" s="71"/>
      <c r="O2" s="71"/>
      <c r="P2" s="71"/>
      <c r="Q2" s="71"/>
      <c r="R2" s="71"/>
      <c r="S2" s="71"/>
      <c r="T2" s="71"/>
      <c r="U2" s="71"/>
      <c r="V2" s="71"/>
      <c r="W2" s="71"/>
      <c r="X2" s="71"/>
      <c r="Y2" s="71"/>
      <c r="Z2" s="71"/>
      <c r="AA2" s="71"/>
      <c r="AB2" s="71"/>
      <c r="AC2" s="71"/>
      <c r="AD2" s="71"/>
      <c r="AE2" s="71"/>
      <c r="AF2" s="71"/>
      <c r="AG2" s="71"/>
      <c r="AH2" s="71"/>
      <c r="AI2" s="71"/>
      <c r="AJ2" s="71"/>
      <c r="AK2" s="71"/>
      <c r="AL2" s="449"/>
    </row>
    <row r="3" spans="1:40" ht="16.5" thickTop="1" thickBot="1" x14ac:dyDescent="0.3">
      <c r="A3" s="213" t="s">
        <v>522</v>
      </c>
      <c r="B3" s="450" t="s">
        <v>650</v>
      </c>
      <c r="C3" s="100">
        <v>1</v>
      </c>
      <c r="D3" s="100">
        <f t="shared" ref="D3:D4" si="6">C3+1</f>
        <v>2</v>
      </c>
      <c r="E3" s="100">
        <f t="shared" ref="E3:E4" si="7">D3+1</f>
        <v>3</v>
      </c>
      <c r="F3" s="100">
        <f t="shared" ref="F3:F4" si="8">E3+1</f>
        <v>4</v>
      </c>
      <c r="G3" s="100">
        <f t="shared" ref="G3:G4" si="9">F3+1</f>
        <v>5</v>
      </c>
      <c r="H3" s="100">
        <f t="shared" ref="H3:H4" si="10">G3+1</f>
        <v>6</v>
      </c>
      <c r="I3" s="100">
        <f t="shared" ref="I3:I4" si="11">H3+1</f>
        <v>7</v>
      </c>
      <c r="J3" s="100">
        <f t="shared" ref="J3:J4" si="12">I3+1</f>
        <v>8</v>
      </c>
      <c r="K3" s="100">
        <f t="shared" ref="K3:K4" si="13">J3+1</f>
        <v>9</v>
      </c>
      <c r="L3" s="100">
        <f t="shared" ref="L3:L4" si="14">K3+1</f>
        <v>10</v>
      </c>
      <c r="M3" s="100">
        <f t="shared" ref="M3:M4" si="15">L3+1</f>
        <v>11</v>
      </c>
      <c r="N3" s="100">
        <f t="shared" ref="N3:N4" si="16">M3+1</f>
        <v>12</v>
      </c>
      <c r="O3" s="100">
        <f t="shared" ref="O3:O4" si="17">N3+1</f>
        <v>13</v>
      </c>
      <c r="P3" s="100">
        <f t="shared" ref="P3:P4" si="18">O3+1</f>
        <v>14</v>
      </c>
      <c r="Q3" s="100">
        <f t="shared" ref="Q3:Q4" si="19">P3+1</f>
        <v>15</v>
      </c>
      <c r="R3" s="100">
        <f t="shared" ref="R3:R4" si="20">Q3+1</f>
        <v>16</v>
      </c>
      <c r="S3" s="100">
        <f t="shared" ref="S3:S4" si="21">R3+1</f>
        <v>17</v>
      </c>
      <c r="T3" s="100">
        <f t="shared" ref="T3:T4" si="22">S3+1</f>
        <v>18</v>
      </c>
      <c r="U3" s="100">
        <f t="shared" ref="U3:U4" si="23">T3+1</f>
        <v>19</v>
      </c>
      <c r="V3" s="100">
        <f t="shared" ref="V3:V4" si="24">U3+1</f>
        <v>20</v>
      </c>
      <c r="W3" s="100">
        <f t="shared" ref="W3:W4" si="25">V3+1</f>
        <v>21</v>
      </c>
      <c r="X3" s="100">
        <f t="shared" ref="X3:X4" si="26">W3+1</f>
        <v>22</v>
      </c>
      <c r="Y3" s="100">
        <f t="shared" ref="Y3:Y4" si="27">X3+1</f>
        <v>23</v>
      </c>
      <c r="Z3" s="100">
        <f t="shared" ref="Z3:Z4" si="28">Y3+1</f>
        <v>24</v>
      </c>
      <c r="AA3" s="100">
        <f t="shared" ref="AA3:AA4" si="29">Z3+1</f>
        <v>25</v>
      </c>
      <c r="AB3" s="100">
        <f t="shared" ref="AB3:AB4" si="30">AA3+1</f>
        <v>26</v>
      </c>
      <c r="AC3" s="100">
        <f t="shared" ref="AC3:AC4" si="31">AB3+1</f>
        <v>27</v>
      </c>
      <c r="AD3" s="100">
        <f t="shared" ref="AD3:AD4" si="32">AC3+1</f>
        <v>28</v>
      </c>
      <c r="AE3" s="100">
        <f t="shared" ref="AE3:AE4" si="33">AD3+1</f>
        <v>29</v>
      </c>
      <c r="AF3" s="100">
        <f t="shared" ref="AF3:AF4" si="34">AE3+1</f>
        <v>30</v>
      </c>
      <c r="AG3" s="100">
        <f t="shared" ref="AG3:AG4" si="35">AF3+1</f>
        <v>31</v>
      </c>
      <c r="AH3" s="100">
        <f t="shared" ref="AH3:AH4" si="36">AG3+1</f>
        <v>32</v>
      </c>
      <c r="AI3" s="100">
        <f t="shared" ref="AI3:AI4" si="37">AH3+1</f>
        <v>33</v>
      </c>
      <c r="AJ3" s="100">
        <f t="shared" ref="AJ3:AJ4" si="38">AI3+1</f>
        <v>34</v>
      </c>
      <c r="AK3" s="100">
        <f t="shared" ref="AK3:AK4" si="39">AJ3+1</f>
        <v>35</v>
      </c>
      <c r="AL3" s="1106" t="s">
        <v>23</v>
      </c>
    </row>
    <row r="4" spans="1:40" x14ac:dyDescent="0.25">
      <c r="B4" s="451"/>
      <c r="C4" s="101">
        <f>'FCD PROJETO'!F24</f>
        <v>2027</v>
      </c>
      <c r="D4" s="101">
        <f t="shared" si="6"/>
        <v>2028</v>
      </c>
      <c r="E4" s="101">
        <f t="shared" si="7"/>
        <v>2029</v>
      </c>
      <c r="F4" s="101">
        <f t="shared" si="8"/>
        <v>2030</v>
      </c>
      <c r="G4" s="101">
        <f t="shared" si="9"/>
        <v>2031</v>
      </c>
      <c r="H4" s="101">
        <f t="shared" si="10"/>
        <v>2032</v>
      </c>
      <c r="I4" s="101">
        <f t="shared" si="11"/>
        <v>2033</v>
      </c>
      <c r="J4" s="101">
        <f t="shared" si="12"/>
        <v>2034</v>
      </c>
      <c r="K4" s="101">
        <f t="shared" si="13"/>
        <v>2035</v>
      </c>
      <c r="L4" s="101">
        <f t="shared" si="14"/>
        <v>2036</v>
      </c>
      <c r="M4" s="101">
        <f t="shared" si="15"/>
        <v>2037</v>
      </c>
      <c r="N4" s="101">
        <f t="shared" si="16"/>
        <v>2038</v>
      </c>
      <c r="O4" s="101">
        <f t="shared" si="17"/>
        <v>2039</v>
      </c>
      <c r="P4" s="101">
        <f t="shared" si="18"/>
        <v>2040</v>
      </c>
      <c r="Q4" s="101">
        <f t="shared" si="19"/>
        <v>2041</v>
      </c>
      <c r="R4" s="101">
        <f t="shared" si="20"/>
        <v>2042</v>
      </c>
      <c r="S4" s="101">
        <f t="shared" si="21"/>
        <v>2043</v>
      </c>
      <c r="T4" s="101">
        <f t="shared" si="22"/>
        <v>2044</v>
      </c>
      <c r="U4" s="101">
        <f t="shared" si="23"/>
        <v>2045</v>
      </c>
      <c r="V4" s="101">
        <f t="shared" si="24"/>
        <v>2046</v>
      </c>
      <c r="W4" s="101">
        <f t="shared" si="25"/>
        <v>2047</v>
      </c>
      <c r="X4" s="101">
        <f t="shared" si="26"/>
        <v>2048</v>
      </c>
      <c r="Y4" s="101">
        <f t="shared" si="27"/>
        <v>2049</v>
      </c>
      <c r="Z4" s="101">
        <f t="shared" si="28"/>
        <v>2050</v>
      </c>
      <c r="AA4" s="101">
        <f t="shared" si="29"/>
        <v>2051</v>
      </c>
      <c r="AB4" s="101">
        <f t="shared" si="30"/>
        <v>2052</v>
      </c>
      <c r="AC4" s="101">
        <f t="shared" si="31"/>
        <v>2053</v>
      </c>
      <c r="AD4" s="101">
        <f t="shared" si="32"/>
        <v>2054</v>
      </c>
      <c r="AE4" s="101">
        <f t="shared" si="33"/>
        <v>2055</v>
      </c>
      <c r="AF4" s="101">
        <f t="shared" si="34"/>
        <v>2056</v>
      </c>
      <c r="AG4" s="101">
        <f t="shared" si="35"/>
        <v>2057</v>
      </c>
      <c r="AH4" s="101">
        <f t="shared" si="36"/>
        <v>2058</v>
      </c>
      <c r="AI4" s="101">
        <f t="shared" si="37"/>
        <v>2059</v>
      </c>
      <c r="AJ4" s="101">
        <f t="shared" si="38"/>
        <v>2060</v>
      </c>
      <c r="AK4" s="101">
        <f t="shared" si="39"/>
        <v>2061</v>
      </c>
      <c r="AL4" s="1107"/>
    </row>
    <row r="5" spans="1:40" x14ac:dyDescent="0.25">
      <c r="B5" s="452" t="s">
        <v>70</v>
      </c>
      <c r="C5" s="146">
        <f>ROUND(CAPEX!$D5*'Base Física'!F$33,2)</f>
        <v>0</v>
      </c>
      <c r="D5" s="146">
        <f>ROUND(CAPEX!$D5*'Base Física'!G$33,2)</f>
        <v>0</v>
      </c>
      <c r="E5" s="146">
        <f>ROUND(CAPEX!$D5*'Base Física'!H$33,2)</f>
        <v>0</v>
      </c>
      <c r="F5" s="146">
        <f>ROUND(CAPEX!$D5*'Base Física'!I$33,2)</f>
        <v>0</v>
      </c>
      <c r="G5" s="146">
        <f>ROUND(CAPEX!$D5*'Base Física'!J$33,2)</f>
        <v>0</v>
      </c>
      <c r="H5" s="146">
        <f>ROUND(CAPEX!$D5*'Base Física'!K$33,2)</f>
        <v>0</v>
      </c>
      <c r="I5" s="146">
        <f>ROUND(CAPEX!$D5*'Base Física'!L$33,2)</f>
        <v>0</v>
      </c>
      <c r="J5" s="146">
        <f>ROUND(CAPEX!$D5*'Base Física'!M$33,2)</f>
        <v>0</v>
      </c>
      <c r="K5" s="146">
        <f>ROUND(CAPEX!$D5*'Base Física'!N$33,2)</f>
        <v>0</v>
      </c>
      <c r="L5" s="146">
        <f>ROUND(CAPEX!$D5*'Base Física'!O$33,2)</f>
        <v>0</v>
      </c>
      <c r="M5" s="146">
        <f>ROUND(CAPEX!$D5*'Base Física'!P$33,2)</f>
        <v>0</v>
      </c>
      <c r="N5" s="146">
        <f>ROUND(CAPEX!$D5*'Base Física'!Q$33,2)</f>
        <v>0</v>
      </c>
      <c r="O5" s="146">
        <f>ROUND(CAPEX!$D5*'Base Física'!R$33,2)</f>
        <v>0</v>
      </c>
      <c r="P5" s="146">
        <f>ROUND(CAPEX!$D5*'Base Física'!S$33,2)</f>
        <v>0</v>
      </c>
      <c r="Q5" s="146">
        <f>ROUND(CAPEX!$D5*'Base Física'!T$33,2)</f>
        <v>0</v>
      </c>
      <c r="R5" s="146">
        <f>ROUND(CAPEX!$D5*'Base Física'!U$33,2)</f>
        <v>0</v>
      </c>
      <c r="S5" s="146">
        <f>ROUND(CAPEX!$D5*'Base Física'!V$33,2)</f>
        <v>0</v>
      </c>
      <c r="T5" s="146">
        <f>ROUND(CAPEX!$D5*'Base Física'!W$33,2)</f>
        <v>0</v>
      </c>
      <c r="U5" s="146">
        <f>ROUND(CAPEX!$D5*'Base Física'!X$33,2)</f>
        <v>0</v>
      </c>
      <c r="V5" s="146">
        <f>ROUND(CAPEX!$D5*'Base Física'!Y$33,2)</f>
        <v>0</v>
      </c>
      <c r="W5" s="146">
        <f>ROUND(CAPEX!$D5*'Base Física'!Z$33,2)</f>
        <v>0</v>
      </c>
      <c r="X5" s="146">
        <f>ROUND(CAPEX!$D5*'Base Física'!AA$33,2)</f>
        <v>0</v>
      </c>
      <c r="Y5" s="146">
        <f>ROUND(CAPEX!$D5*'Base Física'!AB$33,2)</f>
        <v>0</v>
      </c>
      <c r="Z5" s="146">
        <f>ROUND(CAPEX!$D5*'Base Física'!AC$33,2)</f>
        <v>0</v>
      </c>
      <c r="AA5" s="146">
        <f>ROUND(CAPEX!$D5*'Base Física'!AD$33,2)</f>
        <v>0</v>
      </c>
      <c r="AB5" s="146">
        <f>ROUND(CAPEX!$D5*'Base Física'!AE$33,2)</f>
        <v>0</v>
      </c>
      <c r="AC5" s="146">
        <f>ROUND(CAPEX!$D5*'Base Física'!AF$33,2)</f>
        <v>0</v>
      </c>
      <c r="AD5" s="146">
        <f>ROUND(CAPEX!$D5*'Base Física'!AG$33,2)</f>
        <v>0</v>
      </c>
      <c r="AE5" s="146">
        <f>ROUND(CAPEX!$D5*'Base Física'!AH$33,2)</f>
        <v>0</v>
      </c>
      <c r="AF5" s="146">
        <f>ROUND(CAPEX!$D5*'Base Física'!AI$33,2)</f>
        <v>0</v>
      </c>
      <c r="AG5" s="146">
        <f>ROUND(CAPEX!$D5*'Base Física'!AJ$33,2)</f>
        <v>0</v>
      </c>
      <c r="AH5" s="146">
        <f>ROUND(CAPEX!$D5*'Base Física'!AK$33,2)</f>
        <v>0</v>
      </c>
      <c r="AI5" s="146">
        <f>ROUND(CAPEX!$D5*'Base Física'!AL$33,2)</f>
        <v>0</v>
      </c>
      <c r="AJ5" s="146">
        <f>ROUND(CAPEX!$D5*'Base Física'!AM$33,2)</f>
        <v>0</v>
      </c>
      <c r="AK5" s="146">
        <f>ROUND(CAPEX!$D5*'Base Física'!AN$33,2)</f>
        <v>0</v>
      </c>
      <c r="AL5" s="453">
        <f t="shared" ref="AL5:AL11" si="40">+SUM(C5:AK5)</f>
        <v>0</v>
      </c>
      <c r="AM5" s="71"/>
      <c r="AN5" s="71"/>
    </row>
    <row r="6" spans="1:40" x14ac:dyDescent="0.25">
      <c r="B6" s="452" t="s">
        <v>65</v>
      </c>
      <c r="C6" s="146">
        <f>ROUND(CAPEX!$D6*'Base Física'!F$33,2)</f>
        <v>0</v>
      </c>
      <c r="D6" s="146">
        <f>ROUND(CAPEX!$D6*'Base Física'!G$33,2)</f>
        <v>0</v>
      </c>
      <c r="E6" s="146">
        <f>ROUND(CAPEX!$D6*'Base Física'!H$33,2)</f>
        <v>0</v>
      </c>
      <c r="F6" s="146">
        <f>ROUND(CAPEX!$D6*'Base Física'!I$33,2)</f>
        <v>0</v>
      </c>
      <c r="G6" s="146">
        <f>ROUND(CAPEX!$D6*'Base Física'!J$33,2)</f>
        <v>0</v>
      </c>
      <c r="H6" s="146">
        <f>ROUND(CAPEX!$D6*'Base Física'!K$33,2)</f>
        <v>0</v>
      </c>
      <c r="I6" s="146">
        <f>ROUND(CAPEX!$D6*'Base Física'!L$33,2)</f>
        <v>0</v>
      </c>
      <c r="J6" s="146">
        <f>ROUND(CAPEX!$D6*'Base Física'!M$33,2)</f>
        <v>0</v>
      </c>
      <c r="K6" s="146">
        <f>ROUND(CAPEX!$D6*'Base Física'!N$33,2)</f>
        <v>0</v>
      </c>
      <c r="L6" s="146">
        <f>ROUND(CAPEX!$D6*'Base Física'!O$33,2)</f>
        <v>0</v>
      </c>
      <c r="M6" s="146">
        <f>ROUND(CAPEX!$D6*'Base Física'!P$33,2)</f>
        <v>0</v>
      </c>
      <c r="N6" s="146">
        <f>ROUND(CAPEX!$D6*'Base Física'!Q$33,2)</f>
        <v>0</v>
      </c>
      <c r="O6" s="146">
        <f>ROUND(CAPEX!$D6*'Base Física'!R$33,2)</f>
        <v>0</v>
      </c>
      <c r="P6" s="146">
        <f>ROUND(CAPEX!$D6*'Base Física'!S$33,2)</f>
        <v>0</v>
      </c>
      <c r="Q6" s="146">
        <f>ROUND(CAPEX!$D6*'Base Física'!T$33,2)</f>
        <v>0</v>
      </c>
      <c r="R6" s="146">
        <f>ROUND(CAPEX!$D6*'Base Física'!U$33,2)</f>
        <v>0</v>
      </c>
      <c r="S6" s="146">
        <f>ROUND(CAPEX!$D6*'Base Física'!V$33,2)</f>
        <v>0</v>
      </c>
      <c r="T6" s="146">
        <f>ROUND(CAPEX!$D6*'Base Física'!W$33,2)</f>
        <v>0</v>
      </c>
      <c r="U6" s="146">
        <f>ROUND(CAPEX!$D6*'Base Física'!X$33,2)</f>
        <v>0</v>
      </c>
      <c r="V6" s="146">
        <f>ROUND(CAPEX!$D6*'Base Física'!Y$33,2)</f>
        <v>0</v>
      </c>
      <c r="W6" s="146">
        <f>ROUND(CAPEX!$D6*'Base Física'!Z$33,2)</f>
        <v>0</v>
      </c>
      <c r="X6" s="146">
        <f>ROUND(CAPEX!$D6*'Base Física'!AA$33,2)</f>
        <v>0</v>
      </c>
      <c r="Y6" s="146">
        <f>ROUND(CAPEX!$D6*'Base Física'!AB$33,2)</f>
        <v>0</v>
      </c>
      <c r="Z6" s="146">
        <f>ROUND(CAPEX!$D6*'Base Física'!AC$33,2)</f>
        <v>0</v>
      </c>
      <c r="AA6" s="146">
        <f>ROUND(CAPEX!$D6*'Base Física'!AD$33,2)</f>
        <v>0</v>
      </c>
      <c r="AB6" s="146">
        <f>ROUND(CAPEX!$D6*'Base Física'!AE$33,2)</f>
        <v>0</v>
      </c>
      <c r="AC6" s="146">
        <f>ROUND(CAPEX!$D6*'Base Física'!AF$33,2)</f>
        <v>0</v>
      </c>
      <c r="AD6" s="146">
        <f>ROUND(CAPEX!$D6*'Base Física'!AG$33,2)</f>
        <v>0</v>
      </c>
      <c r="AE6" s="146">
        <f>ROUND(CAPEX!$D6*'Base Física'!AH$33,2)</f>
        <v>0</v>
      </c>
      <c r="AF6" s="146">
        <f>ROUND(CAPEX!$D6*'Base Física'!AI$33,2)</f>
        <v>0</v>
      </c>
      <c r="AG6" s="146">
        <f>ROUND(CAPEX!$D6*'Base Física'!AJ$33,2)</f>
        <v>0</v>
      </c>
      <c r="AH6" s="146">
        <f>ROUND(CAPEX!$D6*'Base Física'!AK$33,2)</f>
        <v>0</v>
      </c>
      <c r="AI6" s="146">
        <f>ROUND(CAPEX!$D6*'Base Física'!AL$33,2)</f>
        <v>0</v>
      </c>
      <c r="AJ6" s="146">
        <f>ROUND(CAPEX!$D6*'Base Física'!AM$33,2)</f>
        <v>0</v>
      </c>
      <c r="AK6" s="146">
        <f>ROUND(CAPEX!$D6*'Base Física'!AN$33,2)</f>
        <v>0</v>
      </c>
      <c r="AL6" s="453">
        <f t="shared" si="40"/>
        <v>0</v>
      </c>
      <c r="AM6" s="71"/>
    </row>
    <row r="7" spans="1:40" x14ac:dyDescent="0.25">
      <c r="B7" s="452" t="s">
        <v>66</v>
      </c>
      <c r="C7" s="146">
        <f>ROUND(CAPEX!$D7*'Base Física'!F$33,2)</f>
        <v>0</v>
      </c>
      <c r="D7" s="146">
        <f>ROUND(CAPEX!$D7*'Base Física'!G$33,2)</f>
        <v>0</v>
      </c>
      <c r="E7" s="146">
        <f>ROUND(CAPEX!$D7*'Base Física'!H$33,2)</f>
        <v>0</v>
      </c>
      <c r="F7" s="146">
        <f>ROUND(CAPEX!$D7*'Base Física'!I$33,2)</f>
        <v>0</v>
      </c>
      <c r="G7" s="146">
        <f>ROUND(CAPEX!$D7*'Base Física'!J$33,2)</f>
        <v>0</v>
      </c>
      <c r="H7" s="146">
        <f>ROUND(CAPEX!$D7*'Base Física'!K$33,2)</f>
        <v>0</v>
      </c>
      <c r="I7" s="146">
        <f>ROUND(CAPEX!$D7*'Base Física'!L$33,2)</f>
        <v>0</v>
      </c>
      <c r="J7" s="146">
        <f>ROUND(CAPEX!$D7*'Base Física'!M$33,2)</f>
        <v>0</v>
      </c>
      <c r="K7" s="146">
        <f>ROUND(CAPEX!$D7*'Base Física'!N$33,2)</f>
        <v>0</v>
      </c>
      <c r="L7" s="146">
        <f>ROUND(CAPEX!$D7*'Base Física'!O$33,2)</f>
        <v>0</v>
      </c>
      <c r="M7" s="146">
        <f>ROUND(CAPEX!$D7*'Base Física'!P$33,2)</f>
        <v>0</v>
      </c>
      <c r="N7" s="146">
        <f>ROUND(CAPEX!$D7*'Base Física'!Q$33,2)</f>
        <v>0</v>
      </c>
      <c r="O7" s="146">
        <f>ROUND(CAPEX!$D7*'Base Física'!R$33,2)</f>
        <v>0</v>
      </c>
      <c r="P7" s="146">
        <f>ROUND(CAPEX!$D7*'Base Física'!S$33,2)</f>
        <v>0</v>
      </c>
      <c r="Q7" s="146">
        <f>ROUND(CAPEX!$D7*'Base Física'!T$33,2)</f>
        <v>0</v>
      </c>
      <c r="R7" s="146">
        <f>ROUND(CAPEX!$D7*'Base Física'!U$33,2)</f>
        <v>0</v>
      </c>
      <c r="S7" s="146">
        <f>ROUND(CAPEX!$D7*'Base Física'!V$33,2)</f>
        <v>0</v>
      </c>
      <c r="T7" s="146">
        <f>ROUND(CAPEX!$D7*'Base Física'!W$33,2)</f>
        <v>0</v>
      </c>
      <c r="U7" s="146">
        <f>ROUND(CAPEX!$D7*'Base Física'!X$33,2)</f>
        <v>0</v>
      </c>
      <c r="V7" s="146">
        <f>ROUND(CAPEX!$D7*'Base Física'!Y$33,2)</f>
        <v>0</v>
      </c>
      <c r="W7" s="146">
        <f>ROUND(CAPEX!$D7*'Base Física'!Z$33,2)</f>
        <v>0</v>
      </c>
      <c r="X7" s="146">
        <f>ROUND(CAPEX!$D7*'Base Física'!AA$33,2)</f>
        <v>0</v>
      </c>
      <c r="Y7" s="146">
        <f>ROUND(CAPEX!$D7*'Base Física'!AB$33,2)</f>
        <v>0</v>
      </c>
      <c r="Z7" s="146">
        <f>ROUND(CAPEX!$D7*'Base Física'!AC$33,2)</f>
        <v>0</v>
      </c>
      <c r="AA7" s="146">
        <f>ROUND(CAPEX!$D7*'Base Física'!AD$33,2)</f>
        <v>0</v>
      </c>
      <c r="AB7" s="146">
        <f>ROUND(CAPEX!$D7*'Base Física'!AE$33,2)</f>
        <v>0</v>
      </c>
      <c r="AC7" s="146">
        <f>ROUND(CAPEX!$D7*'Base Física'!AF$33,2)</f>
        <v>0</v>
      </c>
      <c r="AD7" s="146">
        <f>ROUND(CAPEX!$D7*'Base Física'!AG$33,2)</f>
        <v>0</v>
      </c>
      <c r="AE7" s="146">
        <f>ROUND(CAPEX!$D7*'Base Física'!AH$33,2)</f>
        <v>0</v>
      </c>
      <c r="AF7" s="146">
        <f>ROUND(CAPEX!$D7*'Base Física'!AI$33,2)</f>
        <v>0</v>
      </c>
      <c r="AG7" s="146">
        <f>ROUND(CAPEX!$D7*'Base Física'!AJ$33,2)</f>
        <v>0</v>
      </c>
      <c r="AH7" s="146">
        <f>ROUND(CAPEX!$D7*'Base Física'!AK$33,2)</f>
        <v>0</v>
      </c>
      <c r="AI7" s="146">
        <f>ROUND(CAPEX!$D7*'Base Física'!AL$33,2)</f>
        <v>0</v>
      </c>
      <c r="AJ7" s="146">
        <f>ROUND(CAPEX!$D7*'Base Física'!AM$33,2)</f>
        <v>0</v>
      </c>
      <c r="AK7" s="146">
        <f>ROUND(CAPEX!$D7*'Base Física'!AN$33,2)</f>
        <v>0</v>
      </c>
      <c r="AL7" s="453">
        <f t="shared" si="40"/>
        <v>0</v>
      </c>
      <c r="AM7" s="71"/>
    </row>
    <row r="8" spans="1:40" x14ac:dyDescent="0.25">
      <c r="B8" s="452" t="s">
        <v>161</v>
      </c>
      <c r="C8" s="146">
        <f>ROUND(CAPEX!$D8*'Base Física'!F$33,2)</f>
        <v>0</v>
      </c>
      <c r="D8" s="146">
        <f>ROUND(CAPEX!$D8*'Base Física'!G$33,2)</f>
        <v>0</v>
      </c>
      <c r="E8" s="146">
        <f>ROUND(CAPEX!$D8*'Base Física'!H$33,2)</f>
        <v>0</v>
      </c>
      <c r="F8" s="146">
        <f>ROUND(CAPEX!$D8*'Base Física'!I$33,2)</f>
        <v>0</v>
      </c>
      <c r="G8" s="146">
        <f>ROUND(CAPEX!$D8*'Base Física'!J$33,2)</f>
        <v>0</v>
      </c>
      <c r="H8" s="146">
        <f>ROUND(CAPEX!$D8*'Base Física'!K$33,2)</f>
        <v>0</v>
      </c>
      <c r="I8" s="146">
        <f>ROUND(CAPEX!$D8*'Base Física'!L$33,2)</f>
        <v>0</v>
      </c>
      <c r="J8" s="146">
        <f>ROUND(CAPEX!$D8*'Base Física'!M$33,2)</f>
        <v>0</v>
      </c>
      <c r="K8" s="146">
        <f>ROUND(CAPEX!$D8*'Base Física'!N$33,2)</f>
        <v>0</v>
      </c>
      <c r="L8" s="146">
        <f>ROUND(CAPEX!$D8*'Base Física'!O$33,2)</f>
        <v>0</v>
      </c>
      <c r="M8" s="146">
        <f>ROUND(CAPEX!$D8*'Base Física'!P$33,2)</f>
        <v>0</v>
      </c>
      <c r="N8" s="146">
        <f>ROUND(CAPEX!$D8*'Base Física'!Q$33,2)</f>
        <v>0</v>
      </c>
      <c r="O8" s="146">
        <f>ROUND(CAPEX!$D8*'Base Física'!R$33,2)</f>
        <v>0</v>
      </c>
      <c r="P8" s="146">
        <f>ROUND(CAPEX!$D8*'Base Física'!S$33,2)</f>
        <v>0</v>
      </c>
      <c r="Q8" s="146">
        <f>ROUND(CAPEX!$D8*'Base Física'!T$33,2)</f>
        <v>0</v>
      </c>
      <c r="R8" s="146">
        <f>ROUND(CAPEX!$D8*'Base Física'!U$33,2)</f>
        <v>0</v>
      </c>
      <c r="S8" s="146">
        <f>ROUND(CAPEX!$D8*'Base Física'!V$33,2)</f>
        <v>0</v>
      </c>
      <c r="T8" s="146">
        <f>ROUND(CAPEX!$D8*'Base Física'!W$33,2)</f>
        <v>0</v>
      </c>
      <c r="U8" s="146">
        <f>ROUND(CAPEX!$D8*'Base Física'!X$33,2)</f>
        <v>0</v>
      </c>
      <c r="V8" s="146">
        <f>ROUND(CAPEX!$D8*'Base Física'!Y$33,2)</f>
        <v>0</v>
      </c>
      <c r="W8" s="146">
        <f>ROUND(CAPEX!$D8*'Base Física'!Z$33,2)</f>
        <v>0</v>
      </c>
      <c r="X8" s="146">
        <f>ROUND(CAPEX!$D8*'Base Física'!AA$33,2)</f>
        <v>0</v>
      </c>
      <c r="Y8" s="146">
        <f>ROUND(CAPEX!$D8*'Base Física'!AB$33,2)</f>
        <v>0</v>
      </c>
      <c r="Z8" s="146">
        <f>ROUND(CAPEX!$D8*'Base Física'!AC$33,2)</f>
        <v>0</v>
      </c>
      <c r="AA8" s="146">
        <f>ROUND(CAPEX!$D8*'Base Física'!AD$33,2)</f>
        <v>0</v>
      </c>
      <c r="AB8" s="146">
        <f>ROUND(CAPEX!$D8*'Base Física'!AE$33,2)</f>
        <v>0</v>
      </c>
      <c r="AC8" s="146">
        <f>ROUND(CAPEX!$D8*'Base Física'!AF$33,2)</f>
        <v>0</v>
      </c>
      <c r="AD8" s="146">
        <f>ROUND(CAPEX!$D8*'Base Física'!AG$33,2)</f>
        <v>0</v>
      </c>
      <c r="AE8" s="146">
        <f>ROUND(CAPEX!$D8*'Base Física'!AH$33,2)</f>
        <v>0</v>
      </c>
      <c r="AF8" s="146">
        <f>ROUND(CAPEX!$D8*'Base Física'!AI$33,2)</f>
        <v>0</v>
      </c>
      <c r="AG8" s="146">
        <f>ROUND(CAPEX!$D8*'Base Física'!AJ$33,2)</f>
        <v>0</v>
      </c>
      <c r="AH8" s="146">
        <f>ROUND(CAPEX!$D8*'Base Física'!AK$33,2)</f>
        <v>0</v>
      </c>
      <c r="AI8" s="146">
        <f>ROUND(CAPEX!$D8*'Base Física'!AL$33,2)</f>
        <v>0</v>
      </c>
      <c r="AJ8" s="146">
        <f>ROUND(CAPEX!$D8*'Base Física'!AM$33,2)</f>
        <v>0</v>
      </c>
      <c r="AK8" s="146">
        <f>ROUND(CAPEX!$D8*'Base Física'!AN$33,2)</f>
        <v>0</v>
      </c>
      <c r="AL8" s="453">
        <f t="shared" si="40"/>
        <v>0</v>
      </c>
      <c r="AM8" s="71"/>
    </row>
    <row r="9" spans="1:40" x14ac:dyDescent="0.25">
      <c r="B9" s="452" t="s">
        <v>67</v>
      </c>
      <c r="C9" s="146">
        <f>ROUND(CAPEX!$D9*'Base Física'!F$33,2)</f>
        <v>0</v>
      </c>
      <c r="D9" s="146">
        <f>ROUND(CAPEX!$D9*'Base Física'!G$33,2)</f>
        <v>0</v>
      </c>
      <c r="E9" s="146">
        <f>ROUND(CAPEX!$D9*'Base Física'!H$33,2)</f>
        <v>0</v>
      </c>
      <c r="F9" s="146">
        <f>ROUND(CAPEX!$D9*'Base Física'!I$33,2)</f>
        <v>0</v>
      </c>
      <c r="G9" s="146">
        <f>ROUND(CAPEX!$D9*'Base Física'!J$33,2)</f>
        <v>0</v>
      </c>
      <c r="H9" s="146">
        <f>ROUND(CAPEX!$D9*'Base Física'!K$33,2)</f>
        <v>0</v>
      </c>
      <c r="I9" s="146">
        <f>ROUND(CAPEX!$D9*'Base Física'!L$33,2)</f>
        <v>0</v>
      </c>
      <c r="J9" s="146">
        <f>ROUND(CAPEX!$D9*'Base Física'!M$33,2)</f>
        <v>0</v>
      </c>
      <c r="K9" s="146">
        <f>ROUND(CAPEX!$D9*'Base Física'!N$33,2)</f>
        <v>0</v>
      </c>
      <c r="L9" s="146">
        <f>ROUND(CAPEX!$D9*'Base Física'!O$33,2)</f>
        <v>0</v>
      </c>
      <c r="M9" s="146">
        <f>ROUND(CAPEX!$D9*'Base Física'!P$33,2)</f>
        <v>0</v>
      </c>
      <c r="N9" s="146">
        <f>ROUND(CAPEX!$D9*'Base Física'!Q$33,2)</f>
        <v>0</v>
      </c>
      <c r="O9" s="146">
        <f>ROUND(CAPEX!$D9*'Base Física'!R$33,2)</f>
        <v>0</v>
      </c>
      <c r="P9" s="146">
        <f>ROUND(CAPEX!$D9*'Base Física'!S$33,2)</f>
        <v>0</v>
      </c>
      <c r="Q9" s="146">
        <f>ROUND(CAPEX!$D9*'Base Física'!T$33,2)</f>
        <v>0</v>
      </c>
      <c r="R9" s="146">
        <f>ROUND(CAPEX!$D9*'Base Física'!U$33,2)</f>
        <v>0</v>
      </c>
      <c r="S9" s="146">
        <f>ROUND(CAPEX!$D9*'Base Física'!V$33,2)</f>
        <v>0</v>
      </c>
      <c r="T9" s="146">
        <f>ROUND(CAPEX!$D9*'Base Física'!W$33,2)</f>
        <v>0</v>
      </c>
      <c r="U9" s="146">
        <f>ROUND(CAPEX!$D9*'Base Física'!X$33,2)</f>
        <v>0</v>
      </c>
      <c r="V9" s="146">
        <f>ROUND(CAPEX!$D9*'Base Física'!Y$33,2)</f>
        <v>0</v>
      </c>
      <c r="W9" s="146">
        <f>ROUND(CAPEX!$D9*'Base Física'!Z$33,2)</f>
        <v>0</v>
      </c>
      <c r="X9" s="146">
        <f>ROUND(CAPEX!$D9*'Base Física'!AA$33,2)</f>
        <v>0</v>
      </c>
      <c r="Y9" s="146">
        <f>ROUND(CAPEX!$D9*'Base Física'!AB$33,2)</f>
        <v>0</v>
      </c>
      <c r="Z9" s="146">
        <f>ROUND(CAPEX!$D9*'Base Física'!AC$33,2)</f>
        <v>0</v>
      </c>
      <c r="AA9" s="146">
        <f>ROUND(CAPEX!$D9*'Base Física'!AD$33,2)</f>
        <v>0</v>
      </c>
      <c r="AB9" s="146">
        <f>ROUND(CAPEX!$D9*'Base Física'!AE$33,2)</f>
        <v>0</v>
      </c>
      <c r="AC9" s="146">
        <f>ROUND(CAPEX!$D9*'Base Física'!AF$33,2)</f>
        <v>0</v>
      </c>
      <c r="AD9" s="146">
        <f>ROUND(CAPEX!$D9*'Base Física'!AG$33,2)</f>
        <v>0</v>
      </c>
      <c r="AE9" s="146">
        <f>ROUND(CAPEX!$D9*'Base Física'!AH$33,2)</f>
        <v>0</v>
      </c>
      <c r="AF9" s="146">
        <f>ROUND(CAPEX!$D9*'Base Física'!AI$33,2)</f>
        <v>0</v>
      </c>
      <c r="AG9" s="146">
        <f>ROUND(CAPEX!$D9*'Base Física'!AJ$33,2)</f>
        <v>0</v>
      </c>
      <c r="AH9" s="146">
        <f>ROUND(CAPEX!$D9*'Base Física'!AK$33,2)</f>
        <v>0</v>
      </c>
      <c r="AI9" s="146">
        <f>ROUND(CAPEX!$D9*'Base Física'!AL$33,2)</f>
        <v>0</v>
      </c>
      <c r="AJ9" s="146">
        <f>ROUND(CAPEX!$D9*'Base Física'!AM$33,2)</f>
        <v>0</v>
      </c>
      <c r="AK9" s="146">
        <f>ROUND(CAPEX!$D9*'Base Física'!AN$33,2)</f>
        <v>0</v>
      </c>
      <c r="AL9" s="453">
        <f t="shared" si="40"/>
        <v>0</v>
      </c>
      <c r="AM9" s="71"/>
    </row>
    <row r="10" spans="1:40" x14ac:dyDescent="0.25">
      <c r="B10" s="452" t="s">
        <v>69</v>
      </c>
      <c r="C10" s="146">
        <f>ROUND(CAPEX!$D10*'Base Física'!F$33,2)</f>
        <v>0</v>
      </c>
      <c r="D10" s="146">
        <f>ROUND(CAPEX!$D10*'Base Física'!G$33,2)</f>
        <v>0</v>
      </c>
      <c r="E10" s="146">
        <f>ROUND(CAPEX!$D10*'Base Física'!H$33,2)</f>
        <v>0</v>
      </c>
      <c r="F10" s="146">
        <f>ROUND(CAPEX!$D10*'Base Física'!I$33,2)</f>
        <v>0</v>
      </c>
      <c r="G10" s="146">
        <f>ROUND(CAPEX!$D10*'Base Física'!J$33,2)</f>
        <v>0</v>
      </c>
      <c r="H10" s="146">
        <f>ROUND(CAPEX!$D10*'Base Física'!K$33,2)</f>
        <v>0</v>
      </c>
      <c r="I10" s="146">
        <f>ROUND(CAPEX!$D10*'Base Física'!L$33,2)</f>
        <v>0</v>
      </c>
      <c r="J10" s="146">
        <f>ROUND(CAPEX!$D10*'Base Física'!M$33,2)</f>
        <v>0</v>
      </c>
      <c r="K10" s="146">
        <f>ROUND(CAPEX!$D10*'Base Física'!N$33,2)</f>
        <v>0</v>
      </c>
      <c r="L10" s="146">
        <f>ROUND(CAPEX!$D10*'Base Física'!O$33,2)</f>
        <v>0</v>
      </c>
      <c r="M10" s="146">
        <f>ROUND(CAPEX!$D10*'Base Física'!P$33,2)</f>
        <v>0</v>
      </c>
      <c r="N10" s="146">
        <f>ROUND(CAPEX!$D10*'Base Física'!Q$33,2)</f>
        <v>0</v>
      </c>
      <c r="O10" s="146">
        <f>ROUND(CAPEX!$D10*'Base Física'!R$33,2)</f>
        <v>0</v>
      </c>
      <c r="P10" s="146">
        <f>ROUND(CAPEX!$D10*'Base Física'!S$33,2)</f>
        <v>0</v>
      </c>
      <c r="Q10" s="146">
        <f>ROUND(CAPEX!$D10*'Base Física'!T$33,2)</f>
        <v>0</v>
      </c>
      <c r="R10" s="146">
        <f>ROUND(CAPEX!$D10*'Base Física'!U$33,2)</f>
        <v>0</v>
      </c>
      <c r="S10" s="146">
        <f>ROUND(CAPEX!$D10*'Base Física'!V$33,2)</f>
        <v>0</v>
      </c>
      <c r="T10" s="146">
        <f>ROUND(CAPEX!$D10*'Base Física'!W$33,2)</f>
        <v>0</v>
      </c>
      <c r="U10" s="146">
        <f>ROUND(CAPEX!$D10*'Base Física'!X$33,2)</f>
        <v>0</v>
      </c>
      <c r="V10" s="146">
        <f>ROUND(CAPEX!$D10*'Base Física'!Y$33,2)</f>
        <v>0</v>
      </c>
      <c r="W10" s="146">
        <f>ROUND(CAPEX!$D10*'Base Física'!Z$33,2)</f>
        <v>0</v>
      </c>
      <c r="X10" s="146">
        <f>ROUND(CAPEX!$D10*'Base Física'!AA$33,2)</f>
        <v>0</v>
      </c>
      <c r="Y10" s="146">
        <f>ROUND(CAPEX!$D10*'Base Física'!AB$33,2)</f>
        <v>0</v>
      </c>
      <c r="Z10" s="146">
        <f>ROUND(CAPEX!$D10*'Base Física'!AC$33,2)</f>
        <v>0</v>
      </c>
      <c r="AA10" s="146">
        <f>ROUND(CAPEX!$D10*'Base Física'!AD$33,2)</f>
        <v>0</v>
      </c>
      <c r="AB10" s="146">
        <f>ROUND(CAPEX!$D10*'Base Física'!AE$33,2)</f>
        <v>0</v>
      </c>
      <c r="AC10" s="146">
        <f>ROUND(CAPEX!$D10*'Base Física'!AF$33,2)</f>
        <v>0</v>
      </c>
      <c r="AD10" s="146">
        <f>ROUND(CAPEX!$D10*'Base Física'!AG$33,2)</f>
        <v>0</v>
      </c>
      <c r="AE10" s="146">
        <f>ROUND(CAPEX!$D10*'Base Física'!AH$33,2)</f>
        <v>0</v>
      </c>
      <c r="AF10" s="146">
        <f>ROUND(CAPEX!$D10*'Base Física'!AI$33,2)</f>
        <v>0</v>
      </c>
      <c r="AG10" s="146">
        <f>ROUND(CAPEX!$D10*'Base Física'!AJ$33,2)</f>
        <v>0</v>
      </c>
      <c r="AH10" s="146">
        <f>ROUND(CAPEX!$D10*'Base Física'!AK$33,2)</f>
        <v>0</v>
      </c>
      <c r="AI10" s="146">
        <f>ROUND(CAPEX!$D10*'Base Física'!AL$33,2)</f>
        <v>0</v>
      </c>
      <c r="AJ10" s="146">
        <f>ROUND(CAPEX!$D10*'Base Física'!AM$33,2)</f>
        <v>0</v>
      </c>
      <c r="AK10" s="146">
        <f>ROUND(CAPEX!$D10*'Base Física'!AN$33,2)</f>
        <v>0</v>
      </c>
      <c r="AL10" s="453">
        <f t="shared" si="40"/>
        <v>0</v>
      </c>
      <c r="AM10" s="71"/>
    </row>
    <row r="11" spans="1:40" x14ac:dyDescent="0.25">
      <c r="B11" s="452" t="s">
        <v>68</v>
      </c>
      <c r="C11" s="146">
        <f>ROUND(CAPEX!$D11*'Base Física'!F$33,2)</f>
        <v>0</v>
      </c>
      <c r="D11" s="146">
        <f>ROUND(CAPEX!$D11*'Base Física'!G$33,2)</f>
        <v>0</v>
      </c>
      <c r="E11" s="146">
        <f>ROUND(CAPEX!$D11*'Base Física'!H$33,2)</f>
        <v>0</v>
      </c>
      <c r="F11" s="146">
        <f>ROUND(CAPEX!$D11*'Base Física'!I$33,2)</f>
        <v>0</v>
      </c>
      <c r="G11" s="146">
        <f>ROUND(CAPEX!$D11*'Base Física'!J$33,2)</f>
        <v>0</v>
      </c>
      <c r="H11" s="146">
        <f>ROUND(CAPEX!$D11*'Base Física'!K$33,2)</f>
        <v>0</v>
      </c>
      <c r="I11" s="146">
        <f>ROUND(CAPEX!$D11*'Base Física'!L$33,2)</f>
        <v>0</v>
      </c>
      <c r="J11" s="146">
        <f>ROUND(CAPEX!$D11*'Base Física'!M$33,2)</f>
        <v>0</v>
      </c>
      <c r="K11" s="146">
        <f>ROUND(CAPEX!$D11*'Base Física'!N$33,2)</f>
        <v>0</v>
      </c>
      <c r="L11" s="146">
        <f>ROUND(CAPEX!$D11*'Base Física'!O$33,2)</f>
        <v>0</v>
      </c>
      <c r="M11" s="146">
        <f>ROUND(CAPEX!$D11*'Base Física'!P$33,2)</f>
        <v>0</v>
      </c>
      <c r="N11" s="146">
        <f>ROUND(CAPEX!$D11*'Base Física'!Q$33,2)</f>
        <v>0</v>
      </c>
      <c r="O11" s="146">
        <f>ROUND(CAPEX!$D11*'Base Física'!R$33,2)</f>
        <v>0</v>
      </c>
      <c r="P11" s="146">
        <f>ROUND(CAPEX!$D11*'Base Física'!S$33,2)</f>
        <v>0</v>
      </c>
      <c r="Q11" s="146">
        <f>ROUND(CAPEX!$D11*'Base Física'!T$33,2)</f>
        <v>0</v>
      </c>
      <c r="R11" s="146">
        <f>ROUND(CAPEX!$D11*'Base Física'!U$33,2)</f>
        <v>0</v>
      </c>
      <c r="S11" s="146">
        <f>ROUND(CAPEX!$D11*'Base Física'!V$33,2)</f>
        <v>0</v>
      </c>
      <c r="T11" s="146">
        <f>ROUND(CAPEX!$D11*'Base Física'!W$33,2)</f>
        <v>0</v>
      </c>
      <c r="U11" s="146">
        <f>ROUND(CAPEX!$D11*'Base Física'!X$33,2)</f>
        <v>0</v>
      </c>
      <c r="V11" s="146">
        <f>ROUND(CAPEX!$D11*'Base Física'!Y$33,2)</f>
        <v>0</v>
      </c>
      <c r="W11" s="146">
        <f>ROUND(CAPEX!$D11*'Base Física'!Z$33,2)</f>
        <v>0</v>
      </c>
      <c r="X11" s="146">
        <f>ROUND(CAPEX!$D11*'Base Física'!AA$33,2)</f>
        <v>0</v>
      </c>
      <c r="Y11" s="146">
        <f>ROUND(CAPEX!$D11*'Base Física'!AB$33,2)</f>
        <v>0</v>
      </c>
      <c r="Z11" s="146">
        <f>ROUND(CAPEX!$D11*'Base Física'!AC$33,2)</f>
        <v>0</v>
      </c>
      <c r="AA11" s="146">
        <f>ROUND(CAPEX!$D11*'Base Física'!AD$33,2)</f>
        <v>0</v>
      </c>
      <c r="AB11" s="146">
        <f>ROUND(CAPEX!$D11*'Base Física'!AE$33,2)</f>
        <v>0</v>
      </c>
      <c r="AC11" s="146">
        <f>ROUND(CAPEX!$D11*'Base Física'!AF$33,2)</f>
        <v>0</v>
      </c>
      <c r="AD11" s="146">
        <f>ROUND(CAPEX!$D11*'Base Física'!AG$33,2)</f>
        <v>0</v>
      </c>
      <c r="AE11" s="146">
        <f>ROUND(CAPEX!$D11*'Base Física'!AH$33,2)</f>
        <v>0</v>
      </c>
      <c r="AF11" s="146">
        <f>ROUND(CAPEX!$D11*'Base Física'!AI$33,2)</f>
        <v>0</v>
      </c>
      <c r="AG11" s="146">
        <f>ROUND(CAPEX!$D11*'Base Física'!AJ$33,2)</f>
        <v>0</v>
      </c>
      <c r="AH11" s="146">
        <f>ROUND(CAPEX!$D11*'Base Física'!AK$33,2)</f>
        <v>0</v>
      </c>
      <c r="AI11" s="146">
        <f>ROUND(CAPEX!$D11*'Base Física'!AL$33,2)</f>
        <v>0</v>
      </c>
      <c r="AJ11" s="146">
        <f>ROUND(CAPEX!$D11*'Base Física'!AM$33,2)</f>
        <v>0</v>
      </c>
      <c r="AK11" s="146">
        <f>ROUND(CAPEX!$D11*'Base Física'!AN$33,2)</f>
        <v>0</v>
      </c>
      <c r="AL11" s="453">
        <f t="shared" si="40"/>
        <v>0</v>
      </c>
      <c r="AM11" s="71"/>
    </row>
    <row r="12" spans="1:40" x14ac:dyDescent="0.25">
      <c r="B12" s="454" t="s">
        <v>92</v>
      </c>
      <c r="C12" s="935">
        <f t="shared" ref="C12:AK12" si="41">SUM(C5:C11)</f>
        <v>0</v>
      </c>
      <c r="D12" s="935">
        <f t="shared" si="41"/>
        <v>0</v>
      </c>
      <c r="E12" s="935">
        <f t="shared" si="41"/>
        <v>0</v>
      </c>
      <c r="F12" s="935">
        <f t="shared" si="41"/>
        <v>0</v>
      </c>
      <c r="G12" s="935">
        <f t="shared" si="41"/>
        <v>0</v>
      </c>
      <c r="H12" s="935">
        <f t="shared" si="41"/>
        <v>0</v>
      </c>
      <c r="I12" s="935">
        <f t="shared" si="41"/>
        <v>0</v>
      </c>
      <c r="J12" s="935">
        <f t="shared" si="41"/>
        <v>0</v>
      </c>
      <c r="K12" s="935">
        <f t="shared" si="41"/>
        <v>0</v>
      </c>
      <c r="L12" s="935">
        <f t="shared" si="41"/>
        <v>0</v>
      </c>
      <c r="M12" s="935">
        <f t="shared" si="41"/>
        <v>0</v>
      </c>
      <c r="N12" s="935">
        <f t="shared" si="41"/>
        <v>0</v>
      </c>
      <c r="O12" s="935">
        <f t="shared" si="41"/>
        <v>0</v>
      </c>
      <c r="P12" s="935">
        <f t="shared" si="41"/>
        <v>0</v>
      </c>
      <c r="Q12" s="935">
        <f t="shared" si="41"/>
        <v>0</v>
      </c>
      <c r="R12" s="935">
        <f t="shared" si="41"/>
        <v>0</v>
      </c>
      <c r="S12" s="935">
        <f t="shared" si="41"/>
        <v>0</v>
      </c>
      <c r="T12" s="935">
        <f t="shared" si="41"/>
        <v>0</v>
      </c>
      <c r="U12" s="935">
        <f t="shared" si="41"/>
        <v>0</v>
      </c>
      <c r="V12" s="935">
        <f t="shared" si="41"/>
        <v>0</v>
      </c>
      <c r="W12" s="935">
        <f t="shared" si="41"/>
        <v>0</v>
      </c>
      <c r="X12" s="935">
        <f t="shared" si="41"/>
        <v>0</v>
      </c>
      <c r="Y12" s="935">
        <f t="shared" si="41"/>
        <v>0</v>
      </c>
      <c r="Z12" s="935">
        <f t="shared" si="41"/>
        <v>0</v>
      </c>
      <c r="AA12" s="935">
        <f t="shared" si="41"/>
        <v>0</v>
      </c>
      <c r="AB12" s="935">
        <f t="shared" si="41"/>
        <v>0</v>
      </c>
      <c r="AC12" s="935">
        <f t="shared" si="41"/>
        <v>0</v>
      </c>
      <c r="AD12" s="935">
        <f t="shared" si="41"/>
        <v>0</v>
      </c>
      <c r="AE12" s="935">
        <f t="shared" si="41"/>
        <v>0</v>
      </c>
      <c r="AF12" s="935">
        <f t="shared" si="41"/>
        <v>0</v>
      </c>
      <c r="AG12" s="935">
        <f t="shared" si="41"/>
        <v>0</v>
      </c>
      <c r="AH12" s="935">
        <f t="shared" si="41"/>
        <v>0</v>
      </c>
      <c r="AI12" s="935">
        <f t="shared" si="41"/>
        <v>0</v>
      </c>
      <c r="AJ12" s="935">
        <f t="shared" si="41"/>
        <v>0</v>
      </c>
      <c r="AK12" s="935">
        <f t="shared" si="41"/>
        <v>0</v>
      </c>
      <c r="AL12" s="936">
        <f>+SUM(C12:AK12)+5.8</f>
        <v>5.8</v>
      </c>
      <c r="AM12" s="71"/>
      <c r="AN12" s="71"/>
    </row>
    <row r="13" spans="1:40" x14ac:dyDescent="0.25">
      <c r="B13" s="452" t="s">
        <v>0</v>
      </c>
      <c r="C13" s="146">
        <f>ROUND(CAPEX!$D13*'Base Física'!F$34,2)</f>
        <v>0</v>
      </c>
      <c r="D13" s="146">
        <f>ROUND(CAPEX!$D13*'Base Física'!G$34,2)</f>
        <v>0</v>
      </c>
      <c r="E13" s="146">
        <f>ROUND(CAPEX!$D13*'Base Física'!H$34,2)</f>
        <v>0</v>
      </c>
      <c r="F13" s="146">
        <f>ROUND(CAPEX!$D13*'Base Física'!I$34,2)</f>
        <v>0</v>
      </c>
      <c r="G13" s="146">
        <f>ROUND(CAPEX!$D13*'Base Física'!J$34,2)</f>
        <v>0</v>
      </c>
      <c r="H13" s="146">
        <f>ROUND(CAPEX!$D13*'Base Física'!K$34,2)</f>
        <v>0</v>
      </c>
      <c r="I13" s="146">
        <f>ROUND(CAPEX!$D13*'Base Física'!L$34,2)</f>
        <v>0</v>
      </c>
      <c r="J13" s="146">
        <f>ROUND(CAPEX!$D13*'Base Física'!M$34,2)</f>
        <v>0</v>
      </c>
      <c r="K13" s="146">
        <f>ROUND(CAPEX!$D13*'Base Física'!N$34,2)</f>
        <v>0</v>
      </c>
      <c r="L13" s="146">
        <f>ROUND(CAPEX!$D13*'Base Física'!O$34,2)</f>
        <v>0</v>
      </c>
      <c r="M13" s="146">
        <f>ROUND(CAPEX!$D13*'Base Física'!P$34,2)</f>
        <v>0</v>
      </c>
      <c r="N13" s="146">
        <f>ROUND(CAPEX!$D13*'Base Física'!Q$34,2)</f>
        <v>0</v>
      </c>
      <c r="O13" s="146">
        <f>ROUND(CAPEX!$D13*'Base Física'!R$34,2)</f>
        <v>0</v>
      </c>
      <c r="P13" s="146">
        <f>ROUND(CAPEX!$D13*'Base Física'!S$34,2)</f>
        <v>0</v>
      </c>
      <c r="Q13" s="146">
        <f>ROUND(CAPEX!$D13*'Base Física'!T$34,2)</f>
        <v>0</v>
      </c>
      <c r="R13" s="146">
        <f>ROUND(CAPEX!$D13*'Base Física'!U$34,2)</f>
        <v>0</v>
      </c>
      <c r="S13" s="146">
        <f>ROUND(CAPEX!$D13*'Base Física'!V$34,2)</f>
        <v>0</v>
      </c>
      <c r="T13" s="146">
        <f>ROUND(CAPEX!$D13*'Base Física'!W$34,2)</f>
        <v>0</v>
      </c>
      <c r="U13" s="146">
        <f>ROUND(CAPEX!$D13*'Base Física'!X$34,2)</f>
        <v>0</v>
      </c>
      <c r="V13" s="146">
        <f>ROUND(CAPEX!$D13*'Base Física'!Y$34,2)</f>
        <v>0</v>
      </c>
      <c r="W13" s="146">
        <f>ROUND(CAPEX!$D13*'Base Física'!Z$34,2)</f>
        <v>0</v>
      </c>
      <c r="X13" s="146">
        <f>ROUND(CAPEX!$D13*'Base Física'!AA$34,2)</f>
        <v>0</v>
      </c>
      <c r="Y13" s="146">
        <f>ROUND(CAPEX!$D13*'Base Física'!AB$34,2)</f>
        <v>0</v>
      </c>
      <c r="Z13" s="146">
        <f>ROUND(CAPEX!$D13*'Base Física'!AC$34,2)</f>
        <v>0</v>
      </c>
      <c r="AA13" s="146">
        <f>ROUND(CAPEX!$D13*'Base Física'!AD$34,2)</f>
        <v>0</v>
      </c>
      <c r="AB13" s="146">
        <f>ROUND(CAPEX!$D13*'Base Física'!AE$34,2)</f>
        <v>0</v>
      </c>
      <c r="AC13" s="146">
        <f>ROUND(CAPEX!$D13*'Base Física'!AF$34,2)</f>
        <v>0</v>
      </c>
      <c r="AD13" s="146">
        <f>ROUND(CAPEX!$D13*'Base Física'!AG$34,2)</f>
        <v>0</v>
      </c>
      <c r="AE13" s="146">
        <f>ROUND(CAPEX!$D13*'Base Física'!AH$34,2)</f>
        <v>0</v>
      </c>
      <c r="AF13" s="146">
        <f>ROUND(CAPEX!$D13*'Base Física'!AI$34,2)</f>
        <v>0</v>
      </c>
      <c r="AG13" s="146">
        <f>ROUND(CAPEX!$D13*'Base Física'!AJ$34,2)</f>
        <v>0</v>
      </c>
      <c r="AH13" s="146">
        <f>ROUND(CAPEX!$D13*'Base Física'!AK$34,2)</f>
        <v>0</v>
      </c>
      <c r="AI13" s="146">
        <f>ROUND(CAPEX!$D13*'Base Física'!AL$34,2)</f>
        <v>0</v>
      </c>
      <c r="AJ13" s="146">
        <f>ROUND(CAPEX!$D13*'Base Física'!AM$34,2)</f>
        <v>0</v>
      </c>
      <c r="AK13" s="146">
        <f>ROUND(CAPEX!$D13*'Base Física'!AN$34,2)</f>
        <v>0</v>
      </c>
      <c r="AL13" s="453">
        <f t="shared" ref="AL13:AL20" si="42">+SUM(C13:AK13)</f>
        <v>0</v>
      </c>
      <c r="AM13" s="71"/>
    </row>
    <row r="14" spans="1:40" x14ac:dyDescent="0.25">
      <c r="B14" s="452" t="s">
        <v>1</v>
      </c>
      <c r="C14" s="146">
        <f>ROUND(CAPEX!$D14*'Base Física'!F$34,2)</f>
        <v>0</v>
      </c>
      <c r="D14" s="146">
        <f>ROUND(CAPEX!$D14*'Base Física'!G$34,2)</f>
        <v>0</v>
      </c>
      <c r="E14" s="146">
        <f>ROUND(CAPEX!$D14*'Base Física'!H$34,2)</f>
        <v>0</v>
      </c>
      <c r="F14" s="146">
        <f>ROUND(CAPEX!$D14*'Base Física'!I$34,2)</f>
        <v>0</v>
      </c>
      <c r="G14" s="146">
        <f>ROUND(CAPEX!$D14*'Base Física'!J$34,2)</f>
        <v>0</v>
      </c>
      <c r="H14" s="146">
        <f>ROUND(CAPEX!$D14*'Base Física'!K$34,2)</f>
        <v>0</v>
      </c>
      <c r="I14" s="146">
        <f>ROUND(CAPEX!$D14*'Base Física'!L$34,2)</f>
        <v>0</v>
      </c>
      <c r="J14" s="146">
        <f>ROUND(CAPEX!$D14*'Base Física'!M$34,2)</f>
        <v>0</v>
      </c>
      <c r="K14" s="146">
        <f>ROUND(CAPEX!$D14*'Base Física'!N$34,2)</f>
        <v>0</v>
      </c>
      <c r="L14" s="146">
        <f>ROUND(CAPEX!$D14*'Base Física'!O$34,2)</f>
        <v>0</v>
      </c>
      <c r="M14" s="146">
        <f>ROUND(CAPEX!$D14*'Base Física'!P$34,2)</f>
        <v>0</v>
      </c>
      <c r="N14" s="146">
        <f>ROUND(CAPEX!$D14*'Base Física'!Q$34,2)</f>
        <v>0</v>
      </c>
      <c r="O14" s="146">
        <f>ROUND(CAPEX!$D14*'Base Física'!R$34,2)</f>
        <v>0</v>
      </c>
      <c r="P14" s="146">
        <f>ROUND(CAPEX!$D14*'Base Física'!S$34,2)</f>
        <v>0</v>
      </c>
      <c r="Q14" s="146">
        <f>ROUND(CAPEX!$D14*'Base Física'!T$34,2)</f>
        <v>0</v>
      </c>
      <c r="R14" s="146">
        <f>ROUND(CAPEX!$D14*'Base Física'!U$34,2)</f>
        <v>0</v>
      </c>
      <c r="S14" s="146">
        <f>ROUND(CAPEX!$D14*'Base Física'!V$34,2)</f>
        <v>0</v>
      </c>
      <c r="T14" s="146">
        <f>ROUND(CAPEX!$D14*'Base Física'!W$34,2)</f>
        <v>0</v>
      </c>
      <c r="U14" s="146">
        <f>ROUND(CAPEX!$D14*'Base Física'!X$34,2)</f>
        <v>0</v>
      </c>
      <c r="V14" s="146">
        <f>ROUND(CAPEX!$D14*'Base Física'!Y$34,2)</f>
        <v>0</v>
      </c>
      <c r="W14" s="146">
        <f>ROUND(CAPEX!$D14*'Base Física'!Z$34,2)</f>
        <v>0</v>
      </c>
      <c r="X14" s="146">
        <f>ROUND(CAPEX!$D14*'Base Física'!AA$34,2)</f>
        <v>0</v>
      </c>
      <c r="Y14" s="146">
        <f>ROUND(CAPEX!$D14*'Base Física'!AB$34,2)</f>
        <v>0</v>
      </c>
      <c r="Z14" s="146">
        <f>ROUND(CAPEX!$D14*'Base Física'!AC$34,2)</f>
        <v>0</v>
      </c>
      <c r="AA14" s="146">
        <f>ROUND(CAPEX!$D14*'Base Física'!AD$34,2)</f>
        <v>0</v>
      </c>
      <c r="AB14" s="146">
        <f>ROUND(CAPEX!$D14*'Base Física'!AE$34,2)</f>
        <v>0</v>
      </c>
      <c r="AC14" s="146">
        <f>ROUND(CAPEX!$D14*'Base Física'!AF$34,2)</f>
        <v>0</v>
      </c>
      <c r="AD14" s="146">
        <f>ROUND(CAPEX!$D14*'Base Física'!AG$34,2)</f>
        <v>0</v>
      </c>
      <c r="AE14" s="146">
        <f>ROUND(CAPEX!$D14*'Base Física'!AH$34,2)</f>
        <v>0</v>
      </c>
      <c r="AF14" s="146">
        <f>ROUND(CAPEX!$D14*'Base Física'!AI$34,2)</f>
        <v>0</v>
      </c>
      <c r="AG14" s="146">
        <f>ROUND(CAPEX!$D14*'Base Física'!AJ$34,2)</f>
        <v>0</v>
      </c>
      <c r="AH14" s="146">
        <f>ROUND(CAPEX!$D14*'Base Física'!AK$34,2)</f>
        <v>0</v>
      </c>
      <c r="AI14" s="146">
        <f>ROUND(CAPEX!$D14*'Base Física'!AL$34,2)</f>
        <v>0</v>
      </c>
      <c r="AJ14" s="146">
        <f>ROUND(CAPEX!$D14*'Base Física'!AM$34,2)</f>
        <v>0</v>
      </c>
      <c r="AK14" s="146">
        <f>ROUND(CAPEX!$D14*'Base Física'!AN$34,2)</f>
        <v>0</v>
      </c>
      <c r="AL14" s="453">
        <f t="shared" si="42"/>
        <v>0</v>
      </c>
      <c r="AM14" s="71"/>
    </row>
    <row r="15" spans="1:40" x14ac:dyDescent="0.25">
      <c r="B15" s="452" t="s">
        <v>162</v>
      </c>
      <c r="C15" s="146">
        <f>ROUND(CAPEX!$D15*'Base Física'!F$34,2)</f>
        <v>0</v>
      </c>
      <c r="D15" s="146">
        <f>ROUND(CAPEX!$D15*'Base Física'!G$34,2)</f>
        <v>0</v>
      </c>
      <c r="E15" s="146">
        <f>ROUND(CAPEX!$D15*'Base Física'!H$34,2)</f>
        <v>0</v>
      </c>
      <c r="F15" s="146">
        <f>ROUND(CAPEX!$D15*'Base Física'!I$34,2)</f>
        <v>0</v>
      </c>
      <c r="G15" s="146">
        <f>ROUND(CAPEX!$D15*'Base Física'!J$34,2)</f>
        <v>0</v>
      </c>
      <c r="H15" s="146">
        <f>ROUND(CAPEX!$D15*'Base Física'!K$34,2)</f>
        <v>0</v>
      </c>
      <c r="I15" s="146">
        <f>ROUND(CAPEX!$D15*'Base Física'!L$34,2)</f>
        <v>0</v>
      </c>
      <c r="J15" s="146">
        <f>ROUND(CAPEX!$D15*'Base Física'!M$34,2)</f>
        <v>0</v>
      </c>
      <c r="K15" s="146">
        <f>ROUND(CAPEX!$D15*'Base Física'!N$34,2)</f>
        <v>0</v>
      </c>
      <c r="L15" s="146">
        <f>ROUND(CAPEX!$D15*'Base Física'!O$34,2)</f>
        <v>0</v>
      </c>
      <c r="M15" s="146">
        <f>ROUND(CAPEX!$D15*'Base Física'!P$34,2)</f>
        <v>0</v>
      </c>
      <c r="N15" s="146">
        <f>ROUND(CAPEX!$D15*'Base Física'!Q$34,2)</f>
        <v>0</v>
      </c>
      <c r="O15" s="146">
        <f>ROUND(CAPEX!$D15*'Base Física'!R$34,2)</f>
        <v>0</v>
      </c>
      <c r="P15" s="146">
        <f>ROUND(CAPEX!$D15*'Base Física'!S$34,2)</f>
        <v>0</v>
      </c>
      <c r="Q15" s="146">
        <f>ROUND(CAPEX!$D15*'Base Física'!T$34,2)</f>
        <v>0</v>
      </c>
      <c r="R15" s="146">
        <f>ROUND(CAPEX!$D15*'Base Física'!U$34,2)</f>
        <v>0</v>
      </c>
      <c r="S15" s="146">
        <f>ROUND(CAPEX!$D15*'Base Física'!V$34,2)</f>
        <v>0</v>
      </c>
      <c r="T15" s="146">
        <f>ROUND(CAPEX!$D15*'Base Física'!W$34,2)</f>
        <v>0</v>
      </c>
      <c r="U15" s="146">
        <f>ROUND(CAPEX!$D15*'Base Física'!X$34,2)</f>
        <v>0</v>
      </c>
      <c r="V15" s="146">
        <f>ROUND(CAPEX!$D15*'Base Física'!Y$34,2)</f>
        <v>0</v>
      </c>
      <c r="W15" s="146">
        <f>ROUND(CAPEX!$D15*'Base Física'!Z$34,2)</f>
        <v>0</v>
      </c>
      <c r="X15" s="146">
        <f>ROUND(CAPEX!$D15*'Base Física'!AA$34,2)</f>
        <v>0</v>
      </c>
      <c r="Y15" s="146">
        <f>ROUND(CAPEX!$D15*'Base Física'!AB$34,2)</f>
        <v>0</v>
      </c>
      <c r="Z15" s="146">
        <f>ROUND(CAPEX!$D15*'Base Física'!AC$34,2)</f>
        <v>0</v>
      </c>
      <c r="AA15" s="146">
        <f>ROUND(CAPEX!$D15*'Base Física'!AD$34,2)</f>
        <v>0</v>
      </c>
      <c r="AB15" s="146">
        <f>ROUND(CAPEX!$D15*'Base Física'!AE$34,2)</f>
        <v>0</v>
      </c>
      <c r="AC15" s="146">
        <f>ROUND(CAPEX!$D15*'Base Física'!AF$34,2)</f>
        <v>0</v>
      </c>
      <c r="AD15" s="146">
        <f>ROUND(CAPEX!$D15*'Base Física'!AG$34,2)</f>
        <v>0</v>
      </c>
      <c r="AE15" s="146">
        <f>ROUND(CAPEX!$D15*'Base Física'!AH$34,2)</f>
        <v>0</v>
      </c>
      <c r="AF15" s="146">
        <f>ROUND(CAPEX!$D15*'Base Física'!AI$34,2)</f>
        <v>0</v>
      </c>
      <c r="AG15" s="146">
        <f>ROUND(CAPEX!$D15*'Base Física'!AJ$34,2)</f>
        <v>0</v>
      </c>
      <c r="AH15" s="146">
        <f>ROUND(CAPEX!$D15*'Base Física'!AK$34,2)</f>
        <v>0</v>
      </c>
      <c r="AI15" s="146">
        <f>ROUND(CAPEX!$D15*'Base Física'!AL$34,2)</f>
        <v>0</v>
      </c>
      <c r="AJ15" s="146">
        <f>ROUND(CAPEX!$D15*'Base Física'!AM$34,2)</f>
        <v>0</v>
      </c>
      <c r="AK15" s="146">
        <f>ROUND(CAPEX!$D15*'Base Física'!AN$34,2)</f>
        <v>0</v>
      </c>
      <c r="AL15" s="453">
        <f t="shared" si="42"/>
        <v>0</v>
      </c>
      <c r="AM15" s="71"/>
    </row>
    <row r="16" spans="1:40" x14ac:dyDescent="0.25">
      <c r="B16" s="452" t="s">
        <v>71</v>
      </c>
      <c r="C16" s="146">
        <f>ROUND(CAPEX!$D16*'Base Física'!F$34,2)</f>
        <v>0</v>
      </c>
      <c r="D16" s="146">
        <f>ROUND(CAPEX!$D16*'Base Física'!G$34,2)</f>
        <v>0</v>
      </c>
      <c r="E16" s="146">
        <f>ROUND(CAPEX!$D16*'Base Física'!H$34,2)</f>
        <v>0</v>
      </c>
      <c r="F16" s="146">
        <f>ROUND(CAPEX!$D16*'Base Física'!I$34,2)</f>
        <v>0</v>
      </c>
      <c r="G16" s="146">
        <f>ROUND(CAPEX!$D16*'Base Física'!J$34,2)</f>
        <v>0</v>
      </c>
      <c r="H16" s="146">
        <f>ROUND(CAPEX!$D16*'Base Física'!K$34,2)</f>
        <v>0</v>
      </c>
      <c r="I16" s="146">
        <f>ROUND(CAPEX!$D16*'Base Física'!L$34,2)</f>
        <v>0</v>
      </c>
      <c r="J16" s="146">
        <f>ROUND(CAPEX!$D16*'Base Física'!M$34,2)</f>
        <v>0</v>
      </c>
      <c r="K16" s="146">
        <f>ROUND(CAPEX!$D16*'Base Física'!N$34,2)</f>
        <v>0</v>
      </c>
      <c r="L16" s="146">
        <f>ROUND(CAPEX!$D16*'Base Física'!O$34,2)</f>
        <v>0</v>
      </c>
      <c r="M16" s="146">
        <f>ROUND(CAPEX!$D16*'Base Física'!P$34,2)</f>
        <v>0</v>
      </c>
      <c r="N16" s="146">
        <f>ROUND(CAPEX!$D16*'Base Física'!Q$34,2)</f>
        <v>0</v>
      </c>
      <c r="O16" s="146">
        <f>ROUND(CAPEX!$D16*'Base Física'!R$34,2)</f>
        <v>0</v>
      </c>
      <c r="P16" s="146">
        <f>ROUND(CAPEX!$D16*'Base Física'!S$34,2)</f>
        <v>0</v>
      </c>
      <c r="Q16" s="146">
        <f>ROUND(CAPEX!$D16*'Base Física'!T$34,2)</f>
        <v>0</v>
      </c>
      <c r="R16" s="146">
        <f>ROUND(CAPEX!$D16*'Base Física'!U$34,2)</f>
        <v>0</v>
      </c>
      <c r="S16" s="146">
        <f>ROUND(CAPEX!$D16*'Base Física'!V$34,2)</f>
        <v>0</v>
      </c>
      <c r="T16" s="146">
        <f>ROUND(CAPEX!$D16*'Base Física'!W$34,2)</f>
        <v>0</v>
      </c>
      <c r="U16" s="146">
        <f>ROUND(CAPEX!$D16*'Base Física'!X$34,2)</f>
        <v>0</v>
      </c>
      <c r="V16" s="146">
        <f>ROUND(CAPEX!$D16*'Base Física'!Y$34,2)</f>
        <v>0</v>
      </c>
      <c r="W16" s="146">
        <f>ROUND(CAPEX!$D16*'Base Física'!Z$34,2)</f>
        <v>0</v>
      </c>
      <c r="X16" s="146">
        <f>ROUND(CAPEX!$D16*'Base Física'!AA$34,2)</f>
        <v>0</v>
      </c>
      <c r="Y16" s="146">
        <f>ROUND(CAPEX!$D16*'Base Física'!AB$34,2)</f>
        <v>0</v>
      </c>
      <c r="Z16" s="146">
        <f>ROUND(CAPEX!$D16*'Base Física'!AC$34,2)</f>
        <v>0</v>
      </c>
      <c r="AA16" s="146">
        <f>ROUND(CAPEX!$D16*'Base Física'!AD$34,2)</f>
        <v>0</v>
      </c>
      <c r="AB16" s="146">
        <f>ROUND(CAPEX!$D16*'Base Física'!AE$34,2)</f>
        <v>0</v>
      </c>
      <c r="AC16" s="146">
        <f>ROUND(CAPEX!$D16*'Base Física'!AF$34,2)</f>
        <v>0</v>
      </c>
      <c r="AD16" s="146">
        <f>ROUND(CAPEX!$D16*'Base Física'!AG$34,2)</f>
        <v>0</v>
      </c>
      <c r="AE16" s="146">
        <f>ROUND(CAPEX!$D16*'Base Física'!AH$34,2)</f>
        <v>0</v>
      </c>
      <c r="AF16" s="146">
        <f>ROUND(CAPEX!$D16*'Base Física'!AI$34,2)</f>
        <v>0</v>
      </c>
      <c r="AG16" s="146">
        <f>ROUND(CAPEX!$D16*'Base Física'!AJ$34,2)</f>
        <v>0</v>
      </c>
      <c r="AH16" s="146">
        <f>ROUND(CAPEX!$D16*'Base Física'!AK$34,2)</f>
        <v>0</v>
      </c>
      <c r="AI16" s="146">
        <f>ROUND(CAPEX!$D16*'Base Física'!AL$34,2)</f>
        <v>0</v>
      </c>
      <c r="AJ16" s="146">
        <f>ROUND(CAPEX!$D16*'Base Física'!AM$34,2)</f>
        <v>0</v>
      </c>
      <c r="AK16" s="146">
        <f>ROUND(CAPEX!$D16*'Base Física'!AN$34,2)</f>
        <v>0</v>
      </c>
      <c r="AL16" s="453">
        <f t="shared" si="42"/>
        <v>0</v>
      </c>
      <c r="AM16" s="71"/>
    </row>
    <row r="17" spans="1:39" x14ac:dyDescent="0.25">
      <c r="B17" s="452" t="s">
        <v>72</v>
      </c>
      <c r="C17" s="146">
        <f>ROUND(CAPEX!$D17*'Base Física'!F$34,2)</f>
        <v>0</v>
      </c>
      <c r="D17" s="146">
        <f>ROUND(CAPEX!$D17*'Base Física'!G$34,2)</f>
        <v>0</v>
      </c>
      <c r="E17" s="146">
        <f>ROUND(CAPEX!$D17*'Base Física'!H$34,2)</f>
        <v>0</v>
      </c>
      <c r="F17" s="146">
        <f>ROUND(CAPEX!$D17*'Base Física'!I$34,2)</f>
        <v>0</v>
      </c>
      <c r="G17" s="146">
        <f>ROUND(CAPEX!$D17*'Base Física'!J$34,2)</f>
        <v>0</v>
      </c>
      <c r="H17" s="146">
        <f>ROUND(CAPEX!$D17*'Base Física'!K$34,2)</f>
        <v>0</v>
      </c>
      <c r="I17" s="146">
        <f>ROUND(CAPEX!$D17*'Base Física'!L$34,2)</f>
        <v>0</v>
      </c>
      <c r="J17" s="146">
        <f>ROUND(CAPEX!$D17*'Base Física'!M$34,2)</f>
        <v>0</v>
      </c>
      <c r="K17" s="146">
        <f>ROUND(CAPEX!$D17*'Base Física'!N$34,2)</f>
        <v>0</v>
      </c>
      <c r="L17" s="146">
        <f>ROUND(CAPEX!$D17*'Base Física'!O$34,2)</f>
        <v>0</v>
      </c>
      <c r="M17" s="146">
        <f>ROUND(CAPEX!$D17*'Base Física'!P$34,2)</f>
        <v>0</v>
      </c>
      <c r="N17" s="146">
        <f>ROUND(CAPEX!$D17*'Base Física'!Q$34,2)</f>
        <v>0</v>
      </c>
      <c r="O17" s="146">
        <f>ROUND(CAPEX!$D17*'Base Física'!R$34,2)</f>
        <v>0</v>
      </c>
      <c r="P17" s="146">
        <f>ROUND(CAPEX!$D17*'Base Física'!S$34,2)</f>
        <v>0</v>
      </c>
      <c r="Q17" s="146">
        <f>ROUND(CAPEX!$D17*'Base Física'!T$34,2)</f>
        <v>0</v>
      </c>
      <c r="R17" s="146">
        <f>ROUND(CAPEX!$D17*'Base Física'!U$34,2)</f>
        <v>0</v>
      </c>
      <c r="S17" s="146">
        <f>ROUND(CAPEX!$D17*'Base Física'!V$34,2)</f>
        <v>0</v>
      </c>
      <c r="T17" s="146">
        <f>ROUND(CAPEX!$D17*'Base Física'!W$34,2)</f>
        <v>0</v>
      </c>
      <c r="U17" s="146">
        <f>ROUND(CAPEX!$D17*'Base Física'!X$34,2)</f>
        <v>0</v>
      </c>
      <c r="V17" s="146">
        <f>ROUND(CAPEX!$D17*'Base Física'!Y$34,2)</f>
        <v>0</v>
      </c>
      <c r="W17" s="146">
        <f>ROUND(CAPEX!$D17*'Base Física'!Z$34,2)</f>
        <v>0</v>
      </c>
      <c r="X17" s="146">
        <f>ROUND(CAPEX!$D17*'Base Física'!AA$34,2)</f>
        <v>0</v>
      </c>
      <c r="Y17" s="146">
        <f>ROUND(CAPEX!$D17*'Base Física'!AB$34,2)</f>
        <v>0</v>
      </c>
      <c r="Z17" s="146">
        <f>ROUND(CAPEX!$D17*'Base Física'!AC$34,2)</f>
        <v>0</v>
      </c>
      <c r="AA17" s="146">
        <f>ROUND(CAPEX!$D17*'Base Física'!AD$34,2)</f>
        <v>0</v>
      </c>
      <c r="AB17" s="146">
        <f>ROUND(CAPEX!$D17*'Base Física'!AE$34,2)</f>
        <v>0</v>
      </c>
      <c r="AC17" s="146">
        <f>ROUND(CAPEX!$D17*'Base Física'!AF$34,2)</f>
        <v>0</v>
      </c>
      <c r="AD17" s="146">
        <f>ROUND(CAPEX!$D17*'Base Física'!AG$34,2)</f>
        <v>0</v>
      </c>
      <c r="AE17" s="146">
        <f>ROUND(CAPEX!$D17*'Base Física'!AH$34,2)</f>
        <v>0</v>
      </c>
      <c r="AF17" s="146">
        <f>ROUND(CAPEX!$D17*'Base Física'!AI$34,2)</f>
        <v>0</v>
      </c>
      <c r="AG17" s="146">
        <f>ROUND(CAPEX!$D17*'Base Física'!AJ$34,2)</f>
        <v>0</v>
      </c>
      <c r="AH17" s="146">
        <f>ROUND(CAPEX!$D17*'Base Física'!AK$34,2)</f>
        <v>0</v>
      </c>
      <c r="AI17" s="146">
        <f>ROUND(CAPEX!$D17*'Base Física'!AL$34,2)</f>
        <v>0</v>
      </c>
      <c r="AJ17" s="146">
        <f>ROUND(CAPEX!$D17*'Base Física'!AM$34,2)</f>
        <v>0</v>
      </c>
      <c r="AK17" s="146">
        <f>ROUND(CAPEX!$D17*'Base Física'!AN$34,2)</f>
        <v>0</v>
      </c>
      <c r="AL17" s="453">
        <f t="shared" si="42"/>
        <v>0</v>
      </c>
      <c r="AM17" s="71"/>
    </row>
    <row r="18" spans="1:39" x14ac:dyDescent="0.25">
      <c r="A18" s="69"/>
      <c r="B18" s="452" t="s">
        <v>73</v>
      </c>
      <c r="C18" s="146">
        <f>ROUND(CAPEX!$D18*'Base Física'!F$34,2)</f>
        <v>0</v>
      </c>
      <c r="D18" s="146">
        <f>ROUND(CAPEX!$D18*'Base Física'!G$34,2)</f>
        <v>0</v>
      </c>
      <c r="E18" s="146">
        <f>ROUND(CAPEX!$D18*'Base Física'!H$34,2)</f>
        <v>0</v>
      </c>
      <c r="F18" s="146">
        <f>ROUND(CAPEX!$D18*'Base Física'!I$34,2)</f>
        <v>0</v>
      </c>
      <c r="G18" s="146">
        <f>ROUND(CAPEX!$D18*'Base Física'!J$34,2)</f>
        <v>0</v>
      </c>
      <c r="H18" s="146">
        <f>ROUND(CAPEX!$D18*'Base Física'!K$34,2)</f>
        <v>0</v>
      </c>
      <c r="I18" s="146">
        <f>ROUND(CAPEX!$D18*'Base Física'!L$34,2)</f>
        <v>0</v>
      </c>
      <c r="J18" s="146">
        <f>ROUND(CAPEX!$D18*'Base Física'!M$34,2)</f>
        <v>0</v>
      </c>
      <c r="K18" s="146">
        <f>ROUND(CAPEX!$D18*'Base Física'!N$34,2)</f>
        <v>0</v>
      </c>
      <c r="L18" s="146">
        <f>ROUND(CAPEX!$D18*'Base Física'!O$34,2)</f>
        <v>0</v>
      </c>
      <c r="M18" s="146">
        <f>ROUND(CAPEX!$D18*'Base Física'!P$34,2)</f>
        <v>0</v>
      </c>
      <c r="N18" s="146">
        <f>ROUND(CAPEX!$D18*'Base Física'!Q$34,2)</f>
        <v>0</v>
      </c>
      <c r="O18" s="146">
        <f>ROUND(CAPEX!$D18*'Base Física'!R$34,2)</f>
        <v>0</v>
      </c>
      <c r="P18" s="146">
        <f>ROUND(CAPEX!$D18*'Base Física'!S$34,2)</f>
        <v>0</v>
      </c>
      <c r="Q18" s="146">
        <f>ROUND(CAPEX!$D18*'Base Física'!T$34,2)</f>
        <v>0</v>
      </c>
      <c r="R18" s="146">
        <f>ROUND(CAPEX!$D18*'Base Física'!U$34,2)</f>
        <v>0</v>
      </c>
      <c r="S18" s="146">
        <f>ROUND(CAPEX!$D18*'Base Física'!V$34,2)</f>
        <v>0</v>
      </c>
      <c r="T18" s="146">
        <f>ROUND(CAPEX!$D18*'Base Física'!W$34,2)</f>
        <v>0</v>
      </c>
      <c r="U18" s="146">
        <f>ROUND(CAPEX!$D18*'Base Física'!X$34,2)</f>
        <v>0</v>
      </c>
      <c r="V18" s="146">
        <f>ROUND(CAPEX!$D18*'Base Física'!Y$34,2)</f>
        <v>0</v>
      </c>
      <c r="W18" s="146">
        <f>ROUND(CAPEX!$D18*'Base Física'!Z$34,2)</f>
        <v>0</v>
      </c>
      <c r="X18" s="146">
        <f>ROUND(CAPEX!$D18*'Base Física'!AA$34,2)</f>
        <v>0</v>
      </c>
      <c r="Y18" s="146">
        <f>ROUND(CAPEX!$D18*'Base Física'!AB$34,2)</f>
        <v>0</v>
      </c>
      <c r="Z18" s="146">
        <f>ROUND(CAPEX!$D18*'Base Física'!AC$34,2)</f>
        <v>0</v>
      </c>
      <c r="AA18" s="146">
        <f>ROUND(CAPEX!$D18*'Base Física'!AD$34,2)</f>
        <v>0</v>
      </c>
      <c r="AB18" s="146">
        <f>ROUND(CAPEX!$D18*'Base Física'!AE$34,2)</f>
        <v>0</v>
      </c>
      <c r="AC18" s="146">
        <f>ROUND(CAPEX!$D18*'Base Física'!AF$34,2)</f>
        <v>0</v>
      </c>
      <c r="AD18" s="146">
        <f>ROUND(CAPEX!$D18*'Base Física'!AG$34,2)</f>
        <v>0</v>
      </c>
      <c r="AE18" s="146">
        <f>ROUND(CAPEX!$D18*'Base Física'!AH$34,2)</f>
        <v>0</v>
      </c>
      <c r="AF18" s="146">
        <f>ROUND(CAPEX!$D18*'Base Física'!AI$34,2)</f>
        <v>0</v>
      </c>
      <c r="AG18" s="146">
        <f>ROUND(CAPEX!$D18*'Base Física'!AJ$34,2)</f>
        <v>0</v>
      </c>
      <c r="AH18" s="146">
        <f>ROUND(CAPEX!$D18*'Base Física'!AK$34,2)</f>
        <v>0</v>
      </c>
      <c r="AI18" s="146">
        <f>ROUND(CAPEX!$D18*'Base Física'!AL$34,2)</f>
        <v>0</v>
      </c>
      <c r="AJ18" s="146">
        <f>ROUND(CAPEX!$D18*'Base Física'!AM$34,2)</f>
        <v>0</v>
      </c>
      <c r="AK18" s="146">
        <f>ROUND(CAPEX!$D18*'Base Física'!AN$34,2)</f>
        <v>0</v>
      </c>
      <c r="AL18" s="453">
        <f t="shared" si="42"/>
        <v>0</v>
      </c>
      <c r="AM18" s="71"/>
    </row>
    <row r="19" spans="1:39" x14ac:dyDescent="0.25">
      <c r="A19" s="69"/>
      <c r="B19" s="454" t="s">
        <v>91</v>
      </c>
      <c r="C19" s="935">
        <f t="shared" ref="C19:AK19" si="43">SUM(C13:C18)</f>
        <v>0</v>
      </c>
      <c r="D19" s="935">
        <f t="shared" si="43"/>
        <v>0</v>
      </c>
      <c r="E19" s="935">
        <f t="shared" si="43"/>
        <v>0</v>
      </c>
      <c r="F19" s="935">
        <f t="shared" si="43"/>
        <v>0</v>
      </c>
      <c r="G19" s="935">
        <f t="shared" si="43"/>
        <v>0</v>
      </c>
      <c r="H19" s="935">
        <f t="shared" si="43"/>
        <v>0</v>
      </c>
      <c r="I19" s="935">
        <f t="shared" si="43"/>
        <v>0</v>
      </c>
      <c r="J19" s="935">
        <f t="shared" si="43"/>
        <v>0</v>
      </c>
      <c r="K19" s="935">
        <f t="shared" si="43"/>
        <v>0</v>
      </c>
      <c r="L19" s="935">
        <f t="shared" si="43"/>
        <v>0</v>
      </c>
      <c r="M19" s="935">
        <f t="shared" si="43"/>
        <v>0</v>
      </c>
      <c r="N19" s="935">
        <f t="shared" si="43"/>
        <v>0</v>
      </c>
      <c r="O19" s="935">
        <f t="shared" si="43"/>
        <v>0</v>
      </c>
      <c r="P19" s="935">
        <f t="shared" si="43"/>
        <v>0</v>
      </c>
      <c r="Q19" s="935">
        <f t="shared" si="43"/>
        <v>0</v>
      </c>
      <c r="R19" s="935">
        <f t="shared" si="43"/>
        <v>0</v>
      </c>
      <c r="S19" s="935">
        <f t="shared" si="43"/>
        <v>0</v>
      </c>
      <c r="T19" s="935">
        <f t="shared" si="43"/>
        <v>0</v>
      </c>
      <c r="U19" s="935">
        <f t="shared" si="43"/>
        <v>0</v>
      </c>
      <c r="V19" s="935">
        <f t="shared" si="43"/>
        <v>0</v>
      </c>
      <c r="W19" s="935">
        <f t="shared" si="43"/>
        <v>0</v>
      </c>
      <c r="X19" s="935">
        <f t="shared" si="43"/>
        <v>0</v>
      </c>
      <c r="Y19" s="935">
        <f t="shared" si="43"/>
        <v>0</v>
      </c>
      <c r="Z19" s="935">
        <f t="shared" si="43"/>
        <v>0</v>
      </c>
      <c r="AA19" s="935">
        <f t="shared" si="43"/>
        <v>0</v>
      </c>
      <c r="AB19" s="935">
        <f t="shared" si="43"/>
        <v>0</v>
      </c>
      <c r="AC19" s="935">
        <f t="shared" si="43"/>
        <v>0</v>
      </c>
      <c r="AD19" s="935">
        <f t="shared" si="43"/>
        <v>0</v>
      </c>
      <c r="AE19" s="935">
        <f t="shared" si="43"/>
        <v>0</v>
      </c>
      <c r="AF19" s="935">
        <f t="shared" si="43"/>
        <v>0</v>
      </c>
      <c r="AG19" s="935">
        <f t="shared" si="43"/>
        <v>0</v>
      </c>
      <c r="AH19" s="935">
        <f t="shared" si="43"/>
        <v>0</v>
      </c>
      <c r="AI19" s="935">
        <f t="shared" si="43"/>
        <v>0</v>
      </c>
      <c r="AJ19" s="935">
        <f t="shared" si="43"/>
        <v>0</v>
      </c>
      <c r="AK19" s="935">
        <f t="shared" si="43"/>
        <v>0</v>
      </c>
      <c r="AL19" s="936">
        <f t="shared" si="42"/>
        <v>0</v>
      </c>
      <c r="AM19" s="71"/>
    </row>
    <row r="20" spans="1:39" x14ac:dyDescent="0.25">
      <c r="A20" s="69"/>
      <c r="B20" s="455" t="s">
        <v>90</v>
      </c>
      <c r="C20" s="935">
        <f t="shared" ref="C20:AK20" si="44">C12+C19</f>
        <v>0</v>
      </c>
      <c r="D20" s="935">
        <f t="shared" si="44"/>
        <v>0</v>
      </c>
      <c r="E20" s="935">
        <f t="shared" si="44"/>
        <v>0</v>
      </c>
      <c r="F20" s="935">
        <f t="shared" si="44"/>
        <v>0</v>
      </c>
      <c r="G20" s="935">
        <f t="shared" si="44"/>
        <v>0</v>
      </c>
      <c r="H20" s="935">
        <f t="shared" si="44"/>
        <v>0</v>
      </c>
      <c r="I20" s="935">
        <f t="shared" si="44"/>
        <v>0</v>
      </c>
      <c r="J20" s="935">
        <f t="shared" si="44"/>
        <v>0</v>
      </c>
      <c r="K20" s="935">
        <f t="shared" si="44"/>
        <v>0</v>
      </c>
      <c r="L20" s="935">
        <f t="shared" si="44"/>
        <v>0</v>
      </c>
      <c r="M20" s="935">
        <f t="shared" si="44"/>
        <v>0</v>
      </c>
      <c r="N20" s="935">
        <f t="shared" si="44"/>
        <v>0</v>
      </c>
      <c r="O20" s="935">
        <f t="shared" si="44"/>
        <v>0</v>
      </c>
      <c r="P20" s="935">
        <f t="shared" si="44"/>
        <v>0</v>
      </c>
      <c r="Q20" s="935">
        <f t="shared" si="44"/>
        <v>0</v>
      </c>
      <c r="R20" s="935">
        <f t="shared" si="44"/>
        <v>0</v>
      </c>
      <c r="S20" s="935">
        <f t="shared" si="44"/>
        <v>0</v>
      </c>
      <c r="T20" s="935">
        <f t="shared" si="44"/>
        <v>0</v>
      </c>
      <c r="U20" s="935">
        <f t="shared" si="44"/>
        <v>0</v>
      </c>
      <c r="V20" s="935">
        <f t="shared" si="44"/>
        <v>0</v>
      </c>
      <c r="W20" s="935">
        <f t="shared" si="44"/>
        <v>0</v>
      </c>
      <c r="X20" s="935">
        <f t="shared" si="44"/>
        <v>0</v>
      </c>
      <c r="Y20" s="935">
        <f t="shared" si="44"/>
        <v>0</v>
      </c>
      <c r="Z20" s="935">
        <f t="shared" si="44"/>
        <v>0</v>
      </c>
      <c r="AA20" s="935">
        <f t="shared" si="44"/>
        <v>0</v>
      </c>
      <c r="AB20" s="935">
        <f t="shared" si="44"/>
        <v>0</v>
      </c>
      <c r="AC20" s="935">
        <f t="shared" si="44"/>
        <v>0</v>
      </c>
      <c r="AD20" s="935">
        <f t="shared" si="44"/>
        <v>0</v>
      </c>
      <c r="AE20" s="935">
        <f t="shared" si="44"/>
        <v>0</v>
      </c>
      <c r="AF20" s="935">
        <f t="shared" si="44"/>
        <v>0</v>
      </c>
      <c r="AG20" s="935">
        <f t="shared" si="44"/>
        <v>0</v>
      </c>
      <c r="AH20" s="935">
        <f t="shared" si="44"/>
        <v>0</v>
      </c>
      <c r="AI20" s="935">
        <f t="shared" si="44"/>
        <v>0</v>
      </c>
      <c r="AJ20" s="935">
        <f t="shared" si="44"/>
        <v>0</v>
      </c>
      <c r="AK20" s="935">
        <f t="shared" si="44"/>
        <v>0</v>
      </c>
      <c r="AL20" s="936">
        <f t="shared" si="42"/>
        <v>0</v>
      </c>
      <c r="AM20" s="71"/>
    </row>
    <row r="21" spans="1:39" ht="15.75" thickBot="1" x14ac:dyDescent="0.3">
      <c r="A21" s="69"/>
      <c r="B21" s="69"/>
      <c r="C21" s="69"/>
      <c r="D21" s="69"/>
      <c r="E21" s="69"/>
      <c r="F21" s="69"/>
      <c r="G21" s="69"/>
      <c r="H21" s="69"/>
      <c r="I21" s="69"/>
      <c r="J21" s="69"/>
      <c r="K21" s="69"/>
      <c r="L21" s="69"/>
      <c r="M21" s="69"/>
      <c r="N21" s="69"/>
      <c r="O21" s="69"/>
      <c r="P21" s="69"/>
      <c r="Q21" s="69"/>
      <c r="R21" s="69"/>
      <c r="S21" s="69"/>
      <c r="T21" s="69"/>
      <c r="U21" s="69"/>
      <c r="V21" s="69"/>
      <c r="W21" s="69"/>
      <c r="X21" s="69"/>
      <c r="Y21" s="69"/>
      <c r="Z21" s="69"/>
      <c r="AA21" s="69"/>
      <c r="AB21" s="69"/>
      <c r="AC21" s="69"/>
      <c r="AD21" s="69"/>
      <c r="AE21" s="69"/>
      <c r="AF21" s="69"/>
      <c r="AG21" s="69"/>
      <c r="AH21" s="69"/>
      <c r="AI21" s="69"/>
      <c r="AJ21" s="69"/>
      <c r="AK21" s="69"/>
      <c r="AL21" s="69"/>
    </row>
    <row r="22" spans="1:39" ht="16.5" thickTop="1" thickBot="1" x14ac:dyDescent="0.3">
      <c r="A22" s="69"/>
      <c r="B22" s="111" t="s">
        <v>533</v>
      </c>
      <c r="C22" s="100">
        <v>1</v>
      </c>
      <c r="D22" s="100">
        <f t="shared" ref="D22:D23" si="45">C22+1</f>
        <v>2</v>
      </c>
      <c r="E22" s="100">
        <f t="shared" ref="E22:E23" si="46">D22+1</f>
        <v>3</v>
      </c>
      <c r="F22" s="100">
        <f t="shared" ref="F22:F23" si="47">E22+1</f>
        <v>4</v>
      </c>
      <c r="G22" s="100">
        <f t="shared" ref="G22:G23" si="48">F22+1</f>
        <v>5</v>
      </c>
      <c r="H22" s="100">
        <f t="shared" ref="H22:H23" si="49">G22+1</f>
        <v>6</v>
      </c>
      <c r="I22" s="100">
        <f t="shared" ref="I22:I23" si="50">H22+1</f>
        <v>7</v>
      </c>
      <c r="J22" s="100">
        <f t="shared" ref="J22:J23" si="51">I22+1</f>
        <v>8</v>
      </c>
      <c r="K22" s="100">
        <f t="shared" ref="K22:K23" si="52">J22+1</f>
        <v>9</v>
      </c>
      <c r="L22" s="100">
        <f t="shared" ref="L22:L23" si="53">K22+1</f>
        <v>10</v>
      </c>
      <c r="M22" s="100">
        <f t="shared" ref="M22:M23" si="54">L22+1</f>
        <v>11</v>
      </c>
      <c r="N22" s="100">
        <f t="shared" ref="N22:N23" si="55">M22+1</f>
        <v>12</v>
      </c>
      <c r="O22" s="100">
        <f t="shared" ref="O22:O23" si="56">N22+1</f>
        <v>13</v>
      </c>
      <c r="P22" s="100">
        <f t="shared" ref="P22:P23" si="57">O22+1</f>
        <v>14</v>
      </c>
      <c r="Q22" s="100">
        <f t="shared" ref="Q22:Q23" si="58">P22+1</f>
        <v>15</v>
      </c>
      <c r="R22" s="100">
        <f t="shared" ref="R22:R23" si="59">Q22+1</f>
        <v>16</v>
      </c>
      <c r="S22" s="100">
        <f t="shared" ref="S22:S23" si="60">R22+1</f>
        <v>17</v>
      </c>
      <c r="T22" s="100">
        <f t="shared" ref="T22:T23" si="61">S22+1</f>
        <v>18</v>
      </c>
      <c r="U22" s="100">
        <f t="shared" ref="U22:U23" si="62">T22+1</f>
        <v>19</v>
      </c>
      <c r="V22" s="100">
        <f t="shared" ref="V22:V23" si="63">U22+1</f>
        <v>20</v>
      </c>
      <c r="W22" s="100">
        <f t="shared" ref="W22:W23" si="64">V22+1</f>
        <v>21</v>
      </c>
      <c r="X22" s="100">
        <f t="shared" ref="X22:X23" si="65">W22+1</f>
        <v>22</v>
      </c>
      <c r="Y22" s="100">
        <f t="shared" ref="Y22:Y23" si="66">X22+1</f>
        <v>23</v>
      </c>
      <c r="Z22" s="100">
        <f t="shared" ref="Z22:Z23" si="67">Y22+1</f>
        <v>24</v>
      </c>
      <c r="AA22" s="100">
        <f t="shared" ref="AA22:AA23" si="68">Z22+1</f>
        <v>25</v>
      </c>
      <c r="AB22" s="100">
        <f t="shared" ref="AB22:AB23" si="69">AA22+1</f>
        <v>26</v>
      </c>
      <c r="AC22" s="100">
        <f t="shared" ref="AC22:AC23" si="70">AB22+1</f>
        <v>27</v>
      </c>
      <c r="AD22" s="100">
        <f t="shared" ref="AD22:AD23" si="71">AC22+1</f>
        <v>28</v>
      </c>
      <c r="AE22" s="100">
        <f t="shared" ref="AE22:AE23" si="72">AD22+1</f>
        <v>29</v>
      </c>
      <c r="AF22" s="100">
        <f t="shared" ref="AF22:AF23" si="73">AE22+1</f>
        <v>30</v>
      </c>
      <c r="AG22" s="100">
        <f t="shared" ref="AG22:AG23" si="74">AF22+1</f>
        <v>31</v>
      </c>
      <c r="AH22" s="100">
        <f t="shared" ref="AH22:AH23" si="75">AG22+1</f>
        <v>32</v>
      </c>
      <c r="AI22" s="100">
        <f t="shared" ref="AI22:AI23" si="76">AH22+1</f>
        <v>33</v>
      </c>
      <c r="AJ22" s="100">
        <f t="shared" ref="AJ22:AJ23" si="77">AI22+1</f>
        <v>34</v>
      </c>
      <c r="AK22" s="100">
        <f t="shared" ref="AK22:AK23" si="78">AJ22+1</f>
        <v>35</v>
      </c>
      <c r="AL22" s="1108" t="s">
        <v>23</v>
      </c>
    </row>
    <row r="23" spans="1:39" x14ac:dyDescent="0.25">
      <c r="A23" s="69"/>
      <c r="B23" s="112"/>
      <c r="C23" s="101">
        <v>2025</v>
      </c>
      <c r="D23" s="101">
        <f t="shared" si="45"/>
        <v>2026</v>
      </c>
      <c r="E23" s="101">
        <f t="shared" si="46"/>
        <v>2027</v>
      </c>
      <c r="F23" s="101">
        <f t="shared" si="47"/>
        <v>2028</v>
      </c>
      <c r="G23" s="101">
        <f t="shared" si="48"/>
        <v>2029</v>
      </c>
      <c r="H23" s="101">
        <f t="shared" si="49"/>
        <v>2030</v>
      </c>
      <c r="I23" s="101">
        <f t="shared" si="50"/>
        <v>2031</v>
      </c>
      <c r="J23" s="101">
        <f t="shared" si="51"/>
        <v>2032</v>
      </c>
      <c r="K23" s="101">
        <f t="shared" si="52"/>
        <v>2033</v>
      </c>
      <c r="L23" s="101">
        <f t="shared" si="53"/>
        <v>2034</v>
      </c>
      <c r="M23" s="101">
        <f t="shared" si="54"/>
        <v>2035</v>
      </c>
      <c r="N23" s="101">
        <f t="shared" si="55"/>
        <v>2036</v>
      </c>
      <c r="O23" s="101">
        <f t="shared" si="56"/>
        <v>2037</v>
      </c>
      <c r="P23" s="101">
        <f t="shared" si="57"/>
        <v>2038</v>
      </c>
      <c r="Q23" s="101">
        <f t="shared" si="58"/>
        <v>2039</v>
      </c>
      <c r="R23" s="101">
        <f t="shared" si="59"/>
        <v>2040</v>
      </c>
      <c r="S23" s="101">
        <f t="shared" si="60"/>
        <v>2041</v>
      </c>
      <c r="T23" s="101">
        <f t="shared" si="61"/>
        <v>2042</v>
      </c>
      <c r="U23" s="101">
        <f t="shared" si="62"/>
        <v>2043</v>
      </c>
      <c r="V23" s="101">
        <f t="shared" si="63"/>
        <v>2044</v>
      </c>
      <c r="W23" s="101">
        <f t="shared" si="64"/>
        <v>2045</v>
      </c>
      <c r="X23" s="101">
        <f t="shared" si="65"/>
        <v>2046</v>
      </c>
      <c r="Y23" s="101">
        <f t="shared" si="66"/>
        <v>2047</v>
      </c>
      <c r="Z23" s="101">
        <f t="shared" si="67"/>
        <v>2048</v>
      </c>
      <c r="AA23" s="101">
        <f t="shared" si="68"/>
        <v>2049</v>
      </c>
      <c r="AB23" s="101">
        <f t="shared" si="69"/>
        <v>2050</v>
      </c>
      <c r="AC23" s="101">
        <f t="shared" si="70"/>
        <v>2051</v>
      </c>
      <c r="AD23" s="101">
        <f t="shared" si="71"/>
        <v>2052</v>
      </c>
      <c r="AE23" s="101">
        <f t="shared" si="72"/>
        <v>2053</v>
      </c>
      <c r="AF23" s="101">
        <f t="shared" si="73"/>
        <v>2054</v>
      </c>
      <c r="AG23" s="101">
        <f t="shared" si="74"/>
        <v>2055</v>
      </c>
      <c r="AH23" s="101">
        <f t="shared" si="75"/>
        <v>2056</v>
      </c>
      <c r="AI23" s="101">
        <f t="shared" si="76"/>
        <v>2057</v>
      </c>
      <c r="AJ23" s="101">
        <f t="shared" si="77"/>
        <v>2058</v>
      </c>
      <c r="AK23" s="101">
        <f t="shared" si="78"/>
        <v>2059</v>
      </c>
      <c r="AL23" s="1109"/>
    </row>
    <row r="24" spans="1:39" x14ac:dyDescent="0.25">
      <c r="A24" s="69"/>
      <c r="B24" s="112" t="s">
        <v>70</v>
      </c>
      <c r="C24" s="146">
        <f>ROUND(CAPEX!$D24*'Base Física'!F$21,2)</f>
        <v>0</v>
      </c>
      <c r="D24" s="146">
        <f>ROUND(CAPEX!$D24*'Base Física'!G$21,2)</f>
        <v>0</v>
      </c>
      <c r="E24" s="146">
        <f>ROUND(CAPEX!$D24*'Base Física'!H$21,2)</f>
        <v>0</v>
      </c>
      <c r="F24" s="146">
        <f>ROUND(CAPEX!$D24*'Base Física'!I$21,2)</f>
        <v>0</v>
      </c>
      <c r="G24" s="146">
        <f>ROUND(CAPEX!$D24*'Base Física'!J$21,2)</f>
        <v>0</v>
      </c>
      <c r="H24" s="146">
        <f>ROUND(CAPEX!$D24*'Base Física'!K$21,2)</f>
        <v>0</v>
      </c>
      <c r="I24" s="146">
        <f>ROUND(CAPEX!$D24*'Base Física'!L$21,2)</f>
        <v>0</v>
      </c>
      <c r="J24" s="146">
        <f>ROUND(CAPEX!$D24*'Base Física'!M$21,2)</f>
        <v>0</v>
      </c>
      <c r="K24" s="146">
        <f>ROUND(CAPEX!$D24*'Base Física'!N$21,2)</f>
        <v>0</v>
      </c>
      <c r="L24" s="146">
        <f>ROUND(CAPEX!$D24*'Base Física'!O$21,2)</f>
        <v>0</v>
      </c>
      <c r="M24" s="146">
        <f>ROUND(CAPEX!$D24*'Base Física'!P$21,2)</f>
        <v>0</v>
      </c>
      <c r="N24" s="146">
        <f>ROUND(CAPEX!$D24*'Base Física'!Q$21,2)</f>
        <v>0</v>
      </c>
      <c r="O24" s="146">
        <f>ROUND(CAPEX!$D24*'Base Física'!R$21,2)</f>
        <v>0</v>
      </c>
      <c r="P24" s="146">
        <f>ROUND(CAPEX!$D24*'Base Física'!S$21,2)</f>
        <v>0</v>
      </c>
      <c r="Q24" s="146">
        <f>ROUND(CAPEX!$D24*'Base Física'!T$21,2)</f>
        <v>0</v>
      </c>
      <c r="R24" s="146">
        <f>ROUND(CAPEX!$D24*'Base Física'!U$21,2)</f>
        <v>0</v>
      </c>
      <c r="S24" s="146">
        <f>ROUND(CAPEX!$D24*'Base Física'!V$21,2)</f>
        <v>0</v>
      </c>
      <c r="T24" s="146">
        <f>ROUND(CAPEX!$D24*'Base Física'!W$21,2)</f>
        <v>0</v>
      </c>
      <c r="U24" s="146">
        <f>ROUND(CAPEX!$D24*'Base Física'!X$21,2)</f>
        <v>0</v>
      </c>
      <c r="V24" s="146">
        <f>ROUND(CAPEX!$D24*'Base Física'!Y$21,2)</f>
        <v>0</v>
      </c>
      <c r="W24" s="146">
        <f>ROUND(CAPEX!$D24*'Base Física'!Z$21,2)</f>
        <v>0</v>
      </c>
      <c r="X24" s="146">
        <f>ROUND(CAPEX!$D24*'Base Física'!AA$21,2)</f>
        <v>0</v>
      </c>
      <c r="Y24" s="146">
        <f>ROUND(CAPEX!$D24*'Base Física'!AB$21,2)</f>
        <v>0</v>
      </c>
      <c r="Z24" s="146">
        <f>ROUND(CAPEX!$D24*'Base Física'!AC$21,2)</f>
        <v>0</v>
      </c>
      <c r="AA24" s="146">
        <f>ROUND(CAPEX!$D24*'Base Física'!AD$21,2)</f>
        <v>0</v>
      </c>
      <c r="AB24" s="146">
        <f>ROUND(CAPEX!$D24*'Base Física'!AE$21,2)</f>
        <v>0</v>
      </c>
      <c r="AC24" s="146">
        <f>ROUND(CAPEX!$D24*'Base Física'!AF$21,2)</f>
        <v>0</v>
      </c>
      <c r="AD24" s="146">
        <f>ROUND(CAPEX!$D24*'Base Física'!AG$21,2)</f>
        <v>0</v>
      </c>
      <c r="AE24" s="146">
        <f>ROUND(CAPEX!$D24*'Base Física'!AH$21,2)</f>
        <v>0</v>
      </c>
      <c r="AF24" s="146">
        <f>ROUND(CAPEX!$D24*'Base Física'!AI$21,2)</f>
        <v>0</v>
      </c>
      <c r="AG24" s="146">
        <f>ROUND(CAPEX!$D24*'Base Física'!AJ$21,2)</f>
        <v>0</v>
      </c>
      <c r="AH24" s="146">
        <f>ROUND(CAPEX!$D24*'Base Física'!AK$21,2)</f>
        <v>0</v>
      </c>
      <c r="AI24" s="146">
        <f>ROUND(CAPEX!$D24*'Base Física'!AL$21,2)</f>
        <v>0</v>
      </c>
      <c r="AJ24" s="146">
        <f>ROUND(CAPEX!$D24*'Base Física'!AM$21,2)</f>
        <v>0</v>
      </c>
      <c r="AK24" s="146">
        <f>ROUND(CAPEX!$D24*'Base Física'!AN$21,2)</f>
        <v>0</v>
      </c>
      <c r="AL24" s="147">
        <f>+SUM(C24:AK24)</f>
        <v>0</v>
      </c>
      <c r="AM24" s="71"/>
    </row>
    <row r="25" spans="1:39" x14ac:dyDescent="0.25">
      <c r="A25" s="69"/>
      <c r="B25" s="112" t="s">
        <v>65</v>
      </c>
      <c r="C25" s="146">
        <f>ROUND(CAPEX!$D25*'Base Física'!F$21,2)</f>
        <v>0</v>
      </c>
      <c r="D25" s="146">
        <f>ROUND(CAPEX!$D25*'Base Física'!G$21,2)</f>
        <v>0</v>
      </c>
      <c r="E25" s="146">
        <f>ROUND(CAPEX!$D25*'Base Física'!H$21,2)</f>
        <v>0</v>
      </c>
      <c r="F25" s="146">
        <f>ROUND(CAPEX!$D25*'Base Física'!I$21,2)</f>
        <v>0</v>
      </c>
      <c r="G25" s="146">
        <f>ROUND(CAPEX!$D25*'Base Física'!J$21,2)</f>
        <v>0</v>
      </c>
      <c r="H25" s="146">
        <f>ROUND(CAPEX!$D25*'Base Física'!K$21,2)</f>
        <v>0</v>
      </c>
      <c r="I25" s="146">
        <f>ROUND(CAPEX!$D25*'Base Física'!L$21,2)</f>
        <v>0</v>
      </c>
      <c r="J25" s="146">
        <f>ROUND(CAPEX!$D25*'Base Física'!M$21,2)</f>
        <v>0</v>
      </c>
      <c r="K25" s="146">
        <f>ROUND(CAPEX!$D25*'Base Física'!N$21,2)</f>
        <v>0</v>
      </c>
      <c r="L25" s="146">
        <f>ROUND(CAPEX!$D25*'Base Física'!O$21,2)</f>
        <v>0</v>
      </c>
      <c r="M25" s="146">
        <f>ROUND(CAPEX!$D25*'Base Física'!P$21,2)</f>
        <v>0</v>
      </c>
      <c r="N25" s="146">
        <f>ROUND(CAPEX!$D25*'Base Física'!Q$21,2)</f>
        <v>0</v>
      </c>
      <c r="O25" s="146">
        <f>ROUND(CAPEX!$D25*'Base Física'!R$21,2)</f>
        <v>0</v>
      </c>
      <c r="P25" s="146">
        <f>ROUND(CAPEX!$D25*'Base Física'!S$21,2)</f>
        <v>0</v>
      </c>
      <c r="Q25" s="146">
        <f>ROUND(CAPEX!$D25*'Base Física'!T$21,2)</f>
        <v>0</v>
      </c>
      <c r="R25" s="146">
        <f>ROUND(CAPEX!$D25*'Base Física'!U$21,2)</f>
        <v>0</v>
      </c>
      <c r="S25" s="146">
        <f>ROUND(CAPEX!$D25*'Base Física'!V$21,2)</f>
        <v>0</v>
      </c>
      <c r="T25" s="146">
        <f>ROUND(CAPEX!$D25*'Base Física'!W$21,2)</f>
        <v>0</v>
      </c>
      <c r="U25" s="146">
        <f>ROUND(CAPEX!$D25*'Base Física'!X$21,2)</f>
        <v>0</v>
      </c>
      <c r="V25" s="146">
        <f>ROUND(CAPEX!$D25*'Base Física'!Y$21,2)</f>
        <v>0</v>
      </c>
      <c r="W25" s="146">
        <f>ROUND(CAPEX!$D25*'Base Física'!Z$21,2)</f>
        <v>0</v>
      </c>
      <c r="X25" s="146">
        <f>ROUND(CAPEX!$D25*'Base Física'!AA$21,2)</f>
        <v>0</v>
      </c>
      <c r="Y25" s="146">
        <f>ROUND(CAPEX!$D25*'Base Física'!AB$21,2)</f>
        <v>0</v>
      </c>
      <c r="Z25" s="146">
        <f>ROUND(CAPEX!$D25*'Base Física'!AC$21,2)</f>
        <v>0</v>
      </c>
      <c r="AA25" s="146">
        <f>ROUND(CAPEX!$D25*'Base Física'!AD$21,2)</f>
        <v>0</v>
      </c>
      <c r="AB25" s="146">
        <f>ROUND(CAPEX!$D25*'Base Física'!AE$21,2)</f>
        <v>0</v>
      </c>
      <c r="AC25" s="146">
        <f>ROUND(CAPEX!$D25*'Base Física'!AF$21,2)</f>
        <v>0</v>
      </c>
      <c r="AD25" s="146">
        <f>ROUND(CAPEX!$D25*'Base Física'!AG$21,2)</f>
        <v>0</v>
      </c>
      <c r="AE25" s="146">
        <f>ROUND(CAPEX!$D25*'Base Física'!AH$21,2)</f>
        <v>0</v>
      </c>
      <c r="AF25" s="146">
        <f>ROUND(CAPEX!$D25*'Base Física'!AI$21,2)</f>
        <v>0</v>
      </c>
      <c r="AG25" s="146">
        <f>ROUND(CAPEX!$D25*'Base Física'!AJ$21,2)</f>
        <v>0</v>
      </c>
      <c r="AH25" s="146">
        <f>ROUND(CAPEX!$D25*'Base Física'!AK$21,2)</f>
        <v>0</v>
      </c>
      <c r="AI25" s="146">
        <f>ROUND(CAPEX!$D25*'Base Física'!AL$21,2)</f>
        <v>0</v>
      </c>
      <c r="AJ25" s="146">
        <f>ROUND(CAPEX!$D25*'Base Física'!AM$21,2)</f>
        <v>0</v>
      </c>
      <c r="AK25" s="146">
        <f>ROUND(CAPEX!$D25*'Base Física'!AN$21,2)</f>
        <v>0</v>
      </c>
      <c r="AL25" s="147">
        <f t="shared" ref="AL25:AL37" si="79">+SUM(C25:AK25)</f>
        <v>0</v>
      </c>
      <c r="AM25" s="71"/>
    </row>
    <row r="26" spans="1:39" x14ac:dyDescent="0.25">
      <c r="A26" s="69"/>
      <c r="B26" s="112" t="s">
        <v>652</v>
      </c>
      <c r="C26" s="146">
        <f>ROUND(CAPEX!$D26*'Base Física'!F$21,2)</f>
        <v>0</v>
      </c>
      <c r="D26" s="146">
        <f>ROUND(CAPEX!$D26*'Base Física'!G$21,2)</f>
        <v>0</v>
      </c>
      <c r="E26" s="146">
        <f>ROUND(CAPEX!$D26*'Base Física'!H$21,2)</f>
        <v>0</v>
      </c>
      <c r="F26" s="146">
        <f>ROUND(CAPEX!$D26*'Base Física'!I$21,2)</f>
        <v>0</v>
      </c>
      <c r="G26" s="146">
        <f>ROUND(CAPEX!$D26*'Base Física'!J$21,2)</f>
        <v>0</v>
      </c>
      <c r="H26" s="146">
        <f>ROUND(CAPEX!$D26*'Base Física'!K$21,2)</f>
        <v>0</v>
      </c>
      <c r="I26" s="146">
        <f>ROUND(CAPEX!$D26*'Base Física'!L$21,2)</f>
        <v>0</v>
      </c>
      <c r="J26" s="146">
        <f>ROUND(CAPEX!$D26*'Base Física'!M$21,2)</f>
        <v>0</v>
      </c>
      <c r="K26" s="146">
        <f>ROUND(CAPEX!$D26*'Base Física'!N$21,2)</f>
        <v>0</v>
      </c>
      <c r="L26" s="146">
        <f>ROUND(CAPEX!$D26*'Base Física'!O$21,2)</f>
        <v>0</v>
      </c>
      <c r="M26" s="146">
        <f>ROUND(CAPEX!$D26*'Base Física'!P$21,2)</f>
        <v>0</v>
      </c>
      <c r="N26" s="146">
        <f>ROUND(CAPEX!$D26*'Base Física'!Q$21,2)</f>
        <v>0</v>
      </c>
      <c r="O26" s="146">
        <f>ROUND(CAPEX!$D26*'Base Física'!R$21,2)</f>
        <v>0</v>
      </c>
      <c r="P26" s="146">
        <f>ROUND(CAPEX!$D26*'Base Física'!S$21,2)</f>
        <v>0</v>
      </c>
      <c r="Q26" s="146">
        <f>ROUND(CAPEX!$D26*'Base Física'!T$21,2)</f>
        <v>0</v>
      </c>
      <c r="R26" s="146">
        <f>ROUND(CAPEX!$D26*'Base Física'!U$21,2)</f>
        <v>0</v>
      </c>
      <c r="S26" s="146">
        <f>ROUND(CAPEX!$D26*'Base Física'!V$21,2)</f>
        <v>0</v>
      </c>
      <c r="T26" s="146">
        <f>ROUND(CAPEX!$D26*'Base Física'!W$21,2)</f>
        <v>0</v>
      </c>
      <c r="U26" s="146">
        <f>ROUND(CAPEX!$D26*'Base Física'!X$21,2)</f>
        <v>0</v>
      </c>
      <c r="V26" s="146">
        <f>ROUND(CAPEX!$D26*'Base Física'!Y$21,2)</f>
        <v>0</v>
      </c>
      <c r="W26" s="146">
        <f>ROUND(CAPEX!$D26*'Base Física'!Z$21,2)</f>
        <v>0</v>
      </c>
      <c r="X26" s="146">
        <f>ROUND(CAPEX!$D26*'Base Física'!AA$21,2)</f>
        <v>0</v>
      </c>
      <c r="Y26" s="146">
        <f>ROUND(CAPEX!$D26*'Base Física'!AB$21,2)</f>
        <v>0</v>
      </c>
      <c r="Z26" s="146">
        <f>ROUND(CAPEX!$D26*'Base Física'!AC$21,2)</f>
        <v>0</v>
      </c>
      <c r="AA26" s="146">
        <f>ROUND(CAPEX!$D26*'Base Física'!AD$21,2)</f>
        <v>0</v>
      </c>
      <c r="AB26" s="146">
        <f>ROUND(CAPEX!$D26*'Base Física'!AE$21,2)</f>
        <v>0</v>
      </c>
      <c r="AC26" s="146">
        <f>ROUND(CAPEX!$D26*'Base Física'!AF$21,2)</f>
        <v>0</v>
      </c>
      <c r="AD26" s="146">
        <f>ROUND(CAPEX!$D26*'Base Física'!AG$21,2)</f>
        <v>0</v>
      </c>
      <c r="AE26" s="146">
        <f>ROUND(CAPEX!$D26*'Base Física'!AH$21,2)</f>
        <v>0</v>
      </c>
      <c r="AF26" s="146">
        <f>ROUND(CAPEX!$D26*'Base Física'!AI$21,2)</f>
        <v>0</v>
      </c>
      <c r="AG26" s="146">
        <f>ROUND(CAPEX!$D26*'Base Física'!AJ$21,2)</f>
        <v>0</v>
      </c>
      <c r="AH26" s="146">
        <f>ROUND(CAPEX!$D26*'Base Física'!AK$21,2)</f>
        <v>0</v>
      </c>
      <c r="AI26" s="146">
        <f>ROUND(CAPEX!$D26*'Base Física'!AL$21,2)</f>
        <v>0</v>
      </c>
      <c r="AJ26" s="146">
        <f>ROUND(CAPEX!$D26*'Base Física'!AM$21,2)</f>
        <v>0</v>
      </c>
      <c r="AK26" s="146">
        <f>ROUND(CAPEX!$D26*'Base Física'!AN$21,2)</f>
        <v>0</v>
      </c>
      <c r="AL26" s="147">
        <f t="shared" si="79"/>
        <v>0</v>
      </c>
      <c r="AM26" s="71"/>
    </row>
    <row r="27" spans="1:39" x14ac:dyDescent="0.25">
      <c r="A27" s="69"/>
      <c r="B27" s="113" t="s">
        <v>161</v>
      </c>
      <c r="C27" s="146">
        <f>ROUND(CAPEX!$D27*'Base Física'!F$21,2)</f>
        <v>0</v>
      </c>
      <c r="D27" s="146">
        <f>ROUND(CAPEX!$D27*'Base Física'!G$21,2)</f>
        <v>0</v>
      </c>
      <c r="E27" s="146">
        <f>ROUND(CAPEX!$D27*'Base Física'!H$21,2)</f>
        <v>0</v>
      </c>
      <c r="F27" s="146">
        <f>ROUND(CAPEX!$D27*'Base Física'!I$21,2)</f>
        <v>0</v>
      </c>
      <c r="G27" s="146">
        <f>ROUND(CAPEX!$D27*'Base Física'!J$21,2)</f>
        <v>0</v>
      </c>
      <c r="H27" s="146">
        <f>ROUND(CAPEX!$D27*'Base Física'!K$21,2)</f>
        <v>0</v>
      </c>
      <c r="I27" s="146">
        <f>ROUND(CAPEX!$D27*'Base Física'!L$21,2)</f>
        <v>0</v>
      </c>
      <c r="J27" s="146">
        <f>ROUND(CAPEX!$D27*'Base Física'!M$21,2)</f>
        <v>0</v>
      </c>
      <c r="K27" s="146">
        <f>ROUND(CAPEX!$D27*'Base Física'!N$21,2)</f>
        <v>0</v>
      </c>
      <c r="L27" s="146">
        <f>ROUND(CAPEX!$D27*'Base Física'!O$21,2)</f>
        <v>0</v>
      </c>
      <c r="M27" s="146">
        <f>ROUND(CAPEX!$D27*'Base Física'!P$21,2)</f>
        <v>0</v>
      </c>
      <c r="N27" s="146">
        <f>ROUND(CAPEX!$D27*'Base Física'!Q$21,2)</f>
        <v>0</v>
      </c>
      <c r="O27" s="146">
        <f>ROUND(CAPEX!$D27*'Base Física'!R$21,2)</f>
        <v>0</v>
      </c>
      <c r="P27" s="146">
        <f>ROUND(CAPEX!$D27*'Base Física'!S$21,2)</f>
        <v>0</v>
      </c>
      <c r="Q27" s="146">
        <f>ROUND(CAPEX!$D27*'Base Física'!T$21,2)</f>
        <v>0</v>
      </c>
      <c r="R27" s="146">
        <f>ROUND(CAPEX!$D27*'Base Física'!U$21,2)</f>
        <v>0</v>
      </c>
      <c r="S27" s="146">
        <f>ROUND(CAPEX!$D27*'Base Física'!V$21,2)</f>
        <v>0</v>
      </c>
      <c r="T27" s="146">
        <f>ROUND(CAPEX!$D27*'Base Física'!W$21,2)</f>
        <v>0</v>
      </c>
      <c r="U27" s="146">
        <f>ROUND(CAPEX!$D27*'Base Física'!X$21,2)</f>
        <v>0</v>
      </c>
      <c r="V27" s="146">
        <f>ROUND(CAPEX!$D27*'Base Física'!Y$21,2)</f>
        <v>0</v>
      </c>
      <c r="W27" s="146">
        <f>ROUND(CAPEX!$D27*'Base Física'!Z$21,2)</f>
        <v>0</v>
      </c>
      <c r="X27" s="146">
        <f>ROUND(CAPEX!$D27*'Base Física'!AA$21,2)</f>
        <v>0</v>
      </c>
      <c r="Y27" s="146">
        <f>ROUND(CAPEX!$D27*'Base Física'!AB$21,2)</f>
        <v>0</v>
      </c>
      <c r="Z27" s="146">
        <f>ROUND(CAPEX!$D27*'Base Física'!AC$21,2)</f>
        <v>0</v>
      </c>
      <c r="AA27" s="146">
        <f>ROUND(CAPEX!$D27*'Base Física'!AD$21,2)</f>
        <v>0</v>
      </c>
      <c r="AB27" s="146">
        <f>ROUND(CAPEX!$D27*'Base Física'!AE$21,2)</f>
        <v>0</v>
      </c>
      <c r="AC27" s="146">
        <f>ROUND(CAPEX!$D27*'Base Física'!AF$21,2)</f>
        <v>0</v>
      </c>
      <c r="AD27" s="146">
        <f>ROUND(CAPEX!$D27*'Base Física'!AG$21,2)</f>
        <v>0</v>
      </c>
      <c r="AE27" s="146">
        <f>ROUND(CAPEX!$D27*'Base Física'!AH$21,2)</f>
        <v>0</v>
      </c>
      <c r="AF27" s="146">
        <f>ROUND(CAPEX!$D27*'Base Física'!AI$21,2)</f>
        <v>0</v>
      </c>
      <c r="AG27" s="146">
        <f>ROUND(CAPEX!$D27*'Base Física'!AJ$21,2)</f>
        <v>0</v>
      </c>
      <c r="AH27" s="146">
        <f>ROUND(CAPEX!$D27*'Base Física'!AK$21,2)</f>
        <v>0</v>
      </c>
      <c r="AI27" s="146">
        <f>ROUND(CAPEX!$D27*'Base Física'!AL$21,2)</f>
        <v>0</v>
      </c>
      <c r="AJ27" s="146">
        <f>ROUND(CAPEX!$D27*'Base Física'!AM$21,2)</f>
        <v>0</v>
      </c>
      <c r="AK27" s="146">
        <f>ROUND(CAPEX!$D27*'Base Física'!AN$21,2)</f>
        <v>0</v>
      </c>
      <c r="AL27" s="147">
        <f t="shared" si="79"/>
        <v>0</v>
      </c>
      <c r="AM27" s="71"/>
    </row>
    <row r="28" spans="1:39" x14ac:dyDescent="0.25">
      <c r="A28" s="69"/>
      <c r="B28" s="113" t="s">
        <v>67</v>
      </c>
      <c r="C28" s="146">
        <f>ROUND(CAPEX!$D28*'Base Física'!F$21,2)</f>
        <v>0</v>
      </c>
      <c r="D28" s="146">
        <f>ROUND(CAPEX!$D28*'Base Física'!G$21,2)</f>
        <v>0</v>
      </c>
      <c r="E28" s="146">
        <f>ROUND(CAPEX!$D28*'Base Física'!H$21,2)</f>
        <v>0</v>
      </c>
      <c r="F28" s="146">
        <f>ROUND(CAPEX!$D28*'Base Física'!I$21,2)</f>
        <v>0</v>
      </c>
      <c r="G28" s="146">
        <f>ROUND(CAPEX!$D28*'Base Física'!J$21,2)</f>
        <v>0</v>
      </c>
      <c r="H28" s="146">
        <f>ROUND(CAPEX!$D28*'Base Física'!K$21,2)</f>
        <v>0</v>
      </c>
      <c r="I28" s="146">
        <f>ROUND(CAPEX!$D28*'Base Física'!L$21,2)</f>
        <v>0</v>
      </c>
      <c r="J28" s="146">
        <f>ROUND(CAPEX!$D28*'Base Física'!M$21,2)</f>
        <v>0</v>
      </c>
      <c r="K28" s="146">
        <f>ROUND(CAPEX!$D28*'Base Física'!N$21,2)</f>
        <v>0</v>
      </c>
      <c r="L28" s="146">
        <f>ROUND(CAPEX!$D28*'Base Física'!O$21,2)</f>
        <v>0</v>
      </c>
      <c r="M28" s="146">
        <f>ROUND(CAPEX!$D28*'Base Física'!P$21,2)</f>
        <v>0</v>
      </c>
      <c r="N28" s="146">
        <f>ROUND(CAPEX!$D28*'Base Física'!Q$21,2)</f>
        <v>0</v>
      </c>
      <c r="O28" s="146">
        <f>ROUND(CAPEX!$D28*'Base Física'!R$21,2)</f>
        <v>0</v>
      </c>
      <c r="P28" s="146">
        <f>ROUND(CAPEX!$D28*'Base Física'!S$21,2)</f>
        <v>0</v>
      </c>
      <c r="Q28" s="146">
        <f>ROUND(CAPEX!$D28*'Base Física'!T$21,2)</f>
        <v>0</v>
      </c>
      <c r="R28" s="146">
        <f>ROUND(CAPEX!$D28*'Base Física'!U$21,2)</f>
        <v>0</v>
      </c>
      <c r="S28" s="146">
        <f>ROUND(CAPEX!$D28*'Base Física'!V$21,2)</f>
        <v>0</v>
      </c>
      <c r="T28" s="146">
        <f>ROUND(CAPEX!$D28*'Base Física'!W$21,2)</f>
        <v>0</v>
      </c>
      <c r="U28" s="146">
        <f>ROUND(CAPEX!$D28*'Base Física'!X$21,2)</f>
        <v>0</v>
      </c>
      <c r="V28" s="146">
        <f>ROUND(CAPEX!$D28*'Base Física'!Y$21,2)</f>
        <v>0</v>
      </c>
      <c r="W28" s="146">
        <f>ROUND(CAPEX!$D28*'Base Física'!Z$21,2)</f>
        <v>0</v>
      </c>
      <c r="X28" s="146">
        <f>ROUND(CAPEX!$D28*'Base Física'!AA$21,2)</f>
        <v>0</v>
      </c>
      <c r="Y28" s="146">
        <f>ROUND(CAPEX!$D28*'Base Física'!AB$21,2)</f>
        <v>0</v>
      </c>
      <c r="Z28" s="146">
        <f>ROUND(CAPEX!$D28*'Base Física'!AC$21,2)</f>
        <v>0</v>
      </c>
      <c r="AA28" s="146">
        <f>ROUND(CAPEX!$D28*'Base Física'!AD$21,2)</f>
        <v>0</v>
      </c>
      <c r="AB28" s="146">
        <f>ROUND(CAPEX!$D28*'Base Física'!AE$21,2)</f>
        <v>0</v>
      </c>
      <c r="AC28" s="146">
        <f>ROUND(CAPEX!$D28*'Base Física'!AF$21,2)</f>
        <v>0</v>
      </c>
      <c r="AD28" s="146">
        <f>ROUND(CAPEX!$D28*'Base Física'!AG$21,2)</f>
        <v>0</v>
      </c>
      <c r="AE28" s="146">
        <f>ROUND(CAPEX!$D28*'Base Física'!AH$21,2)</f>
        <v>0</v>
      </c>
      <c r="AF28" s="146">
        <f>ROUND(CAPEX!$D28*'Base Física'!AI$21,2)</f>
        <v>0</v>
      </c>
      <c r="AG28" s="146">
        <f>ROUND(CAPEX!$D28*'Base Física'!AJ$21,2)</f>
        <v>0</v>
      </c>
      <c r="AH28" s="146">
        <f>ROUND(CAPEX!$D28*'Base Física'!AK$21,2)</f>
        <v>0</v>
      </c>
      <c r="AI28" s="146">
        <f>ROUND(CAPEX!$D28*'Base Física'!AL$21,2)</f>
        <v>0</v>
      </c>
      <c r="AJ28" s="146">
        <f>ROUND(CAPEX!$D28*'Base Física'!AM$21,2)</f>
        <v>0</v>
      </c>
      <c r="AK28" s="146">
        <f>ROUND(CAPEX!$D28*'Base Física'!AN$21,2)</f>
        <v>0</v>
      </c>
      <c r="AL28" s="147">
        <f t="shared" si="79"/>
        <v>0</v>
      </c>
      <c r="AM28" s="71"/>
    </row>
    <row r="29" spans="1:39" x14ac:dyDescent="0.25">
      <c r="A29" s="69"/>
      <c r="B29" s="113" t="s">
        <v>69</v>
      </c>
      <c r="C29" s="146">
        <f>ROUND(CAPEX!$D29*'Base Física'!F$21,2)</f>
        <v>0</v>
      </c>
      <c r="D29" s="146">
        <f>ROUND(CAPEX!$D29*'Base Física'!G$21,2)</f>
        <v>0</v>
      </c>
      <c r="E29" s="146">
        <f>ROUND(CAPEX!$D29*'Base Física'!H$21,2)</f>
        <v>0</v>
      </c>
      <c r="F29" s="146">
        <f>ROUND(CAPEX!$D29*'Base Física'!I$21,2)</f>
        <v>0</v>
      </c>
      <c r="G29" s="146">
        <f>ROUND(CAPEX!$D29*'Base Física'!J$21,2)</f>
        <v>0</v>
      </c>
      <c r="H29" s="146">
        <f>ROUND(CAPEX!$D29*'Base Física'!K$21,2)</f>
        <v>0</v>
      </c>
      <c r="I29" s="146">
        <f>ROUND(CAPEX!$D29*'Base Física'!L$21,2)</f>
        <v>0</v>
      </c>
      <c r="J29" s="146">
        <f>ROUND(CAPEX!$D29*'Base Física'!M$21,2)</f>
        <v>0</v>
      </c>
      <c r="K29" s="146">
        <f>ROUND(CAPEX!$D29*'Base Física'!N$21,2)</f>
        <v>0</v>
      </c>
      <c r="L29" s="146">
        <f>ROUND(CAPEX!$D29*'Base Física'!O$21,2)</f>
        <v>0</v>
      </c>
      <c r="M29" s="146">
        <f>ROUND(CAPEX!$D29*'Base Física'!P$21,2)</f>
        <v>0</v>
      </c>
      <c r="N29" s="146">
        <f>ROUND(CAPEX!$D29*'Base Física'!Q$21,2)</f>
        <v>0</v>
      </c>
      <c r="O29" s="146">
        <f>ROUND(CAPEX!$D29*'Base Física'!R$21,2)</f>
        <v>0</v>
      </c>
      <c r="P29" s="146">
        <f>ROUND(CAPEX!$D29*'Base Física'!S$21,2)</f>
        <v>0</v>
      </c>
      <c r="Q29" s="146">
        <f>ROUND(CAPEX!$D29*'Base Física'!T$21,2)</f>
        <v>0</v>
      </c>
      <c r="R29" s="146">
        <f>ROUND(CAPEX!$D29*'Base Física'!U$21,2)</f>
        <v>0</v>
      </c>
      <c r="S29" s="146">
        <f>ROUND(CAPEX!$D29*'Base Física'!V$21,2)</f>
        <v>0</v>
      </c>
      <c r="T29" s="146">
        <f>ROUND(CAPEX!$D29*'Base Física'!W$21,2)</f>
        <v>0</v>
      </c>
      <c r="U29" s="146">
        <f>ROUND(CAPEX!$D29*'Base Física'!X$21,2)</f>
        <v>0</v>
      </c>
      <c r="V29" s="146">
        <f>ROUND(CAPEX!$D29*'Base Física'!Y$21,2)</f>
        <v>0</v>
      </c>
      <c r="W29" s="146">
        <f>ROUND(CAPEX!$D29*'Base Física'!Z$21,2)</f>
        <v>0</v>
      </c>
      <c r="X29" s="146">
        <f>ROUND(CAPEX!$D29*'Base Física'!AA$21,2)</f>
        <v>0</v>
      </c>
      <c r="Y29" s="146">
        <f>ROUND(CAPEX!$D29*'Base Física'!AB$21,2)</f>
        <v>0</v>
      </c>
      <c r="Z29" s="146">
        <f>ROUND(CAPEX!$D29*'Base Física'!AC$21,2)</f>
        <v>0</v>
      </c>
      <c r="AA29" s="146">
        <f>ROUND(CAPEX!$D29*'Base Física'!AD$21,2)</f>
        <v>0</v>
      </c>
      <c r="AB29" s="146">
        <f>ROUND(CAPEX!$D29*'Base Física'!AE$21,2)</f>
        <v>0</v>
      </c>
      <c r="AC29" s="146">
        <f>ROUND(CAPEX!$D29*'Base Física'!AF$21,2)</f>
        <v>0</v>
      </c>
      <c r="AD29" s="146">
        <f>ROUND(CAPEX!$D29*'Base Física'!AG$21,2)</f>
        <v>0</v>
      </c>
      <c r="AE29" s="146">
        <f>ROUND(CAPEX!$D29*'Base Física'!AH$21,2)</f>
        <v>0</v>
      </c>
      <c r="AF29" s="146">
        <f>ROUND(CAPEX!$D29*'Base Física'!AI$21,2)</f>
        <v>0</v>
      </c>
      <c r="AG29" s="146">
        <f>ROUND(CAPEX!$D29*'Base Física'!AJ$21,2)</f>
        <v>0</v>
      </c>
      <c r="AH29" s="146">
        <f>ROUND(CAPEX!$D29*'Base Física'!AK$21,2)</f>
        <v>0</v>
      </c>
      <c r="AI29" s="146">
        <f>ROUND(CAPEX!$D29*'Base Física'!AL$21,2)</f>
        <v>0</v>
      </c>
      <c r="AJ29" s="146">
        <f>ROUND(CAPEX!$D29*'Base Física'!AM$21,2)</f>
        <v>0</v>
      </c>
      <c r="AK29" s="146">
        <f>ROUND(CAPEX!$D29*'Base Física'!AN$21,2)</f>
        <v>0</v>
      </c>
      <c r="AL29" s="147">
        <f t="shared" si="79"/>
        <v>0</v>
      </c>
      <c r="AM29" s="71"/>
    </row>
    <row r="30" spans="1:39" x14ac:dyDescent="0.25">
      <c r="A30" s="69"/>
      <c r="B30" s="113" t="s">
        <v>68</v>
      </c>
      <c r="C30" s="146">
        <f>ROUND(CAPEX!$D30*'Base Física'!F$21,2)</f>
        <v>0</v>
      </c>
      <c r="D30" s="146">
        <f>ROUND(CAPEX!$D30*'Base Física'!G$21,2)</f>
        <v>0</v>
      </c>
      <c r="E30" s="146">
        <f>ROUND(CAPEX!$D30*'Base Física'!H$21,2)</f>
        <v>0</v>
      </c>
      <c r="F30" s="146">
        <f>ROUND(CAPEX!$D30*'Base Física'!I$21,2)</f>
        <v>0</v>
      </c>
      <c r="G30" s="146">
        <f>ROUND(CAPEX!$D30*'Base Física'!J$21,2)</f>
        <v>0</v>
      </c>
      <c r="H30" s="146">
        <f>ROUND(CAPEX!$D30*'Base Física'!K$21,2)</f>
        <v>0</v>
      </c>
      <c r="I30" s="146">
        <f>ROUND(CAPEX!$D30*'Base Física'!L$21,2)</f>
        <v>0</v>
      </c>
      <c r="J30" s="146">
        <f>ROUND(CAPEX!$D30*'Base Física'!M$21,2)</f>
        <v>0</v>
      </c>
      <c r="K30" s="146">
        <f>ROUND(CAPEX!$D30*'Base Física'!N$21,2)</f>
        <v>0</v>
      </c>
      <c r="L30" s="146">
        <f>ROUND(CAPEX!$D30*'Base Física'!O$21,2)</f>
        <v>0</v>
      </c>
      <c r="M30" s="146">
        <f>ROUND(CAPEX!$D30*'Base Física'!P$21,2)</f>
        <v>0</v>
      </c>
      <c r="N30" s="146">
        <f>ROUND(CAPEX!$D30*'Base Física'!Q$21,2)</f>
        <v>0</v>
      </c>
      <c r="O30" s="146">
        <f>ROUND(CAPEX!$D30*'Base Física'!R$21,2)</f>
        <v>0</v>
      </c>
      <c r="P30" s="146">
        <f>ROUND(CAPEX!$D30*'Base Física'!S$21,2)</f>
        <v>0</v>
      </c>
      <c r="Q30" s="146">
        <f>ROUND(CAPEX!$D30*'Base Física'!T$21,2)</f>
        <v>0</v>
      </c>
      <c r="R30" s="146">
        <f>ROUND(CAPEX!$D30*'Base Física'!U$21,2)</f>
        <v>0</v>
      </c>
      <c r="S30" s="146">
        <f>ROUND(CAPEX!$D30*'Base Física'!V$21,2)</f>
        <v>0</v>
      </c>
      <c r="T30" s="146">
        <f>ROUND(CAPEX!$D30*'Base Física'!W$21,2)</f>
        <v>0</v>
      </c>
      <c r="U30" s="146">
        <f>ROUND(CAPEX!$D30*'Base Física'!X$21,2)</f>
        <v>0</v>
      </c>
      <c r="V30" s="146">
        <f>ROUND(CAPEX!$D30*'Base Física'!Y$21,2)</f>
        <v>0</v>
      </c>
      <c r="W30" s="146">
        <f>ROUND(CAPEX!$D30*'Base Física'!Z$21,2)</f>
        <v>0</v>
      </c>
      <c r="X30" s="146">
        <f>ROUND(CAPEX!$D30*'Base Física'!AA$21,2)</f>
        <v>0</v>
      </c>
      <c r="Y30" s="146">
        <f>ROUND(CAPEX!$D30*'Base Física'!AB$21,2)</f>
        <v>0</v>
      </c>
      <c r="Z30" s="146">
        <f>ROUND(CAPEX!$D30*'Base Física'!AC$21,2)</f>
        <v>0</v>
      </c>
      <c r="AA30" s="146">
        <f>ROUND(CAPEX!$D30*'Base Física'!AD$21,2)</f>
        <v>0</v>
      </c>
      <c r="AB30" s="146">
        <f>ROUND(CAPEX!$D30*'Base Física'!AE$21,2)</f>
        <v>0</v>
      </c>
      <c r="AC30" s="146">
        <f>ROUND(CAPEX!$D30*'Base Física'!AF$21,2)</f>
        <v>0</v>
      </c>
      <c r="AD30" s="146">
        <f>ROUND(CAPEX!$D30*'Base Física'!AG$21,2)</f>
        <v>0</v>
      </c>
      <c r="AE30" s="146">
        <f>ROUND(CAPEX!$D30*'Base Física'!AH$21,2)</f>
        <v>0</v>
      </c>
      <c r="AF30" s="146">
        <f>ROUND(CAPEX!$D30*'Base Física'!AI$21,2)</f>
        <v>0</v>
      </c>
      <c r="AG30" s="146">
        <f>ROUND(CAPEX!$D30*'Base Física'!AJ$21,2)</f>
        <v>0</v>
      </c>
      <c r="AH30" s="146">
        <f>ROUND(CAPEX!$D30*'Base Física'!AK$21,2)</f>
        <v>0</v>
      </c>
      <c r="AI30" s="146">
        <f>ROUND(CAPEX!$D30*'Base Física'!AL$21,2)</f>
        <v>0</v>
      </c>
      <c r="AJ30" s="146">
        <f>ROUND(CAPEX!$D30*'Base Física'!AM$21,2)</f>
        <v>0</v>
      </c>
      <c r="AK30" s="146">
        <f>ROUND(CAPEX!$D30*'Base Física'!AN$21,2)</f>
        <v>0</v>
      </c>
      <c r="AL30" s="147">
        <f t="shared" si="79"/>
        <v>0</v>
      </c>
      <c r="AM30" s="71"/>
    </row>
    <row r="31" spans="1:39" x14ac:dyDescent="0.25">
      <c r="A31" s="69"/>
      <c r="B31" s="114" t="s">
        <v>92</v>
      </c>
      <c r="C31" s="935">
        <f>SUM(C24:C30)</f>
        <v>0</v>
      </c>
      <c r="D31" s="935">
        <f t="shared" ref="D31:AK31" si="80">SUM(D24:D30)</f>
        <v>0</v>
      </c>
      <c r="E31" s="935">
        <f t="shared" si="80"/>
        <v>0</v>
      </c>
      <c r="F31" s="935">
        <f t="shared" si="80"/>
        <v>0</v>
      </c>
      <c r="G31" s="935">
        <f t="shared" si="80"/>
        <v>0</v>
      </c>
      <c r="H31" s="935">
        <f t="shared" si="80"/>
        <v>0</v>
      </c>
      <c r="I31" s="935">
        <f t="shared" si="80"/>
        <v>0</v>
      </c>
      <c r="J31" s="935">
        <f t="shared" si="80"/>
        <v>0</v>
      </c>
      <c r="K31" s="935">
        <f t="shared" si="80"/>
        <v>0</v>
      </c>
      <c r="L31" s="935">
        <f t="shared" si="80"/>
        <v>0</v>
      </c>
      <c r="M31" s="935">
        <f t="shared" si="80"/>
        <v>0</v>
      </c>
      <c r="N31" s="935">
        <f t="shared" si="80"/>
        <v>0</v>
      </c>
      <c r="O31" s="935">
        <f t="shared" si="80"/>
        <v>0</v>
      </c>
      <c r="P31" s="935">
        <f t="shared" si="80"/>
        <v>0</v>
      </c>
      <c r="Q31" s="935">
        <f t="shared" si="80"/>
        <v>0</v>
      </c>
      <c r="R31" s="935">
        <f t="shared" si="80"/>
        <v>0</v>
      </c>
      <c r="S31" s="935">
        <f t="shared" si="80"/>
        <v>0</v>
      </c>
      <c r="T31" s="935">
        <f t="shared" si="80"/>
        <v>0</v>
      </c>
      <c r="U31" s="935">
        <f t="shared" si="80"/>
        <v>0</v>
      </c>
      <c r="V31" s="935">
        <f t="shared" si="80"/>
        <v>0</v>
      </c>
      <c r="W31" s="935">
        <f t="shared" si="80"/>
        <v>0</v>
      </c>
      <c r="X31" s="935">
        <f t="shared" si="80"/>
        <v>0</v>
      </c>
      <c r="Y31" s="935">
        <f t="shared" si="80"/>
        <v>0</v>
      </c>
      <c r="Z31" s="935">
        <f t="shared" si="80"/>
        <v>0</v>
      </c>
      <c r="AA31" s="935">
        <f t="shared" si="80"/>
        <v>0</v>
      </c>
      <c r="AB31" s="935">
        <f t="shared" si="80"/>
        <v>0</v>
      </c>
      <c r="AC31" s="935">
        <f t="shared" si="80"/>
        <v>0</v>
      </c>
      <c r="AD31" s="935">
        <f t="shared" si="80"/>
        <v>0</v>
      </c>
      <c r="AE31" s="935">
        <f t="shared" si="80"/>
        <v>0</v>
      </c>
      <c r="AF31" s="935">
        <f t="shared" si="80"/>
        <v>0</v>
      </c>
      <c r="AG31" s="935">
        <f t="shared" si="80"/>
        <v>0</v>
      </c>
      <c r="AH31" s="935">
        <f t="shared" si="80"/>
        <v>0</v>
      </c>
      <c r="AI31" s="935">
        <f t="shared" si="80"/>
        <v>0</v>
      </c>
      <c r="AJ31" s="935">
        <f t="shared" si="80"/>
        <v>0</v>
      </c>
      <c r="AK31" s="935">
        <f t="shared" si="80"/>
        <v>0</v>
      </c>
      <c r="AL31" s="937">
        <f t="shared" si="79"/>
        <v>0</v>
      </c>
      <c r="AM31" s="71"/>
    </row>
    <row r="32" spans="1:39" x14ac:dyDescent="0.25">
      <c r="A32" s="69"/>
      <c r="B32" s="112" t="s">
        <v>0</v>
      </c>
      <c r="C32" s="146">
        <f>ROUND(CAPEX!$D32*'Base Física'!F$22,2)</f>
        <v>0</v>
      </c>
      <c r="D32" s="146">
        <f>ROUND(CAPEX!$D32*'Base Física'!G$22,2)</f>
        <v>0</v>
      </c>
      <c r="E32" s="146">
        <f>ROUND(CAPEX!$D32*'Base Física'!H$22,2)</f>
        <v>0</v>
      </c>
      <c r="F32" s="146">
        <f>ROUND(CAPEX!$D32*'Base Física'!I$22,2)</f>
        <v>0</v>
      </c>
      <c r="G32" s="146">
        <f>ROUND(CAPEX!$D32*'Base Física'!J$22,2)</f>
        <v>0</v>
      </c>
      <c r="H32" s="146">
        <f>ROUND(CAPEX!$D32*'Base Física'!K$22,2)</f>
        <v>0</v>
      </c>
      <c r="I32" s="146">
        <f>ROUND(CAPEX!$D32*'Base Física'!L$22,2)</f>
        <v>0</v>
      </c>
      <c r="J32" s="146">
        <f>ROUND(CAPEX!$D32*'Base Física'!M$22,2)</f>
        <v>0</v>
      </c>
      <c r="K32" s="146">
        <f>ROUND(CAPEX!$D32*'Base Física'!N$22,2)</f>
        <v>0</v>
      </c>
      <c r="L32" s="146">
        <f>ROUND(CAPEX!$D32*'Base Física'!O$22,2)</f>
        <v>0</v>
      </c>
      <c r="M32" s="146">
        <f>ROUND(CAPEX!$D32*'Base Física'!P$22,2)</f>
        <v>0</v>
      </c>
      <c r="N32" s="146">
        <f>ROUND(CAPEX!$D32*'Base Física'!Q$22,2)</f>
        <v>0</v>
      </c>
      <c r="O32" s="146">
        <f>ROUND(CAPEX!$D32*'Base Física'!R$22,2)</f>
        <v>0</v>
      </c>
      <c r="P32" s="146">
        <f>ROUND(CAPEX!$D32*'Base Física'!S$22,2)</f>
        <v>0</v>
      </c>
      <c r="Q32" s="146">
        <f>ROUND(CAPEX!$D32*'Base Física'!T$22,2)</f>
        <v>0</v>
      </c>
      <c r="R32" s="146">
        <f>ROUND(CAPEX!$D32*'Base Física'!U$22,2)</f>
        <v>0</v>
      </c>
      <c r="S32" s="146">
        <f>ROUND(CAPEX!$D32*'Base Física'!V$22,2)</f>
        <v>0</v>
      </c>
      <c r="T32" s="146">
        <f>ROUND(CAPEX!$D32*'Base Física'!W$22,2)</f>
        <v>0</v>
      </c>
      <c r="U32" s="146">
        <f>ROUND(CAPEX!$D32*'Base Física'!X$22,2)</f>
        <v>0</v>
      </c>
      <c r="V32" s="146">
        <f>ROUND(CAPEX!$D32*'Base Física'!Y$22,2)</f>
        <v>0</v>
      </c>
      <c r="W32" s="146">
        <f>ROUND(CAPEX!$D32*'Base Física'!Z$22,2)</f>
        <v>0</v>
      </c>
      <c r="X32" s="146">
        <f>ROUND(CAPEX!$D32*'Base Física'!AA$22,2)</f>
        <v>0</v>
      </c>
      <c r="Y32" s="146">
        <f>ROUND(CAPEX!$D32*'Base Física'!AB$22,2)</f>
        <v>0</v>
      </c>
      <c r="Z32" s="146">
        <f>ROUND(CAPEX!$D32*'Base Física'!AC$22,2)</f>
        <v>0</v>
      </c>
      <c r="AA32" s="146">
        <f>ROUND(CAPEX!$D32*'Base Física'!AD$22,2)</f>
        <v>0</v>
      </c>
      <c r="AB32" s="146">
        <f>ROUND(CAPEX!$D32*'Base Física'!AE$22,2)</f>
        <v>0</v>
      </c>
      <c r="AC32" s="146">
        <f>ROUND(CAPEX!$D32*'Base Física'!AF$22,2)</f>
        <v>0</v>
      </c>
      <c r="AD32" s="146">
        <f>ROUND(CAPEX!$D32*'Base Física'!AG$22,2)</f>
        <v>0</v>
      </c>
      <c r="AE32" s="146">
        <f>ROUND(CAPEX!$D32*'Base Física'!AH$22,2)</f>
        <v>0</v>
      </c>
      <c r="AF32" s="146">
        <f>ROUND(CAPEX!$D32*'Base Física'!AI$22,2)</f>
        <v>0</v>
      </c>
      <c r="AG32" s="146">
        <f>ROUND(CAPEX!$D32*'Base Física'!AJ$22,2)</f>
        <v>0</v>
      </c>
      <c r="AH32" s="146">
        <f>ROUND(CAPEX!$D32*'Base Física'!AK$22,2)</f>
        <v>0</v>
      </c>
      <c r="AI32" s="146">
        <f>ROUND(CAPEX!$D32*'Base Física'!AL$22,2)</f>
        <v>0</v>
      </c>
      <c r="AJ32" s="146">
        <f>ROUND(CAPEX!$D32*'Base Física'!AM$22,2)</f>
        <v>0</v>
      </c>
      <c r="AK32" s="146">
        <f>ROUND(CAPEX!$D32*'Base Física'!AN$22,2)</f>
        <v>0</v>
      </c>
      <c r="AL32" s="147">
        <f t="shared" si="79"/>
        <v>0</v>
      </c>
      <c r="AM32" s="71"/>
    </row>
    <row r="33" spans="1:40" x14ac:dyDescent="0.25">
      <c r="A33" s="69"/>
      <c r="B33" s="112" t="s">
        <v>21</v>
      </c>
      <c r="C33" s="146">
        <f>ROUND(CAPEX!$D33*'Base Física'!F$22,2)</f>
        <v>0</v>
      </c>
      <c r="D33" s="146">
        <f>ROUND(CAPEX!$D33*'Base Física'!G$22,2)</f>
        <v>0</v>
      </c>
      <c r="E33" s="146">
        <f>ROUND(CAPEX!$D33*'Base Física'!H$22,2)</f>
        <v>0</v>
      </c>
      <c r="F33" s="146">
        <f>ROUND(CAPEX!$D33*'Base Física'!I$22,2)</f>
        <v>0</v>
      </c>
      <c r="G33" s="146">
        <f>ROUND(CAPEX!$D33*'Base Física'!J$22,2)</f>
        <v>0</v>
      </c>
      <c r="H33" s="146">
        <f>ROUND(CAPEX!$D33*'Base Física'!K$22,2)</f>
        <v>0</v>
      </c>
      <c r="I33" s="146">
        <f>ROUND(CAPEX!$D33*'Base Física'!L$22,2)</f>
        <v>0</v>
      </c>
      <c r="J33" s="146">
        <f>ROUND(CAPEX!$D33*'Base Física'!M$22,2)</f>
        <v>0</v>
      </c>
      <c r="K33" s="146">
        <f>ROUND(CAPEX!$D33*'Base Física'!N$22,2)</f>
        <v>0</v>
      </c>
      <c r="L33" s="146">
        <f>ROUND(CAPEX!$D33*'Base Física'!O$22,2)</f>
        <v>0</v>
      </c>
      <c r="M33" s="146">
        <f>ROUND(CAPEX!$D33*'Base Física'!P$22,2)</f>
        <v>0</v>
      </c>
      <c r="N33" s="146">
        <f>ROUND(CAPEX!$D33*'Base Física'!Q$22,2)</f>
        <v>0</v>
      </c>
      <c r="O33" s="146">
        <f>ROUND(CAPEX!$D33*'Base Física'!R$22,2)</f>
        <v>0</v>
      </c>
      <c r="P33" s="146">
        <f>ROUND(CAPEX!$D33*'Base Física'!S$22,2)</f>
        <v>0</v>
      </c>
      <c r="Q33" s="146">
        <f>ROUND(CAPEX!$D33*'Base Física'!T$22,2)</f>
        <v>0</v>
      </c>
      <c r="R33" s="146">
        <f>ROUND(CAPEX!$D33*'Base Física'!U$22,2)</f>
        <v>0</v>
      </c>
      <c r="S33" s="146">
        <f>ROUND(CAPEX!$D33*'Base Física'!V$22,2)</f>
        <v>0</v>
      </c>
      <c r="T33" s="146">
        <f>ROUND(CAPEX!$D33*'Base Física'!W$22,2)</f>
        <v>0</v>
      </c>
      <c r="U33" s="146">
        <f>ROUND(CAPEX!$D33*'Base Física'!X$22,2)</f>
        <v>0</v>
      </c>
      <c r="V33" s="146">
        <f>ROUND(CAPEX!$D33*'Base Física'!Y$22,2)</f>
        <v>0</v>
      </c>
      <c r="W33" s="146">
        <f>ROUND(CAPEX!$D33*'Base Física'!Z$22,2)</f>
        <v>0</v>
      </c>
      <c r="X33" s="146">
        <f>ROUND(CAPEX!$D33*'Base Física'!AA$22,2)</f>
        <v>0</v>
      </c>
      <c r="Y33" s="146">
        <f>ROUND(CAPEX!$D33*'Base Física'!AB$22,2)</f>
        <v>0</v>
      </c>
      <c r="Z33" s="146">
        <f>ROUND(CAPEX!$D33*'Base Física'!AC$22,2)</f>
        <v>0</v>
      </c>
      <c r="AA33" s="146">
        <f>ROUND(CAPEX!$D33*'Base Física'!AD$22,2)</f>
        <v>0</v>
      </c>
      <c r="AB33" s="146">
        <f>ROUND(CAPEX!$D33*'Base Física'!AE$22,2)</f>
        <v>0</v>
      </c>
      <c r="AC33" s="146">
        <f>ROUND(CAPEX!$D33*'Base Física'!AF$22,2)</f>
        <v>0</v>
      </c>
      <c r="AD33" s="146">
        <f>ROUND(CAPEX!$D33*'Base Física'!AG$22,2)</f>
        <v>0</v>
      </c>
      <c r="AE33" s="146">
        <f>ROUND(CAPEX!$D33*'Base Física'!AH$22,2)</f>
        <v>0</v>
      </c>
      <c r="AF33" s="146">
        <f>ROUND(CAPEX!$D33*'Base Física'!AI$22,2)</f>
        <v>0</v>
      </c>
      <c r="AG33" s="146">
        <f>ROUND(CAPEX!$D33*'Base Física'!AJ$22,2)</f>
        <v>0</v>
      </c>
      <c r="AH33" s="146">
        <f>ROUND(CAPEX!$D33*'Base Física'!AK$22,2)</f>
        <v>0</v>
      </c>
      <c r="AI33" s="146">
        <f>ROUND(CAPEX!$D33*'Base Física'!AL$22,2)</f>
        <v>0</v>
      </c>
      <c r="AJ33" s="146">
        <f>ROUND(CAPEX!$D33*'Base Física'!AM$22,2)</f>
        <v>0</v>
      </c>
      <c r="AK33" s="146">
        <f>ROUND(CAPEX!$D33*'Base Física'!AN$22,2)</f>
        <v>0</v>
      </c>
      <c r="AL33" s="147">
        <f t="shared" si="79"/>
        <v>0</v>
      </c>
      <c r="AM33" s="71"/>
    </row>
    <row r="34" spans="1:40" x14ac:dyDescent="0.25">
      <c r="A34" s="69"/>
      <c r="B34" s="113" t="s">
        <v>162</v>
      </c>
      <c r="C34" s="146">
        <f>ROUND(CAPEX!$D34*'Base Física'!F$22,2)</f>
        <v>0</v>
      </c>
      <c r="D34" s="146">
        <f>ROUND(CAPEX!$D34*'Base Física'!G$22,2)</f>
        <v>0</v>
      </c>
      <c r="E34" s="146">
        <f>ROUND(CAPEX!$D34*'Base Física'!H$22,2)</f>
        <v>0</v>
      </c>
      <c r="F34" s="146">
        <f>ROUND(CAPEX!$D34*'Base Física'!I$22,2)</f>
        <v>0</v>
      </c>
      <c r="G34" s="146">
        <f>ROUND(CAPEX!$D34*'Base Física'!J$22,2)</f>
        <v>0</v>
      </c>
      <c r="H34" s="146">
        <f>ROUND(CAPEX!$D34*'Base Física'!K$22,2)</f>
        <v>0</v>
      </c>
      <c r="I34" s="146">
        <f>ROUND(CAPEX!$D34*'Base Física'!L$22,2)</f>
        <v>0</v>
      </c>
      <c r="J34" s="146">
        <f>ROUND(CAPEX!$D34*'Base Física'!M$22,2)</f>
        <v>0</v>
      </c>
      <c r="K34" s="146">
        <f>ROUND(CAPEX!$D34*'Base Física'!N$22,2)</f>
        <v>0</v>
      </c>
      <c r="L34" s="146">
        <f>ROUND(CAPEX!$D34*'Base Física'!O$22,2)</f>
        <v>0</v>
      </c>
      <c r="M34" s="146">
        <f>ROUND(CAPEX!$D34*'Base Física'!P$22,2)</f>
        <v>0</v>
      </c>
      <c r="N34" s="146">
        <f>ROUND(CAPEX!$D34*'Base Física'!Q$22,2)</f>
        <v>0</v>
      </c>
      <c r="O34" s="146">
        <f>ROUND(CAPEX!$D34*'Base Física'!R$22,2)</f>
        <v>0</v>
      </c>
      <c r="P34" s="146">
        <f>ROUND(CAPEX!$D34*'Base Física'!S$22,2)</f>
        <v>0</v>
      </c>
      <c r="Q34" s="146">
        <f>ROUND(CAPEX!$D34*'Base Física'!T$22,2)</f>
        <v>0</v>
      </c>
      <c r="R34" s="146">
        <f>ROUND(CAPEX!$D34*'Base Física'!U$22,2)</f>
        <v>0</v>
      </c>
      <c r="S34" s="146">
        <f>ROUND(CAPEX!$D34*'Base Física'!V$22,2)</f>
        <v>0</v>
      </c>
      <c r="T34" s="146">
        <f>ROUND(CAPEX!$D34*'Base Física'!W$22,2)</f>
        <v>0</v>
      </c>
      <c r="U34" s="146">
        <f>ROUND(CAPEX!$D34*'Base Física'!X$22,2)</f>
        <v>0</v>
      </c>
      <c r="V34" s="146">
        <f>ROUND(CAPEX!$D34*'Base Física'!Y$22,2)</f>
        <v>0</v>
      </c>
      <c r="W34" s="146">
        <f>ROUND(CAPEX!$D34*'Base Física'!Z$22,2)</f>
        <v>0</v>
      </c>
      <c r="X34" s="146">
        <f>ROUND(CAPEX!$D34*'Base Física'!AA$22,2)</f>
        <v>0</v>
      </c>
      <c r="Y34" s="146">
        <f>ROUND(CAPEX!$D34*'Base Física'!AB$22,2)</f>
        <v>0</v>
      </c>
      <c r="Z34" s="146">
        <f>ROUND(CAPEX!$D34*'Base Física'!AC$22,2)</f>
        <v>0</v>
      </c>
      <c r="AA34" s="146">
        <f>ROUND(CAPEX!$D34*'Base Física'!AD$22,2)</f>
        <v>0</v>
      </c>
      <c r="AB34" s="146">
        <f>ROUND(CAPEX!$D34*'Base Física'!AE$22,2)</f>
        <v>0</v>
      </c>
      <c r="AC34" s="146">
        <f>ROUND(CAPEX!$D34*'Base Física'!AF$22,2)</f>
        <v>0</v>
      </c>
      <c r="AD34" s="146">
        <f>ROUND(CAPEX!$D34*'Base Física'!AG$22,2)</f>
        <v>0</v>
      </c>
      <c r="AE34" s="146">
        <f>ROUND(CAPEX!$D34*'Base Física'!AH$22,2)</f>
        <v>0</v>
      </c>
      <c r="AF34" s="146">
        <f>ROUND(CAPEX!$D34*'Base Física'!AI$22,2)</f>
        <v>0</v>
      </c>
      <c r="AG34" s="146">
        <f>ROUND(CAPEX!$D34*'Base Física'!AJ$22,2)</f>
        <v>0</v>
      </c>
      <c r="AH34" s="146">
        <f>ROUND(CAPEX!$D34*'Base Física'!AK$22,2)</f>
        <v>0</v>
      </c>
      <c r="AI34" s="146">
        <f>ROUND(CAPEX!$D34*'Base Física'!AL$22,2)</f>
        <v>0</v>
      </c>
      <c r="AJ34" s="146">
        <f>ROUND(CAPEX!$D34*'Base Física'!AM$22,2)</f>
        <v>0</v>
      </c>
      <c r="AK34" s="146">
        <f>ROUND(CAPEX!$D34*'Base Física'!AN$22,2)</f>
        <v>0</v>
      </c>
      <c r="AL34" s="147">
        <f t="shared" si="79"/>
        <v>0</v>
      </c>
      <c r="AM34" s="71"/>
    </row>
    <row r="35" spans="1:40" x14ac:dyDescent="0.25">
      <c r="A35" s="69"/>
      <c r="B35" s="113" t="s">
        <v>71</v>
      </c>
      <c r="C35" s="146">
        <f>ROUND(CAPEX!$D35*'Base Física'!F$22,2)</f>
        <v>0</v>
      </c>
      <c r="D35" s="146">
        <f>ROUND(CAPEX!$D35*'Base Física'!G$22,2)</f>
        <v>0</v>
      </c>
      <c r="E35" s="146">
        <f>ROUND(CAPEX!$D35*'Base Física'!H$22,2)</f>
        <v>0</v>
      </c>
      <c r="F35" s="146">
        <f>ROUND(CAPEX!$D35*'Base Física'!I$22,2)</f>
        <v>0</v>
      </c>
      <c r="G35" s="146">
        <f>ROUND(CAPEX!$D35*'Base Física'!J$22,2)</f>
        <v>0</v>
      </c>
      <c r="H35" s="146">
        <f>ROUND(CAPEX!$D35*'Base Física'!K$22,2)</f>
        <v>0</v>
      </c>
      <c r="I35" s="146">
        <f>ROUND(CAPEX!$D35*'Base Física'!L$22,2)</f>
        <v>0</v>
      </c>
      <c r="J35" s="146">
        <f>ROUND(CAPEX!$D35*'Base Física'!M$22,2)</f>
        <v>0</v>
      </c>
      <c r="K35" s="146">
        <f>ROUND(CAPEX!$D35*'Base Física'!N$22,2)</f>
        <v>0</v>
      </c>
      <c r="L35" s="146">
        <f>ROUND(CAPEX!$D35*'Base Física'!O$22,2)</f>
        <v>0</v>
      </c>
      <c r="M35" s="146">
        <f>ROUND(CAPEX!$D35*'Base Física'!P$22,2)</f>
        <v>0</v>
      </c>
      <c r="N35" s="146">
        <f>ROUND(CAPEX!$D35*'Base Física'!Q$22,2)</f>
        <v>0</v>
      </c>
      <c r="O35" s="146">
        <f>ROUND(CAPEX!$D35*'Base Física'!R$22,2)</f>
        <v>0</v>
      </c>
      <c r="P35" s="146">
        <f>ROUND(CAPEX!$D35*'Base Física'!S$22,2)</f>
        <v>0</v>
      </c>
      <c r="Q35" s="146">
        <f>ROUND(CAPEX!$D35*'Base Física'!T$22,2)</f>
        <v>0</v>
      </c>
      <c r="R35" s="146">
        <f>ROUND(CAPEX!$D35*'Base Física'!U$22,2)</f>
        <v>0</v>
      </c>
      <c r="S35" s="146">
        <f>ROUND(CAPEX!$D35*'Base Física'!V$22,2)</f>
        <v>0</v>
      </c>
      <c r="T35" s="146">
        <f>ROUND(CAPEX!$D35*'Base Física'!W$22,2)</f>
        <v>0</v>
      </c>
      <c r="U35" s="146">
        <f>ROUND(CAPEX!$D35*'Base Física'!X$22,2)</f>
        <v>0</v>
      </c>
      <c r="V35" s="146">
        <f>ROUND(CAPEX!$D35*'Base Física'!Y$22,2)</f>
        <v>0</v>
      </c>
      <c r="W35" s="146">
        <f>ROUND(CAPEX!$D35*'Base Física'!Z$22,2)</f>
        <v>0</v>
      </c>
      <c r="X35" s="146">
        <f>ROUND(CAPEX!$D35*'Base Física'!AA$22,2)</f>
        <v>0</v>
      </c>
      <c r="Y35" s="146">
        <f>ROUND(CAPEX!$D35*'Base Física'!AB$22,2)</f>
        <v>0</v>
      </c>
      <c r="Z35" s="146">
        <f>ROUND(CAPEX!$D35*'Base Física'!AC$22,2)</f>
        <v>0</v>
      </c>
      <c r="AA35" s="146">
        <f>ROUND(CAPEX!$D35*'Base Física'!AD$22,2)</f>
        <v>0</v>
      </c>
      <c r="AB35" s="146">
        <f>ROUND(CAPEX!$D35*'Base Física'!AE$22,2)</f>
        <v>0</v>
      </c>
      <c r="AC35" s="146">
        <f>ROUND(CAPEX!$D35*'Base Física'!AF$22,2)</f>
        <v>0</v>
      </c>
      <c r="AD35" s="146">
        <f>ROUND(CAPEX!$D35*'Base Física'!AG$22,2)</f>
        <v>0</v>
      </c>
      <c r="AE35" s="146">
        <f>ROUND(CAPEX!$D35*'Base Física'!AH$22,2)</f>
        <v>0</v>
      </c>
      <c r="AF35" s="146">
        <f>ROUND(CAPEX!$D35*'Base Física'!AI$22,2)</f>
        <v>0</v>
      </c>
      <c r="AG35" s="146">
        <f>ROUND(CAPEX!$D35*'Base Física'!AJ$22,2)</f>
        <v>0</v>
      </c>
      <c r="AH35" s="146">
        <f>ROUND(CAPEX!$D35*'Base Física'!AK$22,2)</f>
        <v>0</v>
      </c>
      <c r="AI35" s="146">
        <f>ROUND(CAPEX!$D35*'Base Física'!AL$22,2)</f>
        <v>0</v>
      </c>
      <c r="AJ35" s="146">
        <f>ROUND(CAPEX!$D35*'Base Física'!AM$22,2)</f>
        <v>0</v>
      </c>
      <c r="AK35" s="146">
        <f>ROUND(CAPEX!$D35*'Base Física'!AN$22,2)</f>
        <v>0</v>
      </c>
      <c r="AL35" s="147">
        <f t="shared" si="79"/>
        <v>0</v>
      </c>
      <c r="AM35" s="71"/>
    </row>
    <row r="36" spans="1:40" x14ac:dyDescent="0.25">
      <c r="A36" s="69"/>
      <c r="B36" s="113" t="s">
        <v>72</v>
      </c>
      <c r="C36" s="146">
        <f>ROUND(CAPEX!$D36*'Base Física'!F$22,2)</f>
        <v>0</v>
      </c>
      <c r="D36" s="146">
        <f>ROUND(CAPEX!$D36*'Base Física'!G$22,2)</f>
        <v>0</v>
      </c>
      <c r="E36" s="146">
        <f>ROUND(CAPEX!$D36*'Base Física'!H$22,2)</f>
        <v>0</v>
      </c>
      <c r="F36" s="146">
        <f>ROUND(CAPEX!$D36*'Base Física'!I$22,2)</f>
        <v>0</v>
      </c>
      <c r="G36" s="146">
        <f>ROUND(CAPEX!$D36*'Base Física'!J$22,2)</f>
        <v>0</v>
      </c>
      <c r="H36" s="146">
        <f>ROUND(CAPEX!$D36*'Base Física'!K$22,2)</f>
        <v>0</v>
      </c>
      <c r="I36" s="146">
        <f>ROUND(CAPEX!$D36*'Base Física'!L$22,2)</f>
        <v>0</v>
      </c>
      <c r="J36" s="146">
        <f>ROUND(CAPEX!$D36*'Base Física'!M$22,2)</f>
        <v>0</v>
      </c>
      <c r="K36" s="146">
        <f>ROUND(CAPEX!$D36*'Base Física'!N$22,2)</f>
        <v>0</v>
      </c>
      <c r="L36" s="146">
        <f>ROUND(CAPEX!$D36*'Base Física'!O$22,2)</f>
        <v>0</v>
      </c>
      <c r="M36" s="146">
        <f>ROUND(CAPEX!$D36*'Base Física'!P$22,2)</f>
        <v>0</v>
      </c>
      <c r="N36" s="146">
        <f>ROUND(CAPEX!$D36*'Base Física'!Q$22,2)</f>
        <v>0</v>
      </c>
      <c r="O36" s="146">
        <f>ROUND(CAPEX!$D36*'Base Física'!R$22,2)</f>
        <v>0</v>
      </c>
      <c r="P36" s="146">
        <f>ROUND(CAPEX!$D36*'Base Física'!S$22,2)</f>
        <v>0</v>
      </c>
      <c r="Q36" s="146">
        <f>ROUND(CAPEX!$D36*'Base Física'!T$22,2)</f>
        <v>0</v>
      </c>
      <c r="R36" s="146">
        <f>ROUND(CAPEX!$D36*'Base Física'!U$22,2)</f>
        <v>0</v>
      </c>
      <c r="S36" s="146">
        <f>ROUND(CAPEX!$D36*'Base Física'!V$22,2)</f>
        <v>0</v>
      </c>
      <c r="T36" s="146">
        <f>ROUND(CAPEX!$D36*'Base Física'!W$22,2)</f>
        <v>0</v>
      </c>
      <c r="U36" s="146">
        <f>ROUND(CAPEX!$D36*'Base Física'!X$22,2)</f>
        <v>0</v>
      </c>
      <c r="V36" s="146">
        <f>ROUND(CAPEX!$D36*'Base Física'!Y$22,2)</f>
        <v>0</v>
      </c>
      <c r="W36" s="146">
        <f>ROUND(CAPEX!$D36*'Base Física'!Z$22,2)</f>
        <v>0</v>
      </c>
      <c r="X36" s="146">
        <f>ROUND(CAPEX!$D36*'Base Física'!AA$22,2)</f>
        <v>0</v>
      </c>
      <c r="Y36" s="146">
        <f>ROUND(CAPEX!$D36*'Base Física'!AB$22,2)</f>
        <v>0</v>
      </c>
      <c r="Z36" s="146">
        <f>ROUND(CAPEX!$D36*'Base Física'!AC$22,2)</f>
        <v>0</v>
      </c>
      <c r="AA36" s="146">
        <f>ROUND(CAPEX!$D36*'Base Física'!AD$22,2)</f>
        <v>0</v>
      </c>
      <c r="AB36" s="146">
        <f>ROUND(CAPEX!$D36*'Base Física'!AE$22,2)</f>
        <v>0</v>
      </c>
      <c r="AC36" s="146">
        <f>ROUND(CAPEX!$D36*'Base Física'!AF$22,2)</f>
        <v>0</v>
      </c>
      <c r="AD36" s="146">
        <f>ROUND(CAPEX!$D36*'Base Física'!AG$22,2)</f>
        <v>0</v>
      </c>
      <c r="AE36" s="146">
        <f>ROUND(CAPEX!$D36*'Base Física'!AH$22,2)</f>
        <v>0</v>
      </c>
      <c r="AF36" s="146">
        <f>ROUND(CAPEX!$D36*'Base Física'!AI$22,2)</f>
        <v>0</v>
      </c>
      <c r="AG36" s="146">
        <f>ROUND(CAPEX!$D36*'Base Física'!AJ$22,2)</f>
        <v>0</v>
      </c>
      <c r="AH36" s="146">
        <f>ROUND(CAPEX!$D36*'Base Física'!AK$22,2)</f>
        <v>0</v>
      </c>
      <c r="AI36" s="146">
        <f>ROUND(CAPEX!$D36*'Base Física'!AL$22,2)</f>
        <v>0</v>
      </c>
      <c r="AJ36" s="146">
        <f>ROUND(CAPEX!$D36*'Base Física'!AM$22,2)</f>
        <v>0</v>
      </c>
      <c r="AK36" s="146">
        <f>ROUND(CAPEX!$D36*'Base Física'!AN$22,2)</f>
        <v>0</v>
      </c>
      <c r="AL36" s="147">
        <f t="shared" si="79"/>
        <v>0</v>
      </c>
      <c r="AM36" s="71"/>
    </row>
    <row r="37" spans="1:40" x14ac:dyDescent="0.25">
      <c r="A37" s="69"/>
      <c r="B37" s="113" t="s">
        <v>73</v>
      </c>
      <c r="C37" s="146">
        <f>ROUND(CAPEX!$D37*'Base Física'!F$22,2)</f>
        <v>0</v>
      </c>
      <c r="D37" s="146">
        <f>ROUND(CAPEX!$D37*'Base Física'!G$22,2)</f>
        <v>0</v>
      </c>
      <c r="E37" s="146">
        <f>ROUND(CAPEX!$D37*'Base Física'!H$22,2)</f>
        <v>0</v>
      </c>
      <c r="F37" s="146">
        <f>ROUND(CAPEX!$D37*'Base Física'!I$22,2)</f>
        <v>0</v>
      </c>
      <c r="G37" s="146">
        <f>ROUND(CAPEX!$D37*'Base Física'!J$22,2)</f>
        <v>0</v>
      </c>
      <c r="H37" s="146">
        <f>ROUND(CAPEX!$D37*'Base Física'!K$22,2)</f>
        <v>0</v>
      </c>
      <c r="I37" s="146">
        <f>ROUND(CAPEX!$D37*'Base Física'!L$22,2)</f>
        <v>0</v>
      </c>
      <c r="J37" s="146">
        <f>ROUND(CAPEX!$D37*'Base Física'!M$22,2)</f>
        <v>0</v>
      </c>
      <c r="K37" s="146">
        <f>ROUND(CAPEX!$D37*'Base Física'!N$22,2)</f>
        <v>0</v>
      </c>
      <c r="L37" s="146">
        <f>ROUND(CAPEX!$D37*'Base Física'!O$22,2)</f>
        <v>0</v>
      </c>
      <c r="M37" s="146">
        <f>ROUND(CAPEX!$D37*'Base Física'!P$22,2)</f>
        <v>0</v>
      </c>
      <c r="N37" s="146">
        <f>ROUND(CAPEX!$D37*'Base Física'!Q$22,2)</f>
        <v>0</v>
      </c>
      <c r="O37" s="146">
        <f>ROUND(CAPEX!$D37*'Base Física'!R$22,2)</f>
        <v>0</v>
      </c>
      <c r="P37" s="146">
        <f>ROUND(CAPEX!$D37*'Base Física'!S$22,2)</f>
        <v>0</v>
      </c>
      <c r="Q37" s="146">
        <f>ROUND(CAPEX!$D37*'Base Física'!T$22,2)</f>
        <v>0</v>
      </c>
      <c r="R37" s="146">
        <f>ROUND(CAPEX!$D37*'Base Física'!U$22,2)</f>
        <v>0</v>
      </c>
      <c r="S37" s="146">
        <f>ROUND(CAPEX!$D37*'Base Física'!V$22,2)</f>
        <v>0</v>
      </c>
      <c r="T37" s="146">
        <f>ROUND(CAPEX!$D37*'Base Física'!W$22,2)</f>
        <v>0</v>
      </c>
      <c r="U37" s="146">
        <f>ROUND(CAPEX!$D37*'Base Física'!X$22,2)</f>
        <v>0</v>
      </c>
      <c r="V37" s="146">
        <f>ROUND(CAPEX!$D37*'Base Física'!Y$22,2)</f>
        <v>0</v>
      </c>
      <c r="W37" s="146">
        <f>ROUND(CAPEX!$D37*'Base Física'!Z$22,2)</f>
        <v>0</v>
      </c>
      <c r="X37" s="146">
        <f>ROUND(CAPEX!$D37*'Base Física'!AA$22,2)</f>
        <v>0</v>
      </c>
      <c r="Y37" s="146">
        <f>ROUND(CAPEX!$D37*'Base Física'!AB$22,2)</f>
        <v>0</v>
      </c>
      <c r="Z37" s="146">
        <f>ROUND(CAPEX!$D37*'Base Física'!AC$22,2)</f>
        <v>0</v>
      </c>
      <c r="AA37" s="146">
        <f>ROUND(CAPEX!$D37*'Base Física'!AD$22,2)</f>
        <v>0</v>
      </c>
      <c r="AB37" s="146">
        <f>ROUND(CAPEX!$D37*'Base Física'!AE$22,2)</f>
        <v>0</v>
      </c>
      <c r="AC37" s="146">
        <f>ROUND(CAPEX!$D37*'Base Física'!AF$22,2)</f>
        <v>0</v>
      </c>
      <c r="AD37" s="146">
        <f>ROUND(CAPEX!$D37*'Base Física'!AG$22,2)</f>
        <v>0</v>
      </c>
      <c r="AE37" s="146">
        <f>ROUND(CAPEX!$D37*'Base Física'!AH$22,2)</f>
        <v>0</v>
      </c>
      <c r="AF37" s="146">
        <f>ROUND(CAPEX!$D37*'Base Física'!AI$22,2)</f>
        <v>0</v>
      </c>
      <c r="AG37" s="146">
        <f>ROUND(CAPEX!$D37*'Base Física'!AJ$22,2)</f>
        <v>0</v>
      </c>
      <c r="AH37" s="146">
        <f>ROUND(CAPEX!$D37*'Base Física'!AK$22,2)</f>
        <v>0</v>
      </c>
      <c r="AI37" s="146">
        <f>ROUND(CAPEX!$D37*'Base Física'!AL$22,2)</f>
        <v>0</v>
      </c>
      <c r="AJ37" s="146">
        <f>ROUND(CAPEX!$D37*'Base Física'!AM$22,2)</f>
        <v>0</v>
      </c>
      <c r="AK37" s="146">
        <f>ROUND(CAPEX!$D37*'Base Física'!AN$22,2)</f>
        <v>0</v>
      </c>
      <c r="AL37" s="147">
        <f t="shared" si="79"/>
        <v>0</v>
      </c>
      <c r="AM37" s="71"/>
    </row>
    <row r="38" spans="1:40" x14ac:dyDescent="0.25">
      <c r="A38" s="69"/>
      <c r="B38" s="114" t="s">
        <v>91</v>
      </c>
      <c r="C38" s="938">
        <f>SUM(C32:C37)</f>
        <v>0</v>
      </c>
      <c r="D38" s="938">
        <f t="shared" ref="D38:AK38" si="81">SUM(D32:D37)</f>
        <v>0</v>
      </c>
      <c r="E38" s="938">
        <f t="shared" si="81"/>
        <v>0</v>
      </c>
      <c r="F38" s="938">
        <f t="shared" si="81"/>
        <v>0</v>
      </c>
      <c r="G38" s="938">
        <f t="shared" si="81"/>
        <v>0</v>
      </c>
      <c r="H38" s="938">
        <f t="shared" si="81"/>
        <v>0</v>
      </c>
      <c r="I38" s="938">
        <f t="shared" si="81"/>
        <v>0</v>
      </c>
      <c r="J38" s="938">
        <f t="shared" si="81"/>
        <v>0</v>
      </c>
      <c r="K38" s="938">
        <f t="shared" si="81"/>
        <v>0</v>
      </c>
      <c r="L38" s="938">
        <f t="shared" si="81"/>
        <v>0</v>
      </c>
      <c r="M38" s="938">
        <f t="shared" si="81"/>
        <v>0</v>
      </c>
      <c r="N38" s="938">
        <f t="shared" si="81"/>
        <v>0</v>
      </c>
      <c r="O38" s="938">
        <f t="shared" si="81"/>
        <v>0</v>
      </c>
      <c r="P38" s="938">
        <f t="shared" si="81"/>
        <v>0</v>
      </c>
      <c r="Q38" s="938">
        <f t="shared" si="81"/>
        <v>0</v>
      </c>
      <c r="R38" s="938">
        <f t="shared" si="81"/>
        <v>0</v>
      </c>
      <c r="S38" s="938">
        <f t="shared" si="81"/>
        <v>0</v>
      </c>
      <c r="T38" s="938">
        <f t="shared" si="81"/>
        <v>0</v>
      </c>
      <c r="U38" s="938">
        <f t="shared" si="81"/>
        <v>0</v>
      </c>
      <c r="V38" s="938">
        <f t="shared" si="81"/>
        <v>0</v>
      </c>
      <c r="W38" s="938">
        <f t="shared" si="81"/>
        <v>0</v>
      </c>
      <c r="X38" s="938">
        <f t="shared" si="81"/>
        <v>0</v>
      </c>
      <c r="Y38" s="938">
        <f t="shared" si="81"/>
        <v>0</v>
      </c>
      <c r="Z38" s="938">
        <f t="shared" si="81"/>
        <v>0</v>
      </c>
      <c r="AA38" s="938">
        <f t="shared" si="81"/>
        <v>0</v>
      </c>
      <c r="AB38" s="938">
        <f t="shared" si="81"/>
        <v>0</v>
      </c>
      <c r="AC38" s="938">
        <f t="shared" si="81"/>
        <v>0</v>
      </c>
      <c r="AD38" s="938">
        <f t="shared" si="81"/>
        <v>0</v>
      </c>
      <c r="AE38" s="938">
        <f t="shared" si="81"/>
        <v>0</v>
      </c>
      <c r="AF38" s="938">
        <f t="shared" si="81"/>
        <v>0</v>
      </c>
      <c r="AG38" s="938">
        <f t="shared" si="81"/>
        <v>0</v>
      </c>
      <c r="AH38" s="938">
        <f t="shared" si="81"/>
        <v>0</v>
      </c>
      <c r="AI38" s="938">
        <f t="shared" si="81"/>
        <v>0</v>
      </c>
      <c r="AJ38" s="938">
        <f t="shared" si="81"/>
        <v>0</v>
      </c>
      <c r="AK38" s="938">
        <f t="shared" si="81"/>
        <v>0</v>
      </c>
      <c r="AL38" s="937">
        <f>SUM(C38:AK38)</f>
        <v>0</v>
      </c>
      <c r="AM38" s="71"/>
    </row>
    <row r="39" spans="1:40" ht="15.75" thickBot="1" x14ac:dyDescent="0.3">
      <c r="A39" s="69"/>
      <c r="B39" s="456" t="s">
        <v>5</v>
      </c>
      <c r="C39" s="457">
        <f>C31+C38</f>
        <v>0</v>
      </c>
      <c r="D39" s="457">
        <f t="shared" ref="D39:AK39" si="82">D31+D38</f>
        <v>0</v>
      </c>
      <c r="E39" s="457">
        <f t="shared" si="82"/>
        <v>0</v>
      </c>
      <c r="F39" s="457">
        <f t="shared" si="82"/>
        <v>0</v>
      </c>
      <c r="G39" s="457">
        <f t="shared" si="82"/>
        <v>0</v>
      </c>
      <c r="H39" s="457">
        <f t="shared" si="82"/>
        <v>0</v>
      </c>
      <c r="I39" s="457">
        <f t="shared" si="82"/>
        <v>0</v>
      </c>
      <c r="J39" s="457">
        <f t="shared" si="82"/>
        <v>0</v>
      </c>
      <c r="K39" s="457">
        <f t="shared" si="82"/>
        <v>0</v>
      </c>
      <c r="L39" s="457">
        <f t="shared" si="82"/>
        <v>0</v>
      </c>
      <c r="M39" s="457">
        <f t="shared" si="82"/>
        <v>0</v>
      </c>
      <c r="N39" s="457">
        <f t="shared" si="82"/>
        <v>0</v>
      </c>
      <c r="O39" s="457">
        <f t="shared" si="82"/>
        <v>0</v>
      </c>
      <c r="P39" s="457">
        <f t="shared" si="82"/>
        <v>0</v>
      </c>
      <c r="Q39" s="457">
        <f t="shared" si="82"/>
        <v>0</v>
      </c>
      <c r="R39" s="457">
        <f t="shared" si="82"/>
        <v>0</v>
      </c>
      <c r="S39" s="457">
        <f t="shared" si="82"/>
        <v>0</v>
      </c>
      <c r="T39" s="457">
        <f t="shared" si="82"/>
        <v>0</v>
      </c>
      <c r="U39" s="457">
        <f t="shared" si="82"/>
        <v>0</v>
      </c>
      <c r="V39" s="457">
        <f t="shared" si="82"/>
        <v>0</v>
      </c>
      <c r="W39" s="457">
        <f t="shared" si="82"/>
        <v>0</v>
      </c>
      <c r="X39" s="457">
        <f t="shared" si="82"/>
        <v>0</v>
      </c>
      <c r="Y39" s="457">
        <f t="shared" si="82"/>
        <v>0</v>
      </c>
      <c r="Z39" s="457">
        <f t="shared" si="82"/>
        <v>0</v>
      </c>
      <c r="AA39" s="457">
        <f t="shared" si="82"/>
        <v>0</v>
      </c>
      <c r="AB39" s="457">
        <f t="shared" si="82"/>
        <v>0</v>
      </c>
      <c r="AC39" s="457">
        <f t="shared" si="82"/>
        <v>0</v>
      </c>
      <c r="AD39" s="457">
        <f t="shared" si="82"/>
        <v>0</v>
      </c>
      <c r="AE39" s="457">
        <f t="shared" si="82"/>
        <v>0</v>
      </c>
      <c r="AF39" s="457">
        <f t="shared" si="82"/>
        <v>0</v>
      </c>
      <c r="AG39" s="457">
        <f t="shared" si="82"/>
        <v>0</v>
      </c>
      <c r="AH39" s="457">
        <f t="shared" si="82"/>
        <v>0</v>
      </c>
      <c r="AI39" s="457">
        <f t="shared" si="82"/>
        <v>0</v>
      </c>
      <c r="AJ39" s="457">
        <f t="shared" si="82"/>
        <v>0</v>
      </c>
      <c r="AK39" s="457">
        <f t="shared" si="82"/>
        <v>0</v>
      </c>
      <c r="AL39" s="939">
        <f t="shared" ref="AL39" si="83">AL31+AL38</f>
        <v>0</v>
      </c>
      <c r="AM39" s="71"/>
    </row>
    <row r="40" spans="1:40" ht="16.5" thickTop="1" thickBot="1" x14ac:dyDescent="0.3">
      <c r="B40" s="117"/>
      <c r="C40" s="118"/>
      <c r="D40" s="118"/>
      <c r="E40" s="118"/>
      <c r="F40" s="118"/>
      <c r="G40" s="118"/>
      <c r="H40" s="118"/>
      <c r="I40" s="118"/>
      <c r="J40" s="118"/>
      <c r="K40" s="118"/>
      <c r="L40" s="118"/>
      <c r="M40" s="118"/>
      <c r="N40" s="118"/>
      <c r="O40" s="118"/>
      <c r="P40" s="118"/>
      <c r="Q40" s="118"/>
      <c r="R40" s="118"/>
      <c r="S40" s="118"/>
      <c r="T40" s="118"/>
      <c r="U40" s="118"/>
      <c r="V40" s="118"/>
      <c r="W40" s="118"/>
      <c r="X40" s="118"/>
      <c r="Y40" s="118"/>
      <c r="Z40" s="118"/>
      <c r="AA40" s="118"/>
      <c r="AB40" s="118"/>
      <c r="AC40" s="118"/>
      <c r="AD40" s="118"/>
      <c r="AE40" s="118"/>
      <c r="AF40" s="118"/>
      <c r="AG40" s="118"/>
      <c r="AH40" s="118"/>
      <c r="AI40" s="118"/>
      <c r="AJ40" s="118"/>
      <c r="AK40" s="118"/>
      <c r="AL40" s="118"/>
    </row>
    <row r="41" spans="1:40" ht="15.75" thickTop="1" x14ac:dyDescent="0.25">
      <c r="B41" s="1110" t="s">
        <v>653</v>
      </c>
      <c r="C41" s="458">
        <f>C22</f>
        <v>1</v>
      </c>
      <c r="D41" s="458">
        <f t="shared" ref="D41:AK41" si="84">D22</f>
        <v>2</v>
      </c>
      <c r="E41" s="458">
        <f t="shared" si="84"/>
        <v>3</v>
      </c>
      <c r="F41" s="458">
        <f t="shared" si="84"/>
        <v>4</v>
      </c>
      <c r="G41" s="458">
        <f t="shared" si="84"/>
        <v>5</v>
      </c>
      <c r="H41" s="458">
        <f t="shared" si="84"/>
        <v>6</v>
      </c>
      <c r="I41" s="458">
        <f t="shared" si="84"/>
        <v>7</v>
      </c>
      <c r="J41" s="458">
        <f t="shared" si="84"/>
        <v>8</v>
      </c>
      <c r="K41" s="458">
        <f t="shared" si="84"/>
        <v>9</v>
      </c>
      <c r="L41" s="458">
        <f t="shared" si="84"/>
        <v>10</v>
      </c>
      <c r="M41" s="458">
        <f t="shared" si="84"/>
        <v>11</v>
      </c>
      <c r="N41" s="458">
        <f t="shared" si="84"/>
        <v>12</v>
      </c>
      <c r="O41" s="458">
        <f t="shared" si="84"/>
        <v>13</v>
      </c>
      <c r="P41" s="458">
        <f t="shared" si="84"/>
        <v>14</v>
      </c>
      <c r="Q41" s="458">
        <f t="shared" si="84"/>
        <v>15</v>
      </c>
      <c r="R41" s="458">
        <f t="shared" si="84"/>
        <v>16</v>
      </c>
      <c r="S41" s="458">
        <f t="shared" si="84"/>
        <v>17</v>
      </c>
      <c r="T41" s="458">
        <f t="shared" si="84"/>
        <v>18</v>
      </c>
      <c r="U41" s="458">
        <f t="shared" si="84"/>
        <v>19</v>
      </c>
      <c r="V41" s="458">
        <f t="shared" si="84"/>
        <v>20</v>
      </c>
      <c r="W41" s="458">
        <f t="shared" si="84"/>
        <v>21</v>
      </c>
      <c r="X41" s="458">
        <f t="shared" si="84"/>
        <v>22</v>
      </c>
      <c r="Y41" s="458">
        <f t="shared" si="84"/>
        <v>23</v>
      </c>
      <c r="Z41" s="458">
        <f t="shared" si="84"/>
        <v>24</v>
      </c>
      <c r="AA41" s="458">
        <f t="shared" si="84"/>
        <v>25</v>
      </c>
      <c r="AB41" s="458">
        <f t="shared" si="84"/>
        <v>26</v>
      </c>
      <c r="AC41" s="458">
        <f t="shared" si="84"/>
        <v>27</v>
      </c>
      <c r="AD41" s="458">
        <f t="shared" si="84"/>
        <v>28</v>
      </c>
      <c r="AE41" s="458">
        <f t="shared" si="84"/>
        <v>29</v>
      </c>
      <c r="AF41" s="458">
        <f t="shared" si="84"/>
        <v>30</v>
      </c>
      <c r="AG41" s="458">
        <f t="shared" si="84"/>
        <v>31</v>
      </c>
      <c r="AH41" s="458">
        <f t="shared" si="84"/>
        <v>32</v>
      </c>
      <c r="AI41" s="458">
        <f t="shared" si="84"/>
        <v>33</v>
      </c>
      <c r="AJ41" s="458">
        <f t="shared" si="84"/>
        <v>34</v>
      </c>
      <c r="AK41" s="458">
        <f t="shared" si="84"/>
        <v>35</v>
      </c>
      <c r="AL41" s="1112" t="s">
        <v>23</v>
      </c>
    </row>
    <row r="42" spans="1:40" x14ac:dyDescent="0.25">
      <c r="B42" s="1111"/>
      <c r="C42" s="540">
        <f>C4</f>
        <v>2027</v>
      </c>
      <c r="D42" s="540">
        <f t="shared" ref="D42:AK42" si="85">D4</f>
        <v>2028</v>
      </c>
      <c r="E42" s="540">
        <f t="shared" si="85"/>
        <v>2029</v>
      </c>
      <c r="F42" s="540">
        <f t="shared" si="85"/>
        <v>2030</v>
      </c>
      <c r="G42" s="540">
        <f t="shared" si="85"/>
        <v>2031</v>
      </c>
      <c r="H42" s="540">
        <f t="shared" si="85"/>
        <v>2032</v>
      </c>
      <c r="I42" s="540">
        <f t="shared" si="85"/>
        <v>2033</v>
      </c>
      <c r="J42" s="540">
        <f t="shared" si="85"/>
        <v>2034</v>
      </c>
      <c r="K42" s="540">
        <f t="shared" si="85"/>
        <v>2035</v>
      </c>
      <c r="L42" s="540">
        <f t="shared" si="85"/>
        <v>2036</v>
      </c>
      <c r="M42" s="540">
        <f t="shared" si="85"/>
        <v>2037</v>
      </c>
      <c r="N42" s="540">
        <f t="shared" si="85"/>
        <v>2038</v>
      </c>
      <c r="O42" s="540">
        <f t="shared" si="85"/>
        <v>2039</v>
      </c>
      <c r="P42" s="540">
        <f t="shared" si="85"/>
        <v>2040</v>
      </c>
      <c r="Q42" s="540">
        <f t="shared" si="85"/>
        <v>2041</v>
      </c>
      <c r="R42" s="540">
        <f t="shared" si="85"/>
        <v>2042</v>
      </c>
      <c r="S42" s="540">
        <f t="shared" si="85"/>
        <v>2043</v>
      </c>
      <c r="T42" s="540">
        <f t="shared" si="85"/>
        <v>2044</v>
      </c>
      <c r="U42" s="540">
        <f t="shared" si="85"/>
        <v>2045</v>
      </c>
      <c r="V42" s="540">
        <f t="shared" si="85"/>
        <v>2046</v>
      </c>
      <c r="W42" s="540">
        <f t="shared" si="85"/>
        <v>2047</v>
      </c>
      <c r="X42" s="540">
        <f t="shared" si="85"/>
        <v>2048</v>
      </c>
      <c r="Y42" s="540">
        <f t="shared" si="85"/>
        <v>2049</v>
      </c>
      <c r="Z42" s="540">
        <f t="shared" si="85"/>
        <v>2050</v>
      </c>
      <c r="AA42" s="540">
        <f t="shared" si="85"/>
        <v>2051</v>
      </c>
      <c r="AB42" s="540">
        <f t="shared" si="85"/>
        <v>2052</v>
      </c>
      <c r="AC42" s="540">
        <f t="shared" si="85"/>
        <v>2053</v>
      </c>
      <c r="AD42" s="540">
        <f t="shared" si="85"/>
        <v>2054</v>
      </c>
      <c r="AE42" s="540">
        <f t="shared" si="85"/>
        <v>2055</v>
      </c>
      <c r="AF42" s="540">
        <f t="shared" si="85"/>
        <v>2056</v>
      </c>
      <c r="AG42" s="540">
        <f t="shared" si="85"/>
        <v>2057</v>
      </c>
      <c r="AH42" s="540">
        <f t="shared" si="85"/>
        <v>2058</v>
      </c>
      <c r="AI42" s="540">
        <f t="shared" si="85"/>
        <v>2059</v>
      </c>
      <c r="AJ42" s="540">
        <f t="shared" si="85"/>
        <v>2060</v>
      </c>
      <c r="AK42" s="540">
        <f t="shared" si="85"/>
        <v>2061</v>
      </c>
      <c r="AL42" s="1113"/>
    </row>
    <row r="43" spans="1:40" x14ac:dyDescent="0.25">
      <c r="B43" s="119" t="s">
        <v>6</v>
      </c>
      <c r="C43" s="94"/>
      <c r="D43" s="94"/>
      <c r="E43" s="94"/>
      <c r="F43" s="94"/>
      <c r="G43" s="94"/>
      <c r="H43" s="94"/>
      <c r="I43" s="94"/>
      <c r="J43" s="94"/>
      <c r="K43" s="94"/>
      <c r="L43" s="94"/>
      <c r="M43" s="94"/>
      <c r="N43" s="94"/>
      <c r="O43" s="94"/>
      <c r="P43" s="94"/>
      <c r="Q43" s="94"/>
      <c r="R43" s="94"/>
      <c r="S43" s="94"/>
      <c r="T43" s="94"/>
      <c r="U43" s="94"/>
      <c r="V43" s="94"/>
      <c r="W43" s="94"/>
      <c r="X43" s="94"/>
      <c r="Y43" s="94"/>
      <c r="Z43" s="94"/>
      <c r="AA43" s="94"/>
      <c r="AB43" s="94"/>
      <c r="AC43" s="94"/>
      <c r="AD43" s="94"/>
      <c r="AE43" s="94"/>
      <c r="AF43" s="94"/>
      <c r="AG43" s="94"/>
      <c r="AH43" s="94"/>
      <c r="AI43" s="94"/>
      <c r="AJ43" s="94"/>
      <c r="AK43" s="94"/>
      <c r="AL43" s="116"/>
    </row>
    <row r="44" spans="1:40" x14ac:dyDescent="0.25">
      <c r="B44" s="112" t="s">
        <v>3</v>
      </c>
      <c r="C44" s="940">
        <f>C12+C31</f>
        <v>0</v>
      </c>
      <c r="D44" s="940">
        <f t="shared" ref="D44:AK44" si="86">D12+D31</f>
        <v>0</v>
      </c>
      <c r="E44" s="940">
        <f t="shared" si="86"/>
        <v>0</v>
      </c>
      <c r="F44" s="940">
        <f t="shared" si="86"/>
        <v>0</v>
      </c>
      <c r="G44" s="940">
        <f t="shared" si="86"/>
        <v>0</v>
      </c>
      <c r="H44" s="940">
        <f t="shared" si="86"/>
        <v>0</v>
      </c>
      <c r="I44" s="940">
        <f t="shared" si="86"/>
        <v>0</v>
      </c>
      <c r="J44" s="940">
        <f t="shared" si="86"/>
        <v>0</v>
      </c>
      <c r="K44" s="940">
        <f t="shared" si="86"/>
        <v>0</v>
      </c>
      <c r="L44" s="940">
        <f t="shared" si="86"/>
        <v>0</v>
      </c>
      <c r="M44" s="940">
        <f t="shared" si="86"/>
        <v>0</v>
      </c>
      <c r="N44" s="940">
        <f t="shared" si="86"/>
        <v>0</v>
      </c>
      <c r="O44" s="940">
        <f t="shared" si="86"/>
        <v>0</v>
      </c>
      <c r="P44" s="940">
        <f t="shared" si="86"/>
        <v>0</v>
      </c>
      <c r="Q44" s="940">
        <f t="shared" si="86"/>
        <v>0</v>
      </c>
      <c r="R44" s="940">
        <f t="shared" si="86"/>
        <v>0</v>
      </c>
      <c r="S44" s="940">
        <f t="shared" si="86"/>
        <v>0</v>
      </c>
      <c r="T44" s="940">
        <f t="shared" si="86"/>
        <v>0</v>
      </c>
      <c r="U44" s="940">
        <f t="shared" si="86"/>
        <v>0</v>
      </c>
      <c r="V44" s="940">
        <f t="shared" si="86"/>
        <v>0</v>
      </c>
      <c r="W44" s="940">
        <f t="shared" si="86"/>
        <v>0</v>
      </c>
      <c r="X44" s="940">
        <f t="shared" si="86"/>
        <v>0</v>
      </c>
      <c r="Y44" s="940">
        <f t="shared" si="86"/>
        <v>0</v>
      </c>
      <c r="Z44" s="940">
        <f t="shared" si="86"/>
        <v>0</v>
      </c>
      <c r="AA44" s="940">
        <f t="shared" si="86"/>
        <v>0</v>
      </c>
      <c r="AB44" s="940">
        <f t="shared" si="86"/>
        <v>0</v>
      </c>
      <c r="AC44" s="940">
        <f t="shared" si="86"/>
        <v>0</v>
      </c>
      <c r="AD44" s="940">
        <f t="shared" si="86"/>
        <v>0</v>
      </c>
      <c r="AE44" s="940">
        <f t="shared" si="86"/>
        <v>0</v>
      </c>
      <c r="AF44" s="940">
        <f t="shared" si="86"/>
        <v>0</v>
      </c>
      <c r="AG44" s="940">
        <f t="shared" si="86"/>
        <v>0</v>
      </c>
      <c r="AH44" s="940">
        <f t="shared" si="86"/>
        <v>0</v>
      </c>
      <c r="AI44" s="940">
        <f t="shared" si="86"/>
        <v>0</v>
      </c>
      <c r="AJ44" s="940">
        <f t="shared" si="86"/>
        <v>0</v>
      </c>
      <c r="AK44" s="940">
        <f t="shared" si="86"/>
        <v>0</v>
      </c>
      <c r="AL44" s="941">
        <f>+SUM(C44:AK44)</f>
        <v>0</v>
      </c>
      <c r="AM44" s="71"/>
      <c r="AN44" s="71"/>
    </row>
    <row r="45" spans="1:40" x14ac:dyDescent="0.25">
      <c r="B45" s="112" t="s">
        <v>4</v>
      </c>
      <c r="C45" s="940">
        <f>C19+C38</f>
        <v>0</v>
      </c>
      <c r="D45" s="940">
        <f t="shared" ref="D45:AK45" si="87">D19+D38</f>
        <v>0</v>
      </c>
      <c r="E45" s="940">
        <f t="shared" si="87"/>
        <v>0</v>
      </c>
      <c r="F45" s="940">
        <f t="shared" si="87"/>
        <v>0</v>
      </c>
      <c r="G45" s="940">
        <f t="shared" si="87"/>
        <v>0</v>
      </c>
      <c r="H45" s="940">
        <f t="shared" si="87"/>
        <v>0</v>
      </c>
      <c r="I45" s="940">
        <f t="shared" si="87"/>
        <v>0</v>
      </c>
      <c r="J45" s="940">
        <f t="shared" si="87"/>
        <v>0</v>
      </c>
      <c r="K45" s="940">
        <f t="shared" si="87"/>
        <v>0</v>
      </c>
      <c r="L45" s="940">
        <f t="shared" si="87"/>
        <v>0</v>
      </c>
      <c r="M45" s="940">
        <f t="shared" si="87"/>
        <v>0</v>
      </c>
      <c r="N45" s="940">
        <f t="shared" si="87"/>
        <v>0</v>
      </c>
      <c r="O45" s="940">
        <f t="shared" si="87"/>
        <v>0</v>
      </c>
      <c r="P45" s="940">
        <f t="shared" si="87"/>
        <v>0</v>
      </c>
      <c r="Q45" s="940">
        <f t="shared" si="87"/>
        <v>0</v>
      </c>
      <c r="R45" s="940">
        <f t="shared" si="87"/>
        <v>0</v>
      </c>
      <c r="S45" s="940">
        <f t="shared" si="87"/>
        <v>0</v>
      </c>
      <c r="T45" s="940">
        <f t="shared" si="87"/>
        <v>0</v>
      </c>
      <c r="U45" s="940">
        <f t="shared" si="87"/>
        <v>0</v>
      </c>
      <c r="V45" s="940">
        <f t="shared" si="87"/>
        <v>0</v>
      </c>
      <c r="W45" s="940">
        <f t="shared" si="87"/>
        <v>0</v>
      </c>
      <c r="X45" s="940">
        <f t="shared" si="87"/>
        <v>0</v>
      </c>
      <c r="Y45" s="940">
        <f t="shared" si="87"/>
        <v>0</v>
      </c>
      <c r="Z45" s="940">
        <f t="shared" si="87"/>
        <v>0</v>
      </c>
      <c r="AA45" s="940">
        <f t="shared" si="87"/>
        <v>0</v>
      </c>
      <c r="AB45" s="940">
        <f t="shared" si="87"/>
        <v>0</v>
      </c>
      <c r="AC45" s="940">
        <f t="shared" si="87"/>
        <v>0</v>
      </c>
      <c r="AD45" s="940">
        <f t="shared" si="87"/>
        <v>0</v>
      </c>
      <c r="AE45" s="940">
        <f t="shared" si="87"/>
        <v>0</v>
      </c>
      <c r="AF45" s="940">
        <f t="shared" si="87"/>
        <v>0</v>
      </c>
      <c r="AG45" s="940">
        <f t="shared" si="87"/>
        <v>0</v>
      </c>
      <c r="AH45" s="940">
        <f t="shared" si="87"/>
        <v>0</v>
      </c>
      <c r="AI45" s="940">
        <f t="shared" si="87"/>
        <v>0</v>
      </c>
      <c r="AJ45" s="940">
        <f t="shared" si="87"/>
        <v>0</v>
      </c>
      <c r="AK45" s="940">
        <f t="shared" si="87"/>
        <v>0</v>
      </c>
      <c r="AL45" s="941">
        <f t="shared" ref="AL45:AL46" si="88">+SUM(C45:AK45)</f>
        <v>0</v>
      </c>
      <c r="AM45" s="71"/>
      <c r="AN45" s="71"/>
    </row>
    <row r="46" spans="1:40" ht="15.75" thickBot="1" x14ac:dyDescent="0.3">
      <c r="B46" s="459" t="s">
        <v>5</v>
      </c>
      <c r="C46" s="460">
        <f>C44+C45</f>
        <v>0</v>
      </c>
      <c r="D46" s="460">
        <f t="shared" ref="D46:AK46" si="89">D44+D45</f>
        <v>0</v>
      </c>
      <c r="E46" s="460">
        <f t="shared" si="89"/>
        <v>0</v>
      </c>
      <c r="F46" s="460">
        <f t="shared" si="89"/>
        <v>0</v>
      </c>
      <c r="G46" s="460">
        <f t="shared" si="89"/>
        <v>0</v>
      </c>
      <c r="H46" s="460">
        <f t="shared" si="89"/>
        <v>0</v>
      </c>
      <c r="I46" s="460">
        <f t="shared" si="89"/>
        <v>0</v>
      </c>
      <c r="J46" s="460">
        <f t="shared" si="89"/>
        <v>0</v>
      </c>
      <c r="K46" s="460">
        <f t="shared" si="89"/>
        <v>0</v>
      </c>
      <c r="L46" s="460">
        <f t="shared" si="89"/>
        <v>0</v>
      </c>
      <c r="M46" s="460">
        <f t="shared" si="89"/>
        <v>0</v>
      </c>
      <c r="N46" s="460">
        <f t="shared" si="89"/>
        <v>0</v>
      </c>
      <c r="O46" s="460">
        <f t="shared" si="89"/>
        <v>0</v>
      </c>
      <c r="P46" s="460">
        <f t="shared" si="89"/>
        <v>0</v>
      </c>
      <c r="Q46" s="460">
        <f t="shared" si="89"/>
        <v>0</v>
      </c>
      <c r="R46" s="460">
        <f t="shared" si="89"/>
        <v>0</v>
      </c>
      <c r="S46" s="460">
        <f t="shared" si="89"/>
        <v>0</v>
      </c>
      <c r="T46" s="460">
        <f t="shared" si="89"/>
        <v>0</v>
      </c>
      <c r="U46" s="460">
        <f t="shared" si="89"/>
        <v>0</v>
      </c>
      <c r="V46" s="460">
        <f t="shared" si="89"/>
        <v>0</v>
      </c>
      <c r="W46" s="460">
        <f t="shared" si="89"/>
        <v>0</v>
      </c>
      <c r="X46" s="460">
        <f t="shared" si="89"/>
        <v>0</v>
      </c>
      <c r="Y46" s="460">
        <f t="shared" si="89"/>
        <v>0</v>
      </c>
      <c r="Z46" s="460">
        <f t="shared" si="89"/>
        <v>0</v>
      </c>
      <c r="AA46" s="460">
        <f t="shared" si="89"/>
        <v>0</v>
      </c>
      <c r="AB46" s="460">
        <f t="shared" si="89"/>
        <v>0</v>
      </c>
      <c r="AC46" s="460">
        <f t="shared" si="89"/>
        <v>0</v>
      </c>
      <c r="AD46" s="460">
        <f t="shared" si="89"/>
        <v>0</v>
      </c>
      <c r="AE46" s="460">
        <f t="shared" si="89"/>
        <v>0</v>
      </c>
      <c r="AF46" s="460">
        <f t="shared" si="89"/>
        <v>0</v>
      </c>
      <c r="AG46" s="460">
        <f t="shared" si="89"/>
        <v>0</v>
      </c>
      <c r="AH46" s="460">
        <f t="shared" si="89"/>
        <v>0</v>
      </c>
      <c r="AI46" s="460">
        <f t="shared" si="89"/>
        <v>0</v>
      </c>
      <c r="AJ46" s="460">
        <f t="shared" si="89"/>
        <v>0</v>
      </c>
      <c r="AK46" s="460">
        <f t="shared" si="89"/>
        <v>0</v>
      </c>
      <c r="AL46" s="461">
        <f t="shared" si="88"/>
        <v>0</v>
      </c>
      <c r="AM46" s="71"/>
      <c r="AN46" s="71"/>
    </row>
    <row r="47" spans="1:40" ht="15.75" thickTop="1" x14ac:dyDescent="0.25"/>
    <row r="48" spans="1:40" x14ac:dyDescent="0.25">
      <c r="B48" s="126" t="s">
        <v>663</v>
      </c>
      <c r="C48" s="126" t="s">
        <v>5</v>
      </c>
      <c r="D48" s="126" t="s">
        <v>3</v>
      </c>
      <c r="E48" s="126" t="s">
        <v>4</v>
      </c>
    </row>
    <row r="49" spans="2:12" x14ac:dyDescent="0.25">
      <c r="B49" s="4" t="s">
        <v>654</v>
      </c>
      <c r="C49" s="99">
        <f>SUM(C46:F46)</f>
        <v>0</v>
      </c>
      <c r="D49" s="99">
        <f>SUM(C44:F44)</f>
        <v>0</v>
      </c>
      <c r="E49" s="99">
        <f>SUM(C45:F45)</f>
        <v>0</v>
      </c>
    </row>
    <row r="50" spans="2:12" x14ac:dyDescent="0.25">
      <c r="B50" s="4" t="s">
        <v>655</v>
      </c>
      <c r="C50" s="99">
        <f>SUM(G46:J46)</f>
        <v>0</v>
      </c>
      <c r="D50" s="99">
        <f>SUM(G44:J44)</f>
        <v>0</v>
      </c>
      <c r="E50" s="99">
        <f>SUM(G45:J45)</f>
        <v>0</v>
      </c>
    </row>
    <row r="51" spans="2:12" x14ac:dyDescent="0.25">
      <c r="B51" s="4" t="s">
        <v>656</v>
      </c>
      <c r="C51" s="99">
        <f>SUM(K46:N46)</f>
        <v>0</v>
      </c>
      <c r="D51" s="99">
        <f>SUM(K44:N44)</f>
        <v>0</v>
      </c>
      <c r="E51" s="99">
        <f>SUM(K45:N45)</f>
        <v>0</v>
      </c>
    </row>
    <row r="52" spans="2:12" x14ac:dyDescent="0.25">
      <c r="B52" s="4" t="s">
        <v>657</v>
      </c>
      <c r="C52" s="99">
        <f>SUM(O46:R46)</f>
        <v>0</v>
      </c>
      <c r="D52" s="99">
        <f>SUM(O44:R44)</f>
        <v>0</v>
      </c>
      <c r="E52" s="99">
        <f>SUM(O45:R45)</f>
        <v>0</v>
      </c>
    </row>
    <row r="53" spans="2:12" x14ac:dyDescent="0.25">
      <c r="B53" s="4" t="s">
        <v>658</v>
      </c>
      <c r="C53" s="99">
        <f>SUM(S46:V46)</f>
        <v>0</v>
      </c>
      <c r="D53" s="99">
        <f>SUM(S44:V44)</f>
        <v>0</v>
      </c>
      <c r="E53" s="99">
        <f>SUM(S45:V45)</f>
        <v>0</v>
      </c>
    </row>
    <row r="54" spans="2:12" x14ac:dyDescent="0.25">
      <c r="B54" s="4" t="s">
        <v>659</v>
      </c>
      <c r="C54" s="99">
        <f>SUM(W46:Z46)</f>
        <v>0</v>
      </c>
      <c r="D54" s="99">
        <f>SUM(W44:Z44)</f>
        <v>0</v>
      </c>
      <c r="E54" s="99">
        <f>SUM(W45:Z45)</f>
        <v>0</v>
      </c>
    </row>
    <row r="55" spans="2:12" x14ac:dyDescent="0.25">
      <c r="B55" s="4" t="s">
        <v>660</v>
      </c>
      <c r="C55" s="99">
        <f>SUM(AA46:AD46)</f>
        <v>0</v>
      </c>
      <c r="D55" s="99">
        <f>SUM(AA44:AD44)</f>
        <v>0</v>
      </c>
      <c r="E55" s="99">
        <f>SUM(AA45:AD45)</f>
        <v>0</v>
      </c>
    </row>
    <row r="56" spans="2:12" x14ac:dyDescent="0.25">
      <c r="B56" s="4" t="s">
        <v>661</v>
      </c>
      <c r="C56" s="99">
        <f>SUM(AE46:AH46)</f>
        <v>0</v>
      </c>
      <c r="D56" s="99">
        <f>SUM(AE44:AH44)</f>
        <v>0</v>
      </c>
      <c r="E56" s="99">
        <f>SUM(AE45:AH45)</f>
        <v>0</v>
      </c>
    </row>
    <row r="57" spans="2:12" x14ac:dyDescent="0.25">
      <c r="B57" s="4" t="s">
        <v>662</v>
      </c>
      <c r="C57" s="99">
        <f>SUM(AI46:AK46)</f>
        <v>0</v>
      </c>
      <c r="D57" s="99">
        <f>SUM(AI44:AK44)</f>
        <v>0</v>
      </c>
      <c r="E57" s="99">
        <f>SUM(AI46:AK46)</f>
        <v>0</v>
      </c>
    </row>
    <row r="58" spans="2:12" x14ac:dyDescent="0.25">
      <c r="B58" s="4" t="s">
        <v>5</v>
      </c>
      <c r="C58" s="99">
        <f>SUM(C49:C57)</f>
        <v>0</v>
      </c>
      <c r="D58" s="99">
        <f t="shared" ref="D58" si="90">SUM(D49:D57)</f>
        <v>0</v>
      </c>
      <c r="E58" s="99">
        <f>SUM(E49:E57)</f>
        <v>0</v>
      </c>
    </row>
    <row r="59" spans="2:12" x14ac:dyDescent="0.25">
      <c r="B59" s="4"/>
      <c r="C59" s="99">
        <f>AL46</f>
        <v>0</v>
      </c>
      <c r="D59" s="99">
        <f>AL44</f>
        <v>0</v>
      </c>
      <c r="E59" s="99">
        <f>AL45</f>
        <v>0</v>
      </c>
    </row>
    <row r="60" spans="2:12" x14ac:dyDescent="0.25">
      <c r="C60" s="71"/>
    </row>
    <row r="62" spans="2:12" x14ac:dyDescent="0.25">
      <c r="B62" s="554" t="str">
        <f>B3</f>
        <v xml:space="preserve">1. INVESTIMENTOS EM DEMANDA REPRIMIDA </v>
      </c>
      <c r="C62" s="679" t="s">
        <v>861</v>
      </c>
      <c r="D62" s="680" t="s">
        <v>862</v>
      </c>
      <c r="E62" s="680" t="s">
        <v>863</v>
      </c>
      <c r="F62" s="680" t="s">
        <v>864</v>
      </c>
      <c r="G62" s="680" t="s">
        <v>865</v>
      </c>
      <c r="H62" s="680" t="s">
        <v>866</v>
      </c>
      <c r="I62" s="680" t="s">
        <v>867</v>
      </c>
      <c r="J62" s="680" t="s">
        <v>868</v>
      </c>
      <c r="K62" s="680" t="s">
        <v>869</v>
      </c>
      <c r="L62" s="681" t="str">
        <f>AL3</f>
        <v>ACUMULADO</v>
      </c>
    </row>
    <row r="63" spans="2:12" x14ac:dyDescent="0.25">
      <c r="B63" s="554"/>
      <c r="C63" s="682" t="s">
        <v>980</v>
      </c>
      <c r="D63" s="683" t="s">
        <v>981</v>
      </c>
      <c r="E63" s="683" t="s">
        <v>982</v>
      </c>
      <c r="F63" s="683" t="s">
        <v>983</v>
      </c>
      <c r="G63" s="683" t="s">
        <v>984</v>
      </c>
      <c r="H63" s="683" t="s">
        <v>985</v>
      </c>
      <c r="I63" s="683" t="s">
        <v>986</v>
      </c>
      <c r="J63" s="683" t="s">
        <v>987</v>
      </c>
      <c r="K63" s="683" t="s">
        <v>988</v>
      </c>
      <c r="L63" s="684" t="s">
        <v>989</v>
      </c>
    </row>
    <row r="64" spans="2:12" x14ac:dyDescent="0.25">
      <c r="B64" s="4" t="str">
        <f t="shared" ref="B64:B79" si="91">B5</f>
        <v>Água - Captação e tratamento</v>
      </c>
      <c r="C64" s="99">
        <f t="shared" ref="C64:C79" si="92">SUM(C5:F5)</f>
        <v>0</v>
      </c>
      <c r="D64" s="99">
        <f t="shared" ref="D64:D79" si="93">SUM(G5:J5)</f>
        <v>0</v>
      </c>
      <c r="E64" s="99">
        <f t="shared" ref="E64:E79" si="94">SUM(K5:N5)</f>
        <v>0</v>
      </c>
      <c r="F64" s="99">
        <f t="shared" ref="F64:F79" si="95">SUM(O5:R5)</f>
        <v>0</v>
      </c>
      <c r="G64" s="99">
        <f t="shared" ref="G64:G79" si="96">SUM(S5:V5)</f>
        <v>0</v>
      </c>
      <c r="H64" s="99">
        <f t="shared" ref="H64:H79" si="97">SUM(W5:Z5)</f>
        <v>0</v>
      </c>
      <c r="I64" s="99">
        <f t="shared" ref="I64:I79" si="98">SUM(AA5:AD5)</f>
        <v>0</v>
      </c>
      <c r="J64" s="99">
        <f t="shared" ref="J64:J79" si="99">SUM(AE5:AH5)</f>
        <v>0</v>
      </c>
      <c r="K64" s="99">
        <f t="shared" ref="K64:K79" si="100">SUM(AI5:AK5)</f>
        <v>0</v>
      </c>
      <c r="L64" s="99">
        <f>AL5</f>
        <v>0</v>
      </c>
    </row>
    <row r="65" spans="2:12" x14ac:dyDescent="0.25">
      <c r="B65" s="4" t="str">
        <f t="shared" si="91"/>
        <v>Água - Distribuição</v>
      </c>
      <c r="C65" s="99">
        <f t="shared" si="92"/>
        <v>0</v>
      </c>
      <c r="D65" s="99">
        <f t="shared" si="93"/>
        <v>0</v>
      </c>
      <c r="E65" s="99">
        <f t="shared" si="94"/>
        <v>0</v>
      </c>
      <c r="F65" s="99">
        <f t="shared" si="95"/>
        <v>0</v>
      </c>
      <c r="G65" s="99">
        <f t="shared" si="96"/>
        <v>0</v>
      </c>
      <c r="H65" s="99">
        <f t="shared" si="97"/>
        <v>0</v>
      </c>
      <c r="I65" s="99">
        <f t="shared" si="98"/>
        <v>0</v>
      </c>
      <c r="J65" s="99">
        <f t="shared" si="99"/>
        <v>0</v>
      </c>
      <c r="K65" s="99">
        <f t="shared" si="100"/>
        <v>0</v>
      </c>
      <c r="L65" s="99">
        <f t="shared" ref="L65:L79" si="101">AL6</f>
        <v>0</v>
      </c>
    </row>
    <row r="66" spans="2:12" x14ac:dyDescent="0.25">
      <c r="B66" s="4" t="str">
        <f t="shared" si="91"/>
        <v>Água - Reservação</v>
      </c>
      <c r="C66" s="99">
        <f t="shared" si="92"/>
        <v>0</v>
      </c>
      <c r="D66" s="99">
        <f t="shared" si="93"/>
        <v>0</v>
      </c>
      <c r="E66" s="99">
        <f t="shared" si="94"/>
        <v>0</v>
      </c>
      <c r="F66" s="99">
        <f t="shared" si="95"/>
        <v>0</v>
      </c>
      <c r="G66" s="99">
        <f t="shared" si="96"/>
        <v>0</v>
      </c>
      <c r="H66" s="99">
        <f t="shared" si="97"/>
        <v>0</v>
      </c>
      <c r="I66" s="99">
        <f t="shared" si="98"/>
        <v>0</v>
      </c>
      <c r="J66" s="99">
        <f t="shared" si="99"/>
        <v>0</v>
      </c>
      <c r="K66" s="99">
        <f t="shared" si="100"/>
        <v>0</v>
      </c>
      <c r="L66" s="99">
        <f t="shared" si="101"/>
        <v>0</v>
      </c>
    </row>
    <row r="67" spans="2:12" x14ac:dyDescent="0.25">
      <c r="B67" s="4" t="str">
        <f t="shared" si="91"/>
        <v>Água  - Ligaçãos Predial</v>
      </c>
      <c r="C67" s="99">
        <f t="shared" si="92"/>
        <v>0</v>
      </c>
      <c r="D67" s="99">
        <f t="shared" si="93"/>
        <v>0</v>
      </c>
      <c r="E67" s="99">
        <f t="shared" si="94"/>
        <v>0</v>
      </c>
      <c r="F67" s="99">
        <f t="shared" si="95"/>
        <v>0</v>
      </c>
      <c r="G67" s="99">
        <f t="shared" si="96"/>
        <v>0</v>
      </c>
      <c r="H67" s="99">
        <f t="shared" si="97"/>
        <v>0</v>
      </c>
      <c r="I67" s="99">
        <f t="shared" si="98"/>
        <v>0</v>
      </c>
      <c r="J67" s="99">
        <f t="shared" si="99"/>
        <v>0</v>
      </c>
      <c r="K67" s="99">
        <f t="shared" si="100"/>
        <v>0</v>
      </c>
      <c r="L67" s="99">
        <f t="shared" si="101"/>
        <v>0</v>
      </c>
    </row>
    <row r="68" spans="2:12" x14ac:dyDescent="0.25">
      <c r="B68" s="4" t="str">
        <f t="shared" si="91"/>
        <v>Água - Projeto</v>
      </c>
      <c r="C68" s="99">
        <f t="shared" si="92"/>
        <v>0</v>
      </c>
      <c r="D68" s="99">
        <f t="shared" si="93"/>
        <v>0</v>
      </c>
      <c r="E68" s="99">
        <f t="shared" si="94"/>
        <v>0</v>
      </c>
      <c r="F68" s="99">
        <f t="shared" si="95"/>
        <v>0</v>
      </c>
      <c r="G68" s="99">
        <f t="shared" si="96"/>
        <v>0</v>
      </c>
      <c r="H68" s="99">
        <f t="shared" si="97"/>
        <v>0</v>
      </c>
      <c r="I68" s="99">
        <f t="shared" si="98"/>
        <v>0</v>
      </c>
      <c r="J68" s="99">
        <f t="shared" si="99"/>
        <v>0</v>
      </c>
      <c r="K68" s="99">
        <f t="shared" si="100"/>
        <v>0</v>
      </c>
      <c r="L68" s="99">
        <f t="shared" si="101"/>
        <v>0</v>
      </c>
    </row>
    <row r="69" spans="2:12" x14ac:dyDescent="0.25">
      <c r="B69" s="4" t="str">
        <f t="shared" si="91"/>
        <v>Água - Consultoria e licenciamento ambiental</v>
      </c>
      <c r="C69" s="99">
        <f t="shared" si="92"/>
        <v>0</v>
      </c>
      <c r="D69" s="99">
        <f t="shared" si="93"/>
        <v>0</v>
      </c>
      <c r="E69" s="99">
        <f t="shared" si="94"/>
        <v>0</v>
      </c>
      <c r="F69" s="99">
        <f t="shared" si="95"/>
        <v>0</v>
      </c>
      <c r="G69" s="99">
        <f t="shared" si="96"/>
        <v>0</v>
      </c>
      <c r="H69" s="99">
        <f t="shared" si="97"/>
        <v>0</v>
      </c>
      <c r="I69" s="99">
        <f t="shared" si="98"/>
        <v>0</v>
      </c>
      <c r="J69" s="99">
        <f t="shared" si="99"/>
        <v>0</v>
      </c>
      <c r="K69" s="99">
        <f t="shared" si="100"/>
        <v>0</v>
      </c>
      <c r="L69" s="99">
        <f t="shared" si="101"/>
        <v>0</v>
      </c>
    </row>
    <row r="70" spans="2:12" x14ac:dyDescent="0.25">
      <c r="B70" s="4" t="str">
        <f t="shared" si="91"/>
        <v>Água  - Gerenciamento de obra</v>
      </c>
      <c r="C70" s="99">
        <f t="shared" si="92"/>
        <v>0</v>
      </c>
      <c r="D70" s="99">
        <f t="shared" si="93"/>
        <v>0</v>
      </c>
      <c r="E70" s="99">
        <f t="shared" si="94"/>
        <v>0</v>
      </c>
      <c r="F70" s="99">
        <f t="shared" si="95"/>
        <v>0</v>
      </c>
      <c r="G70" s="99">
        <f t="shared" si="96"/>
        <v>0</v>
      </c>
      <c r="H70" s="99">
        <f t="shared" si="97"/>
        <v>0</v>
      </c>
      <c r="I70" s="99">
        <f t="shared" si="98"/>
        <v>0</v>
      </c>
      <c r="J70" s="99">
        <f t="shared" si="99"/>
        <v>0</v>
      </c>
      <c r="K70" s="99">
        <f t="shared" si="100"/>
        <v>0</v>
      </c>
      <c r="L70" s="99">
        <f t="shared" si="101"/>
        <v>0</v>
      </c>
    </row>
    <row r="71" spans="2:12" s="46" customFormat="1" x14ac:dyDescent="0.25">
      <c r="B71" s="94" t="str">
        <f t="shared" si="91"/>
        <v>Total Água</v>
      </c>
      <c r="C71" s="942">
        <f t="shared" si="92"/>
        <v>0</v>
      </c>
      <c r="D71" s="942">
        <f t="shared" si="93"/>
        <v>0</v>
      </c>
      <c r="E71" s="942">
        <f t="shared" si="94"/>
        <v>0</v>
      </c>
      <c r="F71" s="942">
        <f t="shared" si="95"/>
        <v>0</v>
      </c>
      <c r="G71" s="942">
        <f t="shared" si="96"/>
        <v>0</v>
      </c>
      <c r="H71" s="942">
        <f t="shared" si="97"/>
        <v>0</v>
      </c>
      <c r="I71" s="942">
        <f t="shared" si="98"/>
        <v>0</v>
      </c>
      <c r="J71" s="942">
        <f t="shared" si="99"/>
        <v>0</v>
      </c>
      <c r="K71" s="942">
        <f t="shared" si="100"/>
        <v>0</v>
      </c>
      <c r="L71" s="942">
        <f t="shared" si="101"/>
        <v>5.8</v>
      </c>
    </row>
    <row r="72" spans="2:12" x14ac:dyDescent="0.25">
      <c r="B72" s="4" t="str">
        <f t="shared" si="91"/>
        <v>Esgoto - Coleta e afastamento</v>
      </c>
      <c r="C72" s="99">
        <f t="shared" si="92"/>
        <v>0</v>
      </c>
      <c r="D72" s="99">
        <f t="shared" si="93"/>
        <v>0</v>
      </c>
      <c r="E72" s="99">
        <f t="shared" si="94"/>
        <v>0</v>
      </c>
      <c r="F72" s="99">
        <f t="shared" si="95"/>
        <v>0</v>
      </c>
      <c r="G72" s="99">
        <f t="shared" si="96"/>
        <v>0</v>
      </c>
      <c r="H72" s="99">
        <f t="shared" si="97"/>
        <v>0</v>
      </c>
      <c r="I72" s="99">
        <f t="shared" si="98"/>
        <v>0</v>
      </c>
      <c r="J72" s="99">
        <f t="shared" si="99"/>
        <v>0</v>
      </c>
      <c r="K72" s="99">
        <f t="shared" si="100"/>
        <v>0</v>
      </c>
      <c r="L72" s="99">
        <f t="shared" si="101"/>
        <v>0</v>
      </c>
    </row>
    <row r="73" spans="2:12" x14ac:dyDescent="0.25">
      <c r="B73" s="4" t="str">
        <f t="shared" si="91"/>
        <v>Esgoto – Tratamento e disposição final</v>
      </c>
      <c r="C73" s="99">
        <f t="shared" si="92"/>
        <v>0</v>
      </c>
      <c r="D73" s="99">
        <f t="shared" si="93"/>
        <v>0</v>
      </c>
      <c r="E73" s="99">
        <f t="shared" si="94"/>
        <v>0</v>
      </c>
      <c r="F73" s="99">
        <f t="shared" si="95"/>
        <v>0</v>
      </c>
      <c r="G73" s="99">
        <f t="shared" si="96"/>
        <v>0</v>
      </c>
      <c r="H73" s="99">
        <f t="shared" si="97"/>
        <v>0</v>
      </c>
      <c r="I73" s="99">
        <f t="shared" si="98"/>
        <v>0</v>
      </c>
      <c r="J73" s="99">
        <f t="shared" si="99"/>
        <v>0</v>
      </c>
      <c r="K73" s="99">
        <f t="shared" si="100"/>
        <v>0</v>
      </c>
      <c r="L73" s="99">
        <f t="shared" si="101"/>
        <v>0</v>
      </c>
    </row>
    <row r="74" spans="2:12" x14ac:dyDescent="0.25">
      <c r="B74" s="4" t="str">
        <f t="shared" si="91"/>
        <v>Esgoto  - Ligaçãos Predial</v>
      </c>
      <c r="C74" s="99">
        <f t="shared" si="92"/>
        <v>0</v>
      </c>
      <c r="D74" s="99">
        <f t="shared" si="93"/>
        <v>0</v>
      </c>
      <c r="E74" s="99">
        <f t="shared" si="94"/>
        <v>0</v>
      </c>
      <c r="F74" s="99">
        <f t="shared" si="95"/>
        <v>0</v>
      </c>
      <c r="G74" s="99">
        <f t="shared" si="96"/>
        <v>0</v>
      </c>
      <c r="H74" s="99">
        <f t="shared" si="97"/>
        <v>0</v>
      </c>
      <c r="I74" s="99">
        <f t="shared" si="98"/>
        <v>0</v>
      </c>
      <c r="J74" s="99">
        <f t="shared" si="99"/>
        <v>0</v>
      </c>
      <c r="K74" s="99">
        <f t="shared" si="100"/>
        <v>0</v>
      </c>
      <c r="L74" s="99">
        <f t="shared" si="101"/>
        <v>0</v>
      </c>
    </row>
    <row r="75" spans="2:12" x14ac:dyDescent="0.25">
      <c r="B75" s="4" t="str">
        <f t="shared" si="91"/>
        <v>Esgoto - Projeto</v>
      </c>
      <c r="C75" s="99">
        <f t="shared" si="92"/>
        <v>0</v>
      </c>
      <c r="D75" s="99">
        <f t="shared" si="93"/>
        <v>0</v>
      </c>
      <c r="E75" s="99">
        <f t="shared" si="94"/>
        <v>0</v>
      </c>
      <c r="F75" s="99">
        <f t="shared" si="95"/>
        <v>0</v>
      </c>
      <c r="G75" s="99">
        <f t="shared" si="96"/>
        <v>0</v>
      </c>
      <c r="H75" s="99">
        <f t="shared" si="97"/>
        <v>0</v>
      </c>
      <c r="I75" s="99">
        <f t="shared" si="98"/>
        <v>0</v>
      </c>
      <c r="J75" s="99">
        <f t="shared" si="99"/>
        <v>0</v>
      </c>
      <c r="K75" s="99">
        <f t="shared" si="100"/>
        <v>0</v>
      </c>
      <c r="L75" s="99">
        <f t="shared" si="101"/>
        <v>0</v>
      </c>
    </row>
    <row r="76" spans="2:12" x14ac:dyDescent="0.25">
      <c r="B76" s="4" t="str">
        <f t="shared" si="91"/>
        <v>Esgoto - Consultoria e licenciamento ambiental</v>
      </c>
      <c r="C76" s="99">
        <f t="shared" si="92"/>
        <v>0</v>
      </c>
      <c r="D76" s="99">
        <f t="shared" si="93"/>
        <v>0</v>
      </c>
      <c r="E76" s="99">
        <f t="shared" si="94"/>
        <v>0</v>
      </c>
      <c r="F76" s="99">
        <f t="shared" si="95"/>
        <v>0</v>
      </c>
      <c r="G76" s="99">
        <f t="shared" si="96"/>
        <v>0</v>
      </c>
      <c r="H76" s="99">
        <f t="shared" si="97"/>
        <v>0</v>
      </c>
      <c r="I76" s="99">
        <f t="shared" si="98"/>
        <v>0</v>
      </c>
      <c r="J76" s="99">
        <f t="shared" si="99"/>
        <v>0</v>
      </c>
      <c r="K76" s="99">
        <f t="shared" si="100"/>
        <v>0</v>
      </c>
      <c r="L76" s="99">
        <f t="shared" si="101"/>
        <v>0</v>
      </c>
    </row>
    <row r="77" spans="2:12" x14ac:dyDescent="0.25">
      <c r="B77" s="4" t="str">
        <f t="shared" si="91"/>
        <v>Esgoto  - Gerenciamento de obra</v>
      </c>
      <c r="C77" s="99">
        <f t="shared" si="92"/>
        <v>0</v>
      </c>
      <c r="D77" s="99">
        <f t="shared" si="93"/>
        <v>0</v>
      </c>
      <c r="E77" s="99">
        <f t="shared" si="94"/>
        <v>0</v>
      </c>
      <c r="F77" s="99">
        <f t="shared" si="95"/>
        <v>0</v>
      </c>
      <c r="G77" s="99">
        <f t="shared" si="96"/>
        <v>0</v>
      </c>
      <c r="H77" s="99">
        <f t="shared" si="97"/>
        <v>0</v>
      </c>
      <c r="I77" s="99">
        <f t="shared" si="98"/>
        <v>0</v>
      </c>
      <c r="J77" s="99">
        <f t="shared" si="99"/>
        <v>0</v>
      </c>
      <c r="K77" s="99">
        <f t="shared" si="100"/>
        <v>0</v>
      </c>
      <c r="L77" s="99">
        <f t="shared" si="101"/>
        <v>0</v>
      </c>
    </row>
    <row r="78" spans="2:12" s="46" customFormat="1" x14ac:dyDescent="0.25">
      <c r="B78" s="94" t="str">
        <f t="shared" si="91"/>
        <v>Total Esgoto</v>
      </c>
      <c r="C78" s="942">
        <f t="shared" si="92"/>
        <v>0</v>
      </c>
      <c r="D78" s="942">
        <f t="shared" si="93"/>
        <v>0</v>
      </c>
      <c r="E78" s="942">
        <f t="shared" si="94"/>
        <v>0</v>
      </c>
      <c r="F78" s="942">
        <f t="shared" si="95"/>
        <v>0</v>
      </c>
      <c r="G78" s="942">
        <f t="shared" si="96"/>
        <v>0</v>
      </c>
      <c r="H78" s="942">
        <f t="shared" si="97"/>
        <v>0</v>
      </c>
      <c r="I78" s="942">
        <f t="shared" si="98"/>
        <v>0</v>
      </c>
      <c r="J78" s="942">
        <f t="shared" si="99"/>
        <v>0</v>
      </c>
      <c r="K78" s="942">
        <f t="shared" si="100"/>
        <v>0</v>
      </c>
      <c r="L78" s="942">
        <f t="shared" si="101"/>
        <v>0</v>
      </c>
    </row>
    <row r="79" spans="2:12" s="46" customFormat="1" x14ac:dyDescent="0.25">
      <c r="B79" s="94" t="str">
        <f t="shared" si="91"/>
        <v>Total Água + Esgoto</v>
      </c>
      <c r="C79" s="942">
        <f t="shared" si="92"/>
        <v>0</v>
      </c>
      <c r="D79" s="942">
        <f t="shared" si="93"/>
        <v>0</v>
      </c>
      <c r="E79" s="942">
        <f t="shared" si="94"/>
        <v>0</v>
      </c>
      <c r="F79" s="942">
        <f t="shared" si="95"/>
        <v>0</v>
      </c>
      <c r="G79" s="942">
        <f t="shared" si="96"/>
        <v>0</v>
      </c>
      <c r="H79" s="942">
        <f t="shared" si="97"/>
        <v>0</v>
      </c>
      <c r="I79" s="942">
        <f t="shared" si="98"/>
        <v>0</v>
      </c>
      <c r="J79" s="942">
        <f t="shared" si="99"/>
        <v>0</v>
      </c>
      <c r="K79" s="942">
        <f t="shared" si="100"/>
        <v>0</v>
      </c>
      <c r="L79" s="942">
        <f t="shared" si="101"/>
        <v>0</v>
      </c>
    </row>
    <row r="80" spans="2:12" x14ac:dyDescent="0.25">
      <c r="B80" s="4"/>
      <c r="C80" s="99"/>
      <c r="D80" s="99"/>
      <c r="E80" s="99"/>
      <c r="F80" s="99"/>
      <c r="G80" s="99"/>
      <c r="H80" s="99"/>
      <c r="I80" s="99"/>
      <c r="J80" s="99"/>
      <c r="K80" s="99"/>
      <c r="L80" s="99"/>
    </row>
    <row r="81" spans="2:12" x14ac:dyDescent="0.25">
      <c r="B81" s="554" t="str">
        <f>B22</f>
        <v>2. INVESTIMENTOS EM FUNÇÃO DO CRESCIMENTO VEGETATIVO</v>
      </c>
      <c r="C81" s="679" t="s">
        <v>861</v>
      </c>
      <c r="D81" s="680" t="s">
        <v>862</v>
      </c>
      <c r="E81" s="680" t="s">
        <v>863</v>
      </c>
      <c r="F81" s="680" t="s">
        <v>864</v>
      </c>
      <c r="G81" s="680" t="s">
        <v>865</v>
      </c>
      <c r="H81" s="680" t="s">
        <v>866</v>
      </c>
      <c r="I81" s="680" t="s">
        <v>867</v>
      </c>
      <c r="J81" s="680" t="s">
        <v>868</v>
      </c>
      <c r="K81" s="680" t="s">
        <v>869</v>
      </c>
      <c r="L81" s="681" t="s">
        <v>870</v>
      </c>
    </row>
    <row r="82" spans="2:12" x14ac:dyDescent="0.25">
      <c r="B82" s="554"/>
      <c r="C82" s="682" t="str">
        <f>C63</f>
        <v>2027 - 2030</v>
      </c>
      <c r="D82" s="683" t="str">
        <f t="shared" ref="D82:L82" si="102">D63</f>
        <v>2031-2033</v>
      </c>
      <c r="E82" s="683" t="str">
        <f t="shared" si="102"/>
        <v>2035-2038</v>
      </c>
      <c r="F82" s="683" t="str">
        <f t="shared" si="102"/>
        <v>2039- 2042</v>
      </c>
      <c r="G82" s="683" t="str">
        <f t="shared" si="102"/>
        <v>20433 - 2046</v>
      </c>
      <c r="H82" s="683" t="str">
        <f t="shared" si="102"/>
        <v>2047 - 2050</v>
      </c>
      <c r="I82" s="683" t="str">
        <f t="shared" si="102"/>
        <v>2051 - 2054</v>
      </c>
      <c r="J82" s="683" t="str">
        <f t="shared" si="102"/>
        <v>2055 - 2058</v>
      </c>
      <c r="K82" s="683" t="str">
        <f t="shared" si="102"/>
        <v>2059 - 2061</v>
      </c>
      <c r="L82" s="684" t="str">
        <f t="shared" si="102"/>
        <v>2027 - 2061</v>
      </c>
    </row>
    <row r="83" spans="2:12" x14ac:dyDescent="0.25">
      <c r="B83" s="4" t="str">
        <f t="shared" ref="B83:B98" si="103">B24</f>
        <v>Água - Captação e tratamento</v>
      </c>
      <c r="C83" s="99">
        <f t="shared" ref="C83:C98" si="104">SUM(C24:F24)</f>
        <v>0</v>
      </c>
      <c r="D83" s="99">
        <f t="shared" ref="D83:D98" si="105">SUM(G24:J24)</f>
        <v>0</v>
      </c>
      <c r="E83" s="99">
        <f t="shared" ref="E83:E98" si="106">SUM(K24:N24)</f>
        <v>0</v>
      </c>
      <c r="F83" s="99">
        <f t="shared" ref="F83:F98" si="107">SUM(O24:R24)</f>
        <v>0</v>
      </c>
      <c r="G83" s="99">
        <f t="shared" ref="G83:G98" si="108">SUM(S24:V24)</f>
        <v>0</v>
      </c>
      <c r="H83" s="99">
        <f t="shared" ref="H83:H98" si="109">SUM(W24:Z24)</f>
        <v>0</v>
      </c>
      <c r="I83" s="99">
        <f t="shared" ref="I83:I98" si="110">SUM(AA24:AD24)</f>
        <v>0</v>
      </c>
      <c r="J83" s="99">
        <f t="shared" ref="J83:J98" si="111">SUM(AE24:AH24)</f>
        <v>0</v>
      </c>
      <c r="K83" s="99">
        <f t="shared" ref="K83:K98" si="112">SUM(AI24:AK24)</f>
        <v>0</v>
      </c>
      <c r="L83" s="99">
        <f t="shared" ref="L83:L98" si="113">AL24</f>
        <v>0</v>
      </c>
    </row>
    <row r="84" spans="2:12" x14ac:dyDescent="0.25">
      <c r="B84" s="4" t="str">
        <f t="shared" si="103"/>
        <v>Água - Distribuição</v>
      </c>
      <c r="C84" s="99">
        <f t="shared" si="104"/>
        <v>0</v>
      </c>
      <c r="D84" s="99">
        <f t="shared" si="105"/>
        <v>0</v>
      </c>
      <c r="E84" s="99">
        <f t="shared" si="106"/>
        <v>0</v>
      </c>
      <c r="F84" s="99">
        <f t="shared" si="107"/>
        <v>0</v>
      </c>
      <c r="G84" s="99">
        <f t="shared" si="108"/>
        <v>0</v>
      </c>
      <c r="H84" s="99">
        <f t="shared" si="109"/>
        <v>0</v>
      </c>
      <c r="I84" s="99">
        <f t="shared" si="110"/>
        <v>0</v>
      </c>
      <c r="J84" s="99">
        <f t="shared" si="111"/>
        <v>0</v>
      </c>
      <c r="K84" s="99">
        <f t="shared" si="112"/>
        <v>0</v>
      </c>
      <c r="L84" s="99">
        <f t="shared" si="113"/>
        <v>0</v>
      </c>
    </row>
    <row r="85" spans="2:12" x14ac:dyDescent="0.25">
      <c r="B85" s="4" t="str">
        <f t="shared" si="103"/>
        <v>Água -  Reservação</v>
      </c>
      <c r="C85" s="99">
        <f t="shared" si="104"/>
        <v>0</v>
      </c>
      <c r="D85" s="99">
        <f t="shared" si="105"/>
        <v>0</v>
      </c>
      <c r="E85" s="99">
        <f t="shared" si="106"/>
        <v>0</v>
      </c>
      <c r="F85" s="99">
        <f t="shared" si="107"/>
        <v>0</v>
      </c>
      <c r="G85" s="99">
        <f t="shared" si="108"/>
        <v>0</v>
      </c>
      <c r="H85" s="99">
        <f t="shared" si="109"/>
        <v>0</v>
      </c>
      <c r="I85" s="99">
        <f t="shared" si="110"/>
        <v>0</v>
      </c>
      <c r="J85" s="99">
        <f t="shared" si="111"/>
        <v>0</v>
      </c>
      <c r="K85" s="99">
        <f t="shared" si="112"/>
        <v>0</v>
      </c>
      <c r="L85" s="99">
        <f t="shared" si="113"/>
        <v>0</v>
      </c>
    </row>
    <row r="86" spans="2:12" x14ac:dyDescent="0.25">
      <c r="B86" s="4" t="str">
        <f t="shared" si="103"/>
        <v>Água  - Ligaçãos Predial</v>
      </c>
      <c r="C86" s="99">
        <f t="shared" si="104"/>
        <v>0</v>
      </c>
      <c r="D86" s="99">
        <f t="shared" si="105"/>
        <v>0</v>
      </c>
      <c r="E86" s="99">
        <f t="shared" si="106"/>
        <v>0</v>
      </c>
      <c r="F86" s="99">
        <f t="shared" si="107"/>
        <v>0</v>
      </c>
      <c r="G86" s="99">
        <f t="shared" si="108"/>
        <v>0</v>
      </c>
      <c r="H86" s="99">
        <f t="shared" si="109"/>
        <v>0</v>
      </c>
      <c r="I86" s="99">
        <f t="shared" si="110"/>
        <v>0</v>
      </c>
      <c r="J86" s="99">
        <f t="shared" si="111"/>
        <v>0</v>
      </c>
      <c r="K86" s="99">
        <f t="shared" si="112"/>
        <v>0</v>
      </c>
      <c r="L86" s="99">
        <f t="shared" si="113"/>
        <v>0</v>
      </c>
    </row>
    <row r="87" spans="2:12" x14ac:dyDescent="0.25">
      <c r="B87" s="4" t="str">
        <f t="shared" si="103"/>
        <v>Água - Projeto</v>
      </c>
      <c r="C87" s="99">
        <f t="shared" si="104"/>
        <v>0</v>
      </c>
      <c r="D87" s="99">
        <f t="shared" si="105"/>
        <v>0</v>
      </c>
      <c r="E87" s="99">
        <f t="shared" si="106"/>
        <v>0</v>
      </c>
      <c r="F87" s="99">
        <f t="shared" si="107"/>
        <v>0</v>
      </c>
      <c r="G87" s="99">
        <f t="shared" si="108"/>
        <v>0</v>
      </c>
      <c r="H87" s="99">
        <f t="shared" si="109"/>
        <v>0</v>
      </c>
      <c r="I87" s="99">
        <f t="shared" si="110"/>
        <v>0</v>
      </c>
      <c r="J87" s="99">
        <f t="shared" si="111"/>
        <v>0</v>
      </c>
      <c r="K87" s="99">
        <f t="shared" si="112"/>
        <v>0</v>
      </c>
      <c r="L87" s="99">
        <f t="shared" si="113"/>
        <v>0</v>
      </c>
    </row>
    <row r="88" spans="2:12" x14ac:dyDescent="0.25">
      <c r="B88" s="4" t="str">
        <f t="shared" si="103"/>
        <v>Água - Consultoria e licenciamento ambiental</v>
      </c>
      <c r="C88" s="99">
        <f t="shared" si="104"/>
        <v>0</v>
      </c>
      <c r="D88" s="99">
        <f t="shared" si="105"/>
        <v>0</v>
      </c>
      <c r="E88" s="99">
        <f t="shared" si="106"/>
        <v>0</v>
      </c>
      <c r="F88" s="99">
        <f t="shared" si="107"/>
        <v>0</v>
      </c>
      <c r="G88" s="99">
        <f t="shared" si="108"/>
        <v>0</v>
      </c>
      <c r="H88" s="99">
        <f t="shared" si="109"/>
        <v>0</v>
      </c>
      <c r="I88" s="99">
        <f t="shared" si="110"/>
        <v>0</v>
      </c>
      <c r="J88" s="99">
        <f t="shared" si="111"/>
        <v>0</v>
      </c>
      <c r="K88" s="99">
        <f t="shared" si="112"/>
        <v>0</v>
      </c>
      <c r="L88" s="99">
        <f t="shared" si="113"/>
        <v>0</v>
      </c>
    </row>
    <row r="89" spans="2:12" x14ac:dyDescent="0.25">
      <c r="B89" s="4" t="str">
        <f t="shared" si="103"/>
        <v>Água  - Gerenciamento de obra</v>
      </c>
      <c r="C89" s="99">
        <f t="shared" si="104"/>
        <v>0</v>
      </c>
      <c r="D89" s="99">
        <f t="shared" si="105"/>
        <v>0</v>
      </c>
      <c r="E89" s="99">
        <f t="shared" si="106"/>
        <v>0</v>
      </c>
      <c r="F89" s="99">
        <f t="shared" si="107"/>
        <v>0</v>
      </c>
      <c r="G89" s="99">
        <f t="shared" si="108"/>
        <v>0</v>
      </c>
      <c r="H89" s="99">
        <f t="shared" si="109"/>
        <v>0</v>
      </c>
      <c r="I89" s="99">
        <f t="shared" si="110"/>
        <v>0</v>
      </c>
      <c r="J89" s="99">
        <f t="shared" si="111"/>
        <v>0</v>
      </c>
      <c r="K89" s="99">
        <f t="shared" si="112"/>
        <v>0</v>
      </c>
      <c r="L89" s="99">
        <f t="shared" si="113"/>
        <v>0</v>
      </c>
    </row>
    <row r="90" spans="2:12" s="46" customFormat="1" x14ac:dyDescent="0.25">
      <c r="B90" s="94" t="str">
        <f t="shared" si="103"/>
        <v>Total Água</v>
      </c>
      <c r="C90" s="942">
        <f t="shared" si="104"/>
        <v>0</v>
      </c>
      <c r="D90" s="942">
        <f t="shared" si="105"/>
        <v>0</v>
      </c>
      <c r="E90" s="942">
        <f t="shared" si="106"/>
        <v>0</v>
      </c>
      <c r="F90" s="942">
        <f t="shared" si="107"/>
        <v>0</v>
      </c>
      <c r="G90" s="942">
        <f t="shared" si="108"/>
        <v>0</v>
      </c>
      <c r="H90" s="942">
        <f t="shared" si="109"/>
        <v>0</v>
      </c>
      <c r="I90" s="942">
        <f t="shared" si="110"/>
        <v>0</v>
      </c>
      <c r="J90" s="942">
        <f t="shared" si="111"/>
        <v>0</v>
      </c>
      <c r="K90" s="942">
        <f t="shared" si="112"/>
        <v>0</v>
      </c>
      <c r="L90" s="942">
        <f t="shared" si="113"/>
        <v>0</v>
      </c>
    </row>
    <row r="91" spans="2:12" x14ac:dyDescent="0.25">
      <c r="B91" s="4" t="str">
        <f t="shared" si="103"/>
        <v>Esgoto - Coleta e afastamento</v>
      </c>
      <c r="C91" s="99">
        <f t="shared" si="104"/>
        <v>0</v>
      </c>
      <c r="D91" s="99">
        <f t="shared" si="105"/>
        <v>0</v>
      </c>
      <c r="E91" s="99">
        <f t="shared" si="106"/>
        <v>0</v>
      </c>
      <c r="F91" s="99">
        <f t="shared" si="107"/>
        <v>0</v>
      </c>
      <c r="G91" s="99">
        <f t="shared" si="108"/>
        <v>0</v>
      </c>
      <c r="H91" s="99">
        <f t="shared" si="109"/>
        <v>0</v>
      </c>
      <c r="I91" s="99">
        <f t="shared" si="110"/>
        <v>0</v>
      </c>
      <c r="J91" s="99">
        <f t="shared" si="111"/>
        <v>0</v>
      </c>
      <c r="K91" s="99">
        <f t="shared" si="112"/>
        <v>0</v>
      </c>
      <c r="L91" s="99">
        <f t="shared" si="113"/>
        <v>0</v>
      </c>
    </row>
    <row r="92" spans="2:12" x14ac:dyDescent="0.25">
      <c r="B92" s="4" t="str">
        <f t="shared" si="103"/>
        <v>Esgoto – Tratam. e disposição final</v>
      </c>
      <c r="C92" s="99">
        <f t="shared" si="104"/>
        <v>0</v>
      </c>
      <c r="D92" s="99">
        <f t="shared" si="105"/>
        <v>0</v>
      </c>
      <c r="E92" s="99">
        <f t="shared" si="106"/>
        <v>0</v>
      </c>
      <c r="F92" s="99">
        <f t="shared" si="107"/>
        <v>0</v>
      </c>
      <c r="G92" s="99">
        <f t="shared" si="108"/>
        <v>0</v>
      </c>
      <c r="H92" s="99">
        <f t="shared" si="109"/>
        <v>0</v>
      </c>
      <c r="I92" s="99">
        <f t="shared" si="110"/>
        <v>0</v>
      </c>
      <c r="J92" s="99">
        <f t="shared" si="111"/>
        <v>0</v>
      </c>
      <c r="K92" s="99">
        <f t="shared" si="112"/>
        <v>0</v>
      </c>
      <c r="L92" s="99">
        <f t="shared" si="113"/>
        <v>0</v>
      </c>
    </row>
    <row r="93" spans="2:12" x14ac:dyDescent="0.25">
      <c r="B93" s="4" t="str">
        <f t="shared" si="103"/>
        <v>Esgoto  - Ligaçãos Predial</v>
      </c>
      <c r="C93" s="99">
        <f t="shared" si="104"/>
        <v>0</v>
      </c>
      <c r="D93" s="99">
        <f t="shared" si="105"/>
        <v>0</v>
      </c>
      <c r="E93" s="99">
        <f t="shared" si="106"/>
        <v>0</v>
      </c>
      <c r="F93" s="99">
        <f t="shared" si="107"/>
        <v>0</v>
      </c>
      <c r="G93" s="99">
        <f t="shared" si="108"/>
        <v>0</v>
      </c>
      <c r="H93" s="99">
        <f t="shared" si="109"/>
        <v>0</v>
      </c>
      <c r="I93" s="99">
        <f t="shared" si="110"/>
        <v>0</v>
      </c>
      <c r="J93" s="99">
        <f t="shared" si="111"/>
        <v>0</v>
      </c>
      <c r="K93" s="99">
        <f t="shared" si="112"/>
        <v>0</v>
      </c>
      <c r="L93" s="99">
        <f t="shared" si="113"/>
        <v>0</v>
      </c>
    </row>
    <row r="94" spans="2:12" x14ac:dyDescent="0.25">
      <c r="B94" s="4" t="str">
        <f t="shared" si="103"/>
        <v>Esgoto - Projeto</v>
      </c>
      <c r="C94" s="99">
        <f t="shared" si="104"/>
        <v>0</v>
      </c>
      <c r="D94" s="99">
        <f t="shared" si="105"/>
        <v>0</v>
      </c>
      <c r="E94" s="99">
        <f t="shared" si="106"/>
        <v>0</v>
      </c>
      <c r="F94" s="99">
        <f t="shared" si="107"/>
        <v>0</v>
      </c>
      <c r="G94" s="99">
        <f t="shared" si="108"/>
        <v>0</v>
      </c>
      <c r="H94" s="99">
        <f t="shared" si="109"/>
        <v>0</v>
      </c>
      <c r="I94" s="99">
        <f t="shared" si="110"/>
        <v>0</v>
      </c>
      <c r="J94" s="99">
        <f t="shared" si="111"/>
        <v>0</v>
      </c>
      <c r="K94" s="99">
        <f t="shared" si="112"/>
        <v>0</v>
      </c>
      <c r="L94" s="99">
        <f t="shared" si="113"/>
        <v>0</v>
      </c>
    </row>
    <row r="95" spans="2:12" x14ac:dyDescent="0.25">
      <c r="B95" s="4" t="str">
        <f t="shared" si="103"/>
        <v>Esgoto - Consultoria e licenciamento ambiental</v>
      </c>
      <c r="C95" s="99">
        <f t="shared" si="104"/>
        <v>0</v>
      </c>
      <c r="D95" s="99">
        <f t="shared" si="105"/>
        <v>0</v>
      </c>
      <c r="E95" s="99">
        <f t="shared" si="106"/>
        <v>0</v>
      </c>
      <c r="F95" s="99">
        <f t="shared" si="107"/>
        <v>0</v>
      </c>
      <c r="G95" s="99">
        <f t="shared" si="108"/>
        <v>0</v>
      </c>
      <c r="H95" s="99">
        <f t="shared" si="109"/>
        <v>0</v>
      </c>
      <c r="I95" s="99">
        <f t="shared" si="110"/>
        <v>0</v>
      </c>
      <c r="J95" s="99">
        <f t="shared" si="111"/>
        <v>0</v>
      </c>
      <c r="K95" s="99">
        <f t="shared" si="112"/>
        <v>0</v>
      </c>
      <c r="L95" s="99">
        <f t="shared" si="113"/>
        <v>0</v>
      </c>
    </row>
    <row r="96" spans="2:12" x14ac:dyDescent="0.25">
      <c r="B96" s="4" t="str">
        <f t="shared" si="103"/>
        <v>Esgoto  - Gerenciamento de obra</v>
      </c>
      <c r="C96" s="99">
        <f t="shared" si="104"/>
        <v>0</v>
      </c>
      <c r="D96" s="99">
        <f t="shared" si="105"/>
        <v>0</v>
      </c>
      <c r="E96" s="99">
        <f t="shared" si="106"/>
        <v>0</v>
      </c>
      <c r="F96" s="99">
        <f t="shared" si="107"/>
        <v>0</v>
      </c>
      <c r="G96" s="99">
        <f t="shared" si="108"/>
        <v>0</v>
      </c>
      <c r="H96" s="99">
        <f t="shared" si="109"/>
        <v>0</v>
      </c>
      <c r="I96" s="99">
        <f t="shared" si="110"/>
        <v>0</v>
      </c>
      <c r="J96" s="99">
        <f t="shared" si="111"/>
        <v>0</v>
      </c>
      <c r="K96" s="99">
        <f t="shared" si="112"/>
        <v>0</v>
      </c>
      <c r="L96" s="99">
        <f t="shared" si="113"/>
        <v>0</v>
      </c>
    </row>
    <row r="97" spans="2:12" s="46" customFormat="1" x14ac:dyDescent="0.25">
      <c r="B97" s="94" t="str">
        <f t="shared" si="103"/>
        <v>Total Esgoto</v>
      </c>
      <c r="C97" s="942">
        <f t="shared" si="104"/>
        <v>0</v>
      </c>
      <c r="D97" s="942">
        <f t="shared" si="105"/>
        <v>0</v>
      </c>
      <c r="E97" s="942">
        <f t="shared" si="106"/>
        <v>0</v>
      </c>
      <c r="F97" s="942">
        <f t="shared" si="107"/>
        <v>0</v>
      </c>
      <c r="G97" s="942">
        <f t="shared" si="108"/>
        <v>0</v>
      </c>
      <c r="H97" s="942">
        <f t="shared" si="109"/>
        <v>0</v>
      </c>
      <c r="I97" s="942">
        <f t="shared" si="110"/>
        <v>0</v>
      </c>
      <c r="J97" s="942">
        <f t="shared" si="111"/>
        <v>0</v>
      </c>
      <c r="K97" s="942">
        <f t="shared" si="112"/>
        <v>0</v>
      </c>
      <c r="L97" s="942">
        <f t="shared" si="113"/>
        <v>0</v>
      </c>
    </row>
    <row r="98" spans="2:12" s="46" customFormat="1" x14ac:dyDescent="0.25">
      <c r="B98" s="94" t="str">
        <f t="shared" si="103"/>
        <v>Total</v>
      </c>
      <c r="C98" s="942">
        <f t="shared" si="104"/>
        <v>0</v>
      </c>
      <c r="D98" s="942">
        <f t="shared" si="105"/>
        <v>0</v>
      </c>
      <c r="E98" s="942">
        <f t="shared" si="106"/>
        <v>0</v>
      </c>
      <c r="F98" s="942">
        <f t="shared" si="107"/>
        <v>0</v>
      </c>
      <c r="G98" s="942">
        <f t="shared" si="108"/>
        <v>0</v>
      </c>
      <c r="H98" s="942">
        <f t="shared" si="109"/>
        <v>0</v>
      </c>
      <c r="I98" s="942">
        <f t="shared" si="110"/>
        <v>0</v>
      </c>
      <c r="J98" s="942">
        <f t="shared" si="111"/>
        <v>0</v>
      </c>
      <c r="K98" s="942">
        <f t="shared" si="112"/>
        <v>0</v>
      </c>
      <c r="L98" s="942">
        <f t="shared" si="113"/>
        <v>0</v>
      </c>
    </row>
    <row r="99" spans="2:12" x14ac:dyDescent="0.25">
      <c r="B99" s="4"/>
      <c r="C99" s="99"/>
      <c r="D99" s="99"/>
      <c r="E99" s="99"/>
      <c r="F99" s="99"/>
      <c r="G99" s="99"/>
      <c r="H99" s="99"/>
      <c r="I99" s="99"/>
      <c r="J99" s="99"/>
      <c r="K99" s="99"/>
      <c r="L99" s="99"/>
    </row>
  </sheetData>
  <mergeCells count="4">
    <mergeCell ref="AL3:AL4"/>
    <mergeCell ref="AL22:AL23"/>
    <mergeCell ref="B41:B42"/>
    <mergeCell ref="AL41:AL42"/>
  </mergeCells>
  <phoneticPr fontId="2" type="noConversion"/>
  <pageMargins left="0.511811024" right="0.511811024" top="0.78740157499999996" bottom="0.78740157499999996" header="0.31496062000000002" footer="0.31496062000000002"/>
  <pageSetup paperSize="8" scale="16" orientation="landscape" r:id="rId1"/>
  <ignoredErrors>
    <ignoredError sqref="AL12" formula="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AS167"/>
  <sheetViews>
    <sheetView showGridLines="0" zoomScale="90" zoomScaleNormal="90" workbookViewId="0">
      <pane xSplit="3" ySplit="1" topLeftCell="P11" activePane="bottomRight" state="frozen"/>
      <selection pane="topRight" activeCell="C1" sqref="C1"/>
      <selection pane="bottomLeft" activeCell="A2" sqref="A2"/>
      <selection pane="bottomRight" activeCell="C29" sqref="C29:C31"/>
    </sheetView>
  </sheetViews>
  <sheetFormatPr defaultColWidth="16.28515625" defaultRowHeight="12" x14ac:dyDescent="0.2"/>
  <cols>
    <col min="1" max="1" width="21" style="18" bestFit="1" customWidth="1"/>
    <col min="2" max="2" width="30.28515625" style="18" customWidth="1"/>
    <col min="3" max="3" width="23.85546875" style="18" customWidth="1"/>
    <col min="4" max="5" width="16.5703125" style="18" bestFit="1" customWidth="1"/>
    <col min="6" max="8" width="17.5703125" style="18" bestFit="1" customWidth="1"/>
    <col min="9" max="10" width="16.42578125" style="18" bestFit="1" customWidth="1"/>
    <col min="11" max="14" width="15.7109375" style="18" bestFit="1" customWidth="1"/>
    <col min="15" max="15" width="15.5703125" style="18" bestFit="1" customWidth="1"/>
    <col min="16" max="16" width="17.42578125" style="18" customWidth="1"/>
    <col min="17" max="17" width="16.85546875" style="18" bestFit="1" customWidth="1"/>
    <col min="18" max="19" width="15.5703125" style="18" bestFit="1" customWidth="1"/>
    <col min="20" max="25" width="15.42578125" style="18" bestFit="1" customWidth="1"/>
    <col min="26" max="33" width="14.85546875" style="18" bestFit="1" customWidth="1"/>
    <col min="34" max="35" width="15.85546875" style="18" bestFit="1" customWidth="1"/>
    <col min="36" max="16384" width="16.28515625" style="18"/>
  </cols>
  <sheetData>
    <row r="1" spans="1:41" ht="15.75" thickBot="1" x14ac:dyDescent="0.3">
      <c r="A1" s="309" t="s">
        <v>520</v>
      </c>
      <c r="B1" s="56"/>
      <c r="C1" s="56"/>
      <c r="D1" s="64">
        <f>Cronograma!C3</f>
        <v>1</v>
      </c>
      <c r="E1" s="64">
        <f>Cronograma!D3</f>
        <v>2</v>
      </c>
      <c r="F1" s="64">
        <f>Cronograma!E3</f>
        <v>3</v>
      </c>
      <c r="G1" s="64">
        <f>Cronograma!F3</f>
        <v>4</v>
      </c>
      <c r="H1" s="64">
        <f>Cronograma!G3</f>
        <v>5</v>
      </c>
      <c r="I1" s="64">
        <f>Cronograma!H3</f>
        <v>6</v>
      </c>
      <c r="J1" s="64">
        <f>Cronograma!I3</f>
        <v>7</v>
      </c>
      <c r="K1" s="64">
        <f>Cronograma!J3</f>
        <v>8</v>
      </c>
      <c r="L1" s="64">
        <f>Cronograma!K3</f>
        <v>9</v>
      </c>
      <c r="M1" s="64">
        <f>Cronograma!L3</f>
        <v>10</v>
      </c>
      <c r="N1" s="64">
        <f>Cronograma!M3</f>
        <v>11</v>
      </c>
      <c r="O1" s="64">
        <f>Cronograma!N3</f>
        <v>12</v>
      </c>
      <c r="P1" s="64">
        <f>Cronograma!O3</f>
        <v>13</v>
      </c>
      <c r="Q1" s="64">
        <f>Cronograma!P3</f>
        <v>14</v>
      </c>
      <c r="R1" s="64">
        <f>Cronograma!Q3</f>
        <v>15</v>
      </c>
      <c r="S1" s="64">
        <f>Cronograma!R3</f>
        <v>16</v>
      </c>
      <c r="T1" s="64">
        <f>Cronograma!S3</f>
        <v>17</v>
      </c>
      <c r="U1" s="64">
        <f>Cronograma!T3</f>
        <v>18</v>
      </c>
      <c r="V1" s="64">
        <f>Cronograma!U3</f>
        <v>19</v>
      </c>
      <c r="W1" s="64">
        <f>Cronograma!V3</f>
        <v>20</v>
      </c>
      <c r="X1" s="64">
        <f>Cronograma!W3</f>
        <v>21</v>
      </c>
      <c r="Y1" s="64">
        <f>Cronograma!X3</f>
        <v>22</v>
      </c>
      <c r="Z1" s="64">
        <f>Cronograma!Y3</f>
        <v>23</v>
      </c>
      <c r="AA1" s="64">
        <f>Cronograma!Z3</f>
        <v>24</v>
      </c>
      <c r="AB1" s="64">
        <f>Cronograma!AA3</f>
        <v>25</v>
      </c>
      <c r="AC1" s="64">
        <f>Cronograma!AB3</f>
        <v>26</v>
      </c>
      <c r="AD1" s="64">
        <f>Cronograma!AC3</f>
        <v>27</v>
      </c>
      <c r="AE1" s="64">
        <f>Cronograma!AD3</f>
        <v>28</v>
      </c>
      <c r="AF1" s="64">
        <f>Cronograma!AE3</f>
        <v>29</v>
      </c>
      <c r="AG1" s="64">
        <f>Cronograma!AF3</f>
        <v>30</v>
      </c>
      <c r="AH1" s="64">
        <f>Cronograma!AG3</f>
        <v>31</v>
      </c>
      <c r="AI1" s="64">
        <f>Cronograma!AH3</f>
        <v>32</v>
      </c>
      <c r="AJ1" s="64">
        <f>Cronograma!AI3</f>
        <v>33</v>
      </c>
      <c r="AK1" s="64">
        <f>Cronograma!AJ3</f>
        <v>34</v>
      </c>
      <c r="AL1" s="64">
        <f>Cronograma!AK3</f>
        <v>35</v>
      </c>
    </row>
    <row r="2" spans="1:41" ht="15" x14ac:dyDescent="0.25">
      <c r="A2" s="145" t="s">
        <v>526</v>
      </c>
      <c r="B2" s="56"/>
      <c r="C2" s="64" t="s">
        <v>210</v>
      </c>
      <c r="D2" s="63">
        <f>'FCD PROJETO'!F24</f>
        <v>2027</v>
      </c>
      <c r="E2" s="63">
        <f>'FCD PROJETO'!G24</f>
        <v>2028</v>
      </c>
      <c r="F2" s="63">
        <f>'FCD PROJETO'!H24</f>
        <v>2029</v>
      </c>
      <c r="G2" s="63">
        <f>'FCD PROJETO'!I24</f>
        <v>2030</v>
      </c>
      <c r="H2" s="63">
        <f>'FCD PROJETO'!J24</f>
        <v>2031</v>
      </c>
      <c r="I2" s="63">
        <f>'FCD PROJETO'!K24</f>
        <v>2032</v>
      </c>
      <c r="J2" s="63">
        <f>'FCD PROJETO'!L24</f>
        <v>2033</v>
      </c>
      <c r="K2" s="63">
        <f>'FCD PROJETO'!M24</f>
        <v>2034</v>
      </c>
      <c r="L2" s="63">
        <f>'FCD PROJETO'!N24</f>
        <v>2035</v>
      </c>
      <c r="M2" s="63">
        <f>'FCD PROJETO'!O24</f>
        <v>2036</v>
      </c>
      <c r="N2" s="63">
        <f>'FCD PROJETO'!P24</f>
        <v>2037</v>
      </c>
      <c r="O2" s="63">
        <f>'FCD PROJETO'!Q24</f>
        <v>2038</v>
      </c>
      <c r="P2" s="63">
        <f>'FCD PROJETO'!R24</f>
        <v>2039</v>
      </c>
      <c r="Q2" s="63">
        <f>'FCD PROJETO'!S24</f>
        <v>2040</v>
      </c>
      <c r="R2" s="63">
        <f>'FCD PROJETO'!T24</f>
        <v>2041</v>
      </c>
      <c r="S2" s="63">
        <f>'FCD PROJETO'!U24</f>
        <v>2042</v>
      </c>
      <c r="T2" s="63">
        <f>'FCD PROJETO'!V24</f>
        <v>2043</v>
      </c>
      <c r="U2" s="63">
        <f>'FCD PROJETO'!W24</f>
        <v>2044</v>
      </c>
      <c r="V2" s="63">
        <f>'FCD PROJETO'!X24</f>
        <v>2045</v>
      </c>
      <c r="W2" s="63">
        <f>'FCD PROJETO'!Y24</f>
        <v>2046</v>
      </c>
      <c r="X2" s="63">
        <f>'FCD PROJETO'!Z24</f>
        <v>2047</v>
      </c>
      <c r="Y2" s="63">
        <f>'FCD PROJETO'!AA24</f>
        <v>2048</v>
      </c>
      <c r="Z2" s="63">
        <f>'FCD PROJETO'!AB24</f>
        <v>2049</v>
      </c>
      <c r="AA2" s="63">
        <f>'FCD PROJETO'!AC24</f>
        <v>2050</v>
      </c>
      <c r="AB2" s="63">
        <f>'FCD PROJETO'!AD24</f>
        <v>2051</v>
      </c>
      <c r="AC2" s="63">
        <f>'FCD PROJETO'!AE24</f>
        <v>2052</v>
      </c>
      <c r="AD2" s="63">
        <f>'FCD PROJETO'!AF24</f>
        <v>2053</v>
      </c>
      <c r="AE2" s="63">
        <f>'FCD PROJETO'!AG24</f>
        <v>2054</v>
      </c>
      <c r="AF2" s="63">
        <f>'FCD PROJETO'!AH24</f>
        <v>2055</v>
      </c>
      <c r="AG2" s="63">
        <f>'FCD PROJETO'!AI24</f>
        <v>2056</v>
      </c>
      <c r="AH2" s="63">
        <f>'FCD PROJETO'!AJ24</f>
        <v>2057</v>
      </c>
      <c r="AI2" s="63">
        <f>'FCD PROJETO'!AK24</f>
        <v>2058</v>
      </c>
      <c r="AJ2" s="63">
        <f>'FCD PROJETO'!AL24</f>
        <v>2059</v>
      </c>
      <c r="AK2" s="63">
        <f>'FCD PROJETO'!AM24</f>
        <v>2060</v>
      </c>
      <c r="AL2" s="63">
        <f>'FCD PROJETO'!AN24</f>
        <v>2061</v>
      </c>
    </row>
    <row r="3" spans="1:41" ht="36" customHeight="1" x14ac:dyDescent="0.25">
      <c r="A3" s="213" t="s">
        <v>522</v>
      </c>
      <c r="B3" s="208" t="s">
        <v>2</v>
      </c>
      <c r="C3" s="329" t="s">
        <v>211</v>
      </c>
      <c r="D3" s="209">
        <f>Cronograma!C20</f>
        <v>0</v>
      </c>
      <c r="E3" s="209">
        <f>Cronograma!D20</f>
        <v>0</v>
      </c>
      <c r="F3" s="209">
        <f>Cronograma!E20</f>
        <v>0</v>
      </c>
      <c r="G3" s="209">
        <f>Cronograma!F20</f>
        <v>0</v>
      </c>
      <c r="H3" s="209">
        <f>Cronograma!G20</f>
        <v>0</v>
      </c>
      <c r="I3" s="209">
        <f>Cronograma!H20</f>
        <v>0</v>
      </c>
      <c r="J3" s="209">
        <f>Cronograma!I20</f>
        <v>0</v>
      </c>
      <c r="K3" s="209">
        <f>Cronograma!J20</f>
        <v>0</v>
      </c>
      <c r="L3" s="209">
        <f>Cronograma!K20</f>
        <v>0</v>
      </c>
      <c r="M3" s="209">
        <f>Cronograma!L20</f>
        <v>0</v>
      </c>
      <c r="N3" s="209">
        <f>Cronograma!M20</f>
        <v>0</v>
      </c>
      <c r="O3" s="209">
        <f>Cronograma!N20</f>
        <v>0</v>
      </c>
      <c r="P3" s="209">
        <f>Cronograma!O20</f>
        <v>0</v>
      </c>
      <c r="Q3" s="209">
        <f>Cronograma!P20</f>
        <v>0</v>
      </c>
      <c r="R3" s="209">
        <f>Cronograma!Q20</f>
        <v>0</v>
      </c>
      <c r="S3" s="209">
        <f>Cronograma!R20</f>
        <v>0</v>
      </c>
      <c r="T3" s="209">
        <f>Cronograma!S20</f>
        <v>0</v>
      </c>
      <c r="U3" s="209">
        <f>Cronograma!T20</f>
        <v>0</v>
      </c>
      <c r="V3" s="209">
        <f>Cronograma!U20</f>
        <v>0</v>
      </c>
      <c r="W3" s="209">
        <f>Cronograma!V20</f>
        <v>0</v>
      </c>
      <c r="X3" s="209">
        <f>Cronograma!W20</f>
        <v>0</v>
      </c>
      <c r="Y3" s="209">
        <f>Cronograma!X20</f>
        <v>0</v>
      </c>
      <c r="Z3" s="209">
        <f>Cronograma!Y20</f>
        <v>0</v>
      </c>
      <c r="AA3" s="209">
        <f>Cronograma!Z20</f>
        <v>0</v>
      </c>
      <c r="AB3" s="209">
        <f>Cronograma!AA20</f>
        <v>0</v>
      </c>
      <c r="AC3" s="209">
        <f>Cronograma!AB20</f>
        <v>0</v>
      </c>
      <c r="AD3" s="209">
        <f>Cronograma!AC20</f>
        <v>0</v>
      </c>
      <c r="AE3" s="209">
        <f>Cronograma!AD20</f>
        <v>0</v>
      </c>
      <c r="AF3" s="209">
        <f>Cronograma!AE20</f>
        <v>0</v>
      </c>
      <c r="AG3" s="209">
        <f>Cronograma!AF20</f>
        <v>0</v>
      </c>
      <c r="AH3" s="209">
        <f>Cronograma!AG20</f>
        <v>0</v>
      </c>
      <c r="AI3" s="209">
        <f>Cronograma!AH20</f>
        <v>0</v>
      </c>
      <c r="AJ3" s="209">
        <f>Cronograma!AI20</f>
        <v>0</v>
      </c>
      <c r="AK3" s="209">
        <f>Cronograma!AJ20</f>
        <v>0</v>
      </c>
      <c r="AL3" s="209">
        <f>Cronograma!AK20</f>
        <v>0</v>
      </c>
      <c r="AM3" s="23">
        <f>SUM(D3:AL3)</f>
        <v>0</v>
      </c>
    </row>
    <row r="4" spans="1:41" ht="39.75" customHeight="1" x14ac:dyDescent="0.2">
      <c r="B4" s="208" t="s">
        <v>83</v>
      </c>
      <c r="C4" s="329" t="s">
        <v>211</v>
      </c>
      <c r="D4" s="209">
        <f>Cronograma!C39</f>
        <v>0</v>
      </c>
      <c r="E4" s="209">
        <f>Cronograma!D39</f>
        <v>0</v>
      </c>
      <c r="F4" s="209">
        <f>Cronograma!E39</f>
        <v>0</v>
      </c>
      <c r="G4" s="209">
        <f>Cronograma!F39</f>
        <v>0</v>
      </c>
      <c r="H4" s="209">
        <f>Cronograma!G39</f>
        <v>0</v>
      </c>
      <c r="I4" s="209">
        <f>Cronograma!H39</f>
        <v>0</v>
      </c>
      <c r="J4" s="209">
        <f>Cronograma!I39</f>
        <v>0</v>
      </c>
      <c r="K4" s="209">
        <f>Cronograma!J39</f>
        <v>0</v>
      </c>
      <c r="L4" s="209">
        <f>Cronograma!K39</f>
        <v>0</v>
      </c>
      <c r="M4" s="209">
        <f>Cronograma!L39</f>
        <v>0</v>
      </c>
      <c r="N4" s="209">
        <f>Cronograma!M39</f>
        <v>0</v>
      </c>
      <c r="O4" s="209">
        <f>Cronograma!N39</f>
        <v>0</v>
      </c>
      <c r="P4" s="209">
        <f>Cronograma!O39</f>
        <v>0</v>
      </c>
      <c r="Q4" s="209">
        <f>Cronograma!P39</f>
        <v>0</v>
      </c>
      <c r="R4" s="209">
        <f>Cronograma!Q39</f>
        <v>0</v>
      </c>
      <c r="S4" s="209">
        <f>Cronograma!R39</f>
        <v>0</v>
      </c>
      <c r="T4" s="209">
        <f>Cronograma!S39</f>
        <v>0</v>
      </c>
      <c r="U4" s="209">
        <f>Cronograma!T39</f>
        <v>0</v>
      </c>
      <c r="V4" s="209">
        <f>Cronograma!U39</f>
        <v>0</v>
      </c>
      <c r="W4" s="209">
        <f>Cronograma!V39</f>
        <v>0</v>
      </c>
      <c r="X4" s="209">
        <f>Cronograma!W39</f>
        <v>0</v>
      </c>
      <c r="Y4" s="209">
        <f>Cronograma!X39</f>
        <v>0</v>
      </c>
      <c r="Z4" s="209">
        <f>Cronograma!Y39</f>
        <v>0</v>
      </c>
      <c r="AA4" s="209">
        <f>Cronograma!Z39</f>
        <v>0</v>
      </c>
      <c r="AB4" s="209">
        <f>Cronograma!AA39</f>
        <v>0</v>
      </c>
      <c r="AC4" s="209">
        <f>Cronograma!AB39</f>
        <v>0</v>
      </c>
      <c r="AD4" s="209">
        <f>Cronograma!AC39</f>
        <v>0</v>
      </c>
      <c r="AE4" s="209">
        <f>Cronograma!AD39</f>
        <v>0</v>
      </c>
      <c r="AF4" s="209">
        <f>Cronograma!AE39</f>
        <v>0</v>
      </c>
      <c r="AG4" s="209">
        <f>Cronograma!AF39</f>
        <v>0</v>
      </c>
      <c r="AH4" s="209">
        <f>Cronograma!AG39</f>
        <v>0</v>
      </c>
      <c r="AI4" s="209">
        <f>Cronograma!AH39</f>
        <v>0</v>
      </c>
      <c r="AJ4" s="209">
        <f>Cronograma!AI39</f>
        <v>0</v>
      </c>
      <c r="AK4" s="209">
        <f>Cronograma!AJ39</f>
        <v>0</v>
      </c>
      <c r="AL4" s="209">
        <f>Cronograma!AK39</f>
        <v>0</v>
      </c>
      <c r="AM4" s="23">
        <f>SUM(D4:AL4)</f>
        <v>0</v>
      </c>
      <c r="AN4" s="23">
        <f>CAPEX!F38</f>
        <v>0</v>
      </c>
      <c r="AO4" s="23"/>
    </row>
    <row r="5" spans="1:41" x14ac:dyDescent="0.2">
      <c r="B5" s="1120" t="s">
        <v>291</v>
      </c>
      <c r="C5" s="1120"/>
      <c r="D5" s="209">
        <f ca="1">SUMIF($C$3:D4,"SIM",D3:D4)</f>
        <v>0</v>
      </c>
      <c r="E5" s="209">
        <f ca="1">SUMIF($C$3:E4,"SIM",E3:E4)</f>
        <v>0</v>
      </c>
      <c r="F5" s="209">
        <f ca="1">SUMIF($C$3:F4,"SIM",F3:F4)</f>
        <v>0</v>
      </c>
      <c r="G5" s="209">
        <f ca="1">SUMIF($C$3:G4,"SIM",G3:G4)</f>
        <v>0</v>
      </c>
      <c r="H5" s="209">
        <f ca="1">SUMIF($C$3:H4,"SIM",H3:H4)</f>
        <v>0</v>
      </c>
      <c r="I5" s="209">
        <f ca="1">SUMIF($C$3:I4,"SIM",I3:I4)</f>
        <v>0</v>
      </c>
      <c r="J5" s="209">
        <f ca="1">SUMIF($C$3:J4,"SIM",J3:J4)</f>
        <v>0</v>
      </c>
      <c r="K5" s="209">
        <f ca="1">SUMIF($C$3:K4,"SIM",K3:K4)</f>
        <v>0</v>
      </c>
      <c r="L5" s="209">
        <f ca="1">SUMIF($C$3:L4,"SIM",L3:L4)</f>
        <v>0</v>
      </c>
      <c r="M5" s="209">
        <f ca="1">SUMIF($C$3:M4,"SIM",M3:M4)</f>
        <v>0</v>
      </c>
      <c r="N5" s="209">
        <f ca="1">SUMIF($C$3:N4,"SIM",N3:N4)</f>
        <v>0</v>
      </c>
      <c r="O5" s="209">
        <f ca="1">SUMIF($C$3:O4,"SIM",O3:O4)</f>
        <v>0</v>
      </c>
      <c r="P5" s="209">
        <f ca="1">SUMIF($C$3:P4,"SIM",P3:P4)</f>
        <v>0</v>
      </c>
      <c r="Q5" s="209">
        <f ca="1">SUMIF($C$3:Q4,"SIM",Q3:Q4)</f>
        <v>0</v>
      </c>
      <c r="R5" s="209">
        <f ca="1">SUMIF($C$3:R4,"SIM",R3:R4)</f>
        <v>0</v>
      </c>
      <c r="S5" s="209">
        <f ca="1">SUMIF($C$3:S4,"SIM",S3:S4)</f>
        <v>0</v>
      </c>
      <c r="T5" s="209">
        <f ca="1">SUMIF($C$3:T4,"SIM",T3:T4)</f>
        <v>0</v>
      </c>
      <c r="U5" s="209">
        <f ca="1">SUMIF($C$3:U4,"SIM",U3:U4)</f>
        <v>0</v>
      </c>
      <c r="V5" s="209">
        <f ca="1">SUMIF($C$3:V4,"SIM",V3:V4)</f>
        <v>0</v>
      </c>
      <c r="W5" s="209">
        <f ca="1">SUMIF($C$3:W4,"SIM",W3:W4)</f>
        <v>0</v>
      </c>
      <c r="X5" s="209">
        <f ca="1">SUMIF($C$3:X4,"SIM",X3:X4)</f>
        <v>0</v>
      </c>
      <c r="Y5" s="209">
        <f ca="1">SUMIF($C$3:Y4,"SIM",Y3:Y4)</f>
        <v>0</v>
      </c>
      <c r="Z5" s="209">
        <f ca="1">SUMIF($C$3:Z4,"SIM",Z3:Z4)</f>
        <v>0</v>
      </c>
      <c r="AA5" s="209">
        <f ca="1">SUMIF($C$3:AA4,"SIM",AA3:AA4)</f>
        <v>0</v>
      </c>
      <c r="AB5" s="209">
        <f ca="1">SUMIF($C$3:AB4,"SIM",AB3:AB4)</f>
        <v>0</v>
      </c>
      <c r="AC5" s="209">
        <f ca="1">SUMIF($C$3:AC4,"SIM",AC3:AC4)</f>
        <v>0</v>
      </c>
      <c r="AD5" s="209">
        <f ca="1">SUMIF($C$3:AD4,"SIM",AD3:AD4)</f>
        <v>0</v>
      </c>
      <c r="AE5" s="209">
        <f ca="1">SUMIF($C$3:AE4,"SIM",AE3:AE4)</f>
        <v>0</v>
      </c>
      <c r="AF5" s="209">
        <f ca="1">SUMIF($C$3:AF4,"SIM",AF3:AF4)</f>
        <v>0</v>
      </c>
      <c r="AG5" s="209">
        <f ca="1">SUMIF($C$3:AG4,"SIM",AG3:AG4)</f>
        <v>0</v>
      </c>
      <c r="AH5" s="209">
        <f ca="1">SUMIF($C$3:AH4,"SIM",AH3:AH4)</f>
        <v>0</v>
      </c>
      <c r="AI5" s="209">
        <f ca="1">SUMIF($C$3:AI4,"SIM",AI3:AI4)</f>
        <v>0</v>
      </c>
      <c r="AJ5" s="209">
        <f ca="1">SUMIF($C$3:AJ4,"SIM",AJ3:AJ4)</f>
        <v>0</v>
      </c>
      <c r="AK5" s="209">
        <f ca="1">SUMIF($C$3:AK4,"SIM",AK3:AK4)</f>
        <v>0</v>
      </c>
      <c r="AL5" s="209">
        <f ca="1">SUMIF($C$3:AL4,"SIM",AL3:AL4)</f>
        <v>0</v>
      </c>
    </row>
    <row r="6" spans="1:41" ht="15" x14ac:dyDescent="0.25">
      <c r="B6" s="56"/>
      <c r="C6" s="56"/>
      <c r="D6" s="63"/>
      <c r="E6" s="63"/>
      <c r="F6" s="63"/>
      <c r="G6" s="63"/>
      <c r="H6" s="63"/>
      <c r="I6" s="63"/>
      <c r="J6" s="63"/>
      <c r="K6" s="63"/>
      <c r="L6" s="63"/>
      <c r="M6" s="63"/>
      <c r="N6" s="63"/>
      <c r="O6" s="63"/>
      <c r="P6" s="63"/>
      <c r="Q6" s="63"/>
      <c r="R6" s="63"/>
      <c r="S6" s="63"/>
      <c r="T6" s="63"/>
      <c r="U6" s="63"/>
      <c r="V6" s="63"/>
      <c r="W6" s="63"/>
      <c r="X6" s="63"/>
      <c r="Y6" s="63"/>
      <c r="Z6" s="63"/>
      <c r="AA6" s="63"/>
      <c r="AB6" s="63"/>
      <c r="AC6" s="63"/>
      <c r="AD6" s="63"/>
      <c r="AE6" s="63"/>
      <c r="AF6" s="63"/>
      <c r="AG6" s="63"/>
      <c r="AH6" s="63"/>
      <c r="AI6" s="63"/>
      <c r="AJ6"/>
      <c r="AK6"/>
      <c r="AL6"/>
    </row>
    <row r="7" spans="1:41" ht="15" x14ac:dyDescent="0.25">
      <c r="B7" s="56"/>
      <c r="C7" s="56"/>
      <c r="D7" s="63"/>
      <c r="E7" s="63"/>
      <c r="F7" s="63"/>
      <c r="G7" s="63"/>
      <c r="H7" s="63"/>
      <c r="I7" s="63"/>
      <c r="J7" s="63"/>
      <c r="K7" s="63"/>
      <c r="L7" s="63"/>
      <c r="M7" s="63"/>
      <c r="N7" s="63"/>
      <c r="O7" s="63"/>
      <c r="P7" s="63"/>
      <c r="Q7" s="63"/>
      <c r="R7" s="63"/>
      <c r="S7" s="63"/>
      <c r="T7" s="63"/>
      <c r="U7" s="63"/>
      <c r="V7" s="63"/>
      <c r="W7" s="63"/>
      <c r="X7" s="63"/>
      <c r="Y7" s="63"/>
      <c r="Z7" s="63"/>
      <c r="AA7" s="63"/>
      <c r="AB7" s="63"/>
      <c r="AC7" s="63"/>
      <c r="AD7" s="63"/>
      <c r="AE7" s="63"/>
      <c r="AF7" s="63"/>
      <c r="AG7" s="63"/>
      <c r="AH7" s="63"/>
      <c r="AI7" s="63"/>
      <c r="AJ7"/>
      <c r="AK7"/>
      <c r="AL7"/>
    </row>
    <row r="8" spans="1:41" ht="15" x14ac:dyDescent="0.25">
      <c r="B8" s="56"/>
      <c r="C8" s="56"/>
      <c r="D8" s="63"/>
      <c r="E8" s="63"/>
      <c r="F8" s="63"/>
      <c r="G8" s="63"/>
      <c r="H8" s="63"/>
      <c r="I8" s="63"/>
      <c r="J8" s="63"/>
      <c r="K8" s="63"/>
      <c r="L8" s="63"/>
      <c r="M8" s="63"/>
      <c r="N8" s="63"/>
      <c r="O8" s="63"/>
      <c r="P8" s="63"/>
      <c r="Q8" s="63"/>
      <c r="R8" s="63"/>
      <c r="S8" s="63"/>
      <c r="T8" s="63"/>
      <c r="U8" s="63"/>
      <c r="V8" s="63"/>
      <c r="W8" s="63"/>
      <c r="X8" s="63"/>
      <c r="Y8" s="63"/>
      <c r="Z8" s="63"/>
      <c r="AA8" s="63"/>
      <c r="AB8" s="63"/>
      <c r="AC8" s="63"/>
      <c r="AD8" s="63"/>
      <c r="AE8" s="63"/>
      <c r="AF8" s="63"/>
      <c r="AG8" s="63"/>
      <c r="AH8" s="63"/>
      <c r="AI8" s="63"/>
      <c r="AJ8"/>
      <c r="AK8"/>
      <c r="AL8"/>
    </row>
    <row r="9" spans="1:41" x14ac:dyDescent="0.2">
      <c r="B9" s="19" t="s">
        <v>209</v>
      </c>
      <c r="C9" s="162">
        <f ca="1">SUM(D9:AL9)</f>
        <v>0</v>
      </c>
      <c r="D9" s="210">
        <f ca="1">D5</f>
        <v>0</v>
      </c>
      <c r="E9" s="210">
        <f t="shared" ref="E9:AI9" ca="1" si="0">E5</f>
        <v>0</v>
      </c>
      <c r="F9" s="210">
        <f t="shared" ca="1" si="0"/>
        <v>0</v>
      </c>
      <c r="G9" s="210">
        <f t="shared" ca="1" si="0"/>
        <v>0</v>
      </c>
      <c r="H9" s="210">
        <f t="shared" ca="1" si="0"/>
        <v>0</v>
      </c>
      <c r="I9" s="210">
        <f t="shared" ca="1" si="0"/>
        <v>0</v>
      </c>
      <c r="J9" s="210">
        <f t="shared" ca="1" si="0"/>
        <v>0</v>
      </c>
      <c r="K9" s="210">
        <f t="shared" ca="1" si="0"/>
        <v>0</v>
      </c>
      <c r="L9" s="210">
        <f t="shared" ca="1" si="0"/>
        <v>0</v>
      </c>
      <c r="M9" s="210">
        <f t="shared" ca="1" si="0"/>
        <v>0</v>
      </c>
      <c r="N9" s="210">
        <f t="shared" ca="1" si="0"/>
        <v>0</v>
      </c>
      <c r="O9" s="210">
        <f t="shared" ca="1" si="0"/>
        <v>0</v>
      </c>
      <c r="P9" s="210">
        <f t="shared" ca="1" si="0"/>
        <v>0</v>
      </c>
      <c r="Q9" s="210">
        <f t="shared" ca="1" si="0"/>
        <v>0</v>
      </c>
      <c r="R9" s="210">
        <f t="shared" ca="1" si="0"/>
        <v>0</v>
      </c>
      <c r="S9" s="210">
        <f t="shared" ca="1" si="0"/>
        <v>0</v>
      </c>
      <c r="T9" s="210">
        <f t="shared" ca="1" si="0"/>
        <v>0</v>
      </c>
      <c r="U9" s="210">
        <f t="shared" ca="1" si="0"/>
        <v>0</v>
      </c>
      <c r="V9" s="210">
        <f t="shared" ca="1" si="0"/>
        <v>0</v>
      </c>
      <c r="W9" s="210">
        <f t="shared" ca="1" si="0"/>
        <v>0</v>
      </c>
      <c r="X9" s="210">
        <f t="shared" ca="1" si="0"/>
        <v>0</v>
      </c>
      <c r="Y9" s="210">
        <f t="shared" ca="1" si="0"/>
        <v>0</v>
      </c>
      <c r="Z9" s="210">
        <f t="shared" ca="1" si="0"/>
        <v>0</v>
      </c>
      <c r="AA9" s="210">
        <f t="shared" ca="1" si="0"/>
        <v>0</v>
      </c>
      <c r="AB9" s="210">
        <f t="shared" ca="1" si="0"/>
        <v>0</v>
      </c>
      <c r="AC9" s="210">
        <f t="shared" ca="1" si="0"/>
        <v>0</v>
      </c>
      <c r="AD9" s="210">
        <f t="shared" ca="1" si="0"/>
        <v>0</v>
      </c>
      <c r="AE9" s="210">
        <f t="shared" ca="1" si="0"/>
        <v>0</v>
      </c>
      <c r="AF9" s="210">
        <f t="shared" ca="1" si="0"/>
        <v>0</v>
      </c>
      <c r="AG9" s="210">
        <f t="shared" ca="1" si="0"/>
        <v>0</v>
      </c>
      <c r="AH9" s="210">
        <f t="shared" ca="1" si="0"/>
        <v>0</v>
      </c>
      <c r="AI9" s="210">
        <f t="shared" ca="1" si="0"/>
        <v>0</v>
      </c>
      <c r="AJ9" s="210">
        <f t="shared" ref="AJ9:AL9" ca="1" si="1">AJ5</f>
        <v>0</v>
      </c>
      <c r="AK9" s="210">
        <f t="shared" ca="1" si="1"/>
        <v>0</v>
      </c>
      <c r="AL9" s="210">
        <f t="shared" ca="1" si="1"/>
        <v>0</v>
      </c>
    </row>
    <row r="10" spans="1:41" x14ac:dyDescent="0.2">
      <c r="B10" s="19" t="s">
        <v>208</v>
      </c>
      <c r="C10" s="211">
        <f ca="1">SUM(D10:AL10)</f>
        <v>0</v>
      </c>
      <c r="D10" s="212">
        <f t="shared" ref="D10:AG10" ca="1" si="2">IF($C$9=0,0,D9/$C$9)</f>
        <v>0</v>
      </c>
      <c r="E10" s="212">
        <f t="shared" ca="1" si="2"/>
        <v>0</v>
      </c>
      <c r="F10" s="212">
        <f t="shared" ca="1" si="2"/>
        <v>0</v>
      </c>
      <c r="G10" s="212">
        <f t="shared" ca="1" si="2"/>
        <v>0</v>
      </c>
      <c r="H10" s="212">
        <f t="shared" ca="1" si="2"/>
        <v>0</v>
      </c>
      <c r="I10" s="212">
        <f t="shared" ca="1" si="2"/>
        <v>0</v>
      </c>
      <c r="J10" s="212">
        <f t="shared" ca="1" si="2"/>
        <v>0</v>
      </c>
      <c r="K10" s="212">
        <f t="shared" ca="1" si="2"/>
        <v>0</v>
      </c>
      <c r="L10" s="212">
        <f t="shared" ca="1" si="2"/>
        <v>0</v>
      </c>
      <c r="M10" s="212">
        <f t="shared" ca="1" si="2"/>
        <v>0</v>
      </c>
      <c r="N10" s="212">
        <f t="shared" ca="1" si="2"/>
        <v>0</v>
      </c>
      <c r="O10" s="212">
        <f t="shared" ca="1" si="2"/>
        <v>0</v>
      </c>
      <c r="P10" s="212">
        <f t="shared" ca="1" si="2"/>
        <v>0</v>
      </c>
      <c r="Q10" s="212">
        <f t="shared" ca="1" si="2"/>
        <v>0</v>
      </c>
      <c r="R10" s="212">
        <f t="shared" ca="1" si="2"/>
        <v>0</v>
      </c>
      <c r="S10" s="212">
        <f t="shared" ca="1" si="2"/>
        <v>0</v>
      </c>
      <c r="T10" s="212">
        <f t="shared" ca="1" si="2"/>
        <v>0</v>
      </c>
      <c r="U10" s="212">
        <f t="shared" ca="1" si="2"/>
        <v>0</v>
      </c>
      <c r="V10" s="212">
        <f t="shared" ca="1" si="2"/>
        <v>0</v>
      </c>
      <c r="W10" s="212">
        <f t="shared" ca="1" si="2"/>
        <v>0</v>
      </c>
      <c r="X10" s="212">
        <f t="shared" ca="1" si="2"/>
        <v>0</v>
      </c>
      <c r="Y10" s="212">
        <f t="shared" ca="1" si="2"/>
        <v>0</v>
      </c>
      <c r="Z10" s="212">
        <f t="shared" ca="1" si="2"/>
        <v>0</v>
      </c>
      <c r="AA10" s="212">
        <f t="shared" ca="1" si="2"/>
        <v>0</v>
      </c>
      <c r="AB10" s="212">
        <f t="shared" ca="1" si="2"/>
        <v>0</v>
      </c>
      <c r="AC10" s="212">
        <f t="shared" ca="1" si="2"/>
        <v>0</v>
      </c>
      <c r="AD10" s="212">
        <f t="shared" ca="1" si="2"/>
        <v>0</v>
      </c>
      <c r="AE10" s="212">
        <f t="shared" ca="1" si="2"/>
        <v>0</v>
      </c>
      <c r="AF10" s="212">
        <f t="shared" ca="1" si="2"/>
        <v>0</v>
      </c>
      <c r="AG10" s="212">
        <f t="shared" ca="1" si="2"/>
        <v>0</v>
      </c>
      <c r="AH10" s="212">
        <f ca="1">IF($C$9=0,0,AH9/$C$9)</f>
        <v>0</v>
      </c>
      <c r="AI10" s="212">
        <f ca="1">IF($C$9=0,0,AI9/$C$9)</f>
        <v>0</v>
      </c>
      <c r="AJ10" s="212">
        <f t="shared" ref="AJ10" ca="1" si="3">IF($C$9=0,0,AJ9/$C$9)</f>
        <v>0</v>
      </c>
      <c r="AK10" s="212">
        <f ca="1">IF($C$9=0,0,AK9/$C$9)</f>
        <v>0</v>
      </c>
      <c r="AL10" s="212">
        <f ca="1">IF($C$9=0,0,AL9/$C$9)</f>
        <v>0</v>
      </c>
    </row>
    <row r="11" spans="1:41" ht="15" x14ac:dyDescent="0.25">
      <c r="B11" s="56"/>
      <c r="C11" s="56"/>
      <c r="D11" s="63"/>
      <c r="E11" s="63"/>
      <c r="F11" s="63"/>
      <c r="G11" s="63"/>
      <c r="H11" s="63"/>
      <c r="I11" s="63"/>
      <c r="J11" s="63"/>
      <c r="K11" s="63"/>
      <c r="L11" s="63"/>
      <c r="M11" s="63"/>
      <c r="N11" s="63"/>
      <c r="O11" s="63"/>
      <c r="P11" s="63"/>
      <c r="Q11" s="63"/>
      <c r="R11" s="63"/>
      <c r="S11" s="63"/>
      <c r="T11" s="63"/>
      <c r="U11" s="63"/>
      <c r="V11" s="63"/>
      <c r="W11" s="63"/>
      <c r="X11" s="63"/>
      <c r="Y11" s="63"/>
      <c r="Z11" s="63"/>
      <c r="AA11" s="63"/>
      <c r="AB11" s="63"/>
      <c r="AC11" s="63"/>
      <c r="AD11" s="63"/>
      <c r="AE11" s="63"/>
      <c r="AF11" s="63"/>
      <c r="AG11" s="63"/>
      <c r="AJ11"/>
      <c r="AK11"/>
      <c r="AL11"/>
    </row>
    <row r="12" spans="1:41" ht="12.75" thickBot="1" x14ac:dyDescent="0.25"/>
    <row r="13" spans="1:41" ht="15.75" customHeight="1" thickBot="1" x14ac:dyDescent="0.25">
      <c r="C13" s="19" t="s">
        <v>207</v>
      </c>
      <c r="D13" s="1124" t="s">
        <v>504</v>
      </c>
      <c r="E13" s="1125"/>
      <c r="F13" s="1125"/>
      <c r="G13" s="1125"/>
      <c r="H13" s="1124" t="s">
        <v>505</v>
      </c>
      <c r="I13" s="1125"/>
      <c r="J13" s="1125"/>
      <c r="K13" s="1126"/>
      <c r="L13" s="1124" t="s">
        <v>506</v>
      </c>
      <c r="M13" s="1125"/>
      <c r="N13" s="1125"/>
      <c r="O13" s="1126"/>
      <c r="P13" s="1124" t="s">
        <v>507</v>
      </c>
      <c r="Q13" s="1125"/>
      <c r="R13" s="1125"/>
      <c r="S13" s="1126"/>
      <c r="T13" s="1124" t="s">
        <v>508</v>
      </c>
      <c r="U13" s="1125"/>
      <c r="V13" s="1125"/>
      <c r="W13" s="1126"/>
      <c r="X13" s="1124" t="s">
        <v>509</v>
      </c>
      <c r="Y13" s="1125"/>
      <c r="Z13" s="1125"/>
      <c r="AA13" s="1126"/>
      <c r="AB13" s="1124" t="s">
        <v>510</v>
      </c>
      <c r="AC13" s="1125"/>
      <c r="AD13" s="1125"/>
      <c r="AE13" s="1126"/>
      <c r="AF13" s="1124" t="s">
        <v>511</v>
      </c>
      <c r="AG13" s="1125"/>
      <c r="AH13" s="1125"/>
      <c r="AI13" s="1126"/>
      <c r="AJ13" s="1124" t="s">
        <v>512</v>
      </c>
      <c r="AK13" s="1125"/>
      <c r="AL13" s="1126"/>
    </row>
    <row r="14" spans="1:41" ht="15.75" customHeight="1" thickBot="1" x14ac:dyDescent="0.25">
      <c r="C14" s="20" t="s">
        <v>206</v>
      </c>
      <c r="D14" s="1117">
        <f ca="1">SUM(D9:G9)</f>
        <v>0</v>
      </c>
      <c r="E14" s="1118"/>
      <c r="F14" s="1118"/>
      <c r="G14" s="1118"/>
      <c r="H14" s="1117">
        <f ca="1">SUM(H9:K9)</f>
        <v>0</v>
      </c>
      <c r="I14" s="1118"/>
      <c r="J14" s="1118"/>
      <c r="K14" s="1118"/>
      <c r="L14" s="1117">
        <f ca="1">SUM(L9:O9)</f>
        <v>0</v>
      </c>
      <c r="M14" s="1118"/>
      <c r="N14" s="1118"/>
      <c r="O14" s="1118"/>
      <c r="P14" s="1117">
        <f ca="1">SUM(P9:S9)</f>
        <v>0</v>
      </c>
      <c r="Q14" s="1118"/>
      <c r="R14" s="1118"/>
      <c r="S14" s="1118"/>
      <c r="T14" s="1117">
        <f ca="1">SUM(T9:W9)</f>
        <v>0</v>
      </c>
      <c r="U14" s="1118"/>
      <c r="V14" s="1118"/>
      <c r="W14" s="1118"/>
      <c r="X14" s="1117">
        <f ca="1">SUM(X9:AA9)</f>
        <v>0</v>
      </c>
      <c r="Y14" s="1118"/>
      <c r="Z14" s="1118"/>
      <c r="AA14" s="1118"/>
      <c r="AB14" s="1117">
        <f ca="1">SUM(AB9:AE9)</f>
        <v>0</v>
      </c>
      <c r="AC14" s="1118"/>
      <c r="AD14" s="1118"/>
      <c r="AE14" s="1118"/>
      <c r="AF14" s="1117">
        <f ca="1">SUM(AF9:AI9)</f>
        <v>0</v>
      </c>
      <c r="AG14" s="1118"/>
      <c r="AH14" s="1118"/>
      <c r="AI14" s="1118"/>
      <c r="AJ14" s="1117">
        <f ca="1">SUM(AJ9:AM9)</f>
        <v>0</v>
      </c>
      <c r="AK14" s="1118"/>
      <c r="AL14" s="1119"/>
      <c r="AM14" s="23">
        <f>SUM(AM3:AM13)</f>
        <v>0</v>
      </c>
    </row>
    <row r="15" spans="1:41" ht="15.75" customHeight="1" thickBot="1" x14ac:dyDescent="0.25">
      <c r="C15" s="20" t="s">
        <v>205</v>
      </c>
      <c r="D15" s="1121">
        <f>(1-'FCD PROJETO'!J18)</f>
        <v>1</v>
      </c>
      <c r="E15" s="1122"/>
      <c r="F15" s="1122"/>
      <c r="G15" s="1122"/>
      <c r="H15" s="1121">
        <f>D15</f>
        <v>1</v>
      </c>
      <c r="I15" s="1122"/>
      <c r="J15" s="1122"/>
      <c r="K15" s="1123"/>
      <c r="L15" s="1121">
        <f>H15</f>
        <v>1</v>
      </c>
      <c r="M15" s="1122"/>
      <c r="N15" s="1122"/>
      <c r="O15" s="1123"/>
      <c r="P15" s="1121">
        <f>L15</f>
        <v>1</v>
      </c>
      <c r="Q15" s="1122"/>
      <c r="R15" s="1122"/>
      <c r="S15" s="1123"/>
      <c r="T15" s="1121">
        <f>P15</f>
        <v>1</v>
      </c>
      <c r="U15" s="1122"/>
      <c r="V15" s="1122"/>
      <c r="W15" s="1123"/>
      <c r="X15" s="1121">
        <f>T15</f>
        <v>1</v>
      </c>
      <c r="Y15" s="1122"/>
      <c r="Z15" s="1122"/>
      <c r="AA15" s="1123"/>
      <c r="AB15" s="1121">
        <f>X15</f>
        <v>1</v>
      </c>
      <c r="AC15" s="1122"/>
      <c r="AD15" s="1122"/>
      <c r="AE15" s="1123"/>
      <c r="AF15" s="1121">
        <f>AB15</f>
        <v>1</v>
      </c>
      <c r="AG15" s="1122"/>
      <c r="AH15" s="1122"/>
      <c r="AI15" s="1123"/>
      <c r="AJ15" s="1121">
        <f>AF15</f>
        <v>1</v>
      </c>
      <c r="AK15" s="1133"/>
      <c r="AL15" s="1134"/>
    </row>
    <row r="16" spans="1:41" ht="15.75" customHeight="1" thickBot="1" x14ac:dyDescent="0.25">
      <c r="C16" s="20" t="s">
        <v>204</v>
      </c>
      <c r="D16" s="1117">
        <f ca="1">D14*$D$15</f>
        <v>0</v>
      </c>
      <c r="E16" s="1118"/>
      <c r="F16" s="1118"/>
      <c r="G16" s="1118"/>
      <c r="H16" s="1117">
        <f ca="1">H14*$D$15</f>
        <v>0</v>
      </c>
      <c r="I16" s="1118"/>
      <c r="J16" s="1118"/>
      <c r="K16" s="1118"/>
      <c r="L16" s="1117">
        <f ca="1">L14*$D$15</f>
        <v>0</v>
      </c>
      <c r="M16" s="1118"/>
      <c r="N16" s="1118"/>
      <c r="O16" s="1118"/>
      <c r="P16" s="1117">
        <f ca="1">P14*$D$15</f>
        <v>0</v>
      </c>
      <c r="Q16" s="1118"/>
      <c r="R16" s="1118"/>
      <c r="S16" s="1118"/>
      <c r="T16" s="1117">
        <f ca="1">T14*$D$15</f>
        <v>0</v>
      </c>
      <c r="U16" s="1118"/>
      <c r="V16" s="1118"/>
      <c r="W16" s="1118"/>
      <c r="X16" s="1117">
        <f ca="1">X14*$D$15</f>
        <v>0</v>
      </c>
      <c r="Y16" s="1118"/>
      <c r="Z16" s="1118"/>
      <c r="AA16" s="1118"/>
      <c r="AB16" s="1117">
        <f ca="1">AB14*$D$15</f>
        <v>0</v>
      </c>
      <c r="AC16" s="1118"/>
      <c r="AD16" s="1118"/>
      <c r="AE16" s="1118"/>
      <c r="AF16" s="1117">
        <f ca="1">AF14*$D$15</f>
        <v>0</v>
      </c>
      <c r="AG16" s="1118"/>
      <c r="AH16" s="1118"/>
      <c r="AI16" s="1118"/>
      <c r="AJ16" s="1117">
        <f ca="1">AJ14*$D$15</f>
        <v>0</v>
      </c>
      <c r="AK16" s="1118"/>
      <c r="AL16" s="1119"/>
    </row>
    <row r="17" spans="2:38" ht="15.75" customHeight="1" thickBot="1" x14ac:dyDescent="0.25">
      <c r="C17" s="20" t="s">
        <v>203</v>
      </c>
      <c r="D17" s="1117">
        <f ca="1">D14-D16</f>
        <v>0</v>
      </c>
      <c r="E17" s="1118"/>
      <c r="F17" s="1118"/>
      <c r="G17" s="1118"/>
      <c r="H17" s="1117">
        <f ca="1">H14-H16</f>
        <v>0</v>
      </c>
      <c r="I17" s="1118"/>
      <c r="J17" s="1118"/>
      <c r="K17" s="1119"/>
      <c r="L17" s="1117">
        <f ca="1">L14-L16</f>
        <v>0</v>
      </c>
      <c r="M17" s="1118"/>
      <c r="N17" s="1118"/>
      <c r="O17" s="1119"/>
      <c r="P17" s="1117">
        <f ca="1">P14-P16</f>
        <v>0</v>
      </c>
      <c r="Q17" s="1118"/>
      <c r="R17" s="1118"/>
      <c r="S17" s="1119"/>
      <c r="T17" s="1117">
        <f ca="1">T14-T16</f>
        <v>0</v>
      </c>
      <c r="U17" s="1118"/>
      <c r="V17" s="1118"/>
      <c r="W17" s="1119"/>
      <c r="X17" s="1117">
        <f ca="1">X14-X16</f>
        <v>0</v>
      </c>
      <c r="Y17" s="1118"/>
      <c r="Z17" s="1118"/>
      <c r="AA17" s="1119"/>
      <c r="AB17" s="1117">
        <f ca="1">AB14-AB16</f>
        <v>0</v>
      </c>
      <c r="AC17" s="1118"/>
      <c r="AD17" s="1118"/>
      <c r="AE17" s="1119"/>
      <c r="AF17" s="1117">
        <f ca="1">AF14-AF16</f>
        <v>0</v>
      </c>
      <c r="AG17" s="1118"/>
      <c r="AH17" s="1118"/>
      <c r="AI17" s="1119"/>
      <c r="AJ17" s="1117">
        <f ca="1">AJ14-AJ16</f>
        <v>0</v>
      </c>
      <c r="AK17" s="1118"/>
      <c r="AL17" s="1119"/>
    </row>
    <row r="18" spans="2:38" ht="15" x14ac:dyDescent="0.25">
      <c r="C18"/>
    </row>
    <row r="19" spans="2:38" ht="15" x14ac:dyDescent="0.25">
      <c r="C19"/>
    </row>
    <row r="20" spans="2:38" ht="15" x14ac:dyDescent="0.25">
      <c r="C20"/>
      <c r="D20" s="51"/>
      <c r="E20" s="753" t="s">
        <v>202</v>
      </c>
      <c r="F20" s="753"/>
      <c r="G20" s="754"/>
      <c r="H20" s="51"/>
      <c r="I20" s="753" t="str">
        <f>E20</f>
        <v>Número de Prestações Mensais</v>
      </c>
      <c r="J20" s="753"/>
      <c r="K20" s="754"/>
      <c r="L20" s="51"/>
      <c r="M20" s="753" t="str">
        <f>I20</f>
        <v>Número de Prestações Mensais</v>
      </c>
      <c r="N20" s="753"/>
      <c r="O20" s="754"/>
      <c r="P20" s="51"/>
      <c r="Q20" s="753" t="str">
        <f>M20</f>
        <v>Número de Prestações Mensais</v>
      </c>
      <c r="R20" s="753"/>
      <c r="S20" s="754"/>
      <c r="T20" s="51"/>
      <c r="U20" s="753" t="str">
        <f>Q20</f>
        <v>Número de Prestações Mensais</v>
      </c>
      <c r="V20" s="753"/>
      <c r="W20" s="754"/>
      <c r="X20" s="51"/>
      <c r="Y20" s="753" t="str">
        <f>U20</f>
        <v>Número de Prestações Mensais</v>
      </c>
      <c r="Z20" s="753"/>
      <c r="AA20" s="754"/>
      <c r="AB20" s="51"/>
      <c r="AC20" s="753" t="str">
        <f>Y20</f>
        <v>Número de Prestações Mensais</v>
      </c>
      <c r="AD20" s="753"/>
      <c r="AE20" s="754"/>
      <c r="AF20" s="51"/>
      <c r="AG20" s="753" t="str">
        <f>AC20</f>
        <v>Número de Prestações Mensais</v>
      </c>
      <c r="AH20" s="753"/>
      <c r="AI20" s="754"/>
      <c r="AJ20" s="51"/>
      <c r="AK20" s="753" t="str">
        <f>AG20</f>
        <v>Número de Prestações Mensais</v>
      </c>
      <c r="AL20" s="753"/>
    </row>
    <row r="21" spans="2:38" x14ac:dyDescent="0.2">
      <c r="D21" s="1114">
        <f>IF(COUNT(H1:$AL$1)*12&gt;240,240,COUNT(H1:$AL$1)*12)</f>
        <v>240</v>
      </c>
      <c r="E21" s="1115"/>
      <c r="F21" s="1115"/>
      <c r="G21" s="1116"/>
      <c r="H21" s="1114">
        <f>IF(COUNT(L1:$AL$1)*12&gt;240,240,COUNT(L1:$AL$1)*12)</f>
        <v>240</v>
      </c>
      <c r="I21" s="1115"/>
      <c r="J21" s="1115"/>
      <c r="K21" s="1116"/>
      <c r="L21" s="1114">
        <f>IF(COUNT(P1:$AL$1)*12&gt;240,240,COUNT(P1:$AL$1)*12)</f>
        <v>240</v>
      </c>
      <c r="M21" s="1115"/>
      <c r="N21" s="1115"/>
      <c r="O21" s="1116"/>
      <c r="P21" s="1114">
        <f>IF(COUNT(T1:$AL$1)*12&gt;240,240,COUNT(T1:$AL$1)*12)</f>
        <v>228</v>
      </c>
      <c r="Q21" s="1115"/>
      <c r="R21" s="1115"/>
      <c r="S21" s="1116"/>
      <c r="T21" s="1114">
        <f>IF(COUNT(X1:$AL$1)*12&gt;240,240,COUNT(X1:$AL$1)*12)</f>
        <v>180</v>
      </c>
      <c r="U21" s="1115"/>
      <c r="V21" s="1115"/>
      <c r="W21" s="1116"/>
      <c r="X21" s="1114">
        <f>IF(COUNT(AB1:$AL$1)*12&gt;240,240,COUNT(AB1:$AL$1)*12)</f>
        <v>132</v>
      </c>
      <c r="Y21" s="1115"/>
      <c r="Z21" s="1115"/>
      <c r="AA21" s="1116"/>
      <c r="AB21" s="1114">
        <f>IF(COUNT(AF1:$AL$1)*12&gt;240,240,COUNT(AF1:$AL$1)*12)</f>
        <v>84</v>
      </c>
      <c r="AC21" s="1115"/>
      <c r="AD21" s="1115"/>
      <c r="AE21" s="1116"/>
      <c r="AF21" s="1114">
        <f>IF(COUNT(AJ1:$AL$1)*12&gt;240,240,COUNT(AJ1:$AL$1)*12)</f>
        <v>36</v>
      </c>
      <c r="AG21" s="1115"/>
      <c r="AH21" s="1115"/>
      <c r="AI21" s="1116"/>
      <c r="AJ21" s="1135">
        <f>IF(COUNT($AL1:AN$1)*12&gt;240,240,COUNT($AL1:AN$1)*12)</f>
        <v>12</v>
      </c>
      <c r="AK21" s="1136"/>
      <c r="AL21" s="1137"/>
    </row>
    <row r="22" spans="2:38" x14ac:dyDescent="0.2">
      <c r="D22" s="1127" t="s">
        <v>201</v>
      </c>
      <c r="E22" s="1127"/>
      <c r="F22" s="1127"/>
      <c r="G22" s="1127"/>
      <c r="H22" s="1127" t="s">
        <v>200</v>
      </c>
      <c r="I22" s="1127"/>
      <c r="J22" s="1127"/>
      <c r="K22" s="1127"/>
      <c r="L22" s="1127" t="s">
        <v>199</v>
      </c>
      <c r="M22" s="1127"/>
      <c r="N22" s="1127"/>
      <c r="O22" s="1127"/>
      <c r="P22" s="1127" t="s">
        <v>198</v>
      </c>
      <c r="Q22" s="1127"/>
      <c r="R22" s="1127"/>
      <c r="S22" s="1127"/>
      <c r="T22" s="1127" t="s">
        <v>197</v>
      </c>
      <c r="U22" s="1127"/>
      <c r="V22" s="1127"/>
      <c r="W22" s="1127"/>
      <c r="X22" s="1127" t="s">
        <v>196</v>
      </c>
      <c r="Y22" s="1127"/>
      <c r="Z22" s="1127"/>
      <c r="AA22" s="1127"/>
      <c r="AB22" s="1127" t="s">
        <v>195</v>
      </c>
      <c r="AC22" s="1127"/>
      <c r="AD22" s="1127"/>
      <c r="AE22" s="1127"/>
      <c r="AF22" s="1127" t="s">
        <v>194</v>
      </c>
      <c r="AG22" s="1127"/>
      <c r="AH22" s="1127"/>
      <c r="AI22" s="1127"/>
      <c r="AJ22" s="1138" t="s">
        <v>486</v>
      </c>
      <c r="AK22" s="1139"/>
      <c r="AL22" s="1140"/>
    </row>
    <row r="23" spans="2:38" x14ac:dyDescent="0.2">
      <c r="D23" s="62" t="s">
        <v>193</v>
      </c>
      <c r="E23" s="62" t="s">
        <v>192</v>
      </c>
      <c r="F23" s="62" t="s">
        <v>191</v>
      </c>
      <c r="G23" s="62" t="s">
        <v>190</v>
      </c>
      <c r="H23" s="62" t="s">
        <v>193</v>
      </c>
      <c r="I23" s="62" t="s">
        <v>192</v>
      </c>
      <c r="J23" s="62" t="s">
        <v>191</v>
      </c>
      <c r="K23" s="62" t="s">
        <v>190</v>
      </c>
      <c r="L23" s="62" t="s">
        <v>193</v>
      </c>
      <c r="M23" s="62" t="s">
        <v>192</v>
      </c>
      <c r="N23" s="62" t="s">
        <v>191</v>
      </c>
      <c r="O23" s="62" t="s">
        <v>190</v>
      </c>
      <c r="P23" s="62" t="s">
        <v>193</v>
      </c>
      <c r="Q23" s="62" t="s">
        <v>192</v>
      </c>
      <c r="R23" s="62" t="s">
        <v>191</v>
      </c>
      <c r="S23" s="62" t="s">
        <v>190</v>
      </c>
      <c r="T23" s="62" t="s">
        <v>193</v>
      </c>
      <c r="U23" s="62" t="s">
        <v>192</v>
      </c>
      <c r="V23" s="62" t="s">
        <v>191</v>
      </c>
      <c r="W23" s="62" t="s">
        <v>190</v>
      </c>
      <c r="X23" s="62" t="s">
        <v>193</v>
      </c>
      <c r="Y23" s="62" t="s">
        <v>192</v>
      </c>
      <c r="Z23" s="62" t="s">
        <v>191</v>
      </c>
      <c r="AA23" s="62" t="s">
        <v>190</v>
      </c>
      <c r="AB23" s="62" t="s">
        <v>193</v>
      </c>
      <c r="AC23" s="62" t="s">
        <v>192</v>
      </c>
      <c r="AD23" s="62" t="s">
        <v>191</v>
      </c>
      <c r="AE23" s="62" t="s">
        <v>190</v>
      </c>
      <c r="AF23" s="62" t="s">
        <v>193</v>
      </c>
      <c r="AG23" s="62" t="s">
        <v>192</v>
      </c>
      <c r="AH23" s="62" t="s">
        <v>191</v>
      </c>
      <c r="AI23" s="62" t="s">
        <v>190</v>
      </c>
      <c r="AJ23" s="62" t="s">
        <v>193</v>
      </c>
      <c r="AK23" s="62" t="s">
        <v>192</v>
      </c>
      <c r="AL23" s="62" t="s">
        <v>191</v>
      </c>
    </row>
    <row r="24" spans="2:38" ht="15" x14ac:dyDescent="0.25">
      <c r="B24"/>
      <c r="C24"/>
      <c r="D24" s="330">
        <f ca="1">IF(D25="ok",IF(D14=0,0,D9/D14),0)</f>
        <v>0</v>
      </c>
      <c r="E24" s="330">
        <f ca="1">IF(E25="ok",IF(D14=0,0,E9/D14),0)</f>
        <v>0</v>
      </c>
      <c r="F24" s="330">
        <f ca="1">IF(F25="ok",IF(D14=0,0,F9/D14),0)</f>
        <v>0</v>
      </c>
      <c r="G24" s="330">
        <f ca="1">IF(G25="ok",IF(D14=0,0,G9/D14),0)</f>
        <v>0</v>
      </c>
      <c r="H24" s="330">
        <f ca="1">IF(H25="ok",IF(H14=0,0,H9/H14),0)</f>
        <v>0</v>
      </c>
      <c r="I24" s="330">
        <f ca="1">IF(I25="ok",IF(H14=0,0,I9/H14),0)</f>
        <v>0</v>
      </c>
      <c r="J24" s="330">
        <f ca="1">IF(J25="ok",IF(H14=0,0,J9/H14),0)</f>
        <v>0</v>
      </c>
      <c r="K24" s="330">
        <f ca="1">IF(K25="ok",IF(H14=0,0,K9/H14),0)</f>
        <v>0</v>
      </c>
      <c r="L24" s="330">
        <f ca="1">IF(L25="ok",IF(L14=0,0,L9/L14),0)</f>
        <v>0</v>
      </c>
      <c r="M24" s="330">
        <f ca="1">IF(M25="ok",IF(L14=0,0,M9/L14),0)</f>
        <v>0</v>
      </c>
      <c r="N24" s="330">
        <f ca="1">IF(N25="ok",IF(L14=0,0,N9/L14),0)</f>
        <v>0</v>
      </c>
      <c r="O24" s="330">
        <f ca="1">IF(O25="ok",IF(L14=0,0,O9/L14),0)</f>
        <v>0</v>
      </c>
      <c r="P24" s="330">
        <f ca="1">IF(P25="ok",IF(P14=0,0,P9/P14),0)</f>
        <v>0</v>
      </c>
      <c r="Q24" s="330">
        <f ca="1">IF(Q25="ok",IF(P14=0,0,Q9/P14),0)</f>
        <v>0</v>
      </c>
      <c r="R24" s="330">
        <f ca="1">IF(R25="ok",IF(P14=0,0,R9/P14),0)</f>
        <v>0</v>
      </c>
      <c r="S24" s="330">
        <f ca="1">IF(S25="ok",IF(P14=0,0,S9/P14),0)</f>
        <v>0</v>
      </c>
      <c r="T24" s="330">
        <f>IF(T25="ok",IF(T14=0,0,T9/T14),0)</f>
        <v>0</v>
      </c>
      <c r="U24" s="330">
        <f>IF(U25="ok",IF(T14=0,0,U9/T14),0)</f>
        <v>0</v>
      </c>
      <c r="V24" s="330">
        <f>IF(V25="ok",IF(T14=0,0,V9/T14),0)</f>
        <v>0</v>
      </c>
      <c r="W24" s="330">
        <f>IF(W25="ok",IF(T14=0,0,W9/T14),0)</f>
        <v>0</v>
      </c>
      <c r="X24" s="330">
        <f>IF(X25="ok",IF(X14=0,0,X9/X14),0)</f>
        <v>0</v>
      </c>
      <c r="Y24" s="330">
        <f>IF(Y25="ok",IF(X14=0,0,Y9/X14),0)</f>
        <v>0</v>
      </c>
      <c r="Z24" s="330">
        <f>IF(Z25="ok",IF(X14=0,0,Z9/X14),0)</f>
        <v>0</v>
      </c>
      <c r="AA24" s="330">
        <f>IF(AA25="ok",IF(X14=0,0,AA9/X14),0)</f>
        <v>0</v>
      </c>
      <c r="AB24" s="330">
        <f>IF(AB25="ok",IF(AB14=0,0,AB9/AB14),0)</f>
        <v>0</v>
      </c>
      <c r="AC24" s="330">
        <f>IF(AC25="ok",IF(AB14=0,0,AC9/AB14),0)</f>
        <v>0</v>
      </c>
      <c r="AD24" s="330">
        <f>IF(AD25="ok",IF(AB14=0,0,AD9/AB14),0)</f>
        <v>0</v>
      </c>
      <c r="AE24" s="330">
        <f>IF(AE25="ok",IF(AB14=0,0,AE9/AB14),0)</f>
        <v>0</v>
      </c>
      <c r="AF24" s="330">
        <f>IF(AF25="ok",IF(AF14=0,0,AF9/AF14),0)</f>
        <v>0</v>
      </c>
      <c r="AG24" s="330">
        <f>IF(AG25="ok",IF(AF14=0,0,AG9/AF14),0)</f>
        <v>0</v>
      </c>
      <c r="AH24" s="330">
        <f>IF(AH25="ok",IF(AF14=0,0,AH9/AF14),0)</f>
        <v>0</v>
      </c>
      <c r="AI24" s="330">
        <f>IF(AI25="ok",IF(AF14=0,0,AI9/AF14),0)</f>
        <v>0</v>
      </c>
      <c r="AJ24" s="330">
        <f>IF(AJ25="ok",IF(AJ14=0,0,AJ9/AJ14),0)</f>
        <v>0</v>
      </c>
      <c r="AK24" s="330">
        <f>IF(AK25="ok",IF(AJ14=0,0,AK9/AJ14),0)</f>
        <v>0</v>
      </c>
      <c r="AL24" s="330">
        <f>IF(AL25="ok",IF(AJ14=0,0,AL9/AJ14),0)</f>
        <v>0</v>
      </c>
    </row>
    <row r="25" spans="2:38" ht="15" x14ac:dyDescent="0.25">
      <c r="B25"/>
      <c r="C25"/>
      <c r="D25" s="331" t="s">
        <v>189</v>
      </c>
      <c r="E25" s="331" t="s">
        <v>189</v>
      </c>
      <c r="F25" s="331" t="s">
        <v>189</v>
      </c>
      <c r="G25" s="331" t="s">
        <v>189</v>
      </c>
      <c r="H25" s="331" t="s">
        <v>189</v>
      </c>
      <c r="I25" s="331" t="s">
        <v>189</v>
      </c>
      <c r="J25" s="331" t="s">
        <v>189</v>
      </c>
      <c r="K25" s="331" t="s">
        <v>189</v>
      </c>
      <c r="L25" s="331" t="s">
        <v>189</v>
      </c>
      <c r="M25" s="331" t="s">
        <v>189</v>
      </c>
      <c r="N25" s="331" t="s">
        <v>189</v>
      </c>
      <c r="O25" s="331" t="s">
        <v>189</v>
      </c>
      <c r="P25" s="331" t="s">
        <v>189</v>
      </c>
      <c r="Q25" s="331" t="s">
        <v>189</v>
      </c>
      <c r="R25" s="331" t="s">
        <v>189</v>
      </c>
      <c r="S25" s="331" t="s">
        <v>189</v>
      </c>
      <c r="T25" s="331" t="s">
        <v>188</v>
      </c>
      <c r="U25" s="331" t="s">
        <v>188</v>
      </c>
      <c r="V25" s="331" t="s">
        <v>188</v>
      </c>
      <c r="W25" s="331" t="s">
        <v>188</v>
      </c>
      <c r="X25" s="331" t="s">
        <v>188</v>
      </c>
      <c r="Y25" s="331" t="s">
        <v>188</v>
      </c>
      <c r="Z25" s="331" t="s">
        <v>188</v>
      </c>
      <c r="AA25" s="331" t="s">
        <v>188</v>
      </c>
      <c r="AB25" s="331" t="s">
        <v>188</v>
      </c>
      <c r="AC25" s="331" t="s">
        <v>188</v>
      </c>
      <c r="AD25" s="331" t="s">
        <v>188</v>
      </c>
      <c r="AE25" s="331" t="s">
        <v>188</v>
      </c>
      <c r="AF25" s="331" t="s">
        <v>188</v>
      </c>
      <c r="AG25" s="331" t="s">
        <v>188</v>
      </c>
      <c r="AH25" s="331" t="s">
        <v>188</v>
      </c>
      <c r="AI25" s="331" t="s">
        <v>188</v>
      </c>
      <c r="AJ25" s="331" t="s">
        <v>188</v>
      </c>
      <c r="AK25" s="331" t="s">
        <v>188</v>
      </c>
      <c r="AL25" s="331" t="s">
        <v>188</v>
      </c>
    </row>
    <row r="26" spans="2:38" ht="15" x14ac:dyDescent="0.25">
      <c r="B26"/>
      <c r="C26"/>
    </row>
    <row r="28" spans="2:38" x14ac:dyDescent="0.2">
      <c r="B28" s="20" t="s">
        <v>885</v>
      </c>
      <c r="C28" s="62" t="s">
        <v>884</v>
      </c>
      <c r="D28" s="53"/>
    </row>
    <row r="29" spans="2:38" x14ac:dyDescent="0.2">
      <c r="B29" s="20" t="s">
        <v>523</v>
      </c>
      <c r="C29" s="332"/>
      <c r="D29" s="60"/>
      <c r="E29" s="59"/>
    </row>
    <row r="30" spans="2:38" x14ac:dyDescent="0.2">
      <c r="B30" s="20" t="s">
        <v>524</v>
      </c>
      <c r="C30" s="332"/>
      <c r="D30" s="60"/>
      <c r="E30" s="61"/>
    </row>
    <row r="31" spans="2:38" x14ac:dyDescent="0.2">
      <c r="B31" s="20" t="s">
        <v>525</v>
      </c>
      <c r="C31" s="332"/>
      <c r="D31" s="60"/>
      <c r="E31" s="59"/>
      <c r="Y31" s="58"/>
      <c r="Z31" s="57"/>
    </row>
    <row r="32" spans="2:38" x14ac:dyDescent="0.2">
      <c r="B32" s="19" t="s">
        <v>5</v>
      </c>
      <c r="C32" s="772">
        <f>SUM(C29:C31)</f>
        <v>0</v>
      </c>
    </row>
    <row r="33" spans="2:39" ht="12.75" thickBot="1" x14ac:dyDescent="0.25"/>
    <row r="34" spans="2:39" s="53" customFormat="1" ht="12.75" thickBot="1" x14ac:dyDescent="0.25">
      <c r="B34" s="55"/>
      <c r="C34" s="54"/>
      <c r="D34" s="64">
        <f t="shared" ref="D34:AI34" si="4">D1</f>
        <v>1</v>
      </c>
      <c r="E34" s="64">
        <f t="shared" si="4"/>
        <v>2</v>
      </c>
      <c r="F34" s="64">
        <f t="shared" si="4"/>
        <v>3</v>
      </c>
      <c r="G34" s="64">
        <f t="shared" si="4"/>
        <v>4</v>
      </c>
      <c r="H34" s="64">
        <f t="shared" si="4"/>
        <v>5</v>
      </c>
      <c r="I34" s="64">
        <f t="shared" si="4"/>
        <v>6</v>
      </c>
      <c r="J34" s="64">
        <f t="shared" si="4"/>
        <v>7</v>
      </c>
      <c r="K34" s="64">
        <f t="shared" si="4"/>
        <v>8</v>
      </c>
      <c r="L34" s="64">
        <f t="shared" si="4"/>
        <v>9</v>
      </c>
      <c r="M34" s="64">
        <f t="shared" si="4"/>
        <v>10</v>
      </c>
      <c r="N34" s="64">
        <f t="shared" si="4"/>
        <v>11</v>
      </c>
      <c r="O34" s="64">
        <f t="shared" si="4"/>
        <v>12</v>
      </c>
      <c r="P34" s="64">
        <f t="shared" si="4"/>
        <v>13</v>
      </c>
      <c r="Q34" s="64">
        <f t="shared" si="4"/>
        <v>14</v>
      </c>
      <c r="R34" s="64">
        <f t="shared" si="4"/>
        <v>15</v>
      </c>
      <c r="S34" s="64">
        <f t="shared" si="4"/>
        <v>16</v>
      </c>
      <c r="T34" s="64">
        <f t="shared" si="4"/>
        <v>17</v>
      </c>
      <c r="U34" s="64">
        <f t="shared" si="4"/>
        <v>18</v>
      </c>
      <c r="V34" s="64">
        <f t="shared" si="4"/>
        <v>19</v>
      </c>
      <c r="W34" s="64">
        <f t="shared" si="4"/>
        <v>20</v>
      </c>
      <c r="X34" s="64">
        <f t="shared" si="4"/>
        <v>21</v>
      </c>
      <c r="Y34" s="64">
        <f t="shared" si="4"/>
        <v>22</v>
      </c>
      <c r="Z34" s="64">
        <f t="shared" si="4"/>
        <v>23</v>
      </c>
      <c r="AA34" s="64">
        <f t="shared" si="4"/>
        <v>24</v>
      </c>
      <c r="AB34" s="64">
        <f t="shared" si="4"/>
        <v>25</v>
      </c>
      <c r="AC34" s="64">
        <f t="shared" si="4"/>
        <v>26</v>
      </c>
      <c r="AD34" s="64">
        <f t="shared" si="4"/>
        <v>27</v>
      </c>
      <c r="AE34" s="64">
        <f t="shared" si="4"/>
        <v>28</v>
      </c>
      <c r="AF34" s="64">
        <f t="shared" si="4"/>
        <v>29</v>
      </c>
      <c r="AG34" s="64">
        <f t="shared" si="4"/>
        <v>30</v>
      </c>
      <c r="AH34" s="64">
        <f t="shared" si="4"/>
        <v>31</v>
      </c>
      <c r="AI34" s="65">
        <f t="shared" si="4"/>
        <v>32</v>
      </c>
      <c r="AJ34" s="64">
        <f t="shared" ref="AJ34:AL34" si="5">AJ1</f>
        <v>33</v>
      </c>
      <c r="AK34" s="64">
        <f t="shared" si="5"/>
        <v>34</v>
      </c>
      <c r="AL34" s="64">
        <f t="shared" si="5"/>
        <v>35</v>
      </c>
      <c r="AM34" s="65" t="s">
        <v>427</v>
      </c>
    </row>
    <row r="35" spans="2:39" x14ac:dyDescent="0.2">
      <c r="B35" s="1128" t="str">
        <f>D13</f>
        <v>Financiamento 1º Tranche</v>
      </c>
      <c r="C35" s="52" t="s">
        <v>187</v>
      </c>
      <c r="D35" s="216">
        <f ca="1">IF($D$21=0,0,$D$14*(1-$D$15)*D24)</f>
        <v>0</v>
      </c>
      <c r="E35" s="217">
        <f ca="1">IF($D$21=0,0,$D$14*(1-$D$15)*E24)</f>
        <v>0</v>
      </c>
      <c r="F35" s="217">
        <f ca="1">IF($D$21=0,0,$D$14*(1-$D$15)*F24)</f>
        <v>0</v>
      </c>
      <c r="G35" s="218">
        <f ca="1">IF($D$21=0,0,$D$14*(1-$D$15)*G24)</f>
        <v>0</v>
      </c>
      <c r="H35" s="227"/>
      <c r="I35" s="228"/>
      <c r="J35" s="228"/>
      <c r="K35" s="229"/>
      <c r="L35" s="227"/>
      <c r="M35" s="228"/>
      <c r="N35" s="228"/>
      <c r="O35" s="229"/>
      <c r="P35" s="227"/>
      <c r="Q35" s="228"/>
      <c r="R35" s="228"/>
      <c r="S35" s="229"/>
      <c r="T35" s="227"/>
      <c r="U35" s="228"/>
      <c r="V35" s="228"/>
      <c r="W35" s="229"/>
      <c r="X35" s="227"/>
      <c r="Y35" s="228"/>
      <c r="Z35" s="228"/>
      <c r="AA35" s="229"/>
      <c r="AB35" s="227"/>
      <c r="AC35" s="228"/>
      <c r="AD35" s="228"/>
      <c r="AE35" s="229"/>
      <c r="AF35" s="227"/>
      <c r="AG35" s="228"/>
      <c r="AH35" s="228"/>
      <c r="AI35" s="229"/>
      <c r="AJ35" s="227"/>
      <c r="AK35" s="228"/>
      <c r="AL35" s="228"/>
      <c r="AM35" s="218">
        <f ca="1">SUM(D35:AL35)</f>
        <v>0</v>
      </c>
    </row>
    <row r="36" spans="2:39" x14ac:dyDescent="0.2">
      <c r="B36" s="1128"/>
      <c r="C36" s="52" t="s">
        <v>186</v>
      </c>
      <c r="D36" s="219">
        <f ca="1">IF($D$21=0,0,$D$14*($D$15)*D24)</f>
        <v>0</v>
      </c>
      <c r="E36" s="152">
        <f ca="1">IF($D$21=0,0,$D$14*($D$15)*E24)</f>
        <v>0</v>
      </c>
      <c r="F36" s="152">
        <f ca="1">IF($D$21=0,0,$D$14*($D$15)*F24)</f>
        <v>0</v>
      </c>
      <c r="G36" s="153">
        <f ca="1">IF($D$21=0,0,$D$14*($D$15)*G24)</f>
        <v>0</v>
      </c>
      <c r="H36" s="230"/>
      <c r="I36" s="24"/>
      <c r="J36" s="24"/>
      <c r="K36" s="32"/>
      <c r="L36" s="230"/>
      <c r="M36" s="24"/>
      <c r="N36" s="24"/>
      <c r="O36" s="32"/>
      <c r="P36" s="230"/>
      <c r="Q36" s="24"/>
      <c r="R36" s="24"/>
      <c r="S36" s="32"/>
      <c r="T36" s="230"/>
      <c r="U36" s="24"/>
      <c r="V36" s="24"/>
      <c r="W36" s="32"/>
      <c r="X36" s="230"/>
      <c r="Y36" s="24"/>
      <c r="Z36" s="24"/>
      <c r="AA36" s="32"/>
      <c r="AB36" s="230"/>
      <c r="AC36" s="24"/>
      <c r="AD36" s="24"/>
      <c r="AE36" s="32"/>
      <c r="AF36" s="230"/>
      <c r="AG36" s="24"/>
      <c r="AH36" s="24"/>
      <c r="AI36" s="32"/>
      <c r="AJ36" s="230"/>
      <c r="AK36" s="24"/>
      <c r="AL36" s="24"/>
      <c r="AM36" s="153">
        <f t="shared" ref="AM36:AM90" ca="1" si="6">SUM(D36:AL36)</f>
        <v>0</v>
      </c>
    </row>
    <row r="37" spans="2:39" x14ac:dyDescent="0.2">
      <c r="B37" s="1128"/>
      <c r="C37" s="52" t="s">
        <v>185</v>
      </c>
      <c r="D37" s="219">
        <f ca="1">ROUND(D35,2)</f>
        <v>0</v>
      </c>
      <c r="E37" s="152">
        <f ca="1">ROUND(D37+E35,2)</f>
        <v>0</v>
      </c>
      <c r="F37" s="152">
        <f ca="1">ROUND(E37+F35,2)</f>
        <v>0</v>
      </c>
      <c r="G37" s="153">
        <f ca="1">ROUND(F37+G35,2)</f>
        <v>0</v>
      </c>
      <c r="H37" s="219">
        <f t="shared" ref="H37:AI37" ca="1" si="7">G37-H41</f>
        <v>0</v>
      </c>
      <c r="I37" s="152">
        <f t="shared" ca="1" si="7"/>
        <v>0</v>
      </c>
      <c r="J37" s="152">
        <f t="shared" ca="1" si="7"/>
        <v>0</v>
      </c>
      <c r="K37" s="153">
        <f t="shared" ca="1" si="7"/>
        <v>0</v>
      </c>
      <c r="L37" s="219">
        <f t="shared" ca="1" si="7"/>
        <v>0</v>
      </c>
      <c r="M37" s="152">
        <f t="shared" ca="1" si="7"/>
        <v>0</v>
      </c>
      <c r="N37" s="152">
        <f t="shared" ca="1" si="7"/>
        <v>0</v>
      </c>
      <c r="O37" s="153">
        <f t="shared" ca="1" si="7"/>
        <v>0</v>
      </c>
      <c r="P37" s="219">
        <f t="shared" ca="1" si="7"/>
        <v>0</v>
      </c>
      <c r="Q37" s="152">
        <f t="shared" ca="1" si="7"/>
        <v>0</v>
      </c>
      <c r="R37" s="152">
        <f t="shared" ca="1" si="7"/>
        <v>0</v>
      </c>
      <c r="S37" s="153">
        <f t="shared" ca="1" si="7"/>
        <v>0</v>
      </c>
      <c r="T37" s="219">
        <f t="shared" ca="1" si="7"/>
        <v>0</v>
      </c>
      <c r="U37" s="152">
        <f t="shared" ca="1" si="7"/>
        <v>0</v>
      </c>
      <c r="V37" s="152">
        <f t="shared" ca="1" si="7"/>
        <v>0</v>
      </c>
      <c r="W37" s="153">
        <f t="shared" ca="1" si="7"/>
        <v>0</v>
      </c>
      <c r="X37" s="219">
        <f t="shared" ca="1" si="7"/>
        <v>0</v>
      </c>
      <c r="Y37" s="152">
        <f t="shared" ca="1" si="7"/>
        <v>0</v>
      </c>
      <c r="Z37" s="152">
        <f t="shared" ca="1" si="7"/>
        <v>0</v>
      </c>
      <c r="AA37" s="153">
        <f t="shared" ca="1" si="7"/>
        <v>0</v>
      </c>
      <c r="AB37" s="219">
        <f t="shared" ca="1" si="7"/>
        <v>0</v>
      </c>
      <c r="AC37" s="152">
        <f t="shared" ca="1" si="7"/>
        <v>0</v>
      </c>
      <c r="AD37" s="152">
        <f t="shared" ca="1" si="7"/>
        <v>0</v>
      </c>
      <c r="AE37" s="153">
        <f t="shared" ca="1" si="7"/>
        <v>0</v>
      </c>
      <c r="AF37" s="219">
        <f t="shared" ca="1" si="7"/>
        <v>0</v>
      </c>
      <c r="AG37" s="152">
        <f t="shared" ca="1" si="7"/>
        <v>0</v>
      </c>
      <c r="AH37" s="152">
        <f t="shared" ca="1" si="7"/>
        <v>0</v>
      </c>
      <c r="AI37" s="153">
        <f t="shared" ca="1" si="7"/>
        <v>0</v>
      </c>
      <c r="AJ37" s="219">
        <f t="shared" ref="AJ37" ca="1" si="8">AI37-AJ41</f>
        <v>0</v>
      </c>
      <c r="AK37" s="152">
        <f t="shared" ref="AK37" ca="1" si="9">AJ37-AK41</f>
        <v>0</v>
      </c>
      <c r="AL37" s="152">
        <f t="shared" ref="AL37" ca="1" si="10">AK37-AL41</f>
        <v>0</v>
      </c>
      <c r="AM37" s="153">
        <f t="shared" ca="1" si="6"/>
        <v>0</v>
      </c>
    </row>
    <row r="38" spans="2:39" x14ac:dyDescent="0.2">
      <c r="B38" s="1128"/>
      <c r="C38" s="51" t="s">
        <v>184</v>
      </c>
      <c r="D38" s="219">
        <f ca="1">D37*$C$29</f>
        <v>0</v>
      </c>
      <c r="E38" s="152">
        <f ca="1">E37*$C$29</f>
        <v>0</v>
      </c>
      <c r="F38" s="152">
        <f ca="1">F37*$C$29</f>
        <v>0</v>
      </c>
      <c r="G38" s="153">
        <f ca="1">G37*$C$29</f>
        <v>0</v>
      </c>
      <c r="H38" s="219">
        <f t="shared" ref="H38:AI38" ca="1" si="11">G37*$C$29</f>
        <v>0</v>
      </c>
      <c r="I38" s="152">
        <f t="shared" ca="1" si="11"/>
        <v>0</v>
      </c>
      <c r="J38" s="152">
        <f t="shared" ca="1" si="11"/>
        <v>0</v>
      </c>
      <c r="K38" s="153">
        <f t="shared" ca="1" si="11"/>
        <v>0</v>
      </c>
      <c r="L38" s="219">
        <f t="shared" ca="1" si="11"/>
        <v>0</v>
      </c>
      <c r="M38" s="152">
        <f t="shared" ca="1" si="11"/>
        <v>0</v>
      </c>
      <c r="N38" s="152">
        <f t="shared" ca="1" si="11"/>
        <v>0</v>
      </c>
      <c r="O38" s="153">
        <f t="shared" ca="1" si="11"/>
        <v>0</v>
      </c>
      <c r="P38" s="219">
        <f t="shared" ca="1" si="11"/>
        <v>0</v>
      </c>
      <c r="Q38" s="152">
        <f t="shared" ca="1" si="11"/>
        <v>0</v>
      </c>
      <c r="R38" s="152">
        <f t="shared" ca="1" si="11"/>
        <v>0</v>
      </c>
      <c r="S38" s="153">
        <f t="shared" ca="1" si="11"/>
        <v>0</v>
      </c>
      <c r="T38" s="219">
        <f t="shared" ca="1" si="11"/>
        <v>0</v>
      </c>
      <c r="U38" s="152">
        <f t="shared" ca="1" si="11"/>
        <v>0</v>
      </c>
      <c r="V38" s="152">
        <f t="shared" ca="1" si="11"/>
        <v>0</v>
      </c>
      <c r="W38" s="153">
        <f t="shared" ca="1" si="11"/>
        <v>0</v>
      </c>
      <c r="X38" s="219">
        <f t="shared" ca="1" si="11"/>
        <v>0</v>
      </c>
      <c r="Y38" s="152">
        <f t="shared" ca="1" si="11"/>
        <v>0</v>
      </c>
      <c r="Z38" s="152">
        <f t="shared" ca="1" si="11"/>
        <v>0</v>
      </c>
      <c r="AA38" s="153">
        <f t="shared" ca="1" si="11"/>
        <v>0</v>
      </c>
      <c r="AB38" s="219">
        <f t="shared" ca="1" si="11"/>
        <v>0</v>
      </c>
      <c r="AC38" s="152">
        <f t="shared" ca="1" si="11"/>
        <v>0</v>
      </c>
      <c r="AD38" s="152">
        <f t="shared" ca="1" si="11"/>
        <v>0</v>
      </c>
      <c r="AE38" s="153">
        <f t="shared" ca="1" si="11"/>
        <v>0</v>
      </c>
      <c r="AF38" s="219">
        <f t="shared" ca="1" si="11"/>
        <v>0</v>
      </c>
      <c r="AG38" s="152">
        <f t="shared" ca="1" si="11"/>
        <v>0</v>
      </c>
      <c r="AH38" s="152">
        <f t="shared" ca="1" si="11"/>
        <v>0</v>
      </c>
      <c r="AI38" s="153">
        <f t="shared" ca="1" si="11"/>
        <v>0</v>
      </c>
      <c r="AJ38" s="219">
        <f t="shared" ref="AJ38" ca="1" si="12">AI37*$C$29</f>
        <v>0</v>
      </c>
      <c r="AK38" s="152">
        <f t="shared" ref="AK38" ca="1" si="13">AJ37*$C$29</f>
        <v>0</v>
      </c>
      <c r="AL38" s="152">
        <f t="shared" ref="AL38" ca="1" si="14">AK37*$C$29</f>
        <v>0</v>
      </c>
      <c r="AM38" s="153">
        <f t="shared" ca="1" si="6"/>
        <v>0</v>
      </c>
    </row>
    <row r="39" spans="2:39" x14ac:dyDescent="0.2">
      <c r="B39" s="1128"/>
      <c r="C39" s="51" t="s">
        <v>183</v>
      </c>
      <c r="D39" s="219">
        <f ca="1">D37*$C$30</f>
        <v>0</v>
      </c>
      <c r="E39" s="152">
        <f ca="1">E37*$C$30</f>
        <v>0</v>
      </c>
      <c r="F39" s="152">
        <f ca="1">F37*$C$30</f>
        <v>0</v>
      </c>
      <c r="G39" s="153">
        <f ca="1">G37*$C$30</f>
        <v>0</v>
      </c>
      <c r="H39" s="219">
        <f t="shared" ref="H39:AI39" ca="1" si="15">G37*$C$30</f>
        <v>0</v>
      </c>
      <c r="I39" s="152">
        <f t="shared" ca="1" si="15"/>
        <v>0</v>
      </c>
      <c r="J39" s="152">
        <f t="shared" ca="1" si="15"/>
        <v>0</v>
      </c>
      <c r="K39" s="153">
        <f t="shared" ca="1" si="15"/>
        <v>0</v>
      </c>
      <c r="L39" s="219">
        <f t="shared" ca="1" si="15"/>
        <v>0</v>
      </c>
      <c r="M39" s="152">
        <f t="shared" ca="1" si="15"/>
        <v>0</v>
      </c>
      <c r="N39" s="152">
        <f t="shared" ca="1" si="15"/>
        <v>0</v>
      </c>
      <c r="O39" s="153">
        <f t="shared" ca="1" si="15"/>
        <v>0</v>
      </c>
      <c r="P39" s="219">
        <f t="shared" ca="1" si="15"/>
        <v>0</v>
      </c>
      <c r="Q39" s="152">
        <f t="shared" ca="1" si="15"/>
        <v>0</v>
      </c>
      <c r="R39" s="152">
        <f t="shared" ca="1" si="15"/>
        <v>0</v>
      </c>
      <c r="S39" s="153">
        <f t="shared" ca="1" si="15"/>
        <v>0</v>
      </c>
      <c r="T39" s="219">
        <f t="shared" ca="1" si="15"/>
        <v>0</v>
      </c>
      <c r="U39" s="152">
        <f t="shared" ca="1" si="15"/>
        <v>0</v>
      </c>
      <c r="V39" s="152">
        <f t="shared" ca="1" si="15"/>
        <v>0</v>
      </c>
      <c r="W39" s="153">
        <f t="shared" ca="1" si="15"/>
        <v>0</v>
      </c>
      <c r="X39" s="219">
        <f t="shared" ca="1" si="15"/>
        <v>0</v>
      </c>
      <c r="Y39" s="152">
        <f t="shared" ca="1" si="15"/>
        <v>0</v>
      </c>
      <c r="Z39" s="152">
        <f t="shared" ca="1" si="15"/>
        <v>0</v>
      </c>
      <c r="AA39" s="153">
        <f t="shared" ca="1" si="15"/>
        <v>0</v>
      </c>
      <c r="AB39" s="219">
        <f t="shared" ca="1" si="15"/>
        <v>0</v>
      </c>
      <c r="AC39" s="152">
        <f t="shared" ca="1" si="15"/>
        <v>0</v>
      </c>
      <c r="AD39" s="152">
        <f t="shared" ca="1" si="15"/>
        <v>0</v>
      </c>
      <c r="AE39" s="153">
        <f t="shared" ca="1" si="15"/>
        <v>0</v>
      </c>
      <c r="AF39" s="219">
        <f t="shared" ca="1" si="15"/>
        <v>0</v>
      </c>
      <c r="AG39" s="152">
        <f t="shared" ca="1" si="15"/>
        <v>0</v>
      </c>
      <c r="AH39" s="152">
        <f t="shared" ca="1" si="15"/>
        <v>0</v>
      </c>
      <c r="AI39" s="153">
        <f t="shared" ca="1" si="15"/>
        <v>0</v>
      </c>
      <c r="AJ39" s="219">
        <f t="shared" ref="AJ39" ca="1" si="16">AI37*$C$30</f>
        <v>0</v>
      </c>
      <c r="AK39" s="152">
        <f t="shared" ref="AK39" ca="1" si="17">AJ37*$C$30</f>
        <v>0</v>
      </c>
      <c r="AL39" s="152">
        <f t="shared" ref="AL39" ca="1" si="18">AK37*$C$30</f>
        <v>0</v>
      </c>
      <c r="AM39" s="153">
        <f t="shared" ca="1" si="6"/>
        <v>0</v>
      </c>
    </row>
    <row r="40" spans="2:39" x14ac:dyDescent="0.2">
      <c r="B40" s="1128"/>
      <c r="C40" s="51" t="s">
        <v>182</v>
      </c>
      <c r="D40" s="219">
        <f ca="1">D37*$C$31</f>
        <v>0</v>
      </c>
      <c r="E40" s="152">
        <f ca="1">E37*$C$31</f>
        <v>0</v>
      </c>
      <c r="F40" s="152">
        <f ca="1">F37*$C$31</f>
        <v>0</v>
      </c>
      <c r="G40" s="153">
        <f ca="1">G37*$C$31</f>
        <v>0</v>
      </c>
      <c r="H40" s="219">
        <f t="shared" ref="H40:AI40" ca="1" si="19">G37*$C$31</f>
        <v>0</v>
      </c>
      <c r="I40" s="152">
        <f t="shared" ca="1" si="19"/>
        <v>0</v>
      </c>
      <c r="J40" s="152">
        <f t="shared" ca="1" si="19"/>
        <v>0</v>
      </c>
      <c r="K40" s="153">
        <f t="shared" ca="1" si="19"/>
        <v>0</v>
      </c>
      <c r="L40" s="219">
        <f t="shared" ca="1" si="19"/>
        <v>0</v>
      </c>
      <c r="M40" s="152">
        <f t="shared" ca="1" si="19"/>
        <v>0</v>
      </c>
      <c r="N40" s="152">
        <f t="shared" ca="1" si="19"/>
        <v>0</v>
      </c>
      <c r="O40" s="153">
        <f t="shared" ca="1" si="19"/>
        <v>0</v>
      </c>
      <c r="P40" s="219">
        <f t="shared" ca="1" si="19"/>
        <v>0</v>
      </c>
      <c r="Q40" s="152">
        <f t="shared" ca="1" si="19"/>
        <v>0</v>
      </c>
      <c r="R40" s="152">
        <f t="shared" ca="1" si="19"/>
        <v>0</v>
      </c>
      <c r="S40" s="153">
        <f t="shared" ca="1" si="19"/>
        <v>0</v>
      </c>
      <c r="T40" s="219">
        <f t="shared" ca="1" si="19"/>
        <v>0</v>
      </c>
      <c r="U40" s="152">
        <f t="shared" ca="1" si="19"/>
        <v>0</v>
      </c>
      <c r="V40" s="152">
        <f t="shared" ca="1" si="19"/>
        <v>0</v>
      </c>
      <c r="W40" s="153">
        <f t="shared" ca="1" si="19"/>
        <v>0</v>
      </c>
      <c r="X40" s="219">
        <f t="shared" ca="1" si="19"/>
        <v>0</v>
      </c>
      <c r="Y40" s="152">
        <f t="shared" ca="1" si="19"/>
        <v>0</v>
      </c>
      <c r="Z40" s="152">
        <f t="shared" ca="1" si="19"/>
        <v>0</v>
      </c>
      <c r="AA40" s="153">
        <f t="shared" ca="1" si="19"/>
        <v>0</v>
      </c>
      <c r="AB40" s="219">
        <f t="shared" ca="1" si="19"/>
        <v>0</v>
      </c>
      <c r="AC40" s="152">
        <f t="shared" ca="1" si="19"/>
        <v>0</v>
      </c>
      <c r="AD40" s="152">
        <f t="shared" ca="1" si="19"/>
        <v>0</v>
      </c>
      <c r="AE40" s="153">
        <f t="shared" ca="1" si="19"/>
        <v>0</v>
      </c>
      <c r="AF40" s="219">
        <f t="shared" ca="1" si="19"/>
        <v>0</v>
      </c>
      <c r="AG40" s="152">
        <f t="shared" ca="1" si="19"/>
        <v>0</v>
      </c>
      <c r="AH40" s="152">
        <f t="shared" ca="1" si="19"/>
        <v>0</v>
      </c>
      <c r="AI40" s="153">
        <f t="shared" ca="1" si="19"/>
        <v>0</v>
      </c>
      <c r="AJ40" s="219">
        <f t="shared" ref="AJ40" ca="1" si="20">AI37*$C$31</f>
        <v>0</v>
      </c>
      <c r="AK40" s="152">
        <f t="shared" ref="AK40" ca="1" si="21">AJ37*$C$31</f>
        <v>0</v>
      </c>
      <c r="AL40" s="152">
        <f t="shared" ref="AL40" ca="1" si="22">AK37*$C$31</f>
        <v>0</v>
      </c>
      <c r="AM40" s="153">
        <f t="shared" ca="1" si="6"/>
        <v>0</v>
      </c>
    </row>
    <row r="41" spans="2:39" ht="12.75" thickBot="1" x14ac:dyDescent="0.25">
      <c r="B41" s="1128"/>
      <c r="C41" s="51" t="s">
        <v>181</v>
      </c>
      <c r="D41" s="230"/>
      <c r="E41" s="24"/>
      <c r="F41" s="24"/>
      <c r="G41" s="32"/>
      <c r="H41" s="219">
        <f t="shared" ref="H41:AI41" ca="1" si="23">H42-H38-H39-H40</f>
        <v>0</v>
      </c>
      <c r="I41" s="152">
        <f t="shared" ca="1" si="23"/>
        <v>0</v>
      </c>
      <c r="J41" s="152">
        <f t="shared" ca="1" si="23"/>
        <v>0</v>
      </c>
      <c r="K41" s="153">
        <f t="shared" ca="1" si="23"/>
        <v>0</v>
      </c>
      <c r="L41" s="219">
        <f t="shared" ca="1" si="23"/>
        <v>0</v>
      </c>
      <c r="M41" s="152">
        <f t="shared" ca="1" si="23"/>
        <v>0</v>
      </c>
      <c r="N41" s="152">
        <f t="shared" ca="1" si="23"/>
        <v>0</v>
      </c>
      <c r="O41" s="153">
        <f t="shared" ca="1" si="23"/>
        <v>0</v>
      </c>
      <c r="P41" s="219">
        <f t="shared" ca="1" si="23"/>
        <v>0</v>
      </c>
      <c r="Q41" s="152">
        <f t="shared" ca="1" si="23"/>
        <v>0</v>
      </c>
      <c r="R41" s="152">
        <f t="shared" ca="1" si="23"/>
        <v>0</v>
      </c>
      <c r="S41" s="153">
        <f t="shared" ca="1" si="23"/>
        <v>0</v>
      </c>
      <c r="T41" s="219">
        <f t="shared" ca="1" si="23"/>
        <v>0</v>
      </c>
      <c r="U41" s="152">
        <f t="shared" ca="1" si="23"/>
        <v>0</v>
      </c>
      <c r="V41" s="152">
        <f t="shared" ca="1" si="23"/>
        <v>0</v>
      </c>
      <c r="W41" s="153">
        <f t="shared" ca="1" si="23"/>
        <v>0</v>
      </c>
      <c r="X41" s="219">
        <f t="shared" ca="1" si="23"/>
        <v>0</v>
      </c>
      <c r="Y41" s="152">
        <f t="shared" ca="1" si="23"/>
        <v>0</v>
      </c>
      <c r="Z41" s="152">
        <f t="shared" ca="1" si="23"/>
        <v>0</v>
      </c>
      <c r="AA41" s="153">
        <f t="shared" ca="1" si="23"/>
        <v>0</v>
      </c>
      <c r="AB41" s="219">
        <f t="shared" ca="1" si="23"/>
        <v>0</v>
      </c>
      <c r="AC41" s="152">
        <f t="shared" ca="1" si="23"/>
        <v>0</v>
      </c>
      <c r="AD41" s="152">
        <f t="shared" ca="1" si="23"/>
        <v>0</v>
      </c>
      <c r="AE41" s="153">
        <f t="shared" ca="1" si="23"/>
        <v>0</v>
      </c>
      <c r="AF41" s="219">
        <f t="shared" ca="1" si="23"/>
        <v>0</v>
      </c>
      <c r="AG41" s="152">
        <f t="shared" ca="1" si="23"/>
        <v>0</v>
      </c>
      <c r="AH41" s="152">
        <f t="shared" ca="1" si="23"/>
        <v>0</v>
      </c>
      <c r="AI41" s="153">
        <f t="shared" ca="1" si="23"/>
        <v>0</v>
      </c>
      <c r="AJ41" s="219">
        <f t="shared" ref="AJ41:AL41" ca="1" si="24">AJ42-AJ38-AJ39-AJ40</f>
        <v>0</v>
      </c>
      <c r="AK41" s="152">
        <f t="shared" ca="1" si="24"/>
        <v>0</v>
      </c>
      <c r="AL41" s="152">
        <f t="shared" ca="1" si="24"/>
        <v>0</v>
      </c>
      <c r="AM41" s="153">
        <f t="shared" ca="1" si="6"/>
        <v>0</v>
      </c>
    </row>
    <row r="42" spans="2:39" ht="12.75" thickBot="1" x14ac:dyDescent="0.25">
      <c r="B42" s="1129"/>
      <c r="C42" s="50" t="s">
        <v>172</v>
      </c>
      <c r="D42" s="231"/>
      <c r="E42" s="232"/>
      <c r="F42" s="232"/>
      <c r="G42" s="233"/>
      <c r="H42" s="223">
        <f ca="1">IF(D21=0,0,PMT($C$29+$C$30+$C$31,D$21/12,-G37))</f>
        <v>0</v>
      </c>
      <c r="I42" s="221">
        <f t="shared" ref="I42:AI42" ca="1" si="25">IF(ROUND(H37,2)=0,0,H42)</f>
        <v>0</v>
      </c>
      <c r="J42" s="221">
        <f t="shared" ca="1" si="25"/>
        <v>0</v>
      </c>
      <c r="K42" s="222">
        <f t="shared" ca="1" si="25"/>
        <v>0</v>
      </c>
      <c r="L42" s="220">
        <f t="shared" ca="1" si="25"/>
        <v>0</v>
      </c>
      <c r="M42" s="221">
        <f t="shared" ca="1" si="25"/>
        <v>0</v>
      </c>
      <c r="N42" s="221">
        <f t="shared" ca="1" si="25"/>
        <v>0</v>
      </c>
      <c r="O42" s="222">
        <f t="shared" ca="1" si="25"/>
        <v>0</v>
      </c>
      <c r="P42" s="220">
        <f t="shared" ca="1" si="25"/>
        <v>0</v>
      </c>
      <c r="Q42" s="221">
        <f t="shared" ca="1" si="25"/>
        <v>0</v>
      </c>
      <c r="R42" s="221">
        <f t="shared" ca="1" si="25"/>
        <v>0</v>
      </c>
      <c r="S42" s="222">
        <f t="shared" ca="1" si="25"/>
        <v>0</v>
      </c>
      <c r="T42" s="220">
        <f t="shared" ca="1" si="25"/>
        <v>0</v>
      </c>
      <c r="U42" s="221">
        <f t="shared" ca="1" si="25"/>
        <v>0</v>
      </c>
      <c r="V42" s="221">
        <f t="shared" ca="1" si="25"/>
        <v>0</v>
      </c>
      <c r="W42" s="222">
        <f t="shared" ca="1" si="25"/>
        <v>0</v>
      </c>
      <c r="X42" s="220">
        <f t="shared" ca="1" si="25"/>
        <v>0</v>
      </c>
      <c r="Y42" s="221">
        <f t="shared" ca="1" si="25"/>
        <v>0</v>
      </c>
      <c r="Z42" s="221">
        <f t="shared" ca="1" si="25"/>
        <v>0</v>
      </c>
      <c r="AA42" s="222">
        <f t="shared" ca="1" si="25"/>
        <v>0</v>
      </c>
      <c r="AB42" s="220">
        <f t="shared" ca="1" si="25"/>
        <v>0</v>
      </c>
      <c r="AC42" s="221">
        <f t="shared" ca="1" si="25"/>
        <v>0</v>
      </c>
      <c r="AD42" s="221">
        <f t="shared" ca="1" si="25"/>
        <v>0</v>
      </c>
      <c r="AE42" s="222">
        <f t="shared" ca="1" si="25"/>
        <v>0</v>
      </c>
      <c r="AF42" s="220">
        <f t="shared" ca="1" si="25"/>
        <v>0</v>
      </c>
      <c r="AG42" s="221">
        <f t="shared" ca="1" si="25"/>
        <v>0</v>
      </c>
      <c r="AH42" s="221">
        <f t="shared" ca="1" si="25"/>
        <v>0</v>
      </c>
      <c r="AI42" s="222">
        <f t="shared" ca="1" si="25"/>
        <v>0</v>
      </c>
      <c r="AJ42" s="220">
        <f t="shared" ref="AJ42" ca="1" si="26">IF(ROUND(AI37,2)=0,0,AI42)</f>
        <v>0</v>
      </c>
      <c r="AK42" s="221">
        <f t="shared" ref="AK42" ca="1" si="27">IF(ROUND(AJ37,2)=0,0,AJ42)</f>
        <v>0</v>
      </c>
      <c r="AL42" s="221">
        <f t="shared" ref="AL42" ca="1" si="28">IF(ROUND(AK37,2)=0,0,AK42)</f>
        <v>0</v>
      </c>
      <c r="AM42" s="222">
        <f t="shared" ca="1" si="6"/>
        <v>0</v>
      </c>
    </row>
    <row r="43" spans="2:39" x14ac:dyDescent="0.2">
      <c r="B43" s="1128" t="str">
        <f>H13</f>
        <v>Financiamento 2º Tranche</v>
      </c>
      <c r="C43" s="52" t="s">
        <v>187</v>
      </c>
      <c r="D43" s="227"/>
      <c r="E43" s="228"/>
      <c r="F43" s="228"/>
      <c r="G43" s="229"/>
      <c r="H43" s="216">
        <f ca="1">IF($H$21=0,0,$H$14*(1-$H$15)*H24)</f>
        <v>0</v>
      </c>
      <c r="I43" s="217">
        <f ca="1">IF($H$21=0,0,$H$14*(1-$H$15)*I24)</f>
        <v>0</v>
      </c>
      <c r="J43" s="217">
        <f ca="1">IF($H$21=0,0,$H$14*(1-$H$15)*J24)</f>
        <v>0</v>
      </c>
      <c r="K43" s="218">
        <f ca="1">IF($H$21=0,0,$H$14*(1-$H$15)*K24)</f>
        <v>0</v>
      </c>
      <c r="L43" s="227"/>
      <c r="M43" s="228"/>
      <c r="N43" s="228"/>
      <c r="O43" s="229"/>
      <c r="P43" s="227"/>
      <c r="Q43" s="228"/>
      <c r="R43" s="228"/>
      <c r="S43" s="229"/>
      <c r="T43" s="227"/>
      <c r="U43" s="228"/>
      <c r="V43" s="228"/>
      <c r="W43" s="229"/>
      <c r="X43" s="227"/>
      <c r="Y43" s="228"/>
      <c r="Z43" s="228"/>
      <c r="AA43" s="229"/>
      <c r="AB43" s="227"/>
      <c r="AC43" s="228"/>
      <c r="AD43" s="228"/>
      <c r="AE43" s="229"/>
      <c r="AF43" s="227"/>
      <c r="AG43" s="228"/>
      <c r="AH43" s="228"/>
      <c r="AI43" s="229"/>
      <c r="AJ43" s="227"/>
      <c r="AK43" s="228"/>
      <c r="AL43" s="228"/>
      <c r="AM43" s="218">
        <f t="shared" ca="1" si="6"/>
        <v>0</v>
      </c>
    </row>
    <row r="44" spans="2:39" x14ac:dyDescent="0.2">
      <c r="B44" s="1128"/>
      <c r="C44" s="52" t="s">
        <v>186</v>
      </c>
      <c r="D44" s="230"/>
      <c r="E44" s="24"/>
      <c r="F44" s="24"/>
      <c r="G44" s="32"/>
      <c r="H44" s="219">
        <f ca="1">IF($H$21=0,0,$H$14*($H$15)*H24)</f>
        <v>0</v>
      </c>
      <c r="I44" s="152">
        <f ca="1">IF($H$21=0,0,$H$14*($H$15)*I24)</f>
        <v>0</v>
      </c>
      <c r="J44" s="152">
        <f ca="1">IF($H$21=0,0,$H$14*($H$15)*J24)</f>
        <v>0</v>
      </c>
      <c r="K44" s="153">
        <f ca="1">IF($H$21=0,0,$H$14*($H$15)*K24)</f>
        <v>0</v>
      </c>
      <c r="L44" s="230"/>
      <c r="M44" s="24"/>
      <c r="N44" s="24"/>
      <c r="O44" s="32"/>
      <c r="P44" s="230"/>
      <c r="Q44" s="24"/>
      <c r="R44" s="24"/>
      <c r="S44" s="32"/>
      <c r="T44" s="230"/>
      <c r="U44" s="24"/>
      <c r="V44" s="24"/>
      <c r="W44" s="32"/>
      <c r="X44" s="230"/>
      <c r="Y44" s="24"/>
      <c r="Z44" s="24"/>
      <c r="AA44" s="32"/>
      <c r="AB44" s="230"/>
      <c r="AC44" s="24"/>
      <c r="AD44" s="24"/>
      <c r="AE44" s="32"/>
      <c r="AF44" s="230"/>
      <c r="AG44" s="24"/>
      <c r="AH44" s="24"/>
      <c r="AI44" s="32"/>
      <c r="AJ44" s="230"/>
      <c r="AK44" s="24"/>
      <c r="AL44" s="24"/>
      <c r="AM44" s="153">
        <f t="shared" ca="1" si="6"/>
        <v>0</v>
      </c>
    </row>
    <row r="45" spans="2:39" x14ac:dyDescent="0.2">
      <c r="B45" s="1128"/>
      <c r="C45" s="52" t="s">
        <v>185</v>
      </c>
      <c r="D45" s="230"/>
      <c r="E45" s="24"/>
      <c r="F45" s="24"/>
      <c r="G45" s="32"/>
      <c r="H45" s="219">
        <f ca="1">H43</f>
        <v>0</v>
      </c>
      <c r="I45" s="152">
        <f ca="1">H45+I43</f>
        <v>0</v>
      </c>
      <c r="J45" s="152">
        <f ca="1">I45+J43</f>
        <v>0</v>
      </c>
      <c r="K45" s="153">
        <f ca="1">J45+K43</f>
        <v>0</v>
      </c>
      <c r="L45" s="219">
        <f t="shared" ref="L45:AI45" ca="1" si="29">K45-L49</f>
        <v>0</v>
      </c>
      <c r="M45" s="152">
        <f t="shared" ca="1" si="29"/>
        <v>0</v>
      </c>
      <c r="N45" s="152">
        <f t="shared" ca="1" si="29"/>
        <v>0</v>
      </c>
      <c r="O45" s="153">
        <f t="shared" ca="1" si="29"/>
        <v>0</v>
      </c>
      <c r="P45" s="219">
        <f t="shared" ca="1" si="29"/>
        <v>0</v>
      </c>
      <c r="Q45" s="152">
        <f t="shared" ca="1" si="29"/>
        <v>0</v>
      </c>
      <c r="R45" s="152">
        <f t="shared" ca="1" si="29"/>
        <v>0</v>
      </c>
      <c r="S45" s="153">
        <f t="shared" ca="1" si="29"/>
        <v>0</v>
      </c>
      <c r="T45" s="219">
        <f t="shared" ca="1" si="29"/>
        <v>0</v>
      </c>
      <c r="U45" s="152">
        <f t="shared" ca="1" si="29"/>
        <v>0</v>
      </c>
      <c r="V45" s="152">
        <f t="shared" ca="1" si="29"/>
        <v>0</v>
      </c>
      <c r="W45" s="153">
        <f t="shared" ca="1" si="29"/>
        <v>0</v>
      </c>
      <c r="X45" s="219">
        <f t="shared" ca="1" si="29"/>
        <v>0</v>
      </c>
      <c r="Y45" s="152">
        <f t="shared" ca="1" si="29"/>
        <v>0</v>
      </c>
      <c r="Z45" s="152">
        <f t="shared" ca="1" si="29"/>
        <v>0</v>
      </c>
      <c r="AA45" s="153">
        <f t="shared" ca="1" si="29"/>
        <v>0</v>
      </c>
      <c r="AB45" s="219">
        <f t="shared" ca="1" si="29"/>
        <v>0</v>
      </c>
      <c r="AC45" s="152">
        <f t="shared" ca="1" si="29"/>
        <v>0</v>
      </c>
      <c r="AD45" s="152">
        <f t="shared" ca="1" si="29"/>
        <v>0</v>
      </c>
      <c r="AE45" s="153">
        <f t="shared" ca="1" si="29"/>
        <v>0</v>
      </c>
      <c r="AF45" s="219">
        <f t="shared" ca="1" si="29"/>
        <v>0</v>
      </c>
      <c r="AG45" s="152">
        <f t="shared" ca="1" si="29"/>
        <v>0</v>
      </c>
      <c r="AH45" s="152">
        <f t="shared" ca="1" si="29"/>
        <v>0</v>
      </c>
      <c r="AI45" s="153">
        <f t="shared" ca="1" si="29"/>
        <v>0</v>
      </c>
      <c r="AJ45" s="219">
        <f t="shared" ref="AJ45" ca="1" si="30">AI45-AJ49</f>
        <v>0</v>
      </c>
      <c r="AK45" s="152">
        <f t="shared" ref="AK45" ca="1" si="31">AJ45-AK49</f>
        <v>0</v>
      </c>
      <c r="AL45" s="152">
        <f t="shared" ref="AL45" ca="1" si="32">AK45-AL49</f>
        <v>0</v>
      </c>
      <c r="AM45" s="153">
        <f t="shared" ca="1" si="6"/>
        <v>0</v>
      </c>
    </row>
    <row r="46" spans="2:39" x14ac:dyDescent="0.2">
      <c r="B46" s="1128"/>
      <c r="C46" s="51" t="s">
        <v>184</v>
      </c>
      <c r="D46" s="230"/>
      <c r="E46" s="24"/>
      <c r="F46" s="24"/>
      <c r="G46" s="32"/>
      <c r="H46" s="219">
        <f ca="1">H45*$C$29</f>
        <v>0</v>
      </c>
      <c r="I46" s="152">
        <f ca="1">I45*$C$29</f>
        <v>0</v>
      </c>
      <c r="J46" s="152">
        <f ca="1">J45*$C$29</f>
        <v>0</v>
      </c>
      <c r="K46" s="153">
        <f ca="1">K45*$C$29</f>
        <v>0</v>
      </c>
      <c r="L46" s="219">
        <f t="shared" ref="L46:AI46" ca="1" si="33">K45*$C$29</f>
        <v>0</v>
      </c>
      <c r="M46" s="152">
        <f t="shared" ca="1" si="33"/>
        <v>0</v>
      </c>
      <c r="N46" s="152">
        <f t="shared" ca="1" si="33"/>
        <v>0</v>
      </c>
      <c r="O46" s="153">
        <f t="shared" ca="1" si="33"/>
        <v>0</v>
      </c>
      <c r="P46" s="219">
        <f t="shared" ca="1" si="33"/>
        <v>0</v>
      </c>
      <c r="Q46" s="152">
        <f t="shared" ca="1" si="33"/>
        <v>0</v>
      </c>
      <c r="R46" s="152">
        <f t="shared" ca="1" si="33"/>
        <v>0</v>
      </c>
      <c r="S46" s="153">
        <f t="shared" ca="1" si="33"/>
        <v>0</v>
      </c>
      <c r="T46" s="219">
        <f t="shared" ca="1" si="33"/>
        <v>0</v>
      </c>
      <c r="U46" s="152">
        <f t="shared" ca="1" si="33"/>
        <v>0</v>
      </c>
      <c r="V46" s="152">
        <f t="shared" ca="1" si="33"/>
        <v>0</v>
      </c>
      <c r="W46" s="153">
        <f t="shared" ca="1" si="33"/>
        <v>0</v>
      </c>
      <c r="X46" s="219">
        <f t="shared" ca="1" si="33"/>
        <v>0</v>
      </c>
      <c r="Y46" s="152">
        <f t="shared" ca="1" si="33"/>
        <v>0</v>
      </c>
      <c r="Z46" s="152">
        <f t="shared" ca="1" si="33"/>
        <v>0</v>
      </c>
      <c r="AA46" s="153">
        <f t="shared" ca="1" si="33"/>
        <v>0</v>
      </c>
      <c r="AB46" s="219">
        <f t="shared" ca="1" si="33"/>
        <v>0</v>
      </c>
      <c r="AC46" s="152">
        <f t="shared" ca="1" si="33"/>
        <v>0</v>
      </c>
      <c r="AD46" s="152">
        <f t="shared" ca="1" si="33"/>
        <v>0</v>
      </c>
      <c r="AE46" s="153">
        <f t="shared" ca="1" si="33"/>
        <v>0</v>
      </c>
      <c r="AF46" s="219">
        <f t="shared" ca="1" si="33"/>
        <v>0</v>
      </c>
      <c r="AG46" s="152">
        <f t="shared" ca="1" si="33"/>
        <v>0</v>
      </c>
      <c r="AH46" s="152">
        <f t="shared" ca="1" si="33"/>
        <v>0</v>
      </c>
      <c r="AI46" s="153">
        <f t="shared" ca="1" si="33"/>
        <v>0</v>
      </c>
      <c r="AJ46" s="219">
        <f t="shared" ref="AJ46" ca="1" si="34">AI45*$C$29</f>
        <v>0</v>
      </c>
      <c r="AK46" s="152">
        <f t="shared" ref="AK46" ca="1" si="35">AJ45*$C$29</f>
        <v>0</v>
      </c>
      <c r="AL46" s="152">
        <f t="shared" ref="AL46" ca="1" si="36">AK45*$C$29</f>
        <v>0</v>
      </c>
      <c r="AM46" s="153">
        <f t="shared" ca="1" si="6"/>
        <v>0</v>
      </c>
    </row>
    <row r="47" spans="2:39" x14ac:dyDescent="0.2">
      <c r="B47" s="1128"/>
      <c r="C47" s="51" t="s">
        <v>183</v>
      </c>
      <c r="D47" s="230"/>
      <c r="E47" s="24"/>
      <c r="F47" s="24"/>
      <c r="G47" s="32"/>
      <c r="H47" s="219">
        <f ca="1">H45*$C$30</f>
        <v>0</v>
      </c>
      <c r="I47" s="152">
        <f ca="1">I45*$C$30</f>
        <v>0</v>
      </c>
      <c r="J47" s="152">
        <f ca="1">J45*$C$30</f>
        <v>0</v>
      </c>
      <c r="K47" s="153">
        <f ca="1">K45*$C$30</f>
        <v>0</v>
      </c>
      <c r="L47" s="219">
        <f t="shared" ref="L47:AI47" ca="1" si="37">K45*$C$30</f>
        <v>0</v>
      </c>
      <c r="M47" s="152">
        <f t="shared" ca="1" si="37"/>
        <v>0</v>
      </c>
      <c r="N47" s="152">
        <f t="shared" ca="1" si="37"/>
        <v>0</v>
      </c>
      <c r="O47" s="153">
        <f t="shared" ca="1" si="37"/>
        <v>0</v>
      </c>
      <c r="P47" s="219">
        <f t="shared" ca="1" si="37"/>
        <v>0</v>
      </c>
      <c r="Q47" s="152">
        <f t="shared" ca="1" si="37"/>
        <v>0</v>
      </c>
      <c r="R47" s="152">
        <f t="shared" ca="1" si="37"/>
        <v>0</v>
      </c>
      <c r="S47" s="153">
        <f t="shared" ca="1" si="37"/>
        <v>0</v>
      </c>
      <c r="T47" s="219">
        <f t="shared" ca="1" si="37"/>
        <v>0</v>
      </c>
      <c r="U47" s="152">
        <f t="shared" ca="1" si="37"/>
        <v>0</v>
      </c>
      <c r="V47" s="152">
        <f t="shared" ca="1" si="37"/>
        <v>0</v>
      </c>
      <c r="W47" s="153">
        <f t="shared" ca="1" si="37"/>
        <v>0</v>
      </c>
      <c r="X47" s="219">
        <f t="shared" ca="1" si="37"/>
        <v>0</v>
      </c>
      <c r="Y47" s="152">
        <f t="shared" ca="1" si="37"/>
        <v>0</v>
      </c>
      <c r="Z47" s="152">
        <f t="shared" ca="1" si="37"/>
        <v>0</v>
      </c>
      <c r="AA47" s="153">
        <f t="shared" ca="1" si="37"/>
        <v>0</v>
      </c>
      <c r="AB47" s="219">
        <f t="shared" ca="1" si="37"/>
        <v>0</v>
      </c>
      <c r="AC47" s="152">
        <f t="shared" ca="1" si="37"/>
        <v>0</v>
      </c>
      <c r="AD47" s="152">
        <f t="shared" ca="1" si="37"/>
        <v>0</v>
      </c>
      <c r="AE47" s="153">
        <f t="shared" ca="1" si="37"/>
        <v>0</v>
      </c>
      <c r="AF47" s="219">
        <f t="shared" ca="1" si="37"/>
        <v>0</v>
      </c>
      <c r="AG47" s="152">
        <f t="shared" ca="1" si="37"/>
        <v>0</v>
      </c>
      <c r="AH47" s="152">
        <f t="shared" ca="1" si="37"/>
        <v>0</v>
      </c>
      <c r="AI47" s="153">
        <f t="shared" ca="1" si="37"/>
        <v>0</v>
      </c>
      <c r="AJ47" s="219">
        <f t="shared" ref="AJ47" ca="1" si="38">AI45*$C$30</f>
        <v>0</v>
      </c>
      <c r="AK47" s="152">
        <f t="shared" ref="AK47" ca="1" si="39">AJ45*$C$30</f>
        <v>0</v>
      </c>
      <c r="AL47" s="152">
        <f t="shared" ref="AL47" ca="1" si="40">AK45*$C$30</f>
        <v>0</v>
      </c>
      <c r="AM47" s="153">
        <f t="shared" ca="1" si="6"/>
        <v>0</v>
      </c>
    </row>
    <row r="48" spans="2:39" x14ac:dyDescent="0.2">
      <c r="B48" s="1128"/>
      <c r="C48" s="51" t="s">
        <v>182</v>
      </c>
      <c r="D48" s="230"/>
      <c r="E48" s="24"/>
      <c r="F48" s="24"/>
      <c r="G48" s="32"/>
      <c r="H48" s="219">
        <f ca="1">H45*$C$31</f>
        <v>0</v>
      </c>
      <c r="I48" s="152">
        <f ca="1">I45*$C$31</f>
        <v>0</v>
      </c>
      <c r="J48" s="152">
        <f ca="1">J45*$C$31</f>
        <v>0</v>
      </c>
      <c r="K48" s="153">
        <f ca="1">K45*$C$31</f>
        <v>0</v>
      </c>
      <c r="L48" s="219">
        <f t="shared" ref="L48:AI48" ca="1" si="41">K45*$C$31</f>
        <v>0</v>
      </c>
      <c r="M48" s="152">
        <f t="shared" ca="1" si="41"/>
        <v>0</v>
      </c>
      <c r="N48" s="152">
        <f t="shared" ca="1" si="41"/>
        <v>0</v>
      </c>
      <c r="O48" s="153">
        <f t="shared" ca="1" si="41"/>
        <v>0</v>
      </c>
      <c r="P48" s="219">
        <f t="shared" ca="1" si="41"/>
        <v>0</v>
      </c>
      <c r="Q48" s="152">
        <f t="shared" ca="1" si="41"/>
        <v>0</v>
      </c>
      <c r="R48" s="152">
        <f t="shared" ca="1" si="41"/>
        <v>0</v>
      </c>
      <c r="S48" s="153">
        <f t="shared" ca="1" si="41"/>
        <v>0</v>
      </c>
      <c r="T48" s="219">
        <f t="shared" ca="1" si="41"/>
        <v>0</v>
      </c>
      <c r="U48" s="152">
        <f t="shared" ca="1" si="41"/>
        <v>0</v>
      </c>
      <c r="V48" s="152">
        <f t="shared" ca="1" si="41"/>
        <v>0</v>
      </c>
      <c r="W48" s="153">
        <f t="shared" ca="1" si="41"/>
        <v>0</v>
      </c>
      <c r="X48" s="219">
        <f t="shared" ca="1" si="41"/>
        <v>0</v>
      </c>
      <c r="Y48" s="152">
        <f t="shared" ca="1" si="41"/>
        <v>0</v>
      </c>
      <c r="Z48" s="152">
        <f t="shared" ca="1" si="41"/>
        <v>0</v>
      </c>
      <c r="AA48" s="153">
        <f t="shared" ca="1" si="41"/>
        <v>0</v>
      </c>
      <c r="AB48" s="219">
        <f t="shared" ca="1" si="41"/>
        <v>0</v>
      </c>
      <c r="AC48" s="152">
        <f t="shared" ca="1" si="41"/>
        <v>0</v>
      </c>
      <c r="AD48" s="152">
        <f t="shared" ca="1" si="41"/>
        <v>0</v>
      </c>
      <c r="AE48" s="153">
        <f t="shared" ca="1" si="41"/>
        <v>0</v>
      </c>
      <c r="AF48" s="219">
        <f t="shared" ca="1" si="41"/>
        <v>0</v>
      </c>
      <c r="AG48" s="152">
        <f t="shared" ca="1" si="41"/>
        <v>0</v>
      </c>
      <c r="AH48" s="152">
        <f t="shared" ca="1" si="41"/>
        <v>0</v>
      </c>
      <c r="AI48" s="153">
        <f t="shared" ca="1" si="41"/>
        <v>0</v>
      </c>
      <c r="AJ48" s="219">
        <f t="shared" ref="AJ48" ca="1" si="42">AI45*$C$31</f>
        <v>0</v>
      </c>
      <c r="AK48" s="152">
        <f t="shared" ref="AK48" ca="1" si="43">AJ45*$C$31</f>
        <v>0</v>
      </c>
      <c r="AL48" s="152">
        <f t="shared" ref="AL48" ca="1" si="44">AK45*$C$31</f>
        <v>0</v>
      </c>
      <c r="AM48" s="153">
        <f t="shared" ca="1" si="6"/>
        <v>0</v>
      </c>
    </row>
    <row r="49" spans="2:39" ht="12.75" thickBot="1" x14ac:dyDescent="0.25">
      <c r="B49" s="1128"/>
      <c r="C49" s="51" t="s">
        <v>181</v>
      </c>
      <c r="D49" s="230"/>
      <c r="E49" s="24"/>
      <c r="F49" s="24"/>
      <c r="G49" s="32"/>
      <c r="H49" s="230"/>
      <c r="I49" s="24"/>
      <c r="J49" s="24"/>
      <c r="K49" s="32"/>
      <c r="L49" s="224">
        <f t="shared" ref="L49:AI49" ca="1" si="45">L50-L46-L47-L48</f>
        <v>0</v>
      </c>
      <c r="M49" s="152">
        <f t="shared" ca="1" si="45"/>
        <v>0</v>
      </c>
      <c r="N49" s="152">
        <f t="shared" ca="1" si="45"/>
        <v>0</v>
      </c>
      <c r="O49" s="153">
        <f t="shared" ca="1" si="45"/>
        <v>0</v>
      </c>
      <c r="P49" s="219">
        <f t="shared" ca="1" si="45"/>
        <v>0</v>
      </c>
      <c r="Q49" s="152">
        <f t="shared" ca="1" si="45"/>
        <v>0</v>
      </c>
      <c r="R49" s="152">
        <f t="shared" ca="1" si="45"/>
        <v>0</v>
      </c>
      <c r="S49" s="153">
        <f t="shared" ca="1" si="45"/>
        <v>0</v>
      </c>
      <c r="T49" s="219">
        <f t="shared" ca="1" si="45"/>
        <v>0</v>
      </c>
      <c r="U49" s="152">
        <f t="shared" ca="1" si="45"/>
        <v>0</v>
      </c>
      <c r="V49" s="152">
        <f t="shared" ca="1" si="45"/>
        <v>0</v>
      </c>
      <c r="W49" s="153">
        <f t="shared" ca="1" si="45"/>
        <v>0</v>
      </c>
      <c r="X49" s="219">
        <f t="shared" ca="1" si="45"/>
        <v>0</v>
      </c>
      <c r="Y49" s="152">
        <f t="shared" ca="1" si="45"/>
        <v>0</v>
      </c>
      <c r="Z49" s="152">
        <f t="shared" ca="1" si="45"/>
        <v>0</v>
      </c>
      <c r="AA49" s="153">
        <f t="shared" ca="1" si="45"/>
        <v>0</v>
      </c>
      <c r="AB49" s="219">
        <f t="shared" ca="1" si="45"/>
        <v>0</v>
      </c>
      <c r="AC49" s="152">
        <f t="shared" ca="1" si="45"/>
        <v>0</v>
      </c>
      <c r="AD49" s="152">
        <f t="shared" ca="1" si="45"/>
        <v>0</v>
      </c>
      <c r="AE49" s="153">
        <f t="shared" ca="1" si="45"/>
        <v>0</v>
      </c>
      <c r="AF49" s="219">
        <f t="shared" ca="1" si="45"/>
        <v>0</v>
      </c>
      <c r="AG49" s="152">
        <f t="shared" ca="1" si="45"/>
        <v>0</v>
      </c>
      <c r="AH49" s="152">
        <f t="shared" ca="1" si="45"/>
        <v>0</v>
      </c>
      <c r="AI49" s="153">
        <f t="shared" ca="1" si="45"/>
        <v>0</v>
      </c>
      <c r="AJ49" s="219">
        <f t="shared" ref="AJ49:AL49" ca="1" si="46">AJ50-AJ46-AJ47-AJ48</f>
        <v>0</v>
      </c>
      <c r="AK49" s="152">
        <f t="shared" ca="1" si="46"/>
        <v>0</v>
      </c>
      <c r="AL49" s="152">
        <f t="shared" ca="1" si="46"/>
        <v>0</v>
      </c>
      <c r="AM49" s="153">
        <f t="shared" ca="1" si="6"/>
        <v>0</v>
      </c>
    </row>
    <row r="50" spans="2:39" ht="12.75" thickBot="1" x14ac:dyDescent="0.25">
      <c r="B50" s="1129"/>
      <c r="C50" s="50" t="s">
        <v>172</v>
      </c>
      <c r="D50" s="231"/>
      <c r="E50" s="232"/>
      <c r="F50" s="232"/>
      <c r="G50" s="233"/>
      <c r="H50" s="231"/>
      <c r="I50" s="232"/>
      <c r="J50" s="232"/>
      <c r="K50" s="233"/>
      <c r="L50" s="223">
        <f ca="1">IF(H21=0,0,PMT($C$29+$C$30+$C$31,H$21/12,-K45))</f>
        <v>0</v>
      </c>
      <c r="M50" s="225">
        <f t="shared" ref="M50:AI50" ca="1" si="47">IF(ROUND(L45,2)=0,0,L50)</f>
        <v>0</v>
      </c>
      <c r="N50" s="221">
        <f t="shared" ca="1" si="47"/>
        <v>0</v>
      </c>
      <c r="O50" s="222">
        <f t="shared" ca="1" si="47"/>
        <v>0</v>
      </c>
      <c r="P50" s="220">
        <f t="shared" ca="1" si="47"/>
        <v>0</v>
      </c>
      <c r="Q50" s="221">
        <f t="shared" ca="1" si="47"/>
        <v>0</v>
      </c>
      <c r="R50" s="221">
        <f t="shared" ca="1" si="47"/>
        <v>0</v>
      </c>
      <c r="S50" s="222">
        <f t="shared" ca="1" si="47"/>
        <v>0</v>
      </c>
      <c r="T50" s="220">
        <f t="shared" ca="1" si="47"/>
        <v>0</v>
      </c>
      <c r="U50" s="221">
        <f t="shared" ca="1" si="47"/>
        <v>0</v>
      </c>
      <c r="V50" s="221">
        <f t="shared" ca="1" si="47"/>
        <v>0</v>
      </c>
      <c r="W50" s="222">
        <f t="shared" ca="1" si="47"/>
        <v>0</v>
      </c>
      <c r="X50" s="220">
        <f t="shared" ca="1" si="47"/>
        <v>0</v>
      </c>
      <c r="Y50" s="221">
        <f t="shared" ca="1" si="47"/>
        <v>0</v>
      </c>
      <c r="Z50" s="221">
        <f t="shared" ca="1" si="47"/>
        <v>0</v>
      </c>
      <c r="AA50" s="222">
        <f t="shared" ca="1" si="47"/>
        <v>0</v>
      </c>
      <c r="AB50" s="220">
        <f t="shared" ca="1" si="47"/>
        <v>0</v>
      </c>
      <c r="AC50" s="221">
        <f t="shared" ca="1" si="47"/>
        <v>0</v>
      </c>
      <c r="AD50" s="221">
        <f t="shared" ca="1" si="47"/>
        <v>0</v>
      </c>
      <c r="AE50" s="222">
        <f t="shared" ca="1" si="47"/>
        <v>0</v>
      </c>
      <c r="AF50" s="220">
        <f t="shared" ca="1" si="47"/>
        <v>0</v>
      </c>
      <c r="AG50" s="221">
        <f t="shared" ca="1" si="47"/>
        <v>0</v>
      </c>
      <c r="AH50" s="221">
        <f t="shared" ca="1" si="47"/>
        <v>0</v>
      </c>
      <c r="AI50" s="222">
        <f t="shared" ca="1" si="47"/>
        <v>0</v>
      </c>
      <c r="AJ50" s="220">
        <f t="shared" ref="AJ50" ca="1" si="48">IF(ROUND(AI45,2)=0,0,AI50)</f>
        <v>0</v>
      </c>
      <c r="AK50" s="221">
        <f t="shared" ref="AK50" ca="1" si="49">IF(ROUND(AJ45,2)=0,0,AJ50)</f>
        <v>0</v>
      </c>
      <c r="AL50" s="221">
        <f t="shared" ref="AL50" ca="1" si="50">IF(ROUND(AK45,2)=0,0,AK50)</f>
        <v>0</v>
      </c>
      <c r="AM50" s="222">
        <f t="shared" ca="1" si="6"/>
        <v>0</v>
      </c>
    </row>
    <row r="51" spans="2:39" x14ac:dyDescent="0.2">
      <c r="B51" s="1128" t="str">
        <f>L13</f>
        <v>Financiamento 3º Tranche</v>
      </c>
      <c r="C51" s="52" t="s">
        <v>187</v>
      </c>
      <c r="D51" s="227"/>
      <c r="E51" s="228"/>
      <c r="F51" s="228"/>
      <c r="G51" s="229"/>
      <c r="H51" s="227"/>
      <c r="I51" s="228"/>
      <c r="J51" s="228"/>
      <c r="K51" s="229"/>
      <c r="L51" s="216">
        <f ca="1">IF($L$21=0,0,$L$14*(1-$L$15)*L24)</f>
        <v>0</v>
      </c>
      <c r="M51" s="217">
        <f ca="1">IF($L$21=0,0,$L$14*(1-$L$15)*M24)</f>
        <v>0</v>
      </c>
      <c r="N51" s="217">
        <f ca="1">IF($L$21=0,0,$L$14*(1-$L$15)*N24)</f>
        <v>0</v>
      </c>
      <c r="O51" s="218">
        <f ca="1">IF($L$21=0,0,$L$14*(1-$L$15)*O24)</f>
        <v>0</v>
      </c>
      <c r="P51" s="227"/>
      <c r="Q51" s="228"/>
      <c r="R51" s="228"/>
      <c r="S51" s="229"/>
      <c r="T51" s="227"/>
      <c r="U51" s="228"/>
      <c r="V51" s="228"/>
      <c r="W51" s="229"/>
      <c r="X51" s="227"/>
      <c r="Y51" s="228"/>
      <c r="Z51" s="228"/>
      <c r="AA51" s="229"/>
      <c r="AB51" s="227"/>
      <c r="AC51" s="228"/>
      <c r="AD51" s="228"/>
      <c r="AE51" s="229"/>
      <c r="AF51" s="227"/>
      <c r="AG51" s="228"/>
      <c r="AH51" s="228"/>
      <c r="AI51" s="229"/>
      <c r="AJ51" s="227"/>
      <c r="AK51" s="228"/>
      <c r="AL51" s="228"/>
      <c r="AM51" s="218">
        <f t="shared" ca="1" si="6"/>
        <v>0</v>
      </c>
    </row>
    <row r="52" spans="2:39" x14ac:dyDescent="0.2">
      <c r="B52" s="1128"/>
      <c r="C52" s="52" t="s">
        <v>186</v>
      </c>
      <c r="D52" s="230"/>
      <c r="E52" s="24"/>
      <c r="F52" s="24"/>
      <c r="G52" s="32"/>
      <c r="H52" s="230"/>
      <c r="I52" s="24"/>
      <c r="J52" s="24"/>
      <c r="K52" s="32"/>
      <c r="L52" s="219">
        <f ca="1">IF($L$21=0,0,$L$14*($L$15)*L24)</f>
        <v>0</v>
      </c>
      <c r="M52" s="152">
        <f ca="1">IF($L$21=0,0,$L$14*($L$15)*M24)</f>
        <v>0</v>
      </c>
      <c r="N52" s="152">
        <f ca="1">IF($L$21=0,0,$L$14*($L$15)*N24)</f>
        <v>0</v>
      </c>
      <c r="O52" s="153">
        <f ca="1">IF($L$21=0,0,$L$14*($L$15)*O24)</f>
        <v>0</v>
      </c>
      <c r="P52" s="230"/>
      <c r="Q52" s="24"/>
      <c r="R52" s="24"/>
      <c r="S52" s="32"/>
      <c r="T52" s="230"/>
      <c r="U52" s="24"/>
      <c r="V52" s="24"/>
      <c r="W52" s="32"/>
      <c r="X52" s="230"/>
      <c r="Y52" s="24"/>
      <c r="Z52" s="24"/>
      <c r="AA52" s="32"/>
      <c r="AB52" s="230"/>
      <c r="AC52" s="24"/>
      <c r="AD52" s="24"/>
      <c r="AE52" s="32"/>
      <c r="AF52" s="230"/>
      <c r="AG52" s="24"/>
      <c r="AH52" s="24"/>
      <c r="AI52" s="32"/>
      <c r="AJ52" s="230"/>
      <c r="AK52" s="24"/>
      <c r="AL52" s="24"/>
      <c r="AM52" s="153">
        <f t="shared" ca="1" si="6"/>
        <v>0</v>
      </c>
    </row>
    <row r="53" spans="2:39" x14ac:dyDescent="0.2">
      <c r="B53" s="1128"/>
      <c r="C53" s="52" t="s">
        <v>185</v>
      </c>
      <c r="D53" s="230"/>
      <c r="E53" s="24"/>
      <c r="F53" s="24"/>
      <c r="G53" s="32"/>
      <c r="H53" s="230"/>
      <c r="I53" s="24"/>
      <c r="J53" s="24"/>
      <c r="K53" s="32"/>
      <c r="L53" s="219">
        <f ca="1">L51</f>
        <v>0</v>
      </c>
      <c r="M53" s="152">
        <f ca="1">L53+M51</f>
        <v>0</v>
      </c>
      <c r="N53" s="152">
        <f ca="1">M53+N51</f>
        <v>0</v>
      </c>
      <c r="O53" s="153">
        <f ca="1">N53+O51</f>
        <v>0</v>
      </c>
      <c r="P53" s="219">
        <f t="shared" ref="P53:AI53" ca="1" si="51">O53-P57</f>
        <v>0</v>
      </c>
      <c r="Q53" s="152">
        <f t="shared" ca="1" si="51"/>
        <v>0</v>
      </c>
      <c r="R53" s="152">
        <f t="shared" ca="1" si="51"/>
        <v>0</v>
      </c>
      <c r="S53" s="153">
        <f t="shared" ca="1" si="51"/>
        <v>0</v>
      </c>
      <c r="T53" s="219">
        <f t="shared" ca="1" si="51"/>
        <v>0</v>
      </c>
      <c r="U53" s="152">
        <f t="shared" ca="1" si="51"/>
        <v>0</v>
      </c>
      <c r="V53" s="152">
        <f t="shared" ca="1" si="51"/>
        <v>0</v>
      </c>
      <c r="W53" s="153">
        <f t="shared" ca="1" si="51"/>
        <v>0</v>
      </c>
      <c r="X53" s="219">
        <f t="shared" ca="1" si="51"/>
        <v>0</v>
      </c>
      <c r="Y53" s="152">
        <f t="shared" ca="1" si="51"/>
        <v>0</v>
      </c>
      <c r="Z53" s="152">
        <f t="shared" ca="1" si="51"/>
        <v>0</v>
      </c>
      <c r="AA53" s="153">
        <f t="shared" ca="1" si="51"/>
        <v>0</v>
      </c>
      <c r="AB53" s="219">
        <f t="shared" ca="1" si="51"/>
        <v>0</v>
      </c>
      <c r="AC53" s="152">
        <f t="shared" ca="1" si="51"/>
        <v>0</v>
      </c>
      <c r="AD53" s="152">
        <f t="shared" ca="1" si="51"/>
        <v>0</v>
      </c>
      <c r="AE53" s="153">
        <f t="shared" ca="1" si="51"/>
        <v>0</v>
      </c>
      <c r="AF53" s="219">
        <f t="shared" ca="1" si="51"/>
        <v>0</v>
      </c>
      <c r="AG53" s="152">
        <f t="shared" ca="1" si="51"/>
        <v>0</v>
      </c>
      <c r="AH53" s="152">
        <f t="shared" ca="1" si="51"/>
        <v>0</v>
      </c>
      <c r="AI53" s="153">
        <f t="shared" ca="1" si="51"/>
        <v>0</v>
      </c>
      <c r="AJ53" s="219">
        <f t="shared" ref="AJ53" ca="1" si="52">AI53-AJ57</f>
        <v>0</v>
      </c>
      <c r="AK53" s="152">
        <f t="shared" ref="AK53" ca="1" si="53">AJ53-AK57</f>
        <v>0</v>
      </c>
      <c r="AL53" s="152">
        <f t="shared" ref="AL53" ca="1" si="54">AK53-AL57</f>
        <v>0</v>
      </c>
      <c r="AM53" s="153">
        <f t="shared" ca="1" si="6"/>
        <v>0</v>
      </c>
    </row>
    <row r="54" spans="2:39" x14ac:dyDescent="0.2">
      <c r="B54" s="1128"/>
      <c r="C54" s="51" t="s">
        <v>184</v>
      </c>
      <c r="D54" s="230"/>
      <c r="E54" s="24"/>
      <c r="F54" s="24"/>
      <c r="G54" s="32"/>
      <c r="H54" s="230"/>
      <c r="I54" s="24"/>
      <c r="J54" s="24"/>
      <c r="K54" s="32"/>
      <c r="L54" s="219">
        <f ca="1">L53*$C$29</f>
        <v>0</v>
      </c>
      <c r="M54" s="152">
        <f ca="1">M53*$C$29</f>
        <v>0</v>
      </c>
      <c r="N54" s="152">
        <f ca="1">N53*$C$29</f>
        <v>0</v>
      </c>
      <c r="O54" s="153">
        <f ca="1">O53*$C$29</f>
        <v>0</v>
      </c>
      <c r="P54" s="219">
        <f t="shared" ref="P54:AI54" ca="1" si="55">O53*$C$29</f>
        <v>0</v>
      </c>
      <c r="Q54" s="152">
        <f t="shared" ca="1" si="55"/>
        <v>0</v>
      </c>
      <c r="R54" s="152">
        <f t="shared" ca="1" si="55"/>
        <v>0</v>
      </c>
      <c r="S54" s="153">
        <f t="shared" ca="1" si="55"/>
        <v>0</v>
      </c>
      <c r="T54" s="219">
        <f t="shared" ca="1" si="55"/>
        <v>0</v>
      </c>
      <c r="U54" s="152">
        <f t="shared" ca="1" si="55"/>
        <v>0</v>
      </c>
      <c r="V54" s="152">
        <f t="shared" ca="1" si="55"/>
        <v>0</v>
      </c>
      <c r="W54" s="153">
        <f t="shared" ca="1" si="55"/>
        <v>0</v>
      </c>
      <c r="X54" s="219">
        <f t="shared" ca="1" si="55"/>
        <v>0</v>
      </c>
      <c r="Y54" s="152">
        <f t="shared" ca="1" si="55"/>
        <v>0</v>
      </c>
      <c r="Z54" s="152">
        <f t="shared" ca="1" si="55"/>
        <v>0</v>
      </c>
      <c r="AA54" s="153">
        <f t="shared" ca="1" si="55"/>
        <v>0</v>
      </c>
      <c r="AB54" s="219">
        <f t="shared" ca="1" si="55"/>
        <v>0</v>
      </c>
      <c r="AC54" s="152">
        <f t="shared" ca="1" si="55"/>
        <v>0</v>
      </c>
      <c r="AD54" s="152">
        <f t="shared" ca="1" si="55"/>
        <v>0</v>
      </c>
      <c r="AE54" s="153">
        <f t="shared" ca="1" si="55"/>
        <v>0</v>
      </c>
      <c r="AF54" s="219">
        <f t="shared" ca="1" si="55"/>
        <v>0</v>
      </c>
      <c r="AG54" s="152">
        <f t="shared" ca="1" si="55"/>
        <v>0</v>
      </c>
      <c r="AH54" s="152">
        <f t="shared" ca="1" si="55"/>
        <v>0</v>
      </c>
      <c r="AI54" s="153">
        <f t="shared" ca="1" si="55"/>
        <v>0</v>
      </c>
      <c r="AJ54" s="219">
        <f t="shared" ref="AJ54" ca="1" si="56">AI53*$C$29</f>
        <v>0</v>
      </c>
      <c r="AK54" s="152">
        <f t="shared" ref="AK54" ca="1" si="57">AJ53*$C$29</f>
        <v>0</v>
      </c>
      <c r="AL54" s="152">
        <f t="shared" ref="AL54" ca="1" si="58">AK53*$C$29</f>
        <v>0</v>
      </c>
      <c r="AM54" s="153">
        <f t="shared" ca="1" si="6"/>
        <v>0</v>
      </c>
    </row>
    <row r="55" spans="2:39" x14ac:dyDescent="0.2">
      <c r="B55" s="1128"/>
      <c r="C55" s="51" t="s">
        <v>183</v>
      </c>
      <c r="D55" s="230"/>
      <c r="E55" s="24"/>
      <c r="F55" s="24"/>
      <c r="G55" s="32"/>
      <c r="H55" s="230"/>
      <c r="I55" s="24"/>
      <c r="J55" s="24"/>
      <c r="K55" s="32"/>
      <c r="L55" s="219">
        <f ca="1">L53*$C$30</f>
        <v>0</v>
      </c>
      <c r="M55" s="152">
        <f ca="1">M53*$C$30</f>
        <v>0</v>
      </c>
      <c r="N55" s="152">
        <f ca="1">N53*$C$30</f>
        <v>0</v>
      </c>
      <c r="O55" s="153">
        <f ca="1">O53*$C$30</f>
        <v>0</v>
      </c>
      <c r="P55" s="219">
        <f t="shared" ref="P55:AI55" ca="1" si="59">O53*$C$30</f>
        <v>0</v>
      </c>
      <c r="Q55" s="152">
        <f t="shared" ca="1" si="59"/>
        <v>0</v>
      </c>
      <c r="R55" s="152">
        <f t="shared" ca="1" si="59"/>
        <v>0</v>
      </c>
      <c r="S55" s="153">
        <f t="shared" ca="1" si="59"/>
        <v>0</v>
      </c>
      <c r="T55" s="219">
        <f t="shared" ca="1" si="59"/>
        <v>0</v>
      </c>
      <c r="U55" s="152">
        <f t="shared" ca="1" si="59"/>
        <v>0</v>
      </c>
      <c r="V55" s="152">
        <f t="shared" ca="1" si="59"/>
        <v>0</v>
      </c>
      <c r="W55" s="153">
        <f t="shared" ca="1" si="59"/>
        <v>0</v>
      </c>
      <c r="X55" s="219">
        <f t="shared" ca="1" si="59"/>
        <v>0</v>
      </c>
      <c r="Y55" s="152">
        <f t="shared" ca="1" si="59"/>
        <v>0</v>
      </c>
      <c r="Z55" s="152">
        <f t="shared" ca="1" si="59"/>
        <v>0</v>
      </c>
      <c r="AA55" s="153">
        <f t="shared" ca="1" si="59"/>
        <v>0</v>
      </c>
      <c r="AB55" s="219">
        <f t="shared" ca="1" si="59"/>
        <v>0</v>
      </c>
      <c r="AC55" s="152">
        <f t="shared" ca="1" si="59"/>
        <v>0</v>
      </c>
      <c r="AD55" s="152">
        <f t="shared" ca="1" si="59"/>
        <v>0</v>
      </c>
      <c r="AE55" s="153">
        <f t="shared" ca="1" si="59"/>
        <v>0</v>
      </c>
      <c r="AF55" s="219">
        <f t="shared" ca="1" si="59"/>
        <v>0</v>
      </c>
      <c r="AG55" s="152">
        <f t="shared" ca="1" si="59"/>
        <v>0</v>
      </c>
      <c r="AH55" s="152">
        <f t="shared" ca="1" si="59"/>
        <v>0</v>
      </c>
      <c r="AI55" s="153">
        <f t="shared" ca="1" si="59"/>
        <v>0</v>
      </c>
      <c r="AJ55" s="219">
        <f t="shared" ref="AJ55" ca="1" si="60">AI53*$C$30</f>
        <v>0</v>
      </c>
      <c r="AK55" s="152">
        <f t="shared" ref="AK55" ca="1" si="61">AJ53*$C$30</f>
        <v>0</v>
      </c>
      <c r="AL55" s="152">
        <f t="shared" ref="AL55" ca="1" si="62">AK53*$C$30</f>
        <v>0</v>
      </c>
      <c r="AM55" s="153">
        <f t="shared" ca="1" si="6"/>
        <v>0</v>
      </c>
    </row>
    <row r="56" spans="2:39" x14ac:dyDescent="0.2">
      <c r="B56" s="1128"/>
      <c r="C56" s="51" t="s">
        <v>182</v>
      </c>
      <c r="D56" s="230"/>
      <c r="E56" s="24"/>
      <c r="F56" s="24"/>
      <c r="G56" s="32"/>
      <c r="H56" s="230"/>
      <c r="I56" s="24"/>
      <c r="J56" s="24"/>
      <c r="K56" s="32"/>
      <c r="L56" s="219">
        <f ca="1">L53*$C$31</f>
        <v>0</v>
      </c>
      <c r="M56" s="152">
        <f ca="1">M53*$C$31</f>
        <v>0</v>
      </c>
      <c r="N56" s="152">
        <f ca="1">N53*$C$31</f>
        <v>0</v>
      </c>
      <c r="O56" s="153">
        <f ca="1">O53*$C$31</f>
        <v>0</v>
      </c>
      <c r="P56" s="219">
        <f t="shared" ref="P56:AI56" ca="1" si="63">O53*$C$31</f>
        <v>0</v>
      </c>
      <c r="Q56" s="152">
        <f t="shared" ca="1" si="63"/>
        <v>0</v>
      </c>
      <c r="R56" s="152">
        <f t="shared" ca="1" si="63"/>
        <v>0</v>
      </c>
      <c r="S56" s="153">
        <f t="shared" ca="1" si="63"/>
        <v>0</v>
      </c>
      <c r="T56" s="219">
        <f t="shared" ca="1" si="63"/>
        <v>0</v>
      </c>
      <c r="U56" s="152">
        <f t="shared" ca="1" si="63"/>
        <v>0</v>
      </c>
      <c r="V56" s="152">
        <f t="shared" ca="1" si="63"/>
        <v>0</v>
      </c>
      <c r="W56" s="153">
        <f t="shared" ca="1" si="63"/>
        <v>0</v>
      </c>
      <c r="X56" s="219">
        <f t="shared" ca="1" si="63"/>
        <v>0</v>
      </c>
      <c r="Y56" s="152">
        <f t="shared" ca="1" si="63"/>
        <v>0</v>
      </c>
      <c r="Z56" s="152">
        <f t="shared" ca="1" si="63"/>
        <v>0</v>
      </c>
      <c r="AA56" s="153">
        <f t="shared" ca="1" si="63"/>
        <v>0</v>
      </c>
      <c r="AB56" s="219">
        <f t="shared" ca="1" si="63"/>
        <v>0</v>
      </c>
      <c r="AC56" s="152">
        <f t="shared" ca="1" si="63"/>
        <v>0</v>
      </c>
      <c r="AD56" s="152">
        <f t="shared" ca="1" si="63"/>
        <v>0</v>
      </c>
      <c r="AE56" s="153">
        <f t="shared" ca="1" si="63"/>
        <v>0</v>
      </c>
      <c r="AF56" s="219">
        <f t="shared" ca="1" si="63"/>
        <v>0</v>
      </c>
      <c r="AG56" s="152">
        <f t="shared" ca="1" si="63"/>
        <v>0</v>
      </c>
      <c r="AH56" s="152">
        <f t="shared" ca="1" si="63"/>
        <v>0</v>
      </c>
      <c r="AI56" s="153">
        <f t="shared" ca="1" si="63"/>
        <v>0</v>
      </c>
      <c r="AJ56" s="219">
        <f t="shared" ref="AJ56" ca="1" si="64">AI53*$C$31</f>
        <v>0</v>
      </c>
      <c r="AK56" s="152">
        <f t="shared" ref="AK56" ca="1" si="65">AJ53*$C$31</f>
        <v>0</v>
      </c>
      <c r="AL56" s="152">
        <f t="shared" ref="AL56" ca="1" si="66">AK53*$C$31</f>
        <v>0</v>
      </c>
      <c r="AM56" s="153">
        <f t="shared" ca="1" si="6"/>
        <v>0</v>
      </c>
    </row>
    <row r="57" spans="2:39" ht="12.75" thickBot="1" x14ac:dyDescent="0.25">
      <c r="B57" s="1128"/>
      <c r="C57" s="51" t="s">
        <v>181</v>
      </c>
      <c r="D57" s="230"/>
      <c r="E57" s="24"/>
      <c r="F57" s="24"/>
      <c r="G57" s="32"/>
      <c r="H57" s="230"/>
      <c r="I57" s="24"/>
      <c r="J57" s="24"/>
      <c r="K57" s="32"/>
      <c r="L57" s="230"/>
      <c r="M57" s="24"/>
      <c r="N57" s="24"/>
      <c r="O57" s="32"/>
      <c r="P57" s="219">
        <f t="shared" ref="P57:AI57" ca="1" si="67">P58-P54-P55-P56</f>
        <v>0</v>
      </c>
      <c r="Q57" s="152">
        <f t="shared" ca="1" si="67"/>
        <v>0</v>
      </c>
      <c r="R57" s="152">
        <f t="shared" ca="1" si="67"/>
        <v>0</v>
      </c>
      <c r="S57" s="153">
        <f t="shared" ca="1" si="67"/>
        <v>0</v>
      </c>
      <c r="T57" s="219">
        <f t="shared" ca="1" si="67"/>
        <v>0</v>
      </c>
      <c r="U57" s="152">
        <f t="shared" ca="1" si="67"/>
        <v>0</v>
      </c>
      <c r="V57" s="152">
        <f t="shared" ca="1" si="67"/>
        <v>0</v>
      </c>
      <c r="W57" s="153">
        <f t="shared" ca="1" si="67"/>
        <v>0</v>
      </c>
      <c r="X57" s="219">
        <f t="shared" ca="1" si="67"/>
        <v>0</v>
      </c>
      <c r="Y57" s="152">
        <f t="shared" ca="1" si="67"/>
        <v>0</v>
      </c>
      <c r="Z57" s="152">
        <f t="shared" ca="1" si="67"/>
        <v>0</v>
      </c>
      <c r="AA57" s="153">
        <f t="shared" ca="1" si="67"/>
        <v>0</v>
      </c>
      <c r="AB57" s="219">
        <f t="shared" ca="1" si="67"/>
        <v>0</v>
      </c>
      <c r="AC57" s="152">
        <f t="shared" ca="1" si="67"/>
        <v>0</v>
      </c>
      <c r="AD57" s="152">
        <f t="shared" ca="1" si="67"/>
        <v>0</v>
      </c>
      <c r="AE57" s="153">
        <f t="shared" ca="1" si="67"/>
        <v>0</v>
      </c>
      <c r="AF57" s="219">
        <f t="shared" ca="1" si="67"/>
        <v>0</v>
      </c>
      <c r="AG57" s="152">
        <f t="shared" ca="1" si="67"/>
        <v>0</v>
      </c>
      <c r="AH57" s="152">
        <f t="shared" ca="1" si="67"/>
        <v>0</v>
      </c>
      <c r="AI57" s="153">
        <f t="shared" ca="1" si="67"/>
        <v>0</v>
      </c>
      <c r="AJ57" s="219">
        <f t="shared" ref="AJ57:AL57" ca="1" si="68">AJ58-AJ54-AJ55-AJ56</f>
        <v>0</v>
      </c>
      <c r="AK57" s="152">
        <f t="shared" ca="1" si="68"/>
        <v>0</v>
      </c>
      <c r="AL57" s="152">
        <f t="shared" ca="1" si="68"/>
        <v>0</v>
      </c>
      <c r="AM57" s="153">
        <f t="shared" ca="1" si="6"/>
        <v>0</v>
      </c>
    </row>
    <row r="58" spans="2:39" ht="12.75" thickBot="1" x14ac:dyDescent="0.25">
      <c r="B58" s="1129"/>
      <c r="C58" s="50" t="s">
        <v>172</v>
      </c>
      <c r="D58" s="231"/>
      <c r="E58" s="232"/>
      <c r="F58" s="232"/>
      <c r="G58" s="233"/>
      <c r="H58" s="231"/>
      <c r="I58" s="232"/>
      <c r="J58" s="232"/>
      <c r="K58" s="233"/>
      <c r="L58" s="231"/>
      <c r="M58" s="232"/>
      <c r="N58" s="232"/>
      <c r="O58" s="233"/>
      <c r="P58" s="223">
        <f ca="1">IF(L21=0,0,PMT($C$29+$C$30+$C$31,L$21/12,-O53))</f>
        <v>0</v>
      </c>
      <c r="Q58" s="225">
        <f t="shared" ref="Q58:AI58" ca="1" si="69">IF(ROUND(P53,2)=0,0,P58)</f>
        <v>0</v>
      </c>
      <c r="R58" s="221">
        <f t="shared" ca="1" si="69"/>
        <v>0</v>
      </c>
      <c r="S58" s="222">
        <f t="shared" ca="1" si="69"/>
        <v>0</v>
      </c>
      <c r="T58" s="220">
        <f t="shared" ca="1" si="69"/>
        <v>0</v>
      </c>
      <c r="U58" s="221">
        <f t="shared" ca="1" si="69"/>
        <v>0</v>
      </c>
      <c r="V58" s="221">
        <f t="shared" ca="1" si="69"/>
        <v>0</v>
      </c>
      <c r="W58" s="222">
        <f t="shared" ca="1" si="69"/>
        <v>0</v>
      </c>
      <c r="X58" s="220">
        <f t="shared" ca="1" si="69"/>
        <v>0</v>
      </c>
      <c r="Y58" s="221">
        <f t="shared" ca="1" si="69"/>
        <v>0</v>
      </c>
      <c r="Z58" s="221">
        <f t="shared" ca="1" si="69"/>
        <v>0</v>
      </c>
      <c r="AA58" s="222">
        <f t="shared" ca="1" si="69"/>
        <v>0</v>
      </c>
      <c r="AB58" s="220">
        <f t="shared" ca="1" si="69"/>
        <v>0</v>
      </c>
      <c r="AC58" s="221">
        <f t="shared" ca="1" si="69"/>
        <v>0</v>
      </c>
      <c r="AD58" s="221">
        <f t="shared" ca="1" si="69"/>
        <v>0</v>
      </c>
      <c r="AE58" s="222">
        <f t="shared" ca="1" si="69"/>
        <v>0</v>
      </c>
      <c r="AF58" s="220">
        <f t="shared" ca="1" si="69"/>
        <v>0</v>
      </c>
      <c r="AG58" s="221">
        <f t="shared" ca="1" si="69"/>
        <v>0</v>
      </c>
      <c r="AH58" s="221">
        <f t="shared" ca="1" si="69"/>
        <v>0</v>
      </c>
      <c r="AI58" s="222">
        <f t="shared" ca="1" si="69"/>
        <v>0</v>
      </c>
      <c r="AJ58" s="220">
        <f t="shared" ref="AJ58" ca="1" si="70">IF(ROUND(AI53,2)=0,0,AI58)</f>
        <v>0</v>
      </c>
      <c r="AK58" s="221">
        <f t="shared" ref="AK58" ca="1" si="71">IF(ROUND(AJ53,2)=0,0,AJ58)</f>
        <v>0</v>
      </c>
      <c r="AL58" s="221">
        <f t="shared" ref="AL58" ca="1" si="72">IF(ROUND(AK53,2)=0,0,AK58)</f>
        <v>0</v>
      </c>
      <c r="AM58" s="222">
        <f t="shared" ca="1" si="6"/>
        <v>0</v>
      </c>
    </row>
    <row r="59" spans="2:39" x14ac:dyDescent="0.2">
      <c r="B59" s="1128" t="str">
        <f>P13</f>
        <v>Financiamento 4º Tranche</v>
      </c>
      <c r="C59" s="52" t="s">
        <v>187</v>
      </c>
      <c r="D59" s="227"/>
      <c r="E59" s="228"/>
      <c r="F59" s="228"/>
      <c r="G59" s="229"/>
      <c r="H59" s="227"/>
      <c r="I59" s="228"/>
      <c r="J59" s="228"/>
      <c r="K59" s="229"/>
      <c r="L59" s="227"/>
      <c r="M59" s="228"/>
      <c r="N59" s="228"/>
      <c r="O59" s="229"/>
      <c r="P59" s="216">
        <f ca="1">IF($P$21=0,0,$P$14*(1-$P$15)*P$24)</f>
        <v>0</v>
      </c>
      <c r="Q59" s="217">
        <f ca="1">IF($P$21=0,0,$P$14*(1-$P$15)*Q$24)</f>
        <v>0</v>
      </c>
      <c r="R59" s="217">
        <f ca="1">IF($P$21=0,0,$P$14*(1-$P$15)*R$24)</f>
        <v>0</v>
      </c>
      <c r="S59" s="218">
        <f ca="1">IF($P$21=0,0,$P$14*(1-$P$15)*S$24)</f>
        <v>0</v>
      </c>
      <c r="T59" s="227"/>
      <c r="U59" s="228"/>
      <c r="V59" s="228"/>
      <c r="W59" s="229"/>
      <c r="X59" s="227"/>
      <c r="Y59" s="228"/>
      <c r="Z59" s="228"/>
      <c r="AA59" s="229"/>
      <c r="AB59" s="227"/>
      <c r="AC59" s="228"/>
      <c r="AD59" s="228"/>
      <c r="AE59" s="229"/>
      <c r="AF59" s="227"/>
      <c r="AG59" s="228"/>
      <c r="AH59" s="228"/>
      <c r="AI59" s="229"/>
      <c r="AJ59" s="227"/>
      <c r="AK59" s="228"/>
      <c r="AL59" s="228"/>
      <c r="AM59" s="218">
        <f t="shared" ca="1" si="6"/>
        <v>0</v>
      </c>
    </row>
    <row r="60" spans="2:39" x14ac:dyDescent="0.2">
      <c r="B60" s="1128"/>
      <c r="C60" s="52" t="s">
        <v>186</v>
      </c>
      <c r="D60" s="230"/>
      <c r="E60" s="24"/>
      <c r="F60" s="24"/>
      <c r="G60" s="32"/>
      <c r="H60" s="230"/>
      <c r="I60" s="24"/>
      <c r="J60" s="24"/>
      <c r="K60" s="32"/>
      <c r="L60" s="230"/>
      <c r="M60" s="24"/>
      <c r="N60" s="24"/>
      <c r="O60" s="32"/>
      <c r="P60" s="219">
        <f ca="1">IF($P$21=0,0,$P$14*($P$15)*P$24)</f>
        <v>0</v>
      </c>
      <c r="Q60" s="152">
        <f ca="1">IF($P$21=0,0,$P$14*($P$15)*Q$24)</f>
        <v>0</v>
      </c>
      <c r="R60" s="152">
        <f ca="1">IF($P$21=0,0,$P$14*($P$15)*R$24)</f>
        <v>0</v>
      </c>
      <c r="S60" s="153">
        <f ca="1">IF($P$21=0,0,$P$14*($P$15)*S$24)</f>
        <v>0</v>
      </c>
      <c r="T60" s="230"/>
      <c r="U60" s="24"/>
      <c r="V60" s="24"/>
      <c r="W60" s="32"/>
      <c r="X60" s="230"/>
      <c r="Y60" s="24"/>
      <c r="Z60" s="24"/>
      <c r="AA60" s="32"/>
      <c r="AB60" s="230"/>
      <c r="AC60" s="24"/>
      <c r="AD60" s="24"/>
      <c r="AE60" s="32"/>
      <c r="AF60" s="230"/>
      <c r="AG60" s="24"/>
      <c r="AH60" s="24"/>
      <c r="AI60" s="32"/>
      <c r="AJ60" s="230"/>
      <c r="AK60" s="24"/>
      <c r="AL60" s="24"/>
      <c r="AM60" s="153">
        <f t="shared" ca="1" si="6"/>
        <v>0</v>
      </c>
    </row>
    <row r="61" spans="2:39" x14ac:dyDescent="0.2">
      <c r="B61" s="1128"/>
      <c r="C61" s="52" t="s">
        <v>185</v>
      </c>
      <c r="D61" s="230"/>
      <c r="E61" s="24"/>
      <c r="F61" s="24"/>
      <c r="G61" s="32"/>
      <c r="H61" s="230"/>
      <c r="I61" s="24"/>
      <c r="J61" s="24"/>
      <c r="K61" s="32"/>
      <c r="L61" s="230"/>
      <c r="M61" s="24"/>
      <c r="N61" s="24"/>
      <c r="O61" s="32"/>
      <c r="P61" s="219">
        <f ca="1">P59</f>
        <v>0</v>
      </c>
      <c r="Q61" s="152">
        <f ca="1">P61+Q59</f>
        <v>0</v>
      </c>
      <c r="R61" s="152">
        <f ca="1">Q61+R59</f>
        <v>0</v>
      </c>
      <c r="S61" s="153">
        <f ca="1">R61+S59</f>
        <v>0</v>
      </c>
      <c r="T61" s="219">
        <f t="shared" ref="T61:AI61" ca="1" si="73">S61-T65</f>
        <v>0</v>
      </c>
      <c r="U61" s="152">
        <f t="shared" ca="1" si="73"/>
        <v>0</v>
      </c>
      <c r="V61" s="152">
        <f t="shared" ca="1" si="73"/>
        <v>0</v>
      </c>
      <c r="W61" s="153">
        <f t="shared" ca="1" si="73"/>
        <v>0</v>
      </c>
      <c r="X61" s="219">
        <f t="shared" ca="1" si="73"/>
        <v>0</v>
      </c>
      <c r="Y61" s="152">
        <f t="shared" ca="1" si="73"/>
        <v>0</v>
      </c>
      <c r="Z61" s="152">
        <f t="shared" ca="1" si="73"/>
        <v>0</v>
      </c>
      <c r="AA61" s="153">
        <f t="shared" ca="1" si="73"/>
        <v>0</v>
      </c>
      <c r="AB61" s="219">
        <f t="shared" ca="1" si="73"/>
        <v>0</v>
      </c>
      <c r="AC61" s="152">
        <f t="shared" ca="1" si="73"/>
        <v>0</v>
      </c>
      <c r="AD61" s="152">
        <f t="shared" ca="1" si="73"/>
        <v>0</v>
      </c>
      <c r="AE61" s="153">
        <f t="shared" ca="1" si="73"/>
        <v>0</v>
      </c>
      <c r="AF61" s="219">
        <f t="shared" ca="1" si="73"/>
        <v>0</v>
      </c>
      <c r="AG61" s="152">
        <f t="shared" ca="1" si="73"/>
        <v>0</v>
      </c>
      <c r="AH61" s="152">
        <f t="shared" ca="1" si="73"/>
        <v>0</v>
      </c>
      <c r="AI61" s="153">
        <f t="shared" ca="1" si="73"/>
        <v>0</v>
      </c>
      <c r="AJ61" s="219">
        <f t="shared" ref="AJ61" ca="1" si="74">AI61-AJ65</f>
        <v>0</v>
      </c>
      <c r="AK61" s="152">
        <f t="shared" ref="AK61" ca="1" si="75">AJ61-AK65</f>
        <v>0</v>
      </c>
      <c r="AL61" s="152">
        <f t="shared" ref="AL61" ca="1" si="76">AK61-AL65</f>
        <v>0</v>
      </c>
      <c r="AM61" s="153">
        <f t="shared" ca="1" si="6"/>
        <v>0</v>
      </c>
    </row>
    <row r="62" spans="2:39" x14ac:dyDescent="0.2">
      <c r="B62" s="1128"/>
      <c r="C62" s="51" t="s">
        <v>184</v>
      </c>
      <c r="D62" s="230"/>
      <c r="E62" s="24"/>
      <c r="F62" s="24"/>
      <c r="G62" s="32"/>
      <c r="H62" s="230"/>
      <c r="I62" s="24"/>
      <c r="J62" s="24"/>
      <c r="K62" s="32"/>
      <c r="L62" s="230"/>
      <c r="M62" s="24"/>
      <c r="N62" s="24"/>
      <c r="O62" s="32"/>
      <c r="P62" s="219">
        <f ca="1">P61*$C$29</f>
        <v>0</v>
      </c>
      <c r="Q62" s="152">
        <f ca="1">Q61*$C$29</f>
        <v>0</v>
      </c>
      <c r="R62" s="152">
        <f ca="1">R61*$C$29</f>
        <v>0</v>
      </c>
      <c r="S62" s="153">
        <f ca="1">S61*$C$29</f>
        <v>0</v>
      </c>
      <c r="T62" s="219">
        <f t="shared" ref="T62:AI62" ca="1" si="77">S61*$C$29</f>
        <v>0</v>
      </c>
      <c r="U62" s="152">
        <f t="shared" ca="1" si="77"/>
        <v>0</v>
      </c>
      <c r="V62" s="152">
        <f t="shared" ca="1" si="77"/>
        <v>0</v>
      </c>
      <c r="W62" s="153">
        <f t="shared" ca="1" si="77"/>
        <v>0</v>
      </c>
      <c r="X62" s="219">
        <f t="shared" ca="1" si="77"/>
        <v>0</v>
      </c>
      <c r="Y62" s="152">
        <f t="shared" ca="1" si="77"/>
        <v>0</v>
      </c>
      <c r="Z62" s="152">
        <f t="shared" ca="1" si="77"/>
        <v>0</v>
      </c>
      <c r="AA62" s="153">
        <f t="shared" ca="1" si="77"/>
        <v>0</v>
      </c>
      <c r="AB62" s="219">
        <f t="shared" ca="1" si="77"/>
        <v>0</v>
      </c>
      <c r="AC62" s="152">
        <f t="shared" ca="1" si="77"/>
        <v>0</v>
      </c>
      <c r="AD62" s="152">
        <f t="shared" ca="1" si="77"/>
        <v>0</v>
      </c>
      <c r="AE62" s="153">
        <f t="shared" ca="1" si="77"/>
        <v>0</v>
      </c>
      <c r="AF62" s="219">
        <f t="shared" ca="1" si="77"/>
        <v>0</v>
      </c>
      <c r="AG62" s="152">
        <f t="shared" ca="1" si="77"/>
        <v>0</v>
      </c>
      <c r="AH62" s="152">
        <f t="shared" ca="1" si="77"/>
        <v>0</v>
      </c>
      <c r="AI62" s="153">
        <f t="shared" ca="1" si="77"/>
        <v>0</v>
      </c>
      <c r="AJ62" s="219">
        <f t="shared" ref="AJ62" ca="1" si="78">AI61*$C$29</f>
        <v>0</v>
      </c>
      <c r="AK62" s="152">
        <f t="shared" ref="AK62" ca="1" si="79">AJ61*$C$29</f>
        <v>0</v>
      </c>
      <c r="AL62" s="152">
        <f t="shared" ref="AL62" ca="1" si="80">AK61*$C$29</f>
        <v>0</v>
      </c>
      <c r="AM62" s="153">
        <f t="shared" ca="1" si="6"/>
        <v>0</v>
      </c>
    </row>
    <row r="63" spans="2:39" x14ac:dyDescent="0.2">
      <c r="B63" s="1128"/>
      <c r="C63" s="51" t="s">
        <v>183</v>
      </c>
      <c r="D63" s="230"/>
      <c r="E63" s="24"/>
      <c r="F63" s="24"/>
      <c r="G63" s="32"/>
      <c r="H63" s="230"/>
      <c r="I63" s="24"/>
      <c r="J63" s="24"/>
      <c r="K63" s="32"/>
      <c r="L63" s="230"/>
      <c r="M63" s="24"/>
      <c r="N63" s="24"/>
      <c r="O63" s="32"/>
      <c r="P63" s="219">
        <f ca="1">P61*$C$30</f>
        <v>0</v>
      </c>
      <c r="Q63" s="152">
        <f ca="1">Q61*$C$30</f>
        <v>0</v>
      </c>
      <c r="R63" s="152">
        <f ca="1">R61*$C$30</f>
        <v>0</v>
      </c>
      <c r="S63" s="153">
        <f ca="1">S61*$C$30</f>
        <v>0</v>
      </c>
      <c r="T63" s="219">
        <f t="shared" ref="T63:AI63" ca="1" si="81">S61*$C$30</f>
        <v>0</v>
      </c>
      <c r="U63" s="152">
        <f t="shared" ca="1" si="81"/>
        <v>0</v>
      </c>
      <c r="V63" s="152">
        <f t="shared" ca="1" si="81"/>
        <v>0</v>
      </c>
      <c r="W63" s="153">
        <f t="shared" ca="1" si="81"/>
        <v>0</v>
      </c>
      <c r="X63" s="219">
        <f t="shared" ca="1" si="81"/>
        <v>0</v>
      </c>
      <c r="Y63" s="152">
        <f t="shared" ca="1" si="81"/>
        <v>0</v>
      </c>
      <c r="Z63" s="152">
        <f t="shared" ca="1" si="81"/>
        <v>0</v>
      </c>
      <c r="AA63" s="153">
        <f t="shared" ca="1" si="81"/>
        <v>0</v>
      </c>
      <c r="AB63" s="219">
        <f t="shared" ca="1" si="81"/>
        <v>0</v>
      </c>
      <c r="AC63" s="152">
        <f t="shared" ca="1" si="81"/>
        <v>0</v>
      </c>
      <c r="AD63" s="152">
        <f t="shared" ca="1" si="81"/>
        <v>0</v>
      </c>
      <c r="AE63" s="153">
        <f t="shared" ca="1" si="81"/>
        <v>0</v>
      </c>
      <c r="AF63" s="219">
        <f t="shared" ca="1" si="81"/>
        <v>0</v>
      </c>
      <c r="AG63" s="152">
        <f t="shared" ca="1" si="81"/>
        <v>0</v>
      </c>
      <c r="AH63" s="152">
        <f t="shared" ca="1" si="81"/>
        <v>0</v>
      </c>
      <c r="AI63" s="153">
        <f t="shared" ca="1" si="81"/>
        <v>0</v>
      </c>
      <c r="AJ63" s="219">
        <f t="shared" ref="AJ63" ca="1" si="82">AI61*$C$30</f>
        <v>0</v>
      </c>
      <c r="AK63" s="152">
        <f t="shared" ref="AK63" ca="1" si="83">AJ61*$C$30</f>
        <v>0</v>
      </c>
      <c r="AL63" s="152">
        <f t="shared" ref="AL63" ca="1" si="84">AK61*$C$30</f>
        <v>0</v>
      </c>
      <c r="AM63" s="153">
        <f t="shared" ca="1" si="6"/>
        <v>0</v>
      </c>
    </row>
    <row r="64" spans="2:39" x14ac:dyDescent="0.2">
      <c r="B64" s="1128"/>
      <c r="C64" s="51" t="s">
        <v>182</v>
      </c>
      <c r="D64" s="230"/>
      <c r="E64" s="24"/>
      <c r="F64" s="24"/>
      <c r="G64" s="32"/>
      <c r="H64" s="230"/>
      <c r="I64" s="24"/>
      <c r="J64" s="24"/>
      <c r="K64" s="32"/>
      <c r="L64" s="230"/>
      <c r="M64" s="24"/>
      <c r="N64" s="24"/>
      <c r="O64" s="32"/>
      <c r="P64" s="219">
        <f ca="1">P61*$C$31</f>
        <v>0</v>
      </c>
      <c r="Q64" s="152">
        <f ca="1">Q61*$C$31</f>
        <v>0</v>
      </c>
      <c r="R64" s="152">
        <f ca="1">R61*$C$31</f>
        <v>0</v>
      </c>
      <c r="S64" s="153">
        <f ca="1">S61*$C$31</f>
        <v>0</v>
      </c>
      <c r="T64" s="219">
        <f t="shared" ref="T64:AI64" ca="1" si="85">S61*$C$31</f>
        <v>0</v>
      </c>
      <c r="U64" s="152">
        <f t="shared" ca="1" si="85"/>
        <v>0</v>
      </c>
      <c r="V64" s="152">
        <f t="shared" ca="1" si="85"/>
        <v>0</v>
      </c>
      <c r="W64" s="153">
        <f t="shared" ca="1" si="85"/>
        <v>0</v>
      </c>
      <c r="X64" s="219">
        <f t="shared" ca="1" si="85"/>
        <v>0</v>
      </c>
      <c r="Y64" s="152">
        <f t="shared" ca="1" si="85"/>
        <v>0</v>
      </c>
      <c r="Z64" s="152">
        <f t="shared" ca="1" si="85"/>
        <v>0</v>
      </c>
      <c r="AA64" s="153">
        <f t="shared" ca="1" si="85"/>
        <v>0</v>
      </c>
      <c r="AB64" s="219">
        <f t="shared" ca="1" si="85"/>
        <v>0</v>
      </c>
      <c r="AC64" s="152">
        <f t="shared" ca="1" si="85"/>
        <v>0</v>
      </c>
      <c r="AD64" s="152">
        <f t="shared" ca="1" si="85"/>
        <v>0</v>
      </c>
      <c r="AE64" s="153">
        <f t="shared" ca="1" si="85"/>
        <v>0</v>
      </c>
      <c r="AF64" s="219">
        <f t="shared" ca="1" si="85"/>
        <v>0</v>
      </c>
      <c r="AG64" s="152">
        <f t="shared" ca="1" si="85"/>
        <v>0</v>
      </c>
      <c r="AH64" s="152">
        <f t="shared" ca="1" si="85"/>
        <v>0</v>
      </c>
      <c r="AI64" s="153">
        <f t="shared" ca="1" si="85"/>
        <v>0</v>
      </c>
      <c r="AJ64" s="219">
        <f t="shared" ref="AJ64" ca="1" si="86">AI61*$C$31</f>
        <v>0</v>
      </c>
      <c r="AK64" s="152">
        <f t="shared" ref="AK64" ca="1" si="87">AJ61*$C$31</f>
        <v>0</v>
      </c>
      <c r="AL64" s="152">
        <f t="shared" ref="AL64" ca="1" si="88">AK61*$C$31</f>
        <v>0</v>
      </c>
      <c r="AM64" s="153">
        <f t="shared" ca="1" si="6"/>
        <v>0</v>
      </c>
    </row>
    <row r="65" spans="2:39" ht="12.75" thickBot="1" x14ac:dyDescent="0.25">
      <c r="B65" s="1128"/>
      <c r="C65" s="51" t="s">
        <v>181</v>
      </c>
      <c r="D65" s="230"/>
      <c r="E65" s="24"/>
      <c r="F65" s="24"/>
      <c r="G65" s="32"/>
      <c r="H65" s="230"/>
      <c r="I65" s="24"/>
      <c r="J65" s="24"/>
      <c r="K65" s="32"/>
      <c r="L65" s="230"/>
      <c r="M65" s="24"/>
      <c r="N65" s="24"/>
      <c r="O65" s="32"/>
      <c r="P65" s="230"/>
      <c r="Q65" s="24"/>
      <c r="R65" s="24"/>
      <c r="S65" s="32"/>
      <c r="T65" s="219">
        <f t="shared" ref="T65:AI65" ca="1" si="89">T66-T62-T63-T64</f>
        <v>0</v>
      </c>
      <c r="U65" s="152">
        <f t="shared" ca="1" si="89"/>
        <v>0</v>
      </c>
      <c r="V65" s="152">
        <f t="shared" ca="1" si="89"/>
        <v>0</v>
      </c>
      <c r="W65" s="153">
        <f t="shared" ca="1" si="89"/>
        <v>0</v>
      </c>
      <c r="X65" s="219">
        <f t="shared" ca="1" si="89"/>
        <v>0</v>
      </c>
      <c r="Y65" s="152">
        <f t="shared" ca="1" si="89"/>
        <v>0</v>
      </c>
      <c r="Z65" s="152">
        <f t="shared" ca="1" si="89"/>
        <v>0</v>
      </c>
      <c r="AA65" s="153">
        <f t="shared" ca="1" si="89"/>
        <v>0</v>
      </c>
      <c r="AB65" s="219">
        <f t="shared" ca="1" si="89"/>
        <v>0</v>
      </c>
      <c r="AC65" s="152">
        <f t="shared" ca="1" si="89"/>
        <v>0</v>
      </c>
      <c r="AD65" s="152">
        <f t="shared" ca="1" si="89"/>
        <v>0</v>
      </c>
      <c r="AE65" s="153">
        <f t="shared" ca="1" si="89"/>
        <v>0</v>
      </c>
      <c r="AF65" s="219">
        <f t="shared" ca="1" si="89"/>
        <v>0</v>
      </c>
      <c r="AG65" s="152">
        <f t="shared" ca="1" si="89"/>
        <v>0</v>
      </c>
      <c r="AH65" s="152">
        <f t="shared" ca="1" si="89"/>
        <v>0</v>
      </c>
      <c r="AI65" s="153">
        <f t="shared" ca="1" si="89"/>
        <v>0</v>
      </c>
      <c r="AJ65" s="219">
        <f t="shared" ref="AJ65:AL65" ca="1" si="90">AJ66-AJ62-AJ63-AJ64</f>
        <v>0</v>
      </c>
      <c r="AK65" s="152">
        <f t="shared" ca="1" si="90"/>
        <v>0</v>
      </c>
      <c r="AL65" s="152">
        <f t="shared" ca="1" si="90"/>
        <v>0</v>
      </c>
      <c r="AM65" s="153">
        <f t="shared" ca="1" si="6"/>
        <v>0</v>
      </c>
    </row>
    <row r="66" spans="2:39" ht="12.75" thickBot="1" x14ac:dyDescent="0.25">
      <c r="B66" s="1129"/>
      <c r="C66" s="50" t="s">
        <v>172</v>
      </c>
      <c r="D66" s="231"/>
      <c r="E66" s="232"/>
      <c r="F66" s="232"/>
      <c r="G66" s="233"/>
      <c r="H66" s="231"/>
      <c r="I66" s="232"/>
      <c r="J66" s="232"/>
      <c r="K66" s="233"/>
      <c r="L66" s="231"/>
      <c r="M66" s="232"/>
      <c r="N66" s="232"/>
      <c r="O66" s="233"/>
      <c r="P66" s="231"/>
      <c r="Q66" s="232"/>
      <c r="R66" s="232"/>
      <c r="S66" s="233"/>
      <c r="T66" s="223">
        <f ca="1">IF(P21=0,0,PMT($C$29+$C$30+$C$31,P$21/12,-S61))</f>
        <v>0</v>
      </c>
      <c r="U66" s="225">
        <f t="shared" ref="U66:AI66" ca="1" si="91">IF(ROUND(T61,2)=0,0,T66)</f>
        <v>0</v>
      </c>
      <c r="V66" s="221">
        <f t="shared" ca="1" si="91"/>
        <v>0</v>
      </c>
      <c r="W66" s="222">
        <f t="shared" ca="1" si="91"/>
        <v>0</v>
      </c>
      <c r="X66" s="220">
        <f t="shared" ca="1" si="91"/>
        <v>0</v>
      </c>
      <c r="Y66" s="221">
        <f t="shared" ca="1" si="91"/>
        <v>0</v>
      </c>
      <c r="Z66" s="221">
        <f t="shared" ca="1" si="91"/>
        <v>0</v>
      </c>
      <c r="AA66" s="222">
        <f t="shared" ca="1" si="91"/>
        <v>0</v>
      </c>
      <c r="AB66" s="220">
        <f t="shared" ca="1" si="91"/>
        <v>0</v>
      </c>
      <c r="AC66" s="221">
        <f t="shared" ca="1" si="91"/>
        <v>0</v>
      </c>
      <c r="AD66" s="221">
        <f t="shared" ca="1" si="91"/>
        <v>0</v>
      </c>
      <c r="AE66" s="222">
        <f t="shared" ca="1" si="91"/>
        <v>0</v>
      </c>
      <c r="AF66" s="220">
        <f t="shared" ca="1" si="91"/>
        <v>0</v>
      </c>
      <c r="AG66" s="221">
        <f t="shared" ca="1" si="91"/>
        <v>0</v>
      </c>
      <c r="AH66" s="221">
        <f t="shared" ca="1" si="91"/>
        <v>0</v>
      </c>
      <c r="AI66" s="222">
        <f t="shared" ca="1" si="91"/>
        <v>0</v>
      </c>
      <c r="AJ66" s="220">
        <f t="shared" ref="AJ66" ca="1" si="92">IF(ROUND(AI61,2)=0,0,AI66)</f>
        <v>0</v>
      </c>
      <c r="AK66" s="221">
        <f t="shared" ref="AK66" ca="1" si="93">IF(ROUND(AJ61,2)=0,0,AJ66)</f>
        <v>0</v>
      </c>
      <c r="AL66" s="221">
        <f t="shared" ref="AL66" ca="1" si="94">IF(ROUND(AK61,2)=0,0,AK66)</f>
        <v>0</v>
      </c>
      <c r="AM66" s="222">
        <f t="shared" ca="1" si="6"/>
        <v>0</v>
      </c>
    </row>
    <row r="67" spans="2:39" x14ac:dyDescent="0.2">
      <c r="B67" s="1128" t="str">
        <f>T13</f>
        <v>Financiamento 5º Tranche</v>
      </c>
      <c r="C67" s="52" t="s">
        <v>187</v>
      </c>
      <c r="D67" s="227"/>
      <c r="E67" s="228"/>
      <c r="F67" s="228"/>
      <c r="G67" s="229"/>
      <c r="H67" s="227"/>
      <c r="I67" s="228"/>
      <c r="J67" s="228"/>
      <c r="K67" s="229"/>
      <c r="L67" s="227"/>
      <c r="M67" s="228"/>
      <c r="N67" s="228"/>
      <c r="O67" s="229"/>
      <c r="P67" s="227"/>
      <c r="Q67" s="228"/>
      <c r="R67" s="228"/>
      <c r="S67" s="229"/>
      <c r="T67" s="216">
        <f ca="1">IF($T$21=0,0,$T$14*(1-$T$15)*T$24)</f>
        <v>0</v>
      </c>
      <c r="U67" s="217">
        <f ca="1">IF($T$21=0,0,$T$14*(1-$T$15)*U$24)</f>
        <v>0</v>
      </c>
      <c r="V67" s="217">
        <f ca="1">IF($T$21=0,0,$T$14*(1-$T$15)*V$24)</f>
        <v>0</v>
      </c>
      <c r="W67" s="218">
        <f ca="1">IF($T$21=0,0,$T$14*(1-$T$15)*W$24)</f>
        <v>0</v>
      </c>
      <c r="X67" s="227"/>
      <c r="Y67" s="228"/>
      <c r="Z67" s="228"/>
      <c r="AA67" s="229"/>
      <c r="AB67" s="227"/>
      <c r="AC67" s="228"/>
      <c r="AD67" s="228"/>
      <c r="AE67" s="229"/>
      <c r="AF67" s="227"/>
      <c r="AG67" s="228"/>
      <c r="AH67" s="228"/>
      <c r="AI67" s="229"/>
      <c r="AJ67" s="227"/>
      <c r="AK67" s="228"/>
      <c r="AL67" s="228"/>
      <c r="AM67" s="218">
        <f t="shared" ca="1" si="6"/>
        <v>0</v>
      </c>
    </row>
    <row r="68" spans="2:39" x14ac:dyDescent="0.2">
      <c r="B68" s="1128"/>
      <c r="C68" s="52" t="s">
        <v>186</v>
      </c>
      <c r="D68" s="230"/>
      <c r="E68" s="24"/>
      <c r="F68" s="24"/>
      <c r="G68" s="32"/>
      <c r="H68" s="230"/>
      <c r="I68" s="24"/>
      <c r="J68" s="24"/>
      <c r="K68" s="32"/>
      <c r="L68" s="230"/>
      <c r="M68" s="24"/>
      <c r="N68" s="24"/>
      <c r="O68" s="32"/>
      <c r="P68" s="230"/>
      <c r="Q68" s="24"/>
      <c r="R68" s="24"/>
      <c r="S68" s="32"/>
      <c r="T68" s="219">
        <f ca="1">IF($T$21=0,0,$T$14*($T$15)*T$24)</f>
        <v>0</v>
      </c>
      <c r="U68" s="152">
        <f ca="1">IF($T$21=0,0,$T$14*($T$15)*U$24)</f>
        <v>0</v>
      </c>
      <c r="V68" s="152">
        <f ca="1">IF($T$21=0,0,$T$14*($T$15)*V$24)</f>
        <v>0</v>
      </c>
      <c r="W68" s="153">
        <f ca="1">IF($T$21=0,0,$T$14*($T$15)*W$24)</f>
        <v>0</v>
      </c>
      <c r="X68" s="230"/>
      <c r="Y68" s="24"/>
      <c r="Z68" s="24"/>
      <c r="AA68" s="32"/>
      <c r="AB68" s="230"/>
      <c r="AC68" s="24"/>
      <c r="AD68" s="24"/>
      <c r="AE68" s="32"/>
      <c r="AF68" s="230"/>
      <c r="AG68" s="24"/>
      <c r="AH68" s="24"/>
      <c r="AI68" s="32"/>
      <c r="AJ68" s="230"/>
      <c r="AK68" s="24"/>
      <c r="AL68" s="24"/>
      <c r="AM68" s="153">
        <f t="shared" ca="1" si="6"/>
        <v>0</v>
      </c>
    </row>
    <row r="69" spans="2:39" x14ac:dyDescent="0.2">
      <c r="B69" s="1128"/>
      <c r="C69" s="52" t="s">
        <v>185</v>
      </c>
      <c r="D69" s="230"/>
      <c r="E69" s="24"/>
      <c r="F69" s="24"/>
      <c r="G69" s="32"/>
      <c r="H69" s="230"/>
      <c r="I69" s="24"/>
      <c r="J69" s="24"/>
      <c r="K69" s="32"/>
      <c r="L69" s="230"/>
      <c r="M69" s="24"/>
      <c r="N69" s="24"/>
      <c r="O69" s="32"/>
      <c r="P69" s="230"/>
      <c r="Q69" s="24"/>
      <c r="R69" s="24"/>
      <c r="S69" s="32"/>
      <c r="T69" s="219">
        <f ca="1">T67</f>
        <v>0</v>
      </c>
      <c r="U69" s="152">
        <f ca="1">T69+U67</f>
        <v>0</v>
      </c>
      <c r="V69" s="152">
        <f ca="1">U69+V67</f>
        <v>0</v>
      </c>
      <c r="W69" s="153">
        <f ca="1">V69+W67</f>
        <v>0</v>
      </c>
      <c r="X69" s="219">
        <f t="shared" ref="X69:AI69" ca="1" si="95">W69-X73</f>
        <v>0</v>
      </c>
      <c r="Y69" s="152">
        <f t="shared" ca="1" si="95"/>
        <v>0</v>
      </c>
      <c r="Z69" s="152">
        <f t="shared" ca="1" si="95"/>
        <v>0</v>
      </c>
      <c r="AA69" s="153">
        <f t="shared" ca="1" si="95"/>
        <v>0</v>
      </c>
      <c r="AB69" s="219">
        <f t="shared" ca="1" si="95"/>
        <v>0</v>
      </c>
      <c r="AC69" s="152">
        <f t="shared" ca="1" si="95"/>
        <v>0</v>
      </c>
      <c r="AD69" s="152">
        <f t="shared" ca="1" si="95"/>
        <v>0</v>
      </c>
      <c r="AE69" s="153">
        <f t="shared" ca="1" si="95"/>
        <v>0</v>
      </c>
      <c r="AF69" s="219">
        <f t="shared" ca="1" si="95"/>
        <v>0</v>
      </c>
      <c r="AG69" s="152">
        <f t="shared" ca="1" si="95"/>
        <v>0</v>
      </c>
      <c r="AH69" s="152">
        <f t="shared" ca="1" si="95"/>
        <v>0</v>
      </c>
      <c r="AI69" s="153">
        <f t="shared" ca="1" si="95"/>
        <v>0</v>
      </c>
      <c r="AJ69" s="219">
        <f t="shared" ref="AJ69" ca="1" si="96">AI69-AJ73</f>
        <v>0</v>
      </c>
      <c r="AK69" s="152">
        <f t="shared" ref="AK69" ca="1" si="97">AJ69-AK73</f>
        <v>0</v>
      </c>
      <c r="AL69" s="152">
        <f t="shared" ref="AL69" ca="1" si="98">AK69-AL73</f>
        <v>0</v>
      </c>
      <c r="AM69" s="153">
        <f t="shared" ca="1" si="6"/>
        <v>0</v>
      </c>
    </row>
    <row r="70" spans="2:39" x14ac:dyDescent="0.2">
      <c r="B70" s="1128"/>
      <c r="C70" s="51" t="s">
        <v>184</v>
      </c>
      <c r="D70" s="230"/>
      <c r="E70" s="24"/>
      <c r="F70" s="24"/>
      <c r="G70" s="32"/>
      <c r="H70" s="230"/>
      <c r="I70" s="24"/>
      <c r="J70" s="24"/>
      <c r="K70" s="32"/>
      <c r="L70" s="230"/>
      <c r="M70" s="24"/>
      <c r="N70" s="24"/>
      <c r="O70" s="32"/>
      <c r="P70" s="230"/>
      <c r="Q70" s="24"/>
      <c r="R70" s="24"/>
      <c r="S70" s="32"/>
      <c r="T70" s="219">
        <f ca="1">T69*$C$29</f>
        <v>0</v>
      </c>
      <c r="U70" s="152">
        <f ca="1">U69*$C$29</f>
        <v>0</v>
      </c>
      <c r="V70" s="152">
        <f ca="1">V69*$C$29</f>
        <v>0</v>
      </c>
      <c r="W70" s="153">
        <f ca="1">W69*$C$29</f>
        <v>0</v>
      </c>
      <c r="X70" s="219">
        <f t="shared" ref="X70:AI70" ca="1" si="99">W69*$C$29</f>
        <v>0</v>
      </c>
      <c r="Y70" s="152">
        <f t="shared" ca="1" si="99"/>
        <v>0</v>
      </c>
      <c r="Z70" s="152">
        <f t="shared" ca="1" si="99"/>
        <v>0</v>
      </c>
      <c r="AA70" s="153">
        <f t="shared" ca="1" si="99"/>
        <v>0</v>
      </c>
      <c r="AB70" s="219">
        <f t="shared" ca="1" si="99"/>
        <v>0</v>
      </c>
      <c r="AC70" s="152">
        <f t="shared" ca="1" si="99"/>
        <v>0</v>
      </c>
      <c r="AD70" s="152">
        <f t="shared" ca="1" si="99"/>
        <v>0</v>
      </c>
      <c r="AE70" s="153">
        <f t="shared" ca="1" si="99"/>
        <v>0</v>
      </c>
      <c r="AF70" s="219">
        <f t="shared" ca="1" si="99"/>
        <v>0</v>
      </c>
      <c r="AG70" s="152">
        <f t="shared" ca="1" si="99"/>
        <v>0</v>
      </c>
      <c r="AH70" s="152">
        <f t="shared" ca="1" si="99"/>
        <v>0</v>
      </c>
      <c r="AI70" s="153">
        <f t="shared" ca="1" si="99"/>
        <v>0</v>
      </c>
      <c r="AJ70" s="219">
        <f t="shared" ref="AJ70" ca="1" si="100">AI69*$C$29</f>
        <v>0</v>
      </c>
      <c r="AK70" s="152">
        <f t="shared" ref="AK70" ca="1" si="101">AJ69*$C$29</f>
        <v>0</v>
      </c>
      <c r="AL70" s="152">
        <f t="shared" ref="AL70" ca="1" si="102">AK69*$C$29</f>
        <v>0</v>
      </c>
      <c r="AM70" s="153">
        <f t="shared" ca="1" si="6"/>
        <v>0</v>
      </c>
    </row>
    <row r="71" spans="2:39" x14ac:dyDescent="0.2">
      <c r="B71" s="1128"/>
      <c r="C71" s="51" t="s">
        <v>183</v>
      </c>
      <c r="D71" s="230"/>
      <c r="E71" s="24"/>
      <c r="F71" s="24"/>
      <c r="G71" s="32"/>
      <c r="H71" s="230"/>
      <c r="I71" s="24"/>
      <c r="J71" s="24"/>
      <c r="K71" s="32"/>
      <c r="L71" s="230"/>
      <c r="M71" s="24"/>
      <c r="N71" s="24"/>
      <c r="O71" s="32"/>
      <c r="P71" s="230"/>
      <c r="Q71" s="24"/>
      <c r="R71" s="24"/>
      <c r="S71" s="32"/>
      <c r="T71" s="219">
        <f ca="1">T69*$C$30</f>
        <v>0</v>
      </c>
      <c r="U71" s="152">
        <f ca="1">U69*$C$30</f>
        <v>0</v>
      </c>
      <c r="V71" s="152">
        <f ca="1">V69*$C$30</f>
        <v>0</v>
      </c>
      <c r="W71" s="153">
        <f ca="1">W69*$C$30</f>
        <v>0</v>
      </c>
      <c r="X71" s="219">
        <f t="shared" ref="X71:AI71" ca="1" si="103">W69*$C$30</f>
        <v>0</v>
      </c>
      <c r="Y71" s="152">
        <f t="shared" ca="1" si="103"/>
        <v>0</v>
      </c>
      <c r="Z71" s="152">
        <f t="shared" ca="1" si="103"/>
        <v>0</v>
      </c>
      <c r="AA71" s="153">
        <f t="shared" ca="1" si="103"/>
        <v>0</v>
      </c>
      <c r="AB71" s="219">
        <f t="shared" ca="1" si="103"/>
        <v>0</v>
      </c>
      <c r="AC71" s="152">
        <f t="shared" ca="1" si="103"/>
        <v>0</v>
      </c>
      <c r="AD71" s="152">
        <f t="shared" ca="1" si="103"/>
        <v>0</v>
      </c>
      <c r="AE71" s="153">
        <f t="shared" ca="1" si="103"/>
        <v>0</v>
      </c>
      <c r="AF71" s="219">
        <f t="shared" ca="1" si="103"/>
        <v>0</v>
      </c>
      <c r="AG71" s="152">
        <f t="shared" ca="1" si="103"/>
        <v>0</v>
      </c>
      <c r="AH71" s="152">
        <f t="shared" ca="1" si="103"/>
        <v>0</v>
      </c>
      <c r="AI71" s="153">
        <f t="shared" ca="1" si="103"/>
        <v>0</v>
      </c>
      <c r="AJ71" s="219">
        <f t="shared" ref="AJ71" ca="1" si="104">AI69*$C$30</f>
        <v>0</v>
      </c>
      <c r="AK71" s="152">
        <f t="shared" ref="AK71" ca="1" si="105">AJ69*$C$30</f>
        <v>0</v>
      </c>
      <c r="AL71" s="152">
        <f t="shared" ref="AL71" ca="1" si="106">AK69*$C$30</f>
        <v>0</v>
      </c>
      <c r="AM71" s="153">
        <f t="shared" ca="1" si="6"/>
        <v>0</v>
      </c>
    </row>
    <row r="72" spans="2:39" x14ac:dyDescent="0.2">
      <c r="B72" s="1128"/>
      <c r="C72" s="51" t="s">
        <v>182</v>
      </c>
      <c r="D72" s="230"/>
      <c r="E72" s="24"/>
      <c r="F72" s="24"/>
      <c r="G72" s="32"/>
      <c r="H72" s="230"/>
      <c r="I72" s="24"/>
      <c r="J72" s="24"/>
      <c r="K72" s="32"/>
      <c r="L72" s="230"/>
      <c r="M72" s="24"/>
      <c r="N72" s="24"/>
      <c r="O72" s="32"/>
      <c r="P72" s="230"/>
      <c r="Q72" s="24"/>
      <c r="R72" s="24"/>
      <c r="S72" s="32"/>
      <c r="T72" s="219">
        <f ca="1">T69*$C$31</f>
        <v>0</v>
      </c>
      <c r="U72" s="152">
        <f ca="1">U69*$C$31</f>
        <v>0</v>
      </c>
      <c r="V72" s="152">
        <f ca="1">V69*$C$31</f>
        <v>0</v>
      </c>
      <c r="W72" s="153">
        <f ca="1">W69*$C$31</f>
        <v>0</v>
      </c>
      <c r="X72" s="219">
        <f t="shared" ref="X72:AI72" ca="1" si="107">W69*$C$31</f>
        <v>0</v>
      </c>
      <c r="Y72" s="152">
        <f t="shared" ca="1" si="107"/>
        <v>0</v>
      </c>
      <c r="Z72" s="152">
        <f t="shared" ca="1" si="107"/>
        <v>0</v>
      </c>
      <c r="AA72" s="153">
        <f t="shared" ca="1" si="107"/>
        <v>0</v>
      </c>
      <c r="AB72" s="219">
        <f t="shared" ca="1" si="107"/>
        <v>0</v>
      </c>
      <c r="AC72" s="152">
        <f t="shared" ca="1" si="107"/>
        <v>0</v>
      </c>
      <c r="AD72" s="152">
        <f t="shared" ca="1" si="107"/>
        <v>0</v>
      </c>
      <c r="AE72" s="153">
        <f t="shared" ca="1" si="107"/>
        <v>0</v>
      </c>
      <c r="AF72" s="219">
        <f t="shared" ca="1" si="107"/>
        <v>0</v>
      </c>
      <c r="AG72" s="152">
        <f t="shared" ca="1" si="107"/>
        <v>0</v>
      </c>
      <c r="AH72" s="152">
        <f t="shared" ca="1" si="107"/>
        <v>0</v>
      </c>
      <c r="AI72" s="153">
        <f t="shared" ca="1" si="107"/>
        <v>0</v>
      </c>
      <c r="AJ72" s="219">
        <f t="shared" ref="AJ72" ca="1" si="108">AI69*$C$31</f>
        <v>0</v>
      </c>
      <c r="AK72" s="152">
        <f t="shared" ref="AK72" ca="1" si="109">AJ69*$C$31</f>
        <v>0</v>
      </c>
      <c r="AL72" s="152">
        <f t="shared" ref="AL72" ca="1" si="110">AK69*$C$31</f>
        <v>0</v>
      </c>
      <c r="AM72" s="153">
        <f t="shared" ca="1" si="6"/>
        <v>0</v>
      </c>
    </row>
    <row r="73" spans="2:39" ht="12.75" thickBot="1" x14ac:dyDescent="0.25">
      <c r="B73" s="1128"/>
      <c r="C73" s="51" t="s">
        <v>181</v>
      </c>
      <c r="D73" s="230"/>
      <c r="E73" s="24"/>
      <c r="F73" s="24"/>
      <c r="G73" s="32"/>
      <c r="H73" s="230"/>
      <c r="I73" s="24"/>
      <c r="J73" s="24"/>
      <c r="K73" s="32"/>
      <c r="L73" s="230"/>
      <c r="M73" s="24"/>
      <c r="N73" s="24"/>
      <c r="O73" s="32"/>
      <c r="P73" s="230"/>
      <c r="Q73" s="24"/>
      <c r="R73" s="24"/>
      <c r="S73" s="32"/>
      <c r="T73" s="230"/>
      <c r="U73" s="24"/>
      <c r="V73" s="24"/>
      <c r="W73" s="32"/>
      <c r="X73" s="219">
        <f t="shared" ref="X73:AI73" ca="1" si="111">X74-X70-X71-X72</f>
        <v>0</v>
      </c>
      <c r="Y73" s="152">
        <f t="shared" ca="1" si="111"/>
        <v>0</v>
      </c>
      <c r="Z73" s="152">
        <f t="shared" ca="1" si="111"/>
        <v>0</v>
      </c>
      <c r="AA73" s="153">
        <f t="shared" ca="1" si="111"/>
        <v>0</v>
      </c>
      <c r="AB73" s="219">
        <f t="shared" ca="1" si="111"/>
        <v>0</v>
      </c>
      <c r="AC73" s="152">
        <f t="shared" ca="1" si="111"/>
        <v>0</v>
      </c>
      <c r="AD73" s="152">
        <f t="shared" ca="1" si="111"/>
        <v>0</v>
      </c>
      <c r="AE73" s="153">
        <f t="shared" ca="1" si="111"/>
        <v>0</v>
      </c>
      <c r="AF73" s="219">
        <f t="shared" ca="1" si="111"/>
        <v>0</v>
      </c>
      <c r="AG73" s="152">
        <f t="shared" ca="1" si="111"/>
        <v>0</v>
      </c>
      <c r="AH73" s="152">
        <f t="shared" ca="1" si="111"/>
        <v>0</v>
      </c>
      <c r="AI73" s="153">
        <f t="shared" ca="1" si="111"/>
        <v>0</v>
      </c>
      <c r="AJ73" s="219">
        <f t="shared" ref="AJ73:AL73" ca="1" si="112">AJ74-AJ70-AJ71-AJ72</f>
        <v>0</v>
      </c>
      <c r="AK73" s="152">
        <f t="shared" ca="1" si="112"/>
        <v>0</v>
      </c>
      <c r="AL73" s="152">
        <f t="shared" ca="1" si="112"/>
        <v>0</v>
      </c>
      <c r="AM73" s="153">
        <f t="shared" ca="1" si="6"/>
        <v>0</v>
      </c>
    </row>
    <row r="74" spans="2:39" ht="12.75" thickBot="1" x14ac:dyDescent="0.25">
      <c r="B74" s="1129"/>
      <c r="C74" s="50" t="s">
        <v>172</v>
      </c>
      <c r="D74" s="231"/>
      <c r="E74" s="232"/>
      <c r="F74" s="232"/>
      <c r="G74" s="233"/>
      <c r="H74" s="231"/>
      <c r="I74" s="232"/>
      <c r="J74" s="232"/>
      <c r="K74" s="233"/>
      <c r="L74" s="231"/>
      <c r="M74" s="232"/>
      <c r="N74" s="232"/>
      <c r="O74" s="233"/>
      <c r="P74" s="231"/>
      <c r="Q74" s="232"/>
      <c r="R74" s="232"/>
      <c r="S74" s="233"/>
      <c r="T74" s="231"/>
      <c r="U74" s="232"/>
      <c r="V74" s="232"/>
      <c r="W74" s="233"/>
      <c r="X74" s="223">
        <f ca="1">IF($T$21=0,0,PMT($C$29+$C$30+$C$31,T$21/12,-W69))</f>
        <v>0</v>
      </c>
      <c r="Y74" s="225">
        <f t="shared" ref="Y74:AI74" ca="1" si="113">IF(ROUND(X69,2)=0,0,X74)</f>
        <v>0</v>
      </c>
      <c r="Z74" s="221">
        <f t="shared" ca="1" si="113"/>
        <v>0</v>
      </c>
      <c r="AA74" s="222">
        <f t="shared" ca="1" si="113"/>
        <v>0</v>
      </c>
      <c r="AB74" s="220">
        <f t="shared" ca="1" si="113"/>
        <v>0</v>
      </c>
      <c r="AC74" s="221">
        <f t="shared" ca="1" si="113"/>
        <v>0</v>
      </c>
      <c r="AD74" s="221">
        <f t="shared" ca="1" si="113"/>
        <v>0</v>
      </c>
      <c r="AE74" s="222">
        <f t="shared" ca="1" si="113"/>
        <v>0</v>
      </c>
      <c r="AF74" s="220">
        <f t="shared" ca="1" si="113"/>
        <v>0</v>
      </c>
      <c r="AG74" s="221">
        <f t="shared" ca="1" si="113"/>
        <v>0</v>
      </c>
      <c r="AH74" s="221">
        <f t="shared" ca="1" si="113"/>
        <v>0</v>
      </c>
      <c r="AI74" s="222">
        <f t="shared" ca="1" si="113"/>
        <v>0</v>
      </c>
      <c r="AJ74" s="220">
        <f t="shared" ref="AJ74" ca="1" si="114">IF(ROUND(AI69,2)=0,0,AI74)</f>
        <v>0</v>
      </c>
      <c r="AK74" s="221">
        <f t="shared" ref="AK74" ca="1" si="115">IF(ROUND(AJ69,2)=0,0,AJ74)</f>
        <v>0</v>
      </c>
      <c r="AL74" s="221">
        <f t="shared" ref="AL74" ca="1" si="116">IF(ROUND(AK69,2)=0,0,AK74)</f>
        <v>0</v>
      </c>
      <c r="AM74" s="222">
        <f t="shared" ca="1" si="6"/>
        <v>0</v>
      </c>
    </row>
    <row r="75" spans="2:39" x14ac:dyDescent="0.2">
      <c r="B75" s="1128" t="str">
        <f>X13</f>
        <v>Financiamento 6º Tranche</v>
      </c>
      <c r="C75" s="52" t="s">
        <v>187</v>
      </c>
      <c r="D75" s="227"/>
      <c r="E75" s="228"/>
      <c r="F75" s="228"/>
      <c r="G75" s="229"/>
      <c r="H75" s="227"/>
      <c r="I75" s="228"/>
      <c r="J75" s="228"/>
      <c r="K75" s="229"/>
      <c r="L75" s="227"/>
      <c r="M75" s="228"/>
      <c r="N75" s="228"/>
      <c r="O75" s="229"/>
      <c r="P75" s="227"/>
      <c r="Q75" s="228"/>
      <c r="R75" s="228"/>
      <c r="S75" s="229"/>
      <c r="T75" s="227"/>
      <c r="U75" s="228"/>
      <c r="V75" s="228"/>
      <c r="W75" s="229"/>
      <c r="X75" s="216">
        <f ca="1">IF($X$21=0,0,$X$14*(1-$X$15)*X$24)</f>
        <v>0</v>
      </c>
      <c r="Y75" s="217">
        <f ca="1">IF($X$21=0,0,$X$14*(1-$X$15)*Y$24)</f>
        <v>0</v>
      </c>
      <c r="Z75" s="217">
        <f ca="1">IF($X$21=0,0,$X$14*(1-$X$15)*Z$24)</f>
        <v>0</v>
      </c>
      <c r="AA75" s="218">
        <f ca="1">IF($X$21=0,0,$X$14*(1-$X$15)*AA$24)</f>
        <v>0</v>
      </c>
      <c r="AB75" s="227"/>
      <c r="AC75" s="228"/>
      <c r="AD75" s="228"/>
      <c r="AE75" s="229"/>
      <c r="AF75" s="227"/>
      <c r="AG75" s="228"/>
      <c r="AH75" s="228"/>
      <c r="AI75" s="229"/>
      <c r="AJ75" s="227"/>
      <c r="AK75" s="228"/>
      <c r="AL75" s="228"/>
      <c r="AM75" s="218">
        <f t="shared" ca="1" si="6"/>
        <v>0</v>
      </c>
    </row>
    <row r="76" spans="2:39" x14ac:dyDescent="0.2">
      <c r="B76" s="1128"/>
      <c r="C76" s="52" t="s">
        <v>186</v>
      </c>
      <c r="D76" s="230"/>
      <c r="E76" s="24"/>
      <c r="F76" s="24"/>
      <c r="G76" s="32"/>
      <c r="H76" s="230"/>
      <c r="I76" s="24"/>
      <c r="J76" s="24"/>
      <c r="K76" s="32"/>
      <c r="L76" s="230"/>
      <c r="M76" s="24"/>
      <c r="N76" s="24"/>
      <c r="O76" s="32"/>
      <c r="P76" s="230"/>
      <c r="Q76" s="24"/>
      <c r="R76" s="24"/>
      <c r="S76" s="32"/>
      <c r="T76" s="230"/>
      <c r="U76" s="24"/>
      <c r="V76" s="24"/>
      <c r="W76" s="32"/>
      <c r="X76" s="219">
        <f ca="1">IF($X$21=0,0,$X$14*($X$15)*X$24)</f>
        <v>0</v>
      </c>
      <c r="Y76" s="152">
        <f ca="1">IF($X$21=0,0,$X$14*($X$15)*Y$24)</f>
        <v>0</v>
      </c>
      <c r="Z76" s="152">
        <f ca="1">IF($X$21=0,0,$X$14*($X$15)*Z$24)</f>
        <v>0</v>
      </c>
      <c r="AA76" s="153">
        <f ca="1">IF($X$21=0,0,$X$14*($X$15)*AA$24)</f>
        <v>0</v>
      </c>
      <c r="AB76" s="219"/>
      <c r="AC76" s="152"/>
      <c r="AD76" s="152"/>
      <c r="AE76" s="153"/>
      <c r="AF76" s="219"/>
      <c r="AG76" s="152"/>
      <c r="AH76" s="152"/>
      <c r="AI76" s="153"/>
      <c r="AJ76" s="219"/>
      <c r="AK76" s="152"/>
      <c r="AL76" s="152"/>
      <c r="AM76" s="153">
        <f t="shared" ca="1" si="6"/>
        <v>0</v>
      </c>
    </row>
    <row r="77" spans="2:39" x14ac:dyDescent="0.2">
      <c r="B77" s="1128"/>
      <c r="C77" s="52" t="s">
        <v>185</v>
      </c>
      <c r="D77" s="230"/>
      <c r="E77" s="24"/>
      <c r="F77" s="24"/>
      <c r="G77" s="32"/>
      <c r="H77" s="230"/>
      <c r="I77" s="24"/>
      <c r="J77" s="24"/>
      <c r="K77" s="32"/>
      <c r="L77" s="230"/>
      <c r="M77" s="24"/>
      <c r="N77" s="24"/>
      <c r="O77" s="32"/>
      <c r="P77" s="230"/>
      <c r="Q77" s="24"/>
      <c r="R77" s="24"/>
      <c r="S77" s="32"/>
      <c r="T77" s="230"/>
      <c r="U77" s="24"/>
      <c r="V77" s="24"/>
      <c r="W77" s="32"/>
      <c r="X77" s="219">
        <f ca="1">X75</f>
        <v>0</v>
      </c>
      <c r="Y77" s="152">
        <f ca="1">X77+Y75</f>
        <v>0</v>
      </c>
      <c r="Z77" s="152">
        <f ca="1">Y77+Z75</f>
        <v>0</v>
      </c>
      <c r="AA77" s="153">
        <f ca="1">Z77+AA75</f>
        <v>0</v>
      </c>
      <c r="AB77" s="219">
        <f t="shared" ref="AB77:AI77" ca="1" si="117">AA77-AB81</f>
        <v>0</v>
      </c>
      <c r="AC77" s="152">
        <f t="shared" ca="1" si="117"/>
        <v>0</v>
      </c>
      <c r="AD77" s="152">
        <f t="shared" ca="1" si="117"/>
        <v>0</v>
      </c>
      <c r="AE77" s="153">
        <f t="shared" ca="1" si="117"/>
        <v>0</v>
      </c>
      <c r="AF77" s="219">
        <f t="shared" ca="1" si="117"/>
        <v>0</v>
      </c>
      <c r="AG77" s="152">
        <f t="shared" ca="1" si="117"/>
        <v>0</v>
      </c>
      <c r="AH77" s="152">
        <f t="shared" ca="1" si="117"/>
        <v>0</v>
      </c>
      <c r="AI77" s="153">
        <f t="shared" ca="1" si="117"/>
        <v>0</v>
      </c>
      <c r="AJ77" s="219">
        <f t="shared" ref="AJ77" ca="1" si="118">AI77-AJ81</f>
        <v>0</v>
      </c>
      <c r="AK77" s="152">
        <f t="shared" ref="AK77" ca="1" si="119">AJ77-AK81</f>
        <v>0</v>
      </c>
      <c r="AL77" s="152">
        <f t="shared" ref="AL77" ca="1" si="120">AK77-AL81</f>
        <v>0</v>
      </c>
      <c r="AM77" s="153">
        <f t="shared" ca="1" si="6"/>
        <v>0</v>
      </c>
    </row>
    <row r="78" spans="2:39" x14ac:dyDescent="0.2">
      <c r="B78" s="1128"/>
      <c r="C78" s="51" t="s">
        <v>184</v>
      </c>
      <c r="D78" s="230"/>
      <c r="E78" s="24"/>
      <c r="F78" s="24"/>
      <c r="G78" s="32"/>
      <c r="H78" s="230"/>
      <c r="I78" s="24"/>
      <c r="J78" s="24"/>
      <c r="K78" s="32"/>
      <c r="L78" s="230"/>
      <c r="M78" s="24"/>
      <c r="N78" s="24"/>
      <c r="O78" s="32"/>
      <c r="P78" s="230"/>
      <c r="Q78" s="24"/>
      <c r="R78" s="24"/>
      <c r="S78" s="32"/>
      <c r="T78" s="230"/>
      <c r="U78" s="24"/>
      <c r="V78" s="24"/>
      <c r="W78" s="32"/>
      <c r="X78" s="219">
        <f ca="1">X77*$C$29</f>
        <v>0</v>
      </c>
      <c r="Y78" s="152">
        <f ca="1">Y77*$C$29</f>
        <v>0</v>
      </c>
      <c r="Z78" s="152">
        <f ca="1">Z77*$C$29</f>
        <v>0</v>
      </c>
      <c r="AA78" s="153">
        <f ca="1">AA77*$C$29</f>
        <v>0</v>
      </c>
      <c r="AB78" s="219">
        <f t="shared" ref="AB78:AI78" ca="1" si="121">AA77*$C$29</f>
        <v>0</v>
      </c>
      <c r="AC78" s="152">
        <f t="shared" ca="1" si="121"/>
        <v>0</v>
      </c>
      <c r="AD78" s="152">
        <f t="shared" ca="1" si="121"/>
        <v>0</v>
      </c>
      <c r="AE78" s="153">
        <f t="shared" ca="1" si="121"/>
        <v>0</v>
      </c>
      <c r="AF78" s="219">
        <f t="shared" ca="1" si="121"/>
        <v>0</v>
      </c>
      <c r="AG78" s="152">
        <f t="shared" ca="1" si="121"/>
        <v>0</v>
      </c>
      <c r="AH78" s="152">
        <f t="shared" ca="1" si="121"/>
        <v>0</v>
      </c>
      <c r="AI78" s="153">
        <f t="shared" ca="1" si="121"/>
        <v>0</v>
      </c>
      <c r="AJ78" s="219">
        <f t="shared" ref="AJ78" ca="1" si="122">AI77*$C$29</f>
        <v>0</v>
      </c>
      <c r="AK78" s="152">
        <f t="shared" ref="AK78" ca="1" si="123">AJ77*$C$29</f>
        <v>0</v>
      </c>
      <c r="AL78" s="152">
        <f t="shared" ref="AL78" ca="1" si="124">AK77*$C$29</f>
        <v>0</v>
      </c>
      <c r="AM78" s="153">
        <f t="shared" ca="1" si="6"/>
        <v>0</v>
      </c>
    </row>
    <row r="79" spans="2:39" x14ac:dyDescent="0.2">
      <c r="B79" s="1128"/>
      <c r="C79" s="51" t="s">
        <v>183</v>
      </c>
      <c r="D79" s="230"/>
      <c r="E79" s="24"/>
      <c r="F79" s="24"/>
      <c r="G79" s="32"/>
      <c r="H79" s="230"/>
      <c r="I79" s="24"/>
      <c r="J79" s="24"/>
      <c r="K79" s="32"/>
      <c r="L79" s="230"/>
      <c r="M79" s="24"/>
      <c r="N79" s="24"/>
      <c r="O79" s="32"/>
      <c r="P79" s="230"/>
      <c r="Q79" s="24"/>
      <c r="R79" s="24"/>
      <c r="S79" s="32"/>
      <c r="T79" s="230"/>
      <c r="U79" s="24"/>
      <c r="V79" s="24"/>
      <c r="W79" s="32"/>
      <c r="X79" s="219">
        <f ca="1">X77*$C$30</f>
        <v>0</v>
      </c>
      <c r="Y79" s="152">
        <f ca="1">Y77*$C$30</f>
        <v>0</v>
      </c>
      <c r="Z79" s="152">
        <f ca="1">Z77*$C$30</f>
        <v>0</v>
      </c>
      <c r="AA79" s="153">
        <f ca="1">AA77*$C$30</f>
        <v>0</v>
      </c>
      <c r="AB79" s="219">
        <f t="shared" ref="AB79:AI79" ca="1" si="125">AA77*$C$30</f>
        <v>0</v>
      </c>
      <c r="AC79" s="152">
        <f t="shared" ca="1" si="125"/>
        <v>0</v>
      </c>
      <c r="AD79" s="152">
        <f t="shared" ca="1" si="125"/>
        <v>0</v>
      </c>
      <c r="AE79" s="153">
        <f t="shared" ca="1" si="125"/>
        <v>0</v>
      </c>
      <c r="AF79" s="219">
        <f t="shared" ca="1" si="125"/>
        <v>0</v>
      </c>
      <c r="AG79" s="152">
        <f t="shared" ca="1" si="125"/>
        <v>0</v>
      </c>
      <c r="AH79" s="152">
        <f t="shared" ca="1" si="125"/>
        <v>0</v>
      </c>
      <c r="AI79" s="153">
        <f t="shared" ca="1" si="125"/>
        <v>0</v>
      </c>
      <c r="AJ79" s="219">
        <f t="shared" ref="AJ79" ca="1" si="126">AI77*$C$30</f>
        <v>0</v>
      </c>
      <c r="AK79" s="152">
        <f t="shared" ref="AK79" ca="1" si="127">AJ77*$C$30</f>
        <v>0</v>
      </c>
      <c r="AL79" s="152">
        <f t="shared" ref="AL79" ca="1" si="128">AK77*$C$30</f>
        <v>0</v>
      </c>
      <c r="AM79" s="153">
        <f t="shared" ca="1" si="6"/>
        <v>0</v>
      </c>
    </row>
    <row r="80" spans="2:39" x14ac:dyDescent="0.2">
      <c r="B80" s="1128"/>
      <c r="C80" s="51" t="s">
        <v>182</v>
      </c>
      <c r="D80" s="230"/>
      <c r="E80" s="24"/>
      <c r="F80" s="24"/>
      <c r="G80" s="32"/>
      <c r="H80" s="230"/>
      <c r="I80" s="24"/>
      <c r="J80" s="24"/>
      <c r="K80" s="32"/>
      <c r="L80" s="230"/>
      <c r="M80" s="24"/>
      <c r="N80" s="24"/>
      <c r="O80" s="32"/>
      <c r="P80" s="230"/>
      <c r="Q80" s="24"/>
      <c r="R80" s="24"/>
      <c r="S80" s="32"/>
      <c r="T80" s="230"/>
      <c r="U80" s="24"/>
      <c r="V80" s="24"/>
      <c r="W80" s="32"/>
      <c r="X80" s="219">
        <f ca="1">X77*$C$31</f>
        <v>0</v>
      </c>
      <c r="Y80" s="152">
        <f ca="1">Y77*$C$31</f>
        <v>0</v>
      </c>
      <c r="Z80" s="152">
        <f ca="1">Z77*$C$31</f>
        <v>0</v>
      </c>
      <c r="AA80" s="153">
        <f ca="1">AA77*$C$31</f>
        <v>0</v>
      </c>
      <c r="AB80" s="219">
        <f t="shared" ref="AB80:AI80" ca="1" si="129">AA77*$C$31</f>
        <v>0</v>
      </c>
      <c r="AC80" s="152">
        <f t="shared" ca="1" si="129"/>
        <v>0</v>
      </c>
      <c r="AD80" s="152">
        <f t="shared" ca="1" si="129"/>
        <v>0</v>
      </c>
      <c r="AE80" s="153">
        <f t="shared" ca="1" si="129"/>
        <v>0</v>
      </c>
      <c r="AF80" s="219">
        <f t="shared" ca="1" si="129"/>
        <v>0</v>
      </c>
      <c r="AG80" s="152">
        <f t="shared" ca="1" si="129"/>
        <v>0</v>
      </c>
      <c r="AH80" s="152">
        <f t="shared" ca="1" si="129"/>
        <v>0</v>
      </c>
      <c r="AI80" s="153">
        <f t="shared" ca="1" si="129"/>
        <v>0</v>
      </c>
      <c r="AJ80" s="219">
        <f t="shared" ref="AJ80" ca="1" si="130">AI77*$C$31</f>
        <v>0</v>
      </c>
      <c r="AK80" s="152">
        <f t="shared" ref="AK80" ca="1" si="131">AJ77*$C$31</f>
        <v>0</v>
      </c>
      <c r="AL80" s="152">
        <f t="shared" ref="AL80" ca="1" si="132">AK77*$C$31</f>
        <v>0</v>
      </c>
      <c r="AM80" s="153">
        <f t="shared" ca="1" si="6"/>
        <v>0</v>
      </c>
    </row>
    <row r="81" spans="2:39" ht="12.75" thickBot="1" x14ac:dyDescent="0.25">
      <c r="B81" s="1128"/>
      <c r="C81" s="51" t="s">
        <v>181</v>
      </c>
      <c r="D81" s="230"/>
      <c r="E81" s="24"/>
      <c r="F81" s="24"/>
      <c r="G81" s="32"/>
      <c r="H81" s="230"/>
      <c r="I81" s="24"/>
      <c r="J81" s="24"/>
      <c r="K81" s="32"/>
      <c r="L81" s="230"/>
      <c r="M81" s="24"/>
      <c r="N81" s="24"/>
      <c r="O81" s="32"/>
      <c r="P81" s="230"/>
      <c r="Q81" s="24"/>
      <c r="R81" s="24"/>
      <c r="S81" s="32"/>
      <c r="T81" s="230"/>
      <c r="U81" s="24"/>
      <c r="V81" s="24"/>
      <c r="W81" s="32"/>
      <c r="X81" s="230"/>
      <c r="Y81" s="24"/>
      <c r="Z81" s="24"/>
      <c r="AA81" s="32"/>
      <c r="AB81" s="224">
        <f t="shared" ref="AB81:AI81" ca="1" si="133">AB82-AB78-AB79-AB80</f>
        <v>0</v>
      </c>
      <c r="AC81" s="152">
        <f t="shared" ca="1" si="133"/>
        <v>0</v>
      </c>
      <c r="AD81" s="152">
        <f t="shared" ca="1" si="133"/>
        <v>0</v>
      </c>
      <c r="AE81" s="153">
        <f t="shared" ca="1" si="133"/>
        <v>0</v>
      </c>
      <c r="AF81" s="219">
        <f t="shared" ca="1" si="133"/>
        <v>0</v>
      </c>
      <c r="AG81" s="152">
        <f t="shared" ca="1" si="133"/>
        <v>0</v>
      </c>
      <c r="AH81" s="152">
        <f t="shared" ca="1" si="133"/>
        <v>0</v>
      </c>
      <c r="AI81" s="153">
        <f t="shared" ca="1" si="133"/>
        <v>0</v>
      </c>
      <c r="AJ81" s="219">
        <f t="shared" ref="AJ81:AL81" ca="1" si="134">AJ82-AJ78-AJ79-AJ80</f>
        <v>0</v>
      </c>
      <c r="AK81" s="152">
        <f t="shared" ca="1" si="134"/>
        <v>0</v>
      </c>
      <c r="AL81" s="152">
        <f t="shared" ca="1" si="134"/>
        <v>0</v>
      </c>
      <c r="AM81" s="153">
        <f t="shared" ca="1" si="6"/>
        <v>0</v>
      </c>
    </row>
    <row r="82" spans="2:39" ht="12.75" thickBot="1" x14ac:dyDescent="0.25">
      <c r="B82" s="1129"/>
      <c r="C82" s="50" t="s">
        <v>172</v>
      </c>
      <c r="D82" s="231"/>
      <c r="E82" s="232"/>
      <c r="F82" s="232"/>
      <c r="G82" s="233"/>
      <c r="H82" s="231"/>
      <c r="I82" s="232"/>
      <c r="J82" s="232"/>
      <c r="K82" s="233"/>
      <c r="L82" s="231"/>
      <c r="M82" s="232"/>
      <c r="N82" s="232"/>
      <c r="O82" s="233"/>
      <c r="P82" s="231"/>
      <c r="Q82" s="232"/>
      <c r="R82" s="232"/>
      <c r="S82" s="233"/>
      <c r="T82" s="231"/>
      <c r="U82" s="232"/>
      <c r="V82" s="232"/>
      <c r="W82" s="233"/>
      <c r="X82" s="231"/>
      <c r="Y82" s="232"/>
      <c r="Z82" s="232"/>
      <c r="AA82" s="233"/>
      <c r="AB82" s="226">
        <f ca="1">IF(X21=0,0,PMT($C$29+$C$30+$C$31,X$21/12,-AA77))</f>
        <v>0</v>
      </c>
      <c r="AC82" s="225">
        <f t="shared" ref="AC82:AI82" ca="1" si="135">IF(ROUND(AB77,2)=0,0,AB82)</f>
        <v>0</v>
      </c>
      <c r="AD82" s="221">
        <f t="shared" ca="1" si="135"/>
        <v>0</v>
      </c>
      <c r="AE82" s="222">
        <f t="shared" ca="1" si="135"/>
        <v>0</v>
      </c>
      <c r="AF82" s="220">
        <f t="shared" ca="1" si="135"/>
        <v>0</v>
      </c>
      <c r="AG82" s="221">
        <f t="shared" ca="1" si="135"/>
        <v>0</v>
      </c>
      <c r="AH82" s="221">
        <f t="shared" ca="1" si="135"/>
        <v>0</v>
      </c>
      <c r="AI82" s="222">
        <f t="shared" ca="1" si="135"/>
        <v>0</v>
      </c>
      <c r="AJ82" s="220">
        <f t="shared" ref="AJ82" ca="1" si="136">IF(ROUND(AI77,2)=0,0,AI82)</f>
        <v>0</v>
      </c>
      <c r="AK82" s="221">
        <f t="shared" ref="AK82" ca="1" si="137">IF(ROUND(AJ77,2)=0,0,AJ82)</f>
        <v>0</v>
      </c>
      <c r="AL82" s="221">
        <f t="shared" ref="AL82" ca="1" si="138">IF(ROUND(AK77,2)=0,0,AK82)</f>
        <v>0</v>
      </c>
      <c r="AM82" s="222">
        <f t="shared" ca="1" si="6"/>
        <v>0</v>
      </c>
    </row>
    <row r="83" spans="2:39" x14ac:dyDescent="0.2">
      <c r="B83" s="1128" t="str">
        <f>AB13</f>
        <v>Financiamento 7º Tranche</v>
      </c>
      <c r="C83" s="52" t="s">
        <v>187</v>
      </c>
      <c r="D83" s="227"/>
      <c r="E83" s="228"/>
      <c r="F83" s="228"/>
      <c r="G83" s="229"/>
      <c r="H83" s="227"/>
      <c r="I83" s="228"/>
      <c r="J83" s="228"/>
      <c r="K83" s="229"/>
      <c r="L83" s="227"/>
      <c r="M83" s="228"/>
      <c r="N83" s="228"/>
      <c r="O83" s="229"/>
      <c r="P83" s="227"/>
      <c r="Q83" s="228"/>
      <c r="R83" s="228"/>
      <c r="S83" s="229"/>
      <c r="T83" s="227"/>
      <c r="U83" s="228"/>
      <c r="V83" s="228"/>
      <c r="W83" s="229"/>
      <c r="X83" s="227"/>
      <c r="Y83" s="228"/>
      <c r="Z83" s="228"/>
      <c r="AA83" s="229"/>
      <c r="AB83" s="216">
        <f ca="1">IF($AB$21=0,0,$AB$14*(1-$AB$15)*AB$24)</f>
        <v>0</v>
      </c>
      <c r="AC83" s="217">
        <f ca="1">IF($AB$21=0,0,$AB$14*(1-$AB$15)*AC$24)</f>
        <v>0</v>
      </c>
      <c r="AD83" s="217">
        <f ca="1">IF($AB$21=0,0,$AB$14*(1-$AB$15)*AD$24)</f>
        <v>0</v>
      </c>
      <c r="AE83" s="218">
        <f ca="1">IF($AB$21=0,0,$AB$14*(1-$AB$15)*AE$24)</f>
        <v>0</v>
      </c>
      <c r="AF83" s="227"/>
      <c r="AG83" s="228"/>
      <c r="AH83" s="228"/>
      <c r="AI83" s="229"/>
      <c r="AJ83" s="227"/>
      <c r="AK83" s="228"/>
      <c r="AL83" s="228"/>
      <c r="AM83" s="218">
        <f t="shared" ca="1" si="6"/>
        <v>0</v>
      </c>
    </row>
    <row r="84" spans="2:39" x14ac:dyDescent="0.2">
      <c r="B84" s="1128"/>
      <c r="C84" s="52" t="s">
        <v>186</v>
      </c>
      <c r="D84" s="230"/>
      <c r="E84" s="24"/>
      <c r="F84" s="24"/>
      <c r="G84" s="32"/>
      <c r="H84" s="230"/>
      <c r="I84" s="24"/>
      <c r="J84" s="24"/>
      <c r="K84" s="32"/>
      <c r="L84" s="230"/>
      <c r="M84" s="24"/>
      <c r="N84" s="24"/>
      <c r="O84" s="32"/>
      <c r="P84" s="230"/>
      <c r="Q84" s="24"/>
      <c r="R84" s="24"/>
      <c r="S84" s="32"/>
      <c r="T84" s="230"/>
      <c r="U84" s="24"/>
      <c r="V84" s="24"/>
      <c r="W84" s="32"/>
      <c r="X84" s="230"/>
      <c r="Y84" s="24"/>
      <c r="Z84" s="24"/>
      <c r="AA84" s="32"/>
      <c r="AB84" s="219">
        <f ca="1">IF($AB$21=0,0,$AB$14*($AB$15)*AB$24)</f>
        <v>0</v>
      </c>
      <c r="AC84" s="152">
        <f ca="1">IF($AB$21=0,0,$AB$14*($AB$15)*AC$24)</f>
        <v>0</v>
      </c>
      <c r="AD84" s="152">
        <f ca="1">IF($AB$21=0,0,$AB$14*($AB$15)*AD$24)</f>
        <v>0</v>
      </c>
      <c r="AE84" s="153">
        <f ca="1">IF($AB$21=0,0,$AB$14*($AB$15)*AE$24)</f>
        <v>0</v>
      </c>
      <c r="AF84" s="230"/>
      <c r="AG84" s="24"/>
      <c r="AH84" s="24"/>
      <c r="AI84" s="32"/>
      <c r="AJ84" s="230"/>
      <c r="AK84" s="24"/>
      <c r="AL84" s="24"/>
      <c r="AM84" s="153">
        <f t="shared" ca="1" si="6"/>
        <v>0</v>
      </c>
    </row>
    <row r="85" spans="2:39" x14ac:dyDescent="0.2">
      <c r="B85" s="1128"/>
      <c r="C85" s="52" t="s">
        <v>185</v>
      </c>
      <c r="D85" s="230"/>
      <c r="E85" s="24"/>
      <c r="F85" s="24"/>
      <c r="G85" s="32"/>
      <c r="H85" s="230"/>
      <c r="I85" s="24"/>
      <c r="J85" s="24"/>
      <c r="K85" s="32"/>
      <c r="L85" s="230"/>
      <c r="M85" s="24"/>
      <c r="N85" s="24"/>
      <c r="O85" s="32"/>
      <c r="P85" s="230"/>
      <c r="Q85" s="24"/>
      <c r="R85" s="24"/>
      <c r="S85" s="32"/>
      <c r="T85" s="230"/>
      <c r="U85" s="24"/>
      <c r="V85" s="24"/>
      <c r="W85" s="32"/>
      <c r="X85" s="230"/>
      <c r="Y85" s="24"/>
      <c r="Z85" s="24"/>
      <c r="AA85" s="32"/>
      <c r="AB85" s="219">
        <f ca="1">AB83</f>
        <v>0</v>
      </c>
      <c r="AC85" s="152">
        <f ca="1">AB85+AC83</f>
        <v>0</v>
      </c>
      <c r="AD85" s="152">
        <f ca="1">AC85+AD83</f>
        <v>0</v>
      </c>
      <c r="AE85" s="153">
        <f ca="1">AD85+AE83</f>
        <v>0</v>
      </c>
      <c r="AF85" s="219">
        <f ca="1">AE85-AF89</f>
        <v>0</v>
      </c>
      <c r="AG85" s="152">
        <f ca="1">AF85-AG89</f>
        <v>0</v>
      </c>
      <c r="AH85" s="152">
        <f ca="1">AG85-AH89</f>
        <v>0</v>
      </c>
      <c r="AI85" s="153">
        <f ca="1">AH85-AI89</f>
        <v>0</v>
      </c>
      <c r="AJ85" s="219">
        <f t="shared" ref="AJ85:AL85" ca="1" si="139">AI85-AJ89</f>
        <v>0</v>
      </c>
      <c r="AK85" s="152">
        <f t="shared" ca="1" si="139"/>
        <v>0</v>
      </c>
      <c r="AL85" s="152">
        <f t="shared" ca="1" si="139"/>
        <v>0</v>
      </c>
      <c r="AM85" s="153">
        <f t="shared" ca="1" si="6"/>
        <v>0</v>
      </c>
    </row>
    <row r="86" spans="2:39" x14ac:dyDescent="0.2">
      <c r="B86" s="1128"/>
      <c r="C86" s="51" t="s">
        <v>184</v>
      </c>
      <c r="D86" s="230"/>
      <c r="E86" s="24"/>
      <c r="F86" s="24"/>
      <c r="G86" s="32"/>
      <c r="H86" s="230"/>
      <c r="I86" s="24"/>
      <c r="J86" s="24"/>
      <c r="K86" s="32"/>
      <c r="L86" s="230"/>
      <c r="M86" s="24"/>
      <c r="N86" s="24"/>
      <c r="O86" s="32"/>
      <c r="P86" s="230"/>
      <c r="Q86" s="24"/>
      <c r="R86" s="24"/>
      <c r="S86" s="32"/>
      <c r="T86" s="230"/>
      <c r="U86" s="24"/>
      <c r="V86" s="24"/>
      <c r="W86" s="32"/>
      <c r="X86" s="230"/>
      <c r="Y86" s="24"/>
      <c r="Z86" s="24"/>
      <c r="AA86" s="32"/>
      <c r="AB86" s="219">
        <f ca="1">AB85*$C$29</f>
        <v>0</v>
      </c>
      <c r="AC86" s="152">
        <f ca="1">AC85*$C$29</f>
        <v>0</v>
      </c>
      <c r="AD86" s="152">
        <f ca="1">AD85*$C$29</f>
        <v>0</v>
      </c>
      <c r="AE86" s="153">
        <f ca="1">AE85*$C$29</f>
        <v>0</v>
      </c>
      <c r="AF86" s="219">
        <f ca="1">AE85*$C$29</f>
        <v>0</v>
      </c>
      <c r="AG86" s="152">
        <f ca="1">AF85*$C$29</f>
        <v>0</v>
      </c>
      <c r="AH86" s="152">
        <f ca="1">AG85*$C$29</f>
        <v>0</v>
      </c>
      <c r="AI86" s="153">
        <f ca="1">AH85*$C$29</f>
        <v>0</v>
      </c>
      <c r="AJ86" s="219">
        <f t="shared" ref="AJ86:AL86" ca="1" si="140">AI85*$C$29</f>
        <v>0</v>
      </c>
      <c r="AK86" s="152">
        <f t="shared" ca="1" si="140"/>
        <v>0</v>
      </c>
      <c r="AL86" s="152">
        <f t="shared" ca="1" si="140"/>
        <v>0</v>
      </c>
      <c r="AM86" s="153">
        <f t="shared" ca="1" si="6"/>
        <v>0</v>
      </c>
    </row>
    <row r="87" spans="2:39" x14ac:dyDescent="0.2">
      <c r="B87" s="1128"/>
      <c r="C87" s="51" t="s">
        <v>183</v>
      </c>
      <c r="D87" s="230"/>
      <c r="E87" s="24"/>
      <c r="F87" s="24"/>
      <c r="G87" s="32"/>
      <c r="H87" s="230"/>
      <c r="I87" s="24"/>
      <c r="J87" s="24"/>
      <c r="K87" s="32"/>
      <c r="L87" s="230"/>
      <c r="M87" s="24"/>
      <c r="N87" s="24"/>
      <c r="O87" s="32"/>
      <c r="P87" s="230"/>
      <c r="Q87" s="24"/>
      <c r="R87" s="24"/>
      <c r="S87" s="32"/>
      <c r="T87" s="230"/>
      <c r="U87" s="24"/>
      <c r="V87" s="24"/>
      <c r="W87" s="32"/>
      <c r="X87" s="230"/>
      <c r="Y87" s="24"/>
      <c r="Z87" s="24"/>
      <c r="AA87" s="32"/>
      <c r="AB87" s="219">
        <f ca="1">AB85*$C$30</f>
        <v>0</v>
      </c>
      <c r="AC87" s="152">
        <f ca="1">AC85*$C$30</f>
        <v>0</v>
      </c>
      <c r="AD87" s="152">
        <f ca="1">AD85*$C$30</f>
        <v>0</v>
      </c>
      <c r="AE87" s="153">
        <f ca="1">AE85*$C$30</f>
        <v>0</v>
      </c>
      <c r="AF87" s="219">
        <f ca="1">AE85*$C$30</f>
        <v>0</v>
      </c>
      <c r="AG87" s="152">
        <f ca="1">AF85*$C$30</f>
        <v>0</v>
      </c>
      <c r="AH87" s="152">
        <f ca="1">AG85*$C$30</f>
        <v>0</v>
      </c>
      <c r="AI87" s="153">
        <f ca="1">AH85*$C$30</f>
        <v>0</v>
      </c>
      <c r="AJ87" s="219">
        <f t="shared" ref="AJ87:AL87" ca="1" si="141">AI85*$C$30</f>
        <v>0</v>
      </c>
      <c r="AK87" s="152">
        <f t="shared" ca="1" si="141"/>
        <v>0</v>
      </c>
      <c r="AL87" s="152">
        <f t="shared" ca="1" si="141"/>
        <v>0</v>
      </c>
      <c r="AM87" s="153">
        <f t="shared" ca="1" si="6"/>
        <v>0</v>
      </c>
    </row>
    <row r="88" spans="2:39" x14ac:dyDescent="0.2">
      <c r="B88" s="1128"/>
      <c r="C88" s="51" t="s">
        <v>182</v>
      </c>
      <c r="D88" s="230"/>
      <c r="E88" s="24"/>
      <c r="F88" s="24"/>
      <c r="G88" s="32"/>
      <c r="H88" s="230"/>
      <c r="I88" s="24"/>
      <c r="J88" s="24"/>
      <c r="K88" s="32"/>
      <c r="L88" s="230"/>
      <c r="M88" s="24"/>
      <c r="N88" s="24"/>
      <c r="O88" s="32"/>
      <c r="P88" s="230"/>
      <c r="Q88" s="24"/>
      <c r="R88" s="24"/>
      <c r="S88" s="32"/>
      <c r="T88" s="230"/>
      <c r="U88" s="24"/>
      <c r="V88" s="24"/>
      <c r="W88" s="32"/>
      <c r="X88" s="230"/>
      <c r="Y88" s="24"/>
      <c r="Z88" s="24"/>
      <c r="AA88" s="32"/>
      <c r="AB88" s="219">
        <f ca="1">AB85*$C$31</f>
        <v>0</v>
      </c>
      <c r="AC88" s="152">
        <f ca="1">AC85*$C$31</f>
        <v>0</v>
      </c>
      <c r="AD88" s="152">
        <f ca="1">AD85*$C$31</f>
        <v>0</v>
      </c>
      <c r="AE88" s="153">
        <f ca="1">AE85*$C$31</f>
        <v>0</v>
      </c>
      <c r="AF88" s="219">
        <f ca="1">AE85*$C$31</f>
        <v>0</v>
      </c>
      <c r="AG88" s="152">
        <f ca="1">AF85*$C$31</f>
        <v>0</v>
      </c>
      <c r="AH88" s="152">
        <f ca="1">AG85*$C$31</f>
        <v>0</v>
      </c>
      <c r="AI88" s="153">
        <f ca="1">AH85*$C$31</f>
        <v>0</v>
      </c>
      <c r="AJ88" s="219">
        <f t="shared" ref="AJ88:AL88" ca="1" si="142">AI85*$C$31</f>
        <v>0</v>
      </c>
      <c r="AK88" s="152">
        <f t="shared" ca="1" si="142"/>
        <v>0</v>
      </c>
      <c r="AL88" s="152">
        <f t="shared" ca="1" si="142"/>
        <v>0</v>
      </c>
      <c r="AM88" s="153">
        <f t="shared" ca="1" si="6"/>
        <v>0</v>
      </c>
    </row>
    <row r="89" spans="2:39" ht="12.75" thickBot="1" x14ac:dyDescent="0.25">
      <c r="B89" s="1128"/>
      <c r="C89" s="51" t="s">
        <v>181</v>
      </c>
      <c r="D89" s="230"/>
      <c r="E89" s="24"/>
      <c r="F89" s="24"/>
      <c r="G89" s="32"/>
      <c r="H89" s="230"/>
      <c r="I89" s="24"/>
      <c r="J89" s="24"/>
      <c r="K89" s="32"/>
      <c r="L89" s="230"/>
      <c r="M89" s="24"/>
      <c r="N89" s="24"/>
      <c r="O89" s="32"/>
      <c r="P89" s="230"/>
      <c r="Q89" s="24"/>
      <c r="R89" s="24"/>
      <c r="S89" s="32"/>
      <c r="T89" s="230"/>
      <c r="U89" s="24"/>
      <c r="V89" s="24"/>
      <c r="W89" s="32"/>
      <c r="X89" s="230"/>
      <c r="Y89" s="24"/>
      <c r="Z89" s="24"/>
      <c r="AA89" s="32"/>
      <c r="AB89" s="230"/>
      <c r="AC89" s="24"/>
      <c r="AD89" s="24"/>
      <c r="AE89" s="32"/>
      <c r="AF89" s="219">
        <f ca="1">AF90-AF86-AF87-AF88</f>
        <v>0</v>
      </c>
      <c r="AG89" s="152">
        <f ca="1">AG90-AG86-AG87-AG88</f>
        <v>0</v>
      </c>
      <c r="AH89" s="152">
        <f ca="1">AH90-AH86-AH87-AH88</f>
        <v>0</v>
      </c>
      <c r="AI89" s="153">
        <f ca="1">AI90-AI86-AI87-AI88</f>
        <v>0</v>
      </c>
      <c r="AJ89" s="219">
        <f t="shared" ref="AJ89:AL89" ca="1" si="143">AJ90-AJ86-AJ87-AJ88</f>
        <v>0</v>
      </c>
      <c r="AK89" s="152">
        <f t="shared" ca="1" si="143"/>
        <v>0</v>
      </c>
      <c r="AL89" s="152">
        <f t="shared" ca="1" si="143"/>
        <v>0</v>
      </c>
      <c r="AM89" s="153">
        <f t="shared" ca="1" si="6"/>
        <v>0</v>
      </c>
    </row>
    <row r="90" spans="2:39" ht="12.75" thickBot="1" x14ac:dyDescent="0.25">
      <c r="B90" s="1129"/>
      <c r="C90" s="50" t="s">
        <v>172</v>
      </c>
      <c r="D90" s="231"/>
      <c r="E90" s="232"/>
      <c r="F90" s="232"/>
      <c r="G90" s="233"/>
      <c r="H90" s="231"/>
      <c r="I90" s="232"/>
      <c r="J90" s="232"/>
      <c r="K90" s="233"/>
      <c r="L90" s="231"/>
      <c r="M90" s="232"/>
      <c r="N90" s="232"/>
      <c r="O90" s="233"/>
      <c r="P90" s="231"/>
      <c r="Q90" s="232"/>
      <c r="R90" s="232"/>
      <c r="S90" s="233"/>
      <c r="T90" s="231"/>
      <c r="U90" s="232"/>
      <c r="V90" s="232"/>
      <c r="W90" s="233"/>
      <c r="X90" s="231"/>
      <c r="Y90" s="232"/>
      <c r="Z90" s="232"/>
      <c r="AA90" s="233"/>
      <c r="AB90" s="231"/>
      <c r="AC90" s="232"/>
      <c r="AD90" s="232"/>
      <c r="AE90" s="233"/>
      <c r="AF90" s="226">
        <f ca="1">IF($AB$21=0,0,PMT($C$29+$C$30+$C$31,AB$21/12,-AE85))</f>
        <v>0</v>
      </c>
      <c r="AG90" s="225">
        <f ca="1">IF(ROUND(AF85,2)=0,0,AF90)</f>
        <v>0</v>
      </c>
      <c r="AH90" s="221">
        <f ca="1">IF(ROUND(AG85,2)=0,0,AG90)</f>
        <v>0</v>
      </c>
      <c r="AI90" s="222">
        <f ca="1">IF(ROUND(AH85,2)=0,0,AH90)</f>
        <v>0</v>
      </c>
      <c r="AJ90" s="220">
        <f t="shared" ref="AJ90:AL90" ca="1" si="144">IF(ROUND(AI85,2)=0,0,AI90)</f>
        <v>0</v>
      </c>
      <c r="AK90" s="225">
        <f t="shared" ca="1" si="144"/>
        <v>0</v>
      </c>
      <c r="AL90" s="221">
        <f t="shared" ca="1" si="144"/>
        <v>0</v>
      </c>
      <c r="AM90" s="222">
        <f t="shared" ca="1" si="6"/>
        <v>0</v>
      </c>
    </row>
    <row r="94" spans="2:39" ht="12.75" thickBot="1" x14ac:dyDescent="0.25"/>
    <row r="95" spans="2:39" x14ac:dyDescent="0.2">
      <c r="B95" s="1130" t="s">
        <v>180</v>
      </c>
      <c r="C95" s="49" t="s">
        <v>63</v>
      </c>
      <c r="D95" s="64">
        <f t="shared" ref="D95:AI95" si="145">D34</f>
        <v>1</v>
      </c>
      <c r="E95" s="64">
        <f t="shared" si="145"/>
        <v>2</v>
      </c>
      <c r="F95" s="64">
        <f t="shared" si="145"/>
        <v>3</v>
      </c>
      <c r="G95" s="64">
        <f t="shared" si="145"/>
        <v>4</v>
      </c>
      <c r="H95" s="64">
        <f t="shared" si="145"/>
        <v>5</v>
      </c>
      <c r="I95" s="64">
        <f t="shared" si="145"/>
        <v>6</v>
      </c>
      <c r="J95" s="64">
        <f t="shared" si="145"/>
        <v>7</v>
      </c>
      <c r="K95" s="64">
        <f t="shared" si="145"/>
        <v>8</v>
      </c>
      <c r="L95" s="64">
        <f t="shared" si="145"/>
        <v>9</v>
      </c>
      <c r="M95" s="64">
        <f t="shared" si="145"/>
        <v>10</v>
      </c>
      <c r="N95" s="64">
        <f t="shared" si="145"/>
        <v>11</v>
      </c>
      <c r="O95" s="64">
        <f t="shared" si="145"/>
        <v>12</v>
      </c>
      <c r="P95" s="64">
        <f t="shared" si="145"/>
        <v>13</v>
      </c>
      <c r="Q95" s="64">
        <f t="shared" si="145"/>
        <v>14</v>
      </c>
      <c r="R95" s="64">
        <f t="shared" si="145"/>
        <v>15</v>
      </c>
      <c r="S95" s="64">
        <f t="shared" si="145"/>
        <v>16</v>
      </c>
      <c r="T95" s="64">
        <f t="shared" si="145"/>
        <v>17</v>
      </c>
      <c r="U95" s="64">
        <f t="shared" si="145"/>
        <v>18</v>
      </c>
      <c r="V95" s="64">
        <f t="shared" si="145"/>
        <v>19</v>
      </c>
      <c r="W95" s="64">
        <f t="shared" si="145"/>
        <v>20</v>
      </c>
      <c r="X95" s="64">
        <f t="shared" si="145"/>
        <v>21</v>
      </c>
      <c r="Y95" s="64">
        <f t="shared" si="145"/>
        <v>22</v>
      </c>
      <c r="Z95" s="64">
        <f t="shared" si="145"/>
        <v>23</v>
      </c>
      <c r="AA95" s="64">
        <f t="shared" si="145"/>
        <v>24</v>
      </c>
      <c r="AB95" s="64">
        <f t="shared" si="145"/>
        <v>25</v>
      </c>
      <c r="AC95" s="64">
        <f t="shared" si="145"/>
        <v>26</v>
      </c>
      <c r="AD95" s="64">
        <f t="shared" si="145"/>
        <v>27</v>
      </c>
      <c r="AE95" s="64">
        <f t="shared" si="145"/>
        <v>28</v>
      </c>
      <c r="AF95" s="64">
        <f t="shared" si="145"/>
        <v>29</v>
      </c>
      <c r="AG95" s="64">
        <f t="shared" si="145"/>
        <v>30</v>
      </c>
      <c r="AH95" s="64">
        <f t="shared" si="145"/>
        <v>31</v>
      </c>
      <c r="AI95" s="65">
        <f t="shared" si="145"/>
        <v>32</v>
      </c>
      <c r="AJ95" s="65">
        <f t="shared" ref="AJ95:AL95" si="146">AJ34</f>
        <v>33</v>
      </c>
      <c r="AK95" s="65">
        <f t="shared" si="146"/>
        <v>34</v>
      </c>
      <c r="AL95" s="65">
        <f t="shared" si="146"/>
        <v>35</v>
      </c>
    </row>
    <row r="96" spans="2:39" x14ac:dyDescent="0.2">
      <c r="B96" s="1131"/>
      <c r="C96" s="48" t="s">
        <v>179</v>
      </c>
      <c r="D96" s="333">
        <f t="shared" ref="D96:AI96" ca="1" si="147">D35+D43+D51+D59+D67+D75+D83</f>
        <v>0</v>
      </c>
      <c r="E96" s="333">
        <f t="shared" ca="1" si="147"/>
        <v>0</v>
      </c>
      <c r="F96" s="333">
        <f t="shared" ca="1" si="147"/>
        <v>0</v>
      </c>
      <c r="G96" s="333">
        <f t="shared" ca="1" si="147"/>
        <v>0</v>
      </c>
      <c r="H96" s="333">
        <f t="shared" ca="1" si="147"/>
        <v>0</v>
      </c>
      <c r="I96" s="333">
        <f t="shared" ca="1" si="147"/>
        <v>0</v>
      </c>
      <c r="J96" s="333">
        <f t="shared" ca="1" si="147"/>
        <v>0</v>
      </c>
      <c r="K96" s="333">
        <f t="shared" ca="1" si="147"/>
        <v>0</v>
      </c>
      <c r="L96" s="333">
        <f t="shared" ca="1" si="147"/>
        <v>0</v>
      </c>
      <c r="M96" s="333">
        <f t="shared" ca="1" si="147"/>
        <v>0</v>
      </c>
      <c r="N96" s="333">
        <f t="shared" ca="1" si="147"/>
        <v>0</v>
      </c>
      <c r="O96" s="333">
        <f t="shared" ca="1" si="147"/>
        <v>0</v>
      </c>
      <c r="P96" s="333">
        <f t="shared" ca="1" si="147"/>
        <v>0</v>
      </c>
      <c r="Q96" s="333">
        <f t="shared" ca="1" si="147"/>
        <v>0</v>
      </c>
      <c r="R96" s="333">
        <f t="shared" ca="1" si="147"/>
        <v>0</v>
      </c>
      <c r="S96" s="333">
        <f t="shared" ca="1" si="147"/>
        <v>0</v>
      </c>
      <c r="T96" s="333">
        <f t="shared" ca="1" si="147"/>
        <v>0</v>
      </c>
      <c r="U96" s="333">
        <f t="shared" ca="1" si="147"/>
        <v>0</v>
      </c>
      <c r="V96" s="333">
        <f t="shared" ca="1" si="147"/>
        <v>0</v>
      </c>
      <c r="W96" s="333">
        <f t="shared" ca="1" si="147"/>
        <v>0</v>
      </c>
      <c r="X96" s="333">
        <f t="shared" ca="1" si="147"/>
        <v>0</v>
      </c>
      <c r="Y96" s="333">
        <f t="shared" ca="1" si="147"/>
        <v>0</v>
      </c>
      <c r="Z96" s="333">
        <f t="shared" ca="1" si="147"/>
        <v>0</v>
      </c>
      <c r="AA96" s="333">
        <f t="shared" ca="1" si="147"/>
        <v>0</v>
      </c>
      <c r="AB96" s="333">
        <f t="shared" ca="1" si="147"/>
        <v>0</v>
      </c>
      <c r="AC96" s="333">
        <f t="shared" ca="1" si="147"/>
        <v>0</v>
      </c>
      <c r="AD96" s="333">
        <f t="shared" ca="1" si="147"/>
        <v>0</v>
      </c>
      <c r="AE96" s="333">
        <f t="shared" ca="1" si="147"/>
        <v>0</v>
      </c>
      <c r="AF96" s="333">
        <f t="shared" si="147"/>
        <v>0</v>
      </c>
      <c r="AG96" s="333">
        <f t="shared" si="147"/>
        <v>0</v>
      </c>
      <c r="AH96" s="333">
        <f t="shared" si="147"/>
        <v>0</v>
      </c>
      <c r="AI96" s="334">
        <f t="shared" si="147"/>
        <v>0</v>
      </c>
      <c r="AJ96" s="334">
        <f t="shared" ref="AJ96:AL96" si="148">AJ35+AJ43+AJ51+AJ59+AJ67+AJ75+AJ83</f>
        <v>0</v>
      </c>
      <c r="AK96" s="334">
        <f t="shared" si="148"/>
        <v>0</v>
      </c>
      <c r="AL96" s="334">
        <f t="shared" si="148"/>
        <v>0</v>
      </c>
    </row>
    <row r="97" spans="2:45" x14ac:dyDescent="0.2">
      <c r="B97" s="1131"/>
      <c r="C97" s="48" t="s">
        <v>178</v>
      </c>
      <c r="D97" s="333">
        <f t="shared" ref="D97:AI97" ca="1" si="149">D36+D44+D52+D60+D68+D76+D84</f>
        <v>0</v>
      </c>
      <c r="E97" s="333">
        <f t="shared" ca="1" si="149"/>
        <v>0</v>
      </c>
      <c r="F97" s="333">
        <f t="shared" ca="1" si="149"/>
        <v>0</v>
      </c>
      <c r="G97" s="333">
        <f t="shared" ca="1" si="149"/>
        <v>0</v>
      </c>
      <c r="H97" s="333">
        <f t="shared" ca="1" si="149"/>
        <v>0</v>
      </c>
      <c r="I97" s="333">
        <f t="shared" ca="1" si="149"/>
        <v>0</v>
      </c>
      <c r="J97" s="333">
        <f t="shared" ca="1" si="149"/>
        <v>0</v>
      </c>
      <c r="K97" s="333">
        <f t="shared" ca="1" si="149"/>
        <v>0</v>
      </c>
      <c r="L97" s="333">
        <f t="shared" ca="1" si="149"/>
        <v>0</v>
      </c>
      <c r="M97" s="333">
        <f t="shared" ca="1" si="149"/>
        <v>0</v>
      </c>
      <c r="N97" s="333">
        <f t="shared" ca="1" si="149"/>
        <v>0</v>
      </c>
      <c r="O97" s="333">
        <f t="shared" ca="1" si="149"/>
        <v>0</v>
      </c>
      <c r="P97" s="333">
        <f t="shared" ca="1" si="149"/>
        <v>0</v>
      </c>
      <c r="Q97" s="333">
        <f t="shared" ca="1" si="149"/>
        <v>0</v>
      </c>
      <c r="R97" s="333">
        <f t="shared" ca="1" si="149"/>
        <v>0</v>
      </c>
      <c r="S97" s="333">
        <f t="shared" ca="1" si="149"/>
        <v>0</v>
      </c>
      <c r="T97" s="333">
        <f t="shared" ca="1" si="149"/>
        <v>0</v>
      </c>
      <c r="U97" s="333">
        <f t="shared" ca="1" si="149"/>
        <v>0</v>
      </c>
      <c r="V97" s="333">
        <f t="shared" ca="1" si="149"/>
        <v>0</v>
      </c>
      <c r="W97" s="333">
        <f t="shared" ca="1" si="149"/>
        <v>0</v>
      </c>
      <c r="X97" s="333">
        <f t="shared" ca="1" si="149"/>
        <v>0</v>
      </c>
      <c r="Y97" s="333">
        <f t="shared" ca="1" si="149"/>
        <v>0</v>
      </c>
      <c r="Z97" s="333">
        <f t="shared" ca="1" si="149"/>
        <v>0</v>
      </c>
      <c r="AA97" s="333">
        <f t="shared" ca="1" si="149"/>
        <v>0</v>
      </c>
      <c r="AB97" s="333">
        <f t="shared" ca="1" si="149"/>
        <v>0</v>
      </c>
      <c r="AC97" s="333">
        <f t="shared" ca="1" si="149"/>
        <v>0</v>
      </c>
      <c r="AD97" s="333">
        <f t="shared" ca="1" si="149"/>
        <v>0</v>
      </c>
      <c r="AE97" s="333">
        <f t="shared" ca="1" si="149"/>
        <v>0</v>
      </c>
      <c r="AF97" s="333">
        <f t="shared" si="149"/>
        <v>0</v>
      </c>
      <c r="AG97" s="333">
        <f t="shared" si="149"/>
        <v>0</v>
      </c>
      <c r="AH97" s="333">
        <f t="shared" si="149"/>
        <v>0</v>
      </c>
      <c r="AI97" s="334">
        <f t="shared" si="149"/>
        <v>0</v>
      </c>
      <c r="AJ97" s="334">
        <f t="shared" ref="AJ97:AL97" si="150">AJ36+AJ44+AJ52+AJ60+AJ68+AJ76+AJ84</f>
        <v>0</v>
      </c>
      <c r="AK97" s="334">
        <f t="shared" si="150"/>
        <v>0</v>
      </c>
      <c r="AL97" s="334">
        <f t="shared" si="150"/>
        <v>0</v>
      </c>
    </row>
    <row r="98" spans="2:45" x14ac:dyDescent="0.2">
      <c r="B98" s="1131"/>
      <c r="C98" s="48" t="s">
        <v>177</v>
      </c>
      <c r="D98" s="333">
        <f t="shared" ref="D98:AI98" ca="1" si="151">D37+D45+D53+D61+D69+D77+D85</f>
        <v>0</v>
      </c>
      <c r="E98" s="333">
        <f t="shared" ca="1" si="151"/>
        <v>0</v>
      </c>
      <c r="F98" s="333">
        <f t="shared" ca="1" si="151"/>
        <v>0</v>
      </c>
      <c r="G98" s="333">
        <f t="shared" ca="1" si="151"/>
        <v>0</v>
      </c>
      <c r="H98" s="333">
        <f t="shared" ca="1" si="151"/>
        <v>0</v>
      </c>
      <c r="I98" s="333">
        <f t="shared" ca="1" si="151"/>
        <v>0</v>
      </c>
      <c r="J98" s="333">
        <f t="shared" ca="1" si="151"/>
        <v>0</v>
      </c>
      <c r="K98" s="333">
        <f t="shared" ca="1" si="151"/>
        <v>0</v>
      </c>
      <c r="L98" s="333">
        <f t="shared" ca="1" si="151"/>
        <v>0</v>
      </c>
      <c r="M98" s="333">
        <f t="shared" ca="1" si="151"/>
        <v>0</v>
      </c>
      <c r="N98" s="333">
        <f t="shared" ca="1" si="151"/>
        <v>0</v>
      </c>
      <c r="O98" s="333">
        <f t="shared" ca="1" si="151"/>
        <v>0</v>
      </c>
      <c r="P98" s="333">
        <f t="shared" ca="1" si="151"/>
        <v>0</v>
      </c>
      <c r="Q98" s="333">
        <f t="shared" ca="1" si="151"/>
        <v>0</v>
      </c>
      <c r="R98" s="333">
        <f t="shared" ca="1" si="151"/>
        <v>0</v>
      </c>
      <c r="S98" s="333">
        <f t="shared" ca="1" si="151"/>
        <v>0</v>
      </c>
      <c r="T98" s="333">
        <f t="shared" ca="1" si="151"/>
        <v>0</v>
      </c>
      <c r="U98" s="333">
        <f t="shared" ca="1" si="151"/>
        <v>0</v>
      </c>
      <c r="V98" s="333">
        <f t="shared" ca="1" si="151"/>
        <v>0</v>
      </c>
      <c r="W98" s="333">
        <f t="shared" ca="1" si="151"/>
        <v>0</v>
      </c>
      <c r="X98" s="333">
        <f t="shared" ca="1" si="151"/>
        <v>0</v>
      </c>
      <c r="Y98" s="333">
        <f t="shared" ca="1" si="151"/>
        <v>0</v>
      </c>
      <c r="Z98" s="333">
        <f t="shared" ca="1" si="151"/>
        <v>0</v>
      </c>
      <c r="AA98" s="333">
        <f t="shared" ca="1" si="151"/>
        <v>0</v>
      </c>
      <c r="AB98" s="333">
        <f t="shared" ca="1" si="151"/>
        <v>0</v>
      </c>
      <c r="AC98" s="333">
        <f t="shared" ca="1" si="151"/>
        <v>0</v>
      </c>
      <c r="AD98" s="333">
        <f t="shared" ca="1" si="151"/>
        <v>0</v>
      </c>
      <c r="AE98" s="333">
        <f t="shared" ca="1" si="151"/>
        <v>0</v>
      </c>
      <c r="AF98" s="333">
        <f t="shared" ca="1" si="151"/>
        <v>0</v>
      </c>
      <c r="AG98" s="333">
        <f t="shared" ca="1" si="151"/>
        <v>0</v>
      </c>
      <c r="AH98" s="333">
        <f t="shared" ca="1" si="151"/>
        <v>0</v>
      </c>
      <c r="AI98" s="334">
        <f t="shared" ca="1" si="151"/>
        <v>0</v>
      </c>
      <c r="AJ98" s="334">
        <f t="shared" ref="AJ98:AL98" ca="1" si="152">AJ37+AJ45+AJ53+AJ61+AJ69+AJ77+AJ85</f>
        <v>0</v>
      </c>
      <c r="AK98" s="334">
        <f t="shared" ca="1" si="152"/>
        <v>0</v>
      </c>
      <c r="AL98" s="334">
        <f t="shared" ca="1" si="152"/>
        <v>0</v>
      </c>
    </row>
    <row r="99" spans="2:45" x14ac:dyDescent="0.2">
      <c r="B99" s="1131"/>
      <c r="C99" s="20" t="s">
        <v>176</v>
      </c>
      <c r="D99" s="333">
        <f t="shared" ref="D99:AI99" ca="1" si="153">D38+D46+D54+D62+D70+D78+D86</f>
        <v>0</v>
      </c>
      <c r="E99" s="333">
        <f t="shared" ca="1" si="153"/>
        <v>0</v>
      </c>
      <c r="F99" s="333">
        <f t="shared" ca="1" si="153"/>
        <v>0</v>
      </c>
      <c r="G99" s="333">
        <f t="shared" ca="1" si="153"/>
        <v>0</v>
      </c>
      <c r="H99" s="333">
        <f t="shared" ca="1" si="153"/>
        <v>0</v>
      </c>
      <c r="I99" s="333">
        <f t="shared" ca="1" si="153"/>
        <v>0</v>
      </c>
      <c r="J99" s="333">
        <f t="shared" ca="1" si="153"/>
        <v>0</v>
      </c>
      <c r="K99" s="333">
        <f t="shared" ca="1" si="153"/>
        <v>0</v>
      </c>
      <c r="L99" s="333">
        <f t="shared" ca="1" si="153"/>
        <v>0</v>
      </c>
      <c r="M99" s="333">
        <f t="shared" ca="1" si="153"/>
        <v>0</v>
      </c>
      <c r="N99" s="333">
        <f t="shared" ca="1" si="153"/>
        <v>0</v>
      </c>
      <c r="O99" s="333">
        <f t="shared" ca="1" si="153"/>
        <v>0</v>
      </c>
      <c r="P99" s="333">
        <f t="shared" ca="1" si="153"/>
        <v>0</v>
      </c>
      <c r="Q99" s="333">
        <f t="shared" ca="1" si="153"/>
        <v>0</v>
      </c>
      <c r="R99" s="333">
        <f t="shared" ca="1" si="153"/>
        <v>0</v>
      </c>
      <c r="S99" s="333">
        <f t="shared" ca="1" si="153"/>
        <v>0</v>
      </c>
      <c r="T99" s="333">
        <f t="shared" ca="1" si="153"/>
        <v>0</v>
      </c>
      <c r="U99" s="333">
        <f t="shared" ca="1" si="153"/>
        <v>0</v>
      </c>
      <c r="V99" s="333">
        <f t="shared" ca="1" si="153"/>
        <v>0</v>
      </c>
      <c r="W99" s="333">
        <f t="shared" ca="1" si="153"/>
        <v>0</v>
      </c>
      <c r="X99" s="333">
        <f t="shared" ca="1" si="153"/>
        <v>0</v>
      </c>
      <c r="Y99" s="333">
        <f t="shared" ca="1" si="153"/>
        <v>0</v>
      </c>
      <c r="Z99" s="333">
        <f t="shared" ca="1" si="153"/>
        <v>0</v>
      </c>
      <c r="AA99" s="333">
        <f t="shared" ca="1" si="153"/>
        <v>0</v>
      </c>
      <c r="AB99" s="333">
        <f t="shared" ca="1" si="153"/>
        <v>0</v>
      </c>
      <c r="AC99" s="333">
        <f t="shared" ca="1" si="153"/>
        <v>0</v>
      </c>
      <c r="AD99" s="333">
        <f t="shared" ca="1" si="153"/>
        <v>0</v>
      </c>
      <c r="AE99" s="333">
        <f t="shared" ca="1" si="153"/>
        <v>0</v>
      </c>
      <c r="AF99" s="333">
        <f t="shared" ca="1" si="153"/>
        <v>0</v>
      </c>
      <c r="AG99" s="333">
        <f t="shared" ca="1" si="153"/>
        <v>0</v>
      </c>
      <c r="AH99" s="333">
        <f t="shared" ca="1" si="153"/>
        <v>0</v>
      </c>
      <c r="AI99" s="334">
        <f t="shared" ca="1" si="153"/>
        <v>0</v>
      </c>
      <c r="AJ99" s="334">
        <f t="shared" ref="AJ99:AL99" ca="1" si="154">AJ38+AJ46+AJ54+AJ62+AJ70+AJ78+AJ86</f>
        <v>0</v>
      </c>
      <c r="AK99" s="334">
        <f t="shared" ca="1" si="154"/>
        <v>0</v>
      </c>
      <c r="AL99" s="334">
        <f t="shared" ca="1" si="154"/>
        <v>0</v>
      </c>
    </row>
    <row r="100" spans="2:45" x14ac:dyDescent="0.2">
      <c r="B100" s="1131"/>
      <c r="C100" s="20" t="s">
        <v>175</v>
      </c>
      <c r="D100" s="333">
        <f t="shared" ref="D100:AI100" ca="1" si="155">D39+D47+D55+D63+D71+D79+D87</f>
        <v>0</v>
      </c>
      <c r="E100" s="333">
        <f t="shared" ca="1" si="155"/>
        <v>0</v>
      </c>
      <c r="F100" s="333">
        <f t="shared" ca="1" si="155"/>
        <v>0</v>
      </c>
      <c r="G100" s="333">
        <f t="shared" ca="1" si="155"/>
        <v>0</v>
      </c>
      <c r="H100" s="333">
        <f t="shared" ca="1" si="155"/>
        <v>0</v>
      </c>
      <c r="I100" s="333">
        <f t="shared" ca="1" si="155"/>
        <v>0</v>
      </c>
      <c r="J100" s="333">
        <f t="shared" ca="1" si="155"/>
        <v>0</v>
      </c>
      <c r="K100" s="333">
        <f t="shared" ca="1" si="155"/>
        <v>0</v>
      </c>
      <c r="L100" s="333">
        <f t="shared" ca="1" si="155"/>
        <v>0</v>
      </c>
      <c r="M100" s="333">
        <f t="shared" ca="1" si="155"/>
        <v>0</v>
      </c>
      <c r="N100" s="333">
        <f t="shared" ca="1" si="155"/>
        <v>0</v>
      </c>
      <c r="O100" s="333">
        <f t="shared" ca="1" si="155"/>
        <v>0</v>
      </c>
      <c r="P100" s="333">
        <f t="shared" ca="1" si="155"/>
        <v>0</v>
      </c>
      <c r="Q100" s="333">
        <f t="shared" ca="1" si="155"/>
        <v>0</v>
      </c>
      <c r="R100" s="333">
        <f t="shared" ca="1" si="155"/>
        <v>0</v>
      </c>
      <c r="S100" s="333">
        <f t="shared" ca="1" si="155"/>
        <v>0</v>
      </c>
      <c r="T100" s="333">
        <f t="shared" ca="1" si="155"/>
        <v>0</v>
      </c>
      <c r="U100" s="333">
        <f t="shared" ca="1" si="155"/>
        <v>0</v>
      </c>
      <c r="V100" s="333">
        <f t="shared" ca="1" si="155"/>
        <v>0</v>
      </c>
      <c r="W100" s="333">
        <f t="shared" ca="1" si="155"/>
        <v>0</v>
      </c>
      <c r="X100" s="333">
        <f t="shared" ca="1" si="155"/>
        <v>0</v>
      </c>
      <c r="Y100" s="333">
        <f t="shared" ca="1" si="155"/>
        <v>0</v>
      </c>
      <c r="Z100" s="333">
        <f t="shared" ca="1" si="155"/>
        <v>0</v>
      </c>
      <c r="AA100" s="333">
        <f t="shared" ca="1" si="155"/>
        <v>0</v>
      </c>
      <c r="AB100" s="333">
        <f t="shared" ca="1" si="155"/>
        <v>0</v>
      </c>
      <c r="AC100" s="333">
        <f t="shared" ca="1" si="155"/>
        <v>0</v>
      </c>
      <c r="AD100" s="333">
        <f t="shared" ca="1" si="155"/>
        <v>0</v>
      </c>
      <c r="AE100" s="333">
        <f t="shared" ca="1" si="155"/>
        <v>0</v>
      </c>
      <c r="AF100" s="333">
        <f t="shared" ca="1" si="155"/>
        <v>0</v>
      </c>
      <c r="AG100" s="333">
        <f t="shared" ca="1" si="155"/>
        <v>0</v>
      </c>
      <c r="AH100" s="333">
        <f t="shared" ca="1" si="155"/>
        <v>0</v>
      </c>
      <c r="AI100" s="334">
        <f t="shared" ca="1" si="155"/>
        <v>0</v>
      </c>
      <c r="AJ100" s="334">
        <f t="shared" ref="AJ100:AL100" ca="1" si="156">AJ39+AJ47+AJ55+AJ63+AJ71+AJ79+AJ87</f>
        <v>0</v>
      </c>
      <c r="AK100" s="334">
        <f t="shared" ca="1" si="156"/>
        <v>0</v>
      </c>
      <c r="AL100" s="334">
        <f t="shared" ca="1" si="156"/>
        <v>0</v>
      </c>
    </row>
    <row r="101" spans="2:45" x14ac:dyDescent="0.2">
      <c r="B101" s="1131"/>
      <c r="C101" s="20" t="s">
        <v>174</v>
      </c>
      <c r="D101" s="333">
        <f t="shared" ref="D101:AI101" ca="1" si="157">D40+D48+D56+D64+D72+D80+D88</f>
        <v>0</v>
      </c>
      <c r="E101" s="333">
        <f t="shared" ca="1" si="157"/>
        <v>0</v>
      </c>
      <c r="F101" s="333">
        <f t="shared" ca="1" si="157"/>
        <v>0</v>
      </c>
      <c r="G101" s="333">
        <f t="shared" ca="1" si="157"/>
        <v>0</v>
      </c>
      <c r="H101" s="333">
        <f t="shared" ca="1" si="157"/>
        <v>0</v>
      </c>
      <c r="I101" s="333">
        <f t="shared" ca="1" si="157"/>
        <v>0</v>
      </c>
      <c r="J101" s="333">
        <f t="shared" ca="1" si="157"/>
        <v>0</v>
      </c>
      <c r="K101" s="333">
        <f t="shared" ca="1" si="157"/>
        <v>0</v>
      </c>
      <c r="L101" s="333">
        <f t="shared" ca="1" si="157"/>
        <v>0</v>
      </c>
      <c r="M101" s="333">
        <f t="shared" ca="1" si="157"/>
        <v>0</v>
      </c>
      <c r="N101" s="333">
        <f t="shared" ca="1" si="157"/>
        <v>0</v>
      </c>
      <c r="O101" s="333">
        <f t="shared" ca="1" si="157"/>
        <v>0</v>
      </c>
      <c r="P101" s="333">
        <f t="shared" ca="1" si="157"/>
        <v>0</v>
      </c>
      <c r="Q101" s="333">
        <f t="shared" ca="1" si="157"/>
        <v>0</v>
      </c>
      <c r="R101" s="333">
        <f t="shared" ca="1" si="157"/>
        <v>0</v>
      </c>
      <c r="S101" s="333">
        <f t="shared" ca="1" si="157"/>
        <v>0</v>
      </c>
      <c r="T101" s="333">
        <f t="shared" ca="1" si="157"/>
        <v>0</v>
      </c>
      <c r="U101" s="333">
        <f t="shared" ca="1" si="157"/>
        <v>0</v>
      </c>
      <c r="V101" s="333">
        <f t="shared" ca="1" si="157"/>
        <v>0</v>
      </c>
      <c r="W101" s="333">
        <f t="shared" ca="1" si="157"/>
        <v>0</v>
      </c>
      <c r="X101" s="333">
        <f t="shared" ca="1" si="157"/>
        <v>0</v>
      </c>
      <c r="Y101" s="333">
        <f t="shared" ca="1" si="157"/>
        <v>0</v>
      </c>
      <c r="Z101" s="333">
        <f t="shared" ca="1" si="157"/>
        <v>0</v>
      </c>
      <c r="AA101" s="333">
        <f t="shared" ca="1" si="157"/>
        <v>0</v>
      </c>
      <c r="AB101" s="333">
        <f t="shared" ca="1" si="157"/>
        <v>0</v>
      </c>
      <c r="AC101" s="333">
        <f t="shared" ca="1" si="157"/>
        <v>0</v>
      </c>
      <c r="AD101" s="333">
        <f t="shared" ca="1" si="157"/>
        <v>0</v>
      </c>
      <c r="AE101" s="333">
        <f t="shared" ca="1" si="157"/>
        <v>0</v>
      </c>
      <c r="AF101" s="333">
        <f t="shared" ca="1" si="157"/>
        <v>0</v>
      </c>
      <c r="AG101" s="333">
        <f t="shared" ca="1" si="157"/>
        <v>0</v>
      </c>
      <c r="AH101" s="333">
        <f t="shared" ca="1" si="157"/>
        <v>0</v>
      </c>
      <c r="AI101" s="334">
        <f t="shared" ca="1" si="157"/>
        <v>0</v>
      </c>
      <c r="AJ101" s="334">
        <f t="shared" ref="AJ101:AL101" ca="1" si="158">AJ40+AJ48+AJ56+AJ64+AJ72+AJ80+AJ88</f>
        <v>0</v>
      </c>
      <c r="AK101" s="334">
        <f t="shared" ca="1" si="158"/>
        <v>0</v>
      </c>
      <c r="AL101" s="334">
        <f t="shared" ca="1" si="158"/>
        <v>0</v>
      </c>
    </row>
    <row r="102" spans="2:45" ht="12.75" thickBot="1" x14ac:dyDescent="0.25">
      <c r="B102" s="1131"/>
      <c r="C102" s="47" t="s">
        <v>173</v>
      </c>
      <c r="D102" s="335">
        <f t="shared" ref="D102:AI102" si="159">D41+D49+D57+D65+D73+D81+D89</f>
        <v>0</v>
      </c>
      <c r="E102" s="335">
        <f t="shared" si="159"/>
        <v>0</v>
      </c>
      <c r="F102" s="335">
        <f t="shared" si="159"/>
        <v>0</v>
      </c>
      <c r="G102" s="335">
        <f t="shared" si="159"/>
        <v>0</v>
      </c>
      <c r="H102" s="335">
        <f t="shared" ca="1" si="159"/>
        <v>0</v>
      </c>
      <c r="I102" s="335">
        <f t="shared" ca="1" si="159"/>
        <v>0</v>
      </c>
      <c r="J102" s="335">
        <f t="shared" ca="1" si="159"/>
        <v>0</v>
      </c>
      <c r="K102" s="335">
        <f t="shared" ca="1" si="159"/>
        <v>0</v>
      </c>
      <c r="L102" s="335">
        <f t="shared" ca="1" si="159"/>
        <v>0</v>
      </c>
      <c r="M102" s="335">
        <f t="shared" ca="1" si="159"/>
        <v>0</v>
      </c>
      <c r="N102" s="335">
        <f t="shared" ca="1" si="159"/>
        <v>0</v>
      </c>
      <c r="O102" s="335">
        <f t="shared" ca="1" si="159"/>
        <v>0</v>
      </c>
      <c r="P102" s="335">
        <f t="shared" ca="1" si="159"/>
        <v>0</v>
      </c>
      <c r="Q102" s="335">
        <f t="shared" ca="1" si="159"/>
        <v>0</v>
      </c>
      <c r="R102" s="335">
        <f t="shared" ca="1" si="159"/>
        <v>0</v>
      </c>
      <c r="S102" s="335">
        <f t="shared" ca="1" si="159"/>
        <v>0</v>
      </c>
      <c r="T102" s="335">
        <f t="shared" ca="1" si="159"/>
        <v>0</v>
      </c>
      <c r="U102" s="335">
        <f t="shared" ca="1" si="159"/>
        <v>0</v>
      </c>
      <c r="V102" s="335">
        <f t="shared" ca="1" si="159"/>
        <v>0</v>
      </c>
      <c r="W102" s="335">
        <f t="shared" ca="1" si="159"/>
        <v>0</v>
      </c>
      <c r="X102" s="335">
        <f t="shared" ca="1" si="159"/>
        <v>0</v>
      </c>
      <c r="Y102" s="335">
        <f t="shared" ca="1" si="159"/>
        <v>0</v>
      </c>
      <c r="Z102" s="335">
        <f t="shared" ca="1" si="159"/>
        <v>0</v>
      </c>
      <c r="AA102" s="335">
        <f t="shared" ca="1" si="159"/>
        <v>0</v>
      </c>
      <c r="AB102" s="335">
        <f t="shared" ca="1" si="159"/>
        <v>0</v>
      </c>
      <c r="AC102" s="335">
        <f t="shared" ca="1" si="159"/>
        <v>0</v>
      </c>
      <c r="AD102" s="335">
        <f t="shared" ca="1" si="159"/>
        <v>0</v>
      </c>
      <c r="AE102" s="335">
        <f t="shared" ca="1" si="159"/>
        <v>0</v>
      </c>
      <c r="AF102" s="336">
        <f t="shared" ca="1" si="159"/>
        <v>0</v>
      </c>
      <c r="AG102" s="336">
        <f t="shared" ca="1" si="159"/>
        <v>0</v>
      </c>
      <c r="AH102" s="336">
        <f t="shared" ca="1" si="159"/>
        <v>0</v>
      </c>
      <c r="AI102" s="337">
        <f t="shared" ca="1" si="159"/>
        <v>0</v>
      </c>
      <c r="AJ102" s="337">
        <f t="shared" ref="AJ102:AL102" ca="1" si="160">AJ41+AJ49+AJ57+AJ65+AJ73+AJ81+AJ89</f>
        <v>0</v>
      </c>
      <c r="AK102" s="337">
        <f t="shared" ca="1" si="160"/>
        <v>0</v>
      </c>
      <c r="AL102" s="337">
        <f t="shared" ca="1" si="160"/>
        <v>0</v>
      </c>
    </row>
    <row r="103" spans="2:45" ht="12.75" thickBot="1" x14ac:dyDescent="0.25">
      <c r="B103" s="1132"/>
      <c r="C103" s="338" t="s">
        <v>172</v>
      </c>
      <c r="D103" s="339">
        <f t="shared" ref="D103:AI103" ca="1" si="161">D99+D100+D101+D102</f>
        <v>0</v>
      </c>
      <c r="E103" s="339">
        <f t="shared" ca="1" si="161"/>
        <v>0</v>
      </c>
      <c r="F103" s="339">
        <f t="shared" ca="1" si="161"/>
        <v>0</v>
      </c>
      <c r="G103" s="339">
        <f t="shared" ca="1" si="161"/>
        <v>0</v>
      </c>
      <c r="H103" s="339">
        <f t="shared" ca="1" si="161"/>
        <v>0</v>
      </c>
      <c r="I103" s="339">
        <f t="shared" ca="1" si="161"/>
        <v>0</v>
      </c>
      <c r="J103" s="339">
        <f t="shared" ca="1" si="161"/>
        <v>0</v>
      </c>
      <c r="K103" s="339">
        <f t="shared" ca="1" si="161"/>
        <v>0</v>
      </c>
      <c r="L103" s="339">
        <f t="shared" ca="1" si="161"/>
        <v>0</v>
      </c>
      <c r="M103" s="339">
        <f t="shared" ca="1" si="161"/>
        <v>0</v>
      </c>
      <c r="N103" s="339">
        <f t="shared" ca="1" si="161"/>
        <v>0</v>
      </c>
      <c r="O103" s="339">
        <f t="shared" ca="1" si="161"/>
        <v>0</v>
      </c>
      <c r="P103" s="339">
        <f t="shared" ca="1" si="161"/>
        <v>0</v>
      </c>
      <c r="Q103" s="339">
        <f t="shared" ca="1" si="161"/>
        <v>0</v>
      </c>
      <c r="R103" s="339">
        <f t="shared" ca="1" si="161"/>
        <v>0</v>
      </c>
      <c r="S103" s="339">
        <f t="shared" ca="1" si="161"/>
        <v>0</v>
      </c>
      <c r="T103" s="339">
        <f t="shared" ca="1" si="161"/>
        <v>0</v>
      </c>
      <c r="U103" s="339">
        <f t="shared" ca="1" si="161"/>
        <v>0</v>
      </c>
      <c r="V103" s="339">
        <f t="shared" ca="1" si="161"/>
        <v>0</v>
      </c>
      <c r="W103" s="339">
        <f t="shared" ca="1" si="161"/>
        <v>0</v>
      </c>
      <c r="X103" s="339">
        <f t="shared" ca="1" si="161"/>
        <v>0</v>
      </c>
      <c r="Y103" s="339">
        <f t="shared" ca="1" si="161"/>
        <v>0</v>
      </c>
      <c r="Z103" s="339">
        <f t="shared" ca="1" si="161"/>
        <v>0</v>
      </c>
      <c r="AA103" s="339">
        <f t="shared" ca="1" si="161"/>
        <v>0</v>
      </c>
      <c r="AB103" s="339">
        <f t="shared" ca="1" si="161"/>
        <v>0</v>
      </c>
      <c r="AC103" s="339">
        <f t="shared" ca="1" si="161"/>
        <v>0</v>
      </c>
      <c r="AD103" s="339">
        <f t="shared" ca="1" si="161"/>
        <v>0</v>
      </c>
      <c r="AE103" s="339">
        <f t="shared" ca="1" si="161"/>
        <v>0</v>
      </c>
      <c r="AF103" s="339">
        <f t="shared" ca="1" si="161"/>
        <v>0</v>
      </c>
      <c r="AG103" s="339">
        <f t="shared" ca="1" si="161"/>
        <v>0</v>
      </c>
      <c r="AH103" s="339">
        <f t="shared" ca="1" si="161"/>
        <v>0</v>
      </c>
      <c r="AI103" s="339">
        <f t="shared" ca="1" si="161"/>
        <v>0</v>
      </c>
      <c r="AJ103" s="339">
        <f t="shared" ref="AJ103:AL103" ca="1" si="162">AJ99+AJ100+AJ101+AJ102</f>
        <v>0</v>
      </c>
      <c r="AK103" s="339">
        <f t="shared" ca="1" si="162"/>
        <v>0</v>
      </c>
      <c r="AL103" s="339">
        <f t="shared" ca="1" si="162"/>
        <v>0</v>
      </c>
    </row>
    <row r="104" spans="2:45" ht="15" x14ac:dyDescent="0.25">
      <c r="B104" s="46"/>
      <c r="C104"/>
      <c r="D104"/>
      <c r="E104"/>
      <c r="F104"/>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row>
    <row r="105" spans="2:45" ht="15" x14ac:dyDescent="0.25">
      <c r="C105"/>
      <c r="D105"/>
      <c r="E105"/>
      <c r="F105"/>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row>
    <row r="106" spans="2:45" ht="15" x14ac:dyDescent="0.25">
      <c r="C106"/>
      <c r="D106"/>
      <c r="E106"/>
      <c r="F106"/>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row>
    <row r="107" spans="2:45" ht="15" x14ac:dyDescent="0.25">
      <c r="C107"/>
      <c r="D107"/>
      <c r="E107"/>
      <c r="F107"/>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row>
    <row r="108" spans="2:45" ht="15" x14ac:dyDescent="0.25">
      <c r="C108"/>
      <c r="D108"/>
      <c r="E108"/>
      <c r="F108"/>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row>
    <row r="109" spans="2:45" ht="15" x14ac:dyDescent="0.25">
      <c r="C109"/>
      <c r="D109"/>
      <c r="E109"/>
      <c r="F109"/>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row>
    <row r="110" spans="2:45" ht="15" x14ac:dyDescent="0.25">
      <c r="C110"/>
      <c r="D110"/>
      <c r="E110"/>
      <c r="F110"/>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row>
    <row r="111" spans="2:45" ht="15" x14ac:dyDescent="0.25">
      <c r="C111"/>
      <c r="D111"/>
      <c r="E111"/>
      <c r="F111"/>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row>
    <row r="112" spans="2:45" ht="15" x14ac:dyDescent="0.25">
      <c r="C112"/>
      <c r="D112"/>
      <c r="E112"/>
      <c r="F112"/>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row>
    <row r="113" spans="3:45" ht="15" x14ac:dyDescent="0.25">
      <c r="C113"/>
      <c r="D113"/>
      <c r="E113"/>
      <c r="F113"/>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row>
    <row r="114" spans="3:45" ht="15" x14ac:dyDescent="0.25">
      <c r="C114"/>
      <c r="D114"/>
      <c r="E114"/>
      <c r="F114"/>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row>
    <row r="115" spans="3:45" ht="15" x14ac:dyDescent="0.25">
      <c r="C115"/>
      <c r="D115"/>
      <c r="E115"/>
      <c r="F115"/>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row>
    <row r="116" spans="3:45" ht="15" x14ac:dyDescent="0.25">
      <c r="C116"/>
      <c r="D116"/>
      <c r="E116"/>
      <c r="F116"/>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row>
    <row r="117" spans="3:45" ht="15" x14ac:dyDescent="0.25">
      <c r="C117"/>
      <c r="D117"/>
      <c r="E117"/>
      <c r="F117"/>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row>
    <row r="118" spans="3:45" ht="15" x14ac:dyDescent="0.25">
      <c r="C118"/>
      <c r="D118"/>
      <c r="E118"/>
      <c r="F118"/>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row>
    <row r="119" spans="3:45" ht="15" x14ac:dyDescent="0.25">
      <c r="C119"/>
      <c r="D119"/>
      <c r="E119"/>
      <c r="F119"/>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row>
    <row r="120" spans="3:45" ht="15" x14ac:dyDescent="0.25">
      <c r="C120"/>
      <c r="D120"/>
      <c r="E120"/>
      <c r="F120"/>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row>
    <row r="121" spans="3:45" ht="15" x14ac:dyDescent="0.25">
      <c r="C121"/>
      <c r="D121"/>
      <c r="E121"/>
      <c r="F121"/>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row>
    <row r="122" spans="3:45" ht="15" x14ac:dyDescent="0.25">
      <c r="C122"/>
      <c r="D122"/>
      <c r="E122"/>
      <c r="F122"/>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row>
    <row r="123" spans="3:45" ht="15" x14ac:dyDescent="0.25">
      <c r="C123"/>
      <c r="D123"/>
      <c r="E123"/>
      <c r="F123"/>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row>
    <row r="124" spans="3:45" ht="15" x14ac:dyDescent="0.25">
      <c r="C124"/>
      <c r="D124"/>
      <c r="E124"/>
      <c r="F124"/>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row>
    <row r="125" spans="3:45" ht="15" x14ac:dyDescent="0.25">
      <c r="C125"/>
      <c r="D125"/>
      <c r="E125"/>
      <c r="F125"/>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row>
    <row r="126" spans="3:45" ht="15" x14ac:dyDescent="0.25">
      <c r="C126"/>
      <c r="D126"/>
      <c r="E126"/>
      <c r="F126"/>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row>
    <row r="127" spans="3:45" ht="15" x14ac:dyDescent="0.25">
      <c r="C127"/>
      <c r="D127"/>
      <c r="E127"/>
      <c r="F127"/>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row>
    <row r="128" spans="3:45" ht="15" x14ac:dyDescent="0.25">
      <c r="C128"/>
      <c r="D128"/>
      <c r="E128"/>
      <c r="F128"/>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row>
    <row r="129" spans="3:45" ht="15" x14ac:dyDescent="0.25">
      <c r="C129"/>
      <c r="D129"/>
      <c r="E129"/>
      <c r="F129"/>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row>
    <row r="130" spans="3:45" ht="15" x14ac:dyDescent="0.25">
      <c r="C130"/>
      <c r="D130"/>
      <c r="E130"/>
      <c r="F130"/>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row>
    <row r="131" spans="3:45" ht="15" x14ac:dyDescent="0.25">
      <c r="C131"/>
      <c r="D131"/>
      <c r="E131"/>
      <c r="F131"/>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row>
    <row r="132" spans="3:45" ht="15" x14ac:dyDescent="0.25">
      <c r="C132"/>
      <c r="D132"/>
      <c r="E132"/>
      <c r="F132"/>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row>
    <row r="133" spans="3:45" ht="15" x14ac:dyDescent="0.25">
      <c r="C133"/>
      <c r="D133"/>
      <c r="E133"/>
      <c r="F133"/>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row>
    <row r="134" spans="3:45" ht="15" x14ac:dyDescent="0.25">
      <c r="C134"/>
      <c r="D134"/>
      <c r="E134"/>
      <c r="F134"/>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row>
    <row r="135" spans="3:45" ht="15" x14ac:dyDescent="0.25">
      <c r="C135"/>
      <c r="D135"/>
      <c r="E135"/>
      <c r="F135"/>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row>
    <row r="136" spans="3:45" ht="15" x14ac:dyDescent="0.25">
      <c r="C136"/>
      <c r="D136"/>
      <c r="E136"/>
      <c r="F136"/>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row>
    <row r="137" spans="3:45" ht="15" x14ac:dyDescent="0.25">
      <c r="C137"/>
      <c r="D137"/>
      <c r="E137"/>
      <c r="F137"/>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row>
    <row r="138" spans="3:45" ht="15" x14ac:dyDescent="0.25">
      <c r="C138"/>
      <c r="D138"/>
      <c r="E138"/>
      <c r="F138"/>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row>
    <row r="139" spans="3:45" ht="15" x14ac:dyDescent="0.25">
      <c r="C139"/>
      <c r="D139"/>
      <c r="E139"/>
      <c r="F139"/>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row>
    <row r="140" spans="3:45" ht="15" x14ac:dyDescent="0.25">
      <c r="C140"/>
      <c r="D140"/>
      <c r="E140"/>
      <c r="F140"/>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row>
    <row r="141" spans="3:45" ht="15" x14ac:dyDescent="0.25">
      <c r="C141"/>
      <c r="D141"/>
      <c r="E141"/>
      <c r="F141"/>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row>
    <row r="142" spans="3:45" ht="15" x14ac:dyDescent="0.25">
      <c r="C142"/>
      <c r="D142"/>
      <c r="E142"/>
      <c r="F142"/>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row>
    <row r="143" spans="3:45" ht="15" x14ac:dyDescent="0.25">
      <c r="C143"/>
      <c r="D143"/>
      <c r="E143"/>
      <c r="F143"/>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row>
    <row r="144" spans="3:45" ht="15" x14ac:dyDescent="0.25">
      <c r="C144"/>
      <c r="D144"/>
      <c r="E144"/>
      <c r="F144"/>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row>
    <row r="145" spans="3:45" ht="15" x14ac:dyDescent="0.25">
      <c r="C145"/>
      <c r="D145"/>
      <c r="E145"/>
      <c r="F145"/>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row>
    <row r="146" spans="3:45" ht="15" x14ac:dyDescent="0.25">
      <c r="C146"/>
      <c r="D146"/>
      <c r="E146"/>
      <c r="F146"/>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row>
    <row r="147" spans="3:45" ht="15" x14ac:dyDescent="0.25">
      <c r="C147"/>
      <c r="D147"/>
      <c r="E147"/>
      <c r="F147"/>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row>
    <row r="148" spans="3:45" ht="15" x14ac:dyDescent="0.25">
      <c r="C148"/>
      <c r="D148"/>
      <c r="E148"/>
      <c r="F148"/>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row>
    <row r="149" spans="3:45" ht="15" x14ac:dyDescent="0.25">
      <c r="C149"/>
      <c r="D149"/>
      <c r="E149"/>
      <c r="F149"/>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row>
    <row r="150" spans="3:45" ht="15" x14ac:dyDescent="0.25">
      <c r="C150"/>
      <c r="D150"/>
      <c r="E150"/>
      <c r="F150"/>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row>
    <row r="151" spans="3:45" ht="15" x14ac:dyDescent="0.25">
      <c r="C151"/>
      <c r="D151"/>
      <c r="E151"/>
      <c r="F151"/>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row>
    <row r="152" spans="3:45" ht="15" x14ac:dyDescent="0.25">
      <c r="C152"/>
      <c r="D152"/>
      <c r="E152"/>
      <c r="F152"/>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row>
    <row r="153" spans="3:45" ht="15" x14ac:dyDescent="0.25">
      <c r="C153"/>
      <c r="D153"/>
      <c r="E153"/>
      <c r="F153"/>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row>
    <row r="154" spans="3:45" ht="15" x14ac:dyDescent="0.25">
      <c r="C154"/>
      <c r="D154"/>
      <c r="E154"/>
      <c r="F154"/>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row>
    <row r="155" spans="3:45" ht="15" x14ac:dyDescent="0.25">
      <c r="C155"/>
      <c r="D155"/>
      <c r="E155"/>
      <c r="F155"/>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row>
    <row r="156" spans="3:45" ht="15" x14ac:dyDescent="0.25">
      <c r="C156"/>
      <c r="D156"/>
      <c r="E156"/>
      <c r="F156"/>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row>
    <row r="157" spans="3:45" ht="15" x14ac:dyDescent="0.25">
      <c r="C157"/>
      <c r="D157"/>
      <c r="E157"/>
      <c r="F157"/>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row>
    <row r="158" spans="3:45" ht="15" x14ac:dyDescent="0.25">
      <c r="C158"/>
      <c r="D158"/>
      <c r="E158"/>
      <c r="F158"/>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row>
    <row r="159" spans="3:45" ht="15" x14ac:dyDescent="0.25">
      <c r="C159"/>
      <c r="D159"/>
      <c r="E159"/>
      <c r="F159"/>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row>
    <row r="160" spans="3:45" ht="15" x14ac:dyDescent="0.25">
      <c r="C160"/>
      <c r="D160"/>
      <c r="E160"/>
      <c r="F160"/>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row>
    <row r="161" spans="3:45" ht="15" x14ac:dyDescent="0.25">
      <c r="C161"/>
      <c r="D161"/>
      <c r="E161"/>
      <c r="F161"/>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row>
    <row r="162" spans="3:45" ht="15" x14ac:dyDescent="0.25">
      <c r="C162"/>
      <c r="D162"/>
      <c r="E162"/>
      <c r="F162"/>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row>
    <row r="163" spans="3:45" ht="15" x14ac:dyDescent="0.25">
      <c r="C163"/>
      <c r="D163"/>
      <c r="E163"/>
      <c r="F163"/>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row>
    <row r="164" spans="3:45" ht="15" x14ac:dyDescent="0.25">
      <c r="C164"/>
      <c r="D164"/>
      <c r="E164"/>
      <c r="F164"/>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row>
    <row r="165" spans="3:45" ht="15" x14ac:dyDescent="0.25">
      <c r="C165"/>
      <c r="D165"/>
      <c r="E165"/>
      <c r="F165"/>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row>
    <row r="166" spans="3:45" ht="15" x14ac:dyDescent="0.25">
      <c r="C166"/>
      <c r="D166"/>
      <c r="E166"/>
      <c r="F166"/>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row>
    <row r="167" spans="3:45" ht="15" x14ac:dyDescent="0.25">
      <c r="C167"/>
      <c r="D167"/>
      <c r="E167"/>
      <c r="F167"/>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row>
  </sheetData>
  <mergeCells count="72">
    <mergeCell ref="AJ17:AL17"/>
    <mergeCell ref="AJ21:AL21"/>
    <mergeCell ref="AJ22:AL22"/>
    <mergeCell ref="L15:O15"/>
    <mergeCell ref="P15:S15"/>
    <mergeCell ref="X17:AA17"/>
    <mergeCell ref="AB17:AE17"/>
    <mergeCell ref="T16:W16"/>
    <mergeCell ref="X16:AA16"/>
    <mergeCell ref="T17:W17"/>
    <mergeCell ref="AF15:AI15"/>
    <mergeCell ref="AB16:AE16"/>
    <mergeCell ref="AF16:AI16"/>
    <mergeCell ref="AB21:AE21"/>
    <mergeCell ref="X22:AA22"/>
    <mergeCell ref="AB22:AE22"/>
    <mergeCell ref="AJ13:AL13"/>
    <mergeCell ref="AJ14:AL14"/>
    <mergeCell ref="AJ15:AL15"/>
    <mergeCell ref="AJ16:AL16"/>
    <mergeCell ref="L14:O14"/>
    <mergeCell ref="P14:S14"/>
    <mergeCell ref="AF14:AI14"/>
    <mergeCell ref="T13:W13"/>
    <mergeCell ref="X13:AA13"/>
    <mergeCell ref="AB13:AE13"/>
    <mergeCell ref="B95:B103"/>
    <mergeCell ref="P16:S16"/>
    <mergeCell ref="D17:G17"/>
    <mergeCell ref="H17:K17"/>
    <mergeCell ref="L17:O17"/>
    <mergeCell ref="P17:S17"/>
    <mergeCell ref="B83:B90"/>
    <mergeCell ref="D21:G21"/>
    <mergeCell ref="H21:K21"/>
    <mergeCell ref="L21:O21"/>
    <mergeCell ref="B59:B66"/>
    <mergeCell ref="B67:B74"/>
    <mergeCell ref="D16:G16"/>
    <mergeCell ref="H16:K16"/>
    <mergeCell ref="L16:O16"/>
    <mergeCell ref="D13:G13"/>
    <mergeCell ref="H13:K13"/>
    <mergeCell ref="L13:O13"/>
    <mergeCell ref="P13:S13"/>
    <mergeCell ref="B75:B82"/>
    <mergeCell ref="H14:K14"/>
    <mergeCell ref="AF22:AI22"/>
    <mergeCell ref="B35:B42"/>
    <mergeCell ref="B43:B50"/>
    <mergeCell ref="B51:B58"/>
    <mergeCell ref="D22:G22"/>
    <mergeCell ref="H22:K22"/>
    <mergeCell ref="L22:O22"/>
    <mergeCell ref="P22:S22"/>
    <mergeCell ref="T22:W22"/>
    <mergeCell ref="T21:W21"/>
    <mergeCell ref="X21:AA21"/>
    <mergeCell ref="AF21:AI21"/>
    <mergeCell ref="AF17:AI17"/>
    <mergeCell ref="B5:C5"/>
    <mergeCell ref="P21:S21"/>
    <mergeCell ref="D15:G15"/>
    <mergeCell ref="H15:K15"/>
    <mergeCell ref="T14:W14"/>
    <mergeCell ref="X14:AA14"/>
    <mergeCell ref="AB14:AE14"/>
    <mergeCell ref="T15:W15"/>
    <mergeCell ref="X15:AA15"/>
    <mergeCell ref="AB15:AE15"/>
    <mergeCell ref="AF13:AI13"/>
    <mergeCell ref="D14:G14"/>
  </mergeCells>
  <dataValidations count="2">
    <dataValidation type="list" allowBlank="1" showInputMessage="1" showErrorMessage="1" sqref="D25:AL25" xr:uid="{00000000-0002-0000-0A00-000000000000}">
      <formula1>"ok,não"</formula1>
    </dataValidation>
    <dataValidation type="list" allowBlank="1" showInputMessage="1" showErrorMessage="1" sqref="C3:C4" xr:uid="{00000000-0002-0000-0A00-000001000000}">
      <formula1>"SIM,NÃO"</formula1>
    </dataValidation>
  </dataValidations>
  <pageMargins left="0.511811024" right="0.511811024" top="0.78740157499999996" bottom="0.78740157499999996" header="0.31496062000000002" footer="0.31496062000000002"/>
  <pageSetup paperSize="8" scale="34"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58B46-4EA0-40FB-A2CD-C0C534FF2B2F}">
  <dimension ref="A1:AL18"/>
  <sheetViews>
    <sheetView showGridLines="0" workbookViewId="0">
      <selection activeCell="H21" sqref="H21"/>
    </sheetView>
  </sheetViews>
  <sheetFormatPr defaultRowHeight="15" x14ac:dyDescent="0.25"/>
  <cols>
    <col min="1" max="1" width="14.85546875" bestFit="1" customWidth="1"/>
    <col min="2" max="2" width="53.140625" bestFit="1" customWidth="1"/>
  </cols>
  <sheetData>
    <row r="1" spans="1:38" ht="15.75" thickBot="1" x14ac:dyDescent="0.3">
      <c r="A1" s="309" t="s">
        <v>520</v>
      </c>
    </row>
    <row r="2" spans="1:38" x14ac:dyDescent="0.25">
      <c r="A2" s="145" t="s">
        <v>526</v>
      </c>
      <c r="B2" s="568" t="s">
        <v>386</v>
      </c>
      <c r="C2" s="569">
        <v>1</v>
      </c>
      <c r="D2" s="569">
        <f t="shared" ref="D2:AK2" si="0">C2+1</f>
        <v>2</v>
      </c>
      <c r="E2" s="569">
        <f t="shared" si="0"/>
        <v>3</v>
      </c>
      <c r="F2" s="569">
        <f t="shared" si="0"/>
        <v>4</v>
      </c>
      <c r="G2" s="569">
        <f t="shared" si="0"/>
        <v>5</v>
      </c>
      <c r="H2" s="569">
        <f t="shared" si="0"/>
        <v>6</v>
      </c>
      <c r="I2" s="569">
        <f t="shared" si="0"/>
        <v>7</v>
      </c>
      <c r="J2" s="569">
        <f t="shared" si="0"/>
        <v>8</v>
      </c>
      <c r="K2" s="569">
        <f t="shared" si="0"/>
        <v>9</v>
      </c>
      <c r="L2" s="569">
        <f t="shared" si="0"/>
        <v>10</v>
      </c>
      <c r="M2" s="569">
        <f t="shared" si="0"/>
        <v>11</v>
      </c>
      <c r="N2" s="569">
        <f t="shared" si="0"/>
        <v>12</v>
      </c>
      <c r="O2" s="569">
        <f t="shared" si="0"/>
        <v>13</v>
      </c>
      <c r="P2" s="569">
        <f t="shared" si="0"/>
        <v>14</v>
      </c>
      <c r="Q2" s="569">
        <f t="shared" si="0"/>
        <v>15</v>
      </c>
      <c r="R2" s="569">
        <f t="shared" si="0"/>
        <v>16</v>
      </c>
      <c r="S2" s="569">
        <f t="shared" si="0"/>
        <v>17</v>
      </c>
      <c r="T2" s="569">
        <f t="shared" si="0"/>
        <v>18</v>
      </c>
      <c r="U2" s="569">
        <f t="shared" si="0"/>
        <v>19</v>
      </c>
      <c r="V2" s="569">
        <f t="shared" si="0"/>
        <v>20</v>
      </c>
      <c r="W2" s="569">
        <f t="shared" si="0"/>
        <v>21</v>
      </c>
      <c r="X2" s="569">
        <f t="shared" si="0"/>
        <v>22</v>
      </c>
      <c r="Y2" s="569">
        <f t="shared" si="0"/>
        <v>23</v>
      </c>
      <c r="Z2" s="569">
        <f t="shared" si="0"/>
        <v>24</v>
      </c>
      <c r="AA2" s="569">
        <f t="shared" si="0"/>
        <v>25</v>
      </c>
      <c r="AB2" s="569">
        <f t="shared" si="0"/>
        <v>26</v>
      </c>
      <c r="AC2" s="569">
        <f t="shared" si="0"/>
        <v>27</v>
      </c>
      <c r="AD2" s="569">
        <f t="shared" si="0"/>
        <v>28</v>
      </c>
      <c r="AE2" s="569">
        <f t="shared" si="0"/>
        <v>29</v>
      </c>
      <c r="AF2" s="569">
        <f t="shared" si="0"/>
        <v>30</v>
      </c>
      <c r="AG2" s="569">
        <f t="shared" si="0"/>
        <v>31</v>
      </c>
      <c r="AH2" s="569">
        <f t="shared" si="0"/>
        <v>32</v>
      </c>
      <c r="AI2" s="569">
        <f t="shared" si="0"/>
        <v>33</v>
      </c>
      <c r="AJ2" s="569">
        <f t="shared" si="0"/>
        <v>34</v>
      </c>
      <c r="AK2" s="569">
        <f t="shared" si="0"/>
        <v>35</v>
      </c>
      <c r="AL2" s="570" t="s">
        <v>315</v>
      </c>
    </row>
    <row r="3" spans="1:38" x14ac:dyDescent="0.25">
      <c r="A3" s="213" t="s">
        <v>522</v>
      </c>
      <c r="B3" s="571" t="str">
        <f>'FCD PROJETO'!B55</f>
        <v>2.2.1  - Custeio de mão de obra e encargos sociais</v>
      </c>
      <c r="C3" s="572" t="e">
        <f>('FCD PROJETO'!F55/'FCD PROJETO'!F$53)</f>
        <v>#DIV/0!</v>
      </c>
      <c r="D3" s="572" t="e">
        <f>('FCD PROJETO'!G55/'FCD PROJETO'!G$53)</f>
        <v>#DIV/0!</v>
      </c>
      <c r="E3" s="572" t="e">
        <f>('FCD PROJETO'!H55/'FCD PROJETO'!H$53)</f>
        <v>#DIV/0!</v>
      </c>
      <c r="F3" s="572" t="e">
        <f>('FCD PROJETO'!I55/'FCD PROJETO'!I$53)</f>
        <v>#DIV/0!</v>
      </c>
      <c r="G3" s="572" t="e">
        <f>('FCD PROJETO'!J55/'FCD PROJETO'!J$53)</f>
        <v>#DIV/0!</v>
      </c>
      <c r="H3" s="572" t="e">
        <f>('FCD PROJETO'!K55/'FCD PROJETO'!K$53)</f>
        <v>#DIV/0!</v>
      </c>
      <c r="I3" s="572" t="e">
        <f>('FCD PROJETO'!L55/'FCD PROJETO'!L$53)</f>
        <v>#DIV/0!</v>
      </c>
      <c r="J3" s="572" t="e">
        <f>('FCD PROJETO'!M55/'FCD PROJETO'!M$53)</f>
        <v>#DIV/0!</v>
      </c>
      <c r="K3" s="572" t="e">
        <f>('FCD PROJETO'!N55/'FCD PROJETO'!N$53)</f>
        <v>#DIV/0!</v>
      </c>
      <c r="L3" s="572" t="e">
        <f>('FCD PROJETO'!O55/'FCD PROJETO'!O$53)</f>
        <v>#DIV/0!</v>
      </c>
      <c r="M3" s="572" t="e">
        <f>('FCD PROJETO'!P55/'FCD PROJETO'!P$53)</f>
        <v>#DIV/0!</v>
      </c>
      <c r="N3" s="572" t="e">
        <f>('FCD PROJETO'!Q55/'FCD PROJETO'!Q$53)</f>
        <v>#DIV/0!</v>
      </c>
      <c r="O3" s="572" t="e">
        <f>('FCD PROJETO'!R55/'FCD PROJETO'!R$53)</f>
        <v>#DIV/0!</v>
      </c>
      <c r="P3" s="572" t="e">
        <f>('FCD PROJETO'!S55/'FCD PROJETO'!S$53)</f>
        <v>#DIV/0!</v>
      </c>
      <c r="Q3" s="572" t="e">
        <f>('FCD PROJETO'!T55/'FCD PROJETO'!T$53)</f>
        <v>#DIV/0!</v>
      </c>
      <c r="R3" s="572" t="e">
        <f>('FCD PROJETO'!U55/'FCD PROJETO'!U$53)</f>
        <v>#DIV/0!</v>
      </c>
      <c r="S3" s="572" t="e">
        <f>('FCD PROJETO'!V55/'FCD PROJETO'!V$53)</f>
        <v>#DIV/0!</v>
      </c>
      <c r="T3" s="572" t="e">
        <f>('FCD PROJETO'!W55/'FCD PROJETO'!W$53)</f>
        <v>#DIV/0!</v>
      </c>
      <c r="U3" s="572" t="e">
        <f>('FCD PROJETO'!X55/'FCD PROJETO'!X$53)</f>
        <v>#DIV/0!</v>
      </c>
      <c r="V3" s="572" t="e">
        <f>('FCD PROJETO'!Y55/'FCD PROJETO'!Y$53)</f>
        <v>#DIV/0!</v>
      </c>
      <c r="W3" s="572" t="e">
        <f>('FCD PROJETO'!Z55/'FCD PROJETO'!Z$53)</f>
        <v>#DIV/0!</v>
      </c>
      <c r="X3" s="572" t="e">
        <f>('FCD PROJETO'!AA55/'FCD PROJETO'!AA$53)</f>
        <v>#DIV/0!</v>
      </c>
      <c r="Y3" s="572" t="e">
        <f>('FCD PROJETO'!AB55/'FCD PROJETO'!AB$53)</f>
        <v>#DIV/0!</v>
      </c>
      <c r="Z3" s="572" t="e">
        <f>('FCD PROJETO'!AC55/'FCD PROJETO'!AC$53)</f>
        <v>#DIV/0!</v>
      </c>
      <c r="AA3" s="572" t="e">
        <f>('FCD PROJETO'!AD55/'FCD PROJETO'!AD$53)</f>
        <v>#DIV/0!</v>
      </c>
      <c r="AB3" s="572" t="e">
        <f>('FCD PROJETO'!AE55/'FCD PROJETO'!AE$53)</f>
        <v>#DIV/0!</v>
      </c>
      <c r="AC3" s="572" t="e">
        <f>('FCD PROJETO'!AF55/'FCD PROJETO'!AF$53)</f>
        <v>#DIV/0!</v>
      </c>
      <c r="AD3" s="572" t="e">
        <f>('FCD PROJETO'!AG55/'FCD PROJETO'!AG$53)</f>
        <v>#DIV/0!</v>
      </c>
      <c r="AE3" s="572" t="e">
        <f>('FCD PROJETO'!AH55/'FCD PROJETO'!AH$53)</f>
        <v>#DIV/0!</v>
      </c>
      <c r="AF3" s="572" t="e">
        <f>('FCD PROJETO'!AI55/'FCD PROJETO'!AI$53)</f>
        <v>#DIV/0!</v>
      </c>
      <c r="AG3" s="572" t="e">
        <f>('FCD PROJETO'!AJ55/'FCD PROJETO'!AJ$53)</f>
        <v>#DIV/0!</v>
      </c>
      <c r="AH3" s="572" t="e">
        <f>('FCD PROJETO'!AK55/'FCD PROJETO'!AK$53)</f>
        <v>#DIV/0!</v>
      </c>
      <c r="AI3" s="572" t="e">
        <f>('FCD PROJETO'!AL55/'FCD PROJETO'!AL$53)</f>
        <v>#DIV/0!</v>
      </c>
      <c r="AJ3" s="572" t="e">
        <f>('FCD PROJETO'!AM55/'FCD PROJETO'!AM$53)</f>
        <v>#DIV/0!</v>
      </c>
      <c r="AK3" s="572" t="e">
        <f>('FCD PROJETO'!AN55/'FCD PROJETO'!AN$53)</f>
        <v>#DIV/0!</v>
      </c>
      <c r="AL3" s="573" t="e">
        <f>AVERAGE(C3:AK3)</f>
        <v>#DIV/0!</v>
      </c>
    </row>
    <row r="4" spans="1:38" x14ac:dyDescent="0.25">
      <c r="B4" s="571" t="str">
        <f>'FCD PROJETO'!B56</f>
        <v>2.2.2   - Custeio de serviços e materiais p/ manut. de redes</v>
      </c>
      <c r="C4" s="572" t="e">
        <f>('FCD PROJETO'!F56/'FCD PROJETO'!F$53)</f>
        <v>#DIV/0!</v>
      </c>
      <c r="D4" s="572" t="e">
        <f>('FCD PROJETO'!G56/'FCD PROJETO'!G$53)</f>
        <v>#DIV/0!</v>
      </c>
      <c r="E4" s="572" t="e">
        <f>('FCD PROJETO'!H56/'FCD PROJETO'!H$53)</f>
        <v>#DIV/0!</v>
      </c>
      <c r="F4" s="572" t="e">
        <f>('FCD PROJETO'!I56/'FCD PROJETO'!I$53)</f>
        <v>#DIV/0!</v>
      </c>
      <c r="G4" s="572" t="e">
        <f>('FCD PROJETO'!J56/'FCD PROJETO'!J$53)</f>
        <v>#DIV/0!</v>
      </c>
      <c r="H4" s="572" t="e">
        <f>('FCD PROJETO'!K56/'FCD PROJETO'!K$53)</f>
        <v>#DIV/0!</v>
      </c>
      <c r="I4" s="572" t="e">
        <f>('FCD PROJETO'!L56/'FCD PROJETO'!L$53)</f>
        <v>#DIV/0!</v>
      </c>
      <c r="J4" s="572" t="e">
        <f>('FCD PROJETO'!M56/'FCD PROJETO'!M$53)</f>
        <v>#DIV/0!</v>
      </c>
      <c r="K4" s="572" t="e">
        <f>('FCD PROJETO'!N56/'FCD PROJETO'!N$53)</f>
        <v>#DIV/0!</v>
      </c>
      <c r="L4" s="572" t="e">
        <f>('FCD PROJETO'!O56/'FCD PROJETO'!O$53)</f>
        <v>#DIV/0!</v>
      </c>
      <c r="M4" s="572" t="e">
        <f>('FCD PROJETO'!P56/'FCD PROJETO'!P$53)</f>
        <v>#DIV/0!</v>
      </c>
      <c r="N4" s="572" t="e">
        <f>('FCD PROJETO'!Q56/'FCD PROJETO'!Q$53)</f>
        <v>#DIV/0!</v>
      </c>
      <c r="O4" s="572" t="e">
        <f>('FCD PROJETO'!R56/'FCD PROJETO'!R$53)</f>
        <v>#DIV/0!</v>
      </c>
      <c r="P4" s="572" t="e">
        <f>('FCD PROJETO'!S56/'FCD PROJETO'!S$53)</f>
        <v>#DIV/0!</v>
      </c>
      <c r="Q4" s="572" t="e">
        <f>('FCD PROJETO'!T56/'FCD PROJETO'!T$53)</f>
        <v>#DIV/0!</v>
      </c>
      <c r="R4" s="572" t="e">
        <f>('FCD PROJETO'!U56/'FCD PROJETO'!U$53)</f>
        <v>#DIV/0!</v>
      </c>
      <c r="S4" s="572" t="e">
        <f>('FCD PROJETO'!V56/'FCD PROJETO'!V$53)</f>
        <v>#DIV/0!</v>
      </c>
      <c r="T4" s="572" t="e">
        <f>('FCD PROJETO'!W56/'FCD PROJETO'!W$53)</f>
        <v>#DIV/0!</v>
      </c>
      <c r="U4" s="572" t="e">
        <f>('FCD PROJETO'!X56/'FCD PROJETO'!X$53)</f>
        <v>#DIV/0!</v>
      </c>
      <c r="V4" s="572" t="e">
        <f>('FCD PROJETO'!Y56/'FCD PROJETO'!Y$53)</f>
        <v>#DIV/0!</v>
      </c>
      <c r="W4" s="572" t="e">
        <f>('FCD PROJETO'!Z56/'FCD PROJETO'!Z$53)</f>
        <v>#DIV/0!</v>
      </c>
      <c r="X4" s="572" t="e">
        <f>('FCD PROJETO'!AA56/'FCD PROJETO'!AA$53)</f>
        <v>#DIV/0!</v>
      </c>
      <c r="Y4" s="572" t="e">
        <f>('FCD PROJETO'!AB56/'FCD PROJETO'!AB$53)</f>
        <v>#DIV/0!</v>
      </c>
      <c r="Z4" s="572" t="e">
        <f>('FCD PROJETO'!AC56/'FCD PROJETO'!AC$53)</f>
        <v>#DIV/0!</v>
      </c>
      <c r="AA4" s="572" t="e">
        <f>('FCD PROJETO'!AD56/'FCD PROJETO'!AD$53)</f>
        <v>#DIV/0!</v>
      </c>
      <c r="AB4" s="572" t="e">
        <f>('FCD PROJETO'!AE56/'FCD PROJETO'!AE$53)</f>
        <v>#DIV/0!</v>
      </c>
      <c r="AC4" s="572" t="e">
        <f>('FCD PROJETO'!AF56/'FCD PROJETO'!AF$53)</f>
        <v>#DIV/0!</v>
      </c>
      <c r="AD4" s="572" t="e">
        <f>('FCD PROJETO'!AG56/'FCD PROJETO'!AG$53)</f>
        <v>#DIV/0!</v>
      </c>
      <c r="AE4" s="572" t="e">
        <f>('FCD PROJETO'!AH56/'FCD PROJETO'!AH$53)</f>
        <v>#DIV/0!</v>
      </c>
      <c r="AF4" s="572" t="e">
        <f>('FCD PROJETO'!AI56/'FCD PROJETO'!AI$53)</f>
        <v>#DIV/0!</v>
      </c>
      <c r="AG4" s="572" t="e">
        <f>('FCD PROJETO'!AJ56/'FCD PROJETO'!AJ$53)</f>
        <v>#DIV/0!</v>
      </c>
      <c r="AH4" s="572" t="e">
        <f>('FCD PROJETO'!AK56/'FCD PROJETO'!AK$53)</f>
        <v>#DIV/0!</v>
      </c>
      <c r="AI4" s="572" t="e">
        <f>('FCD PROJETO'!AL56/'FCD PROJETO'!AL$53)</f>
        <v>#DIV/0!</v>
      </c>
      <c r="AJ4" s="572" t="e">
        <f>('FCD PROJETO'!AM56/'FCD PROJETO'!AM$53)</f>
        <v>#DIV/0!</v>
      </c>
      <c r="AK4" s="572" t="e">
        <f>('FCD PROJETO'!AN56/'FCD PROJETO'!AN$53)</f>
        <v>#DIV/0!</v>
      </c>
      <c r="AL4" s="573" t="e">
        <f t="shared" ref="AL4:AL17" si="1">AVERAGE(C4:AK4)</f>
        <v>#DIV/0!</v>
      </c>
    </row>
    <row r="5" spans="1:38" x14ac:dyDescent="0.25">
      <c r="B5" s="571" t="str">
        <f>'FCD PROJETO'!B57</f>
        <v>2.2.3   - Custeio de serviços e materiais p/ manut. de veículos</v>
      </c>
      <c r="C5" s="572" t="e">
        <f>('FCD PROJETO'!F57/'FCD PROJETO'!F$53)</f>
        <v>#DIV/0!</v>
      </c>
      <c r="D5" s="572" t="e">
        <f>('FCD PROJETO'!G57/'FCD PROJETO'!G$53)</f>
        <v>#DIV/0!</v>
      </c>
      <c r="E5" s="572" t="e">
        <f>('FCD PROJETO'!H57/'FCD PROJETO'!H$53)</f>
        <v>#DIV/0!</v>
      </c>
      <c r="F5" s="572" t="e">
        <f>('FCD PROJETO'!I57/'FCD PROJETO'!I$53)</f>
        <v>#DIV/0!</v>
      </c>
      <c r="G5" s="572" t="e">
        <f>('FCD PROJETO'!J57/'FCD PROJETO'!J$53)</f>
        <v>#DIV/0!</v>
      </c>
      <c r="H5" s="572" t="e">
        <f>('FCD PROJETO'!K57/'FCD PROJETO'!K$53)</f>
        <v>#DIV/0!</v>
      </c>
      <c r="I5" s="572" t="e">
        <f>('FCD PROJETO'!L57/'FCD PROJETO'!L$53)</f>
        <v>#DIV/0!</v>
      </c>
      <c r="J5" s="572" t="e">
        <f>('FCD PROJETO'!M57/'FCD PROJETO'!M$53)</f>
        <v>#DIV/0!</v>
      </c>
      <c r="K5" s="572" t="e">
        <f>('FCD PROJETO'!N57/'FCD PROJETO'!N$53)</f>
        <v>#DIV/0!</v>
      </c>
      <c r="L5" s="572" t="e">
        <f>('FCD PROJETO'!O57/'FCD PROJETO'!O$53)</f>
        <v>#DIV/0!</v>
      </c>
      <c r="M5" s="572" t="e">
        <f>('FCD PROJETO'!P57/'FCD PROJETO'!P$53)</f>
        <v>#DIV/0!</v>
      </c>
      <c r="N5" s="572" t="e">
        <f>('FCD PROJETO'!Q57/'FCD PROJETO'!Q$53)</f>
        <v>#DIV/0!</v>
      </c>
      <c r="O5" s="572" t="e">
        <f>('FCD PROJETO'!R57/'FCD PROJETO'!R$53)</f>
        <v>#DIV/0!</v>
      </c>
      <c r="P5" s="572" t="e">
        <f>('FCD PROJETO'!S57/'FCD PROJETO'!S$53)</f>
        <v>#DIV/0!</v>
      </c>
      <c r="Q5" s="572" t="e">
        <f>('FCD PROJETO'!T57/'FCD PROJETO'!T$53)</f>
        <v>#DIV/0!</v>
      </c>
      <c r="R5" s="572" t="e">
        <f>('FCD PROJETO'!U57/'FCD PROJETO'!U$53)</f>
        <v>#DIV/0!</v>
      </c>
      <c r="S5" s="572" t="e">
        <f>('FCD PROJETO'!V57/'FCD PROJETO'!V$53)</f>
        <v>#DIV/0!</v>
      </c>
      <c r="T5" s="572" t="e">
        <f>('FCD PROJETO'!W57/'FCD PROJETO'!W$53)</f>
        <v>#DIV/0!</v>
      </c>
      <c r="U5" s="572" t="e">
        <f>('FCD PROJETO'!X57/'FCD PROJETO'!X$53)</f>
        <v>#DIV/0!</v>
      </c>
      <c r="V5" s="572" t="e">
        <f>('FCD PROJETO'!Y57/'FCD PROJETO'!Y$53)</f>
        <v>#DIV/0!</v>
      </c>
      <c r="W5" s="572" t="e">
        <f>('FCD PROJETO'!Z57/'FCD PROJETO'!Z$53)</f>
        <v>#DIV/0!</v>
      </c>
      <c r="X5" s="572" t="e">
        <f>('FCD PROJETO'!AA57/'FCD PROJETO'!AA$53)</f>
        <v>#DIV/0!</v>
      </c>
      <c r="Y5" s="572" t="e">
        <f>('FCD PROJETO'!AB57/'FCD PROJETO'!AB$53)</f>
        <v>#DIV/0!</v>
      </c>
      <c r="Z5" s="572" t="e">
        <f>('FCD PROJETO'!AC57/'FCD PROJETO'!AC$53)</f>
        <v>#DIV/0!</v>
      </c>
      <c r="AA5" s="572" t="e">
        <f>('FCD PROJETO'!AD57/'FCD PROJETO'!AD$53)</f>
        <v>#DIV/0!</v>
      </c>
      <c r="AB5" s="572" t="e">
        <f>('FCD PROJETO'!AE57/'FCD PROJETO'!AE$53)</f>
        <v>#DIV/0!</v>
      </c>
      <c r="AC5" s="572" t="e">
        <f>('FCD PROJETO'!AF57/'FCD PROJETO'!AF$53)</f>
        <v>#DIV/0!</v>
      </c>
      <c r="AD5" s="572" t="e">
        <f>('FCD PROJETO'!AG57/'FCD PROJETO'!AG$53)</f>
        <v>#DIV/0!</v>
      </c>
      <c r="AE5" s="572" t="e">
        <f>('FCD PROJETO'!AH57/'FCD PROJETO'!AH$53)</f>
        <v>#DIV/0!</v>
      </c>
      <c r="AF5" s="572" t="e">
        <f>('FCD PROJETO'!AI57/'FCD PROJETO'!AI$53)</f>
        <v>#DIV/0!</v>
      </c>
      <c r="AG5" s="572" t="e">
        <f>('FCD PROJETO'!AJ57/'FCD PROJETO'!AJ$53)</f>
        <v>#DIV/0!</v>
      </c>
      <c r="AH5" s="572" t="e">
        <f>('FCD PROJETO'!AK57/'FCD PROJETO'!AK$53)</f>
        <v>#DIV/0!</v>
      </c>
      <c r="AI5" s="572" t="e">
        <f>('FCD PROJETO'!AL57/'FCD PROJETO'!AL$53)</f>
        <v>#DIV/0!</v>
      </c>
      <c r="AJ5" s="572" t="e">
        <f>('FCD PROJETO'!AM57/'FCD PROJETO'!AM$53)</f>
        <v>#DIV/0!</v>
      </c>
      <c r="AK5" s="572" t="e">
        <f>('FCD PROJETO'!AN57/'FCD PROJETO'!AN$53)</f>
        <v>#DIV/0!</v>
      </c>
      <c r="AL5" s="573" t="e">
        <f t="shared" si="1"/>
        <v>#DIV/0!</v>
      </c>
    </row>
    <row r="6" spans="1:38" x14ac:dyDescent="0.25">
      <c r="B6" s="571" t="str">
        <f>'FCD PROJETO'!B58</f>
        <v>2.2.4   - Custeio de serviços e manut. de equipos eletromecânicos</v>
      </c>
      <c r="C6" s="572" t="e">
        <f>('FCD PROJETO'!F58/'FCD PROJETO'!F$53)</f>
        <v>#DIV/0!</v>
      </c>
      <c r="D6" s="572" t="e">
        <f>('FCD PROJETO'!G58/'FCD PROJETO'!G$53)</f>
        <v>#DIV/0!</v>
      </c>
      <c r="E6" s="572" t="e">
        <f>('FCD PROJETO'!H58/'FCD PROJETO'!H$53)</f>
        <v>#DIV/0!</v>
      </c>
      <c r="F6" s="572" t="e">
        <f>('FCD PROJETO'!I58/'FCD PROJETO'!I$53)</f>
        <v>#DIV/0!</v>
      </c>
      <c r="G6" s="572" t="e">
        <f>('FCD PROJETO'!J58/'FCD PROJETO'!J$53)</f>
        <v>#DIV/0!</v>
      </c>
      <c r="H6" s="572" t="e">
        <f>('FCD PROJETO'!K58/'FCD PROJETO'!K$53)</f>
        <v>#DIV/0!</v>
      </c>
      <c r="I6" s="572" t="e">
        <f>('FCD PROJETO'!L58/'FCD PROJETO'!L$53)</f>
        <v>#DIV/0!</v>
      </c>
      <c r="J6" s="572" t="e">
        <f>('FCD PROJETO'!M58/'FCD PROJETO'!M$53)</f>
        <v>#DIV/0!</v>
      </c>
      <c r="K6" s="572" t="e">
        <f>('FCD PROJETO'!N58/'FCD PROJETO'!N$53)</f>
        <v>#DIV/0!</v>
      </c>
      <c r="L6" s="572" t="e">
        <f>('FCD PROJETO'!O58/'FCD PROJETO'!O$53)</f>
        <v>#DIV/0!</v>
      </c>
      <c r="M6" s="572" t="e">
        <f>('FCD PROJETO'!P58/'FCD PROJETO'!P$53)</f>
        <v>#DIV/0!</v>
      </c>
      <c r="N6" s="572" t="e">
        <f>('FCD PROJETO'!Q58/'FCD PROJETO'!Q$53)</f>
        <v>#DIV/0!</v>
      </c>
      <c r="O6" s="572" t="e">
        <f>('FCD PROJETO'!R58/'FCD PROJETO'!R$53)</f>
        <v>#DIV/0!</v>
      </c>
      <c r="P6" s="572" t="e">
        <f>('FCD PROJETO'!S58/'FCD PROJETO'!S$53)</f>
        <v>#DIV/0!</v>
      </c>
      <c r="Q6" s="572" t="e">
        <f>('FCD PROJETO'!T58/'FCD PROJETO'!T$53)</f>
        <v>#DIV/0!</v>
      </c>
      <c r="R6" s="572" t="e">
        <f>('FCD PROJETO'!U58/'FCD PROJETO'!U$53)</f>
        <v>#DIV/0!</v>
      </c>
      <c r="S6" s="572" t="e">
        <f>('FCD PROJETO'!V58/'FCD PROJETO'!V$53)</f>
        <v>#DIV/0!</v>
      </c>
      <c r="T6" s="572" t="e">
        <f>('FCD PROJETO'!W58/'FCD PROJETO'!W$53)</f>
        <v>#DIV/0!</v>
      </c>
      <c r="U6" s="572" t="e">
        <f>('FCD PROJETO'!X58/'FCD PROJETO'!X$53)</f>
        <v>#DIV/0!</v>
      </c>
      <c r="V6" s="572" t="e">
        <f>('FCD PROJETO'!Y58/'FCD PROJETO'!Y$53)</f>
        <v>#DIV/0!</v>
      </c>
      <c r="W6" s="572" t="e">
        <f>('FCD PROJETO'!Z58/'FCD PROJETO'!Z$53)</f>
        <v>#DIV/0!</v>
      </c>
      <c r="X6" s="572" t="e">
        <f>('FCD PROJETO'!AA58/'FCD PROJETO'!AA$53)</f>
        <v>#DIV/0!</v>
      </c>
      <c r="Y6" s="572" t="e">
        <f>('FCD PROJETO'!AB58/'FCD PROJETO'!AB$53)</f>
        <v>#DIV/0!</v>
      </c>
      <c r="Z6" s="572" t="e">
        <f>('FCD PROJETO'!AC58/'FCD PROJETO'!AC$53)</f>
        <v>#DIV/0!</v>
      </c>
      <c r="AA6" s="572" t="e">
        <f>('FCD PROJETO'!AD58/'FCD PROJETO'!AD$53)</f>
        <v>#DIV/0!</v>
      </c>
      <c r="AB6" s="572" t="e">
        <f>('FCD PROJETO'!AE58/'FCD PROJETO'!AE$53)</f>
        <v>#DIV/0!</v>
      </c>
      <c r="AC6" s="572" t="e">
        <f>('FCD PROJETO'!AF58/'FCD PROJETO'!AF$53)</f>
        <v>#DIV/0!</v>
      </c>
      <c r="AD6" s="572" t="e">
        <f>('FCD PROJETO'!AG58/'FCD PROJETO'!AG$53)</f>
        <v>#DIV/0!</v>
      </c>
      <c r="AE6" s="572" t="e">
        <f>('FCD PROJETO'!AH58/'FCD PROJETO'!AH$53)</f>
        <v>#DIV/0!</v>
      </c>
      <c r="AF6" s="572" t="e">
        <f>('FCD PROJETO'!AI58/'FCD PROJETO'!AI$53)</f>
        <v>#DIV/0!</v>
      </c>
      <c r="AG6" s="572" t="e">
        <f>('FCD PROJETO'!AJ58/'FCD PROJETO'!AJ$53)</f>
        <v>#DIV/0!</v>
      </c>
      <c r="AH6" s="572" t="e">
        <f>('FCD PROJETO'!AK58/'FCD PROJETO'!AK$53)</f>
        <v>#DIV/0!</v>
      </c>
      <c r="AI6" s="572" t="e">
        <f>('FCD PROJETO'!AL58/'FCD PROJETO'!AL$53)</f>
        <v>#DIV/0!</v>
      </c>
      <c r="AJ6" s="572" t="e">
        <f>('FCD PROJETO'!AM58/'FCD PROJETO'!AM$53)</f>
        <v>#DIV/0!</v>
      </c>
      <c r="AK6" s="572" t="e">
        <f>('FCD PROJETO'!AN58/'FCD PROJETO'!AN$53)</f>
        <v>#DIV/0!</v>
      </c>
      <c r="AL6" s="573" t="e">
        <f t="shared" si="1"/>
        <v>#DIV/0!</v>
      </c>
    </row>
    <row r="7" spans="1:38" x14ac:dyDescent="0.25">
      <c r="B7" s="571" t="str">
        <f>'FCD PROJETO'!B59</f>
        <v>2.2.5   - Reposição de ativos e equipamentos.</v>
      </c>
      <c r="C7" s="572" t="e">
        <f>('FCD PROJETO'!F59/'FCD PROJETO'!F$53)</f>
        <v>#DIV/0!</v>
      </c>
      <c r="D7" s="572" t="e">
        <f>('FCD PROJETO'!G59/'FCD PROJETO'!G$53)</f>
        <v>#DIV/0!</v>
      </c>
      <c r="E7" s="572" t="e">
        <f>('FCD PROJETO'!H59/'FCD PROJETO'!H$53)</f>
        <v>#DIV/0!</v>
      </c>
      <c r="F7" s="572" t="e">
        <f>('FCD PROJETO'!I59/'FCD PROJETO'!I$53)</f>
        <v>#DIV/0!</v>
      </c>
      <c r="G7" s="572" t="e">
        <f>('FCD PROJETO'!J59/'FCD PROJETO'!J$53)</f>
        <v>#DIV/0!</v>
      </c>
      <c r="H7" s="572" t="e">
        <f>('FCD PROJETO'!K59/'FCD PROJETO'!K$53)</f>
        <v>#DIV/0!</v>
      </c>
      <c r="I7" s="572" t="e">
        <f>('FCD PROJETO'!L59/'FCD PROJETO'!L$53)</f>
        <v>#DIV/0!</v>
      </c>
      <c r="J7" s="572" t="e">
        <f>('FCD PROJETO'!M59/'FCD PROJETO'!M$53)</f>
        <v>#DIV/0!</v>
      </c>
      <c r="K7" s="572" t="e">
        <f>('FCD PROJETO'!N59/'FCD PROJETO'!N$53)</f>
        <v>#DIV/0!</v>
      </c>
      <c r="L7" s="572" t="e">
        <f>('FCD PROJETO'!O59/'FCD PROJETO'!O$53)</f>
        <v>#DIV/0!</v>
      </c>
      <c r="M7" s="572" t="e">
        <f>('FCD PROJETO'!P59/'FCD PROJETO'!P$53)</f>
        <v>#DIV/0!</v>
      </c>
      <c r="N7" s="572" t="e">
        <f>('FCD PROJETO'!Q59/'FCD PROJETO'!Q$53)</f>
        <v>#DIV/0!</v>
      </c>
      <c r="O7" s="572" t="e">
        <f>('FCD PROJETO'!R59/'FCD PROJETO'!R$53)</f>
        <v>#DIV/0!</v>
      </c>
      <c r="P7" s="572" t="e">
        <f>('FCD PROJETO'!S59/'FCD PROJETO'!S$53)</f>
        <v>#DIV/0!</v>
      </c>
      <c r="Q7" s="572" t="e">
        <f>('FCD PROJETO'!T59/'FCD PROJETO'!T$53)</f>
        <v>#DIV/0!</v>
      </c>
      <c r="R7" s="572" t="e">
        <f>('FCD PROJETO'!U59/'FCD PROJETO'!U$53)</f>
        <v>#DIV/0!</v>
      </c>
      <c r="S7" s="572" t="e">
        <f>('FCD PROJETO'!V59/'FCD PROJETO'!V$53)</f>
        <v>#DIV/0!</v>
      </c>
      <c r="T7" s="572" t="e">
        <f>('FCD PROJETO'!W59/'FCD PROJETO'!W$53)</f>
        <v>#DIV/0!</v>
      </c>
      <c r="U7" s="572" t="e">
        <f>('FCD PROJETO'!X59/'FCD PROJETO'!X$53)</f>
        <v>#DIV/0!</v>
      </c>
      <c r="V7" s="572" t="e">
        <f>('FCD PROJETO'!Y59/'FCD PROJETO'!Y$53)</f>
        <v>#DIV/0!</v>
      </c>
      <c r="W7" s="572" t="e">
        <f>('FCD PROJETO'!Z59/'FCD PROJETO'!Z$53)</f>
        <v>#DIV/0!</v>
      </c>
      <c r="X7" s="572" t="e">
        <f>('FCD PROJETO'!AA59/'FCD PROJETO'!AA$53)</f>
        <v>#DIV/0!</v>
      </c>
      <c r="Y7" s="572" t="e">
        <f>('FCD PROJETO'!AB59/'FCD PROJETO'!AB$53)</f>
        <v>#DIV/0!</v>
      </c>
      <c r="Z7" s="572" t="e">
        <f>('FCD PROJETO'!AC59/'FCD PROJETO'!AC$53)</f>
        <v>#DIV/0!</v>
      </c>
      <c r="AA7" s="572" t="e">
        <f>('FCD PROJETO'!AD59/'FCD PROJETO'!AD$53)</f>
        <v>#DIV/0!</v>
      </c>
      <c r="AB7" s="572" t="e">
        <f>('FCD PROJETO'!AE59/'FCD PROJETO'!AE$53)</f>
        <v>#DIV/0!</v>
      </c>
      <c r="AC7" s="572" t="e">
        <f>('FCD PROJETO'!AF59/'FCD PROJETO'!AF$53)</f>
        <v>#DIV/0!</v>
      </c>
      <c r="AD7" s="572" t="e">
        <f>('FCD PROJETO'!AG59/'FCD PROJETO'!AG$53)</f>
        <v>#DIV/0!</v>
      </c>
      <c r="AE7" s="572" t="e">
        <f>('FCD PROJETO'!AH59/'FCD PROJETO'!AH$53)</f>
        <v>#DIV/0!</v>
      </c>
      <c r="AF7" s="572" t="e">
        <f>('FCD PROJETO'!AI59/'FCD PROJETO'!AI$53)</f>
        <v>#DIV/0!</v>
      </c>
      <c r="AG7" s="572" t="e">
        <f>('FCD PROJETO'!AJ59/'FCD PROJETO'!AJ$53)</f>
        <v>#DIV/0!</v>
      </c>
      <c r="AH7" s="572" t="e">
        <f>('FCD PROJETO'!AK59/'FCD PROJETO'!AK$53)</f>
        <v>#DIV/0!</v>
      </c>
      <c r="AI7" s="572" t="e">
        <f>('FCD PROJETO'!AL59/'FCD PROJETO'!AL$53)</f>
        <v>#DIV/0!</v>
      </c>
      <c r="AJ7" s="572" t="e">
        <f>('FCD PROJETO'!AM59/'FCD PROJETO'!AM$53)</f>
        <v>#DIV/0!</v>
      </c>
      <c r="AK7" s="572" t="e">
        <f>('FCD PROJETO'!AN59/'FCD PROJETO'!AN$53)</f>
        <v>#DIV/0!</v>
      </c>
      <c r="AL7" s="573" t="e">
        <f t="shared" si="1"/>
        <v>#DIV/0!</v>
      </c>
    </row>
    <row r="8" spans="1:38" x14ac:dyDescent="0.25">
      <c r="B8" s="571" t="str">
        <f>'FCD PROJETO'!B60</f>
        <v>2.2.6   - Custeio de combustíveis e lubrificantes</v>
      </c>
      <c r="C8" s="572" t="e">
        <f>('FCD PROJETO'!F60/'FCD PROJETO'!F$53)</f>
        <v>#DIV/0!</v>
      </c>
      <c r="D8" s="572" t="e">
        <f>('FCD PROJETO'!G60/'FCD PROJETO'!G$53)</f>
        <v>#DIV/0!</v>
      </c>
      <c r="E8" s="572" t="e">
        <f>('FCD PROJETO'!H60/'FCD PROJETO'!H$53)</f>
        <v>#DIV/0!</v>
      </c>
      <c r="F8" s="572" t="e">
        <f>('FCD PROJETO'!I60/'FCD PROJETO'!I$53)</f>
        <v>#DIV/0!</v>
      </c>
      <c r="G8" s="572" t="e">
        <f>('FCD PROJETO'!J60/'FCD PROJETO'!J$53)</f>
        <v>#DIV/0!</v>
      </c>
      <c r="H8" s="572" t="e">
        <f>('FCD PROJETO'!K60/'FCD PROJETO'!K$53)</f>
        <v>#DIV/0!</v>
      </c>
      <c r="I8" s="572" t="e">
        <f>('FCD PROJETO'!L60/'FCD PROJETO'!L$53)</f>
        <v>#DIV/0!</v>
      </c>
      <c r="J8" s="572" t="e">
        <f>('FCD PROJETO'!M60/'FCD PROJETO'!M$53)</f>
        <v>#DIV/0!</v>
      </c>
      <c r="K8" s="572" t="e">
        <f>('FCD PROJETO'!N60/'FCD PROJETO'!N$53)</f>
        <v>#DIV/0!</v>
      </c>
      <c r="L8" s="572" t="e">
        <f>('FCD PROJETO'!O60/'FCD PROJETO'!O$53)</f>
        <v>#DIV/0!</v>
      </c>
      <c r="M8" s="572" t="e">
        <f>('FCD PROJETO'!P60/'FCD PROJETO'!P$53)</f>
        <v>#DIV/0!</v>
      </c>
      <c r="N8" s="572" t="e">
        <f>('FCD PROJETO'!Q60/'FCD PROJETO'!Q$53)</f>
        <v>#DIV/0!</v>
      </c>
      <c r="O8" s="572" t="e">
        <f>('FCD PROJETO'!R60/'FCD PROJETO'!R$53)</f>
        <v>#DIV/0!</v>
      </c>
      <c r="P8" s="572" t="e">
        <f>('FCD PROJETO'!S60/'FCD PROJETO'!S$53)</f>
        <v>#DIV/0!</v>
      </c>
      <c r="Q8" s="572" t="e">
        <f>('FCD PROJETO'!T60/'FCD PROJETO'!T$53)</f>
        <v>#DIV/0!</v>
      </c>
      <c r="R8" s="572" t="e">
        <f>('FCD PROJETO'!U60/'FCD PROJETO'!U$53)</f>
        <v>#DIV/0!</v>
      </c>
      <c r="S8" s="572" t="e">
        <f>('FCD PROJETO'!V60/'FCD PROJETO'!V$53)</f>
        <v>#DIV/0!</v>
      </c>
      <c r="T8" s="572" t="e">
        <f>('FCD PROJETO'!W60/'FCD PROJETO'!W$53)</f>
        <v>#DIV/0!</v>
      </c>
      <c r="U8" s="572" t="e">
        <f>('FCD PROJETO'!X60/'FCD PROJETO'!X$53)</f>
        <v>#DIV/0!</v>
      </c>
      <c r="V8" s="572" t="e">
        <f>('FCD PROJETO'!Y60/'FCD PROJETO'!Y$53)</f>
        <v>#DIV/0!</v>
      </c>
      <c r="W8" s="572" t="e">
        <f>('FCD PROJETO'!Z60/'FCD PROJETO'!Z$53)</f>
        <v>#DIV/0!</v>
      </c>
      <c r="X8" s="572" t="e">
        <f>('FCD PROJETO'!AA60/'FCD PROJETO'!AA$53)</f>
        <v>#DIV/0!</v>
      </c>
      <c r="Y8" s="572" t="e">
        <f>('FCD PROJETO'!AB60/'FCD PROJETO'!AB$53)</f>
        <v>#DIV/0!</v>
      </c>
      <c r="Z8" s="572" t="e">
        <f>('FCD PROJETO'!AC60/'FCD PROJETO'!AC$53)</f>
        <v>#DIV/0!</v>
      </c>
      <c r="AA8" s="572" t="e">
        <f>('FCD PROJETO'!AD60/'FCD PROJETO'!AD$53)</f>
        <v>#DIV/0!</v>
      </c>
      <c r="AB8" s="572" t="e">
        <f>('FCD PROJETO'!AE60/'FCD PROJETO'!AE$53)</f>
        <v>#DIV/0!</v>
      </c>
      <c r="AC8" s="572" t="e">
        <f>('FCD PROJETO'!AF60/'FCD PROJETO'!AF$53)</f>
        <v>#DIV/0!</v>
      </c>
      <c r="AD8" s="572" t="e">
        <f>('FCD PROJETO'!AG60/'FCD PROJETO'!AG$53)</f>
        <v>#DIV/0!</v>
      </c>
      <c r="AE8" s="572" t="e">
        <f>('FCD PROJETO'!AH60/'FCD PROJETO'!AH$53)</f>
        <v>#DIV/0!</v>
      </c>
      <c r="AF8" s="572" t="e">
        <f>('FCD PROJETO'!AI60/'FCD PROJETO'!AI$53)</f>
        <v>#DIV/0!</v>
      </c>
      <c r="AG8" s="572" t="e">
        <f>('FCD PROJETO'!AJ60/'FCD PROJETO'!AJ$53)</f>
        <v>#DIV/0!</v>
      </c>
      <c r="AH8" s="572" t="e">
        <f>('FCD PROJETO'!AK60/'FCD PROJETO'!AK$53)</f>
        <v>#DIV/0!</v>
      </c>
      <c r="AI8" s="572" t="e">
        <f>('FCD PROJETO'!AL60/'FCD PROJETO'!AL$53)</f>
        <v>#DIV/0!</v>
      </c>
      <c r="AJ8" s="572" t="e">
        <f>('FCD PROJETO'!AM60/'FCD PROJETO'!AM$53)</f>
        <v>#DIV/0!</v>
      </c>
      <c r="AK8" s="572" t="e">
        <f>('FCD PROJETO'!AN60/'FCD PROJETO'!AN$53)</f>
        <v>#DIV/0!</v>
      </c>
      <c r="AL8" s="573" t="e">
        <f t="shared" si="1"/>
        <v>#DIV/0!</v>
      </c>
    </row>
    <row r="9" spans="1:38" x14ac:dyDescent="0.25">
      <c r="B9" s="574" t="str">
        <f>'FCD PROJETO'!B61</f>
        <v>2.2.7   - Custeio de energia elétrica</v>
      </c>
      <c r="C9" s="572" t="e">
        <f>('FCD PROJETO'!F61/'FCD PROJETO'!F$53)</f>
        <v>#DIV/0!</v>
      </c>
      <c r="D9" s="572" t="e">
        <f>('FCD PROJETO'!G61/'FCD PROJETO'!G$53)</f>
        <v>#DIV/0!</v>
      </c>
      <c r="E9" s="572" t="e">
        <f>('FCD PROJETO'!H61/'FCD PROJETO'!H$53)</f>
        <v>#DIV/0!</v>
      </c>
      <c r="F9" s="572" t="e">
        <f>('FCD PROJETO'!I61/'FCD PROJETO'!I$53)</f>
        <v>#DIV/0!</v>
      </c>
      <c r="G9" s="572" t="e">
        <f>('FCD PROJETO'!J61/'FCD PROJETO'!J$53)</f>
        <v>#DIV/0!</v>
      </c>
      <c r="H9" s="572" t="e">
        <f>('FCD PROJETO'!K61/'FCD PROJETO'!K$53)</f>
        <v>#DIV/0!</v>
      </c>
      <c r="I9" s="572" t="e">
        <f>('FCD PROJETO'!L61/'FCD PROJETO'!L$53)</f>
        <v>#DIV/0!</v>
      </c>
      <c r="J9" s="572" t="e">
        <f>('FCD PROJETO'!M61/'FCD PROJETO'!M$53)</f>
        <v>#DIV/0!</v>
      </c>
      <c r="K9" s="572" t="e">
        <f>('FCD PROJETO'!N61/'FCD PROJETO'!N$53)</f>
        <v>#DIV/0!</v>
      </c>
      <c r="L9" s="572" t="e">
        <f>('FCD PROJETO'!O61/'FCD PROJETO'!O$53)</f>
        <v>#DIV/0!</v>
      </c>
      <c r="M9" s="572" t="e">
        <f>('FCD PROJETO'!P61/'FCD PROJETO'!P$53)</f>
        <v>#DIV/0!</v>
      </c>
      <c r="N9" s="572" t="e">
        <f>('FCD PROJETO'!Q61/'FCD PROJETO'!Q$53)</f>
        <v>#DIV/0!</v>
      </c>
      <c r="O9" s="572" t="e">
        <f>('FCD PROJETO'!R61/'FCD PROJETO'!R$53)</f>
        <v>#DIV/0!</v>
      </c>
      <c r="P9" s="572" t="e">
        <f>('FCD PROJETO'!S61/'FCD PROJETO'!S$53)</f>
        <v>#DIV/0!</v>
      </c>
      <c r="Q9" s="572" t="e">
        <f>('FCD PROJETO'!T61/'FCD PROJETO'!T$53)</f>
        <v>#DIV/0!</v>
      </c>
      <c r="R9" s="572" t="e">
        <f>('FCD PROJETO'!U61/'FCD PROJETO'!U$53)</f>
        <v>#DIV/0!</v>
      </c>
      <c r="S9" s="572" t="e">
        <f>('FCD PROJETO'!V61/'FCD PROJETO'!V$53)</f>
        <v>#DIV/0!</v>
      </c>
      <c r="T9" s="572" t="e">
        <f>('FCD PROJETO'!W61/'FCD PROJETO'!W$53)</f>
        <v>#DIV/0!</v>
      </c>
      <c r="U9" s="572" t="e">
        <f>('FCD PROJETO'!X61/'FCD PROJETO'!X$53)</f>
        <v>#DIV/0!</v>
      </c>
      <c r="V9" s="572" t="e">
        <f>('FCD PROJETO'!Y61/'FCD PROJETO'!Y$53)</f>
        <v>#DIV/0!</v>
      </c>
      <c r="W9" s="572" t="e">
        <f>('FCD PROJETO'!Z61/'FCD PROJETO'!Z$53)</f>
        <v>#DIV/0!</v>
      </c>
      <c r="X9" s="572" t="e">
        <f>('FCD PROJETO'!AA61/'FCD PROJETO'!AA$53)</f>
        <v>#DIV/0!</v>
      </c>
      <c r="Y9" s="572" t="e">
        <f>('FCD PROJETO'!AB61/'FCD PROJETO'!AB$53)</f>
        <v>#DIV/0!</v>
      </c>
      <c r="Z9" s="572" t="e">
        <f>('FCD PROJETO'!AC61/'FCD PROJETO'!AC$53)</f>
        <v>#DIV/0!</v>
      </c>
      <c r="AA9" s="572" t="e">
        <f>('FCD PROJETO'!AD61/'FCD PROJETO'!AD$53)</f>
        <v>#DIV/0!</v>
      </c>
      <c r="AB9" s="572" t="e">
        <f>('FCD PROJETO'!AE61/'FCD PROJETO'!AE$53)</f>
        <v>#DIV/0!</v>
      </c>
      <c r="AC9" s="572" t="e">
        <f>('FCD PROJETO'!AF61/'FCD PROJETO'!AF$53)</f>
        <v>#DIV/0!</v>
      </c>
      <c r="AD9" s="572" t="e">
        <f>('FCD PROJETO'!AG61/'FCD PROJETO'!AG$53)</f>
        <v>#DIV/0!</v>
      </c>
      <c r="AE9" s="572" t="e">
        <f>('FCD PROJETO'!AH61/'FCD PROJETO'!AH$53)</f>
        <v>#DIV/0!</v>
      </c>
      <c r="AF9" s="572" t="e">
        <f>('FCD PROJETO'!AI61/'FCD PROJETO'!AI$53)</f>
        <v>#DIV/0!</v>
      </c>
      <c r="AG9" s="572" t="e">
        <f>('FCD PROJETO'!AJ61/'FCD PROJETO'!AJ$53)</f>
        <v>#DIV/0!</v>
      </c>
      <c r="AH9" s="572" t="e">
        <f>('FCD PROJETO'!AK61/'FCD PROJETO'!AK$53)</f>
        <v>#DIV/0!</v>
      </c>
      <c r="AI9" s="572" t="e">
        <f>('FCD PROJETO'!AL61/'FCD PROJETO'!AL$53)</f>
        <v>#DIV/0!</v>
      </c>
      <c r="AJ9" s="572" t="e">
        <f>('FCD PROJETO'!AM61/'FCD PROJETO'!AM$53)</f>
        <v>#DIV/0!</v>
      </c>
      <c r="AK9" s="572" t="e">
        <f>('FCD PROJETO'!AN61/'FCD PROJETO'!AN$53)</f>
        <v>#DIV/0!</v>
      </c>
      <c r="AL9" s="573" t="e">
        <f t="shared" si="1"/>
        <v>#DIV/0!</v>
      </c>
    </row>
    <row r="10" spans="1:38" x14ac:dyDescent="0.25">
      <c r="B10" s="571" t="str">
        <f>'FCD PROJETO'!B62</f>
        <v>2.2.8   - Custeio de produto químico</v>
      </c>
      <c r="C10" s="572" t="e">
        <f>('FCD PROJETO'!F62/'FCD PROJETO'!F$53)</f>
        <v>#DIV/0!</v>
      </c>
      <c r="D10" s="572" t="e">
        <f>('FCD PROJETO'!G62/'FCD PROJETO'!G$53)</f>
        <v>#DIV/0!</v>
      </c>
      <c r="E10" s="572" t="e">
        <f>('FCD PROJETO'!H62/'FCD PROJETO'!H$53)</f>
        <v>#DIV/0!</v>
      </c>
      <c r="F10" s="572" t="e">
        <f>('FCD PROJETO'!I62/'FCD PROJETO'!I$53)</f>
        <v>#DIV/0!</v>
      </c>
      <c r="G10" s="572" t="e">
        <f>('FCD PROJETO'!J62/'FCD PROJETO'!J$53)</f>
        <v>#DIV/0!</v>
      </c>
      <c r="H10" s="572" t="e">
        <f>('FCD PROJETO'!K62/'FCD PROJETO'!K$53)</f>
        <v>#DIV/0!</v>
      </c>
      <c r="I10" s="572" t="e">
        <f>('FCD PROJETO'!L62/'FCD PROJETO'!L$53)</f>
        <v>#DIV/0!</v>
      </c>
      <c r="J10" s="572" t="e">
        <f>('FCD PROJETO'!M62/'FCD PROJETO'!M$53)</f>
        <v>#DIV/0!</v>
      </c>
      <c r="K10" s="572" t="e">
        <f>('FCD PROJETO'!N62/'FCD PROJETO'!N$53)</f>
        <v>#DIV/0!</v>
      </c>
      <c r="L10" s="572" t="e">
        <f>('FCD PROJETO'!O62/'FCD PROJETO'!O$53)</f>
        <v>#DIV/0!</v>
      </c>
      <c r="M10" s="572" t="e">
        <f>('FCD PROJETO'!P62/'FCD PROJETO'!P$53)</f>
        <v>#DIV/0!</v>
      </c>
      <c r="N10" s="572" t="e">
        <f>('FCD PROJETO'!Q62/'FCD PROJETO'!Q$53)</f>
        <v>#DIV/0!</v>
      </c>
      <c r="O10" s="572" t="e">
        <f>('FCD PROJETO'!R62/'FCD PROJETO'!R$53)</f>
        <v>#DIV/0!</v>
      </c>
      <c r="P10" s="572" t="e">
        <f>('FCD PROJETO'!S62/'FCD PROJETO'!S$53)</f>
        <v>#DIV/0!</v>
      </c>
      <c r="Q10" s="572" t="e">
        <f>('FCD PROJETO'!T62/'FCD PROJETO'!T$53)</f>
        <v>#DIV/0!</v>
      </c>
      <c r="R10" s="572" t="e">
        <f>('FCD PROJETO'!U62/'FCD PROJETO'!U$53)</f>
        <v>#DIV/0!</v>
      </c>
      <c r="S10" s="572" t="e">
        <f>('FCD PROJETO'!V62/'FCD PROJETO'!V$53)</f>
        <v>#DIV/0!</v>
      </c>
      <c r="T10" s="572" t="e">
        <f>('FCD PROJETO'!W62/'FCD PROJETO'!W$53)</f>
        <v>#DIV/0!</v>
      </c>
      <c r="U10" s="572" t="e">
        <f>('FCD PROJETO'!X62/'FCD PROJETO'!X$53)</f>
        <v>#DIV/0!</v>
      </c>
      <c r="V10" s="572" t="e">
        <f>('FCD PROJETO'!Y62/'FCD PROJETO'!Y$53)</f>
        <v>#DIV/0!</v>
      </c>
      <c r="W10" s="572" t="e">
        <f>('FCD PROJETO'!Z62/'FCD PROJETO'!Z$53)</f>
        <v>#DIV/0!</v>
      </c>
      <c r="X10" s="572" t="e">
        <f>('FCD PROJETO'!AA62/'FCD PROJETO'!AA$53)</f>
        <v>#DIV/0!</v>
      </c>
      <c r="Y10" s="572" t="e">
        <f>('FCD PROJETO'!AB62/'FCD PROJETO'!AB$53)</f>
        <v>#DIV/0!</v>
      </c>
      <c r="Z10" s="572" t="e">
        <f>('FCD PROJETO'!AC62/'FCD PROJETO'!AC$53)</f>
        <v>#DIV/0!</v>
      </c>
      <c r="AA10" s="572" t="e">
        <f>('FCD PROJETO'!AD62/'FCD PROJETO'!AD$53)</f>
        <v>#DIV/0!</v>
      </c>
      <c r="AB10" s="572" t="e">
        <f>('FCD PROJETO'!AE62/'FCD PROJETO'!AE$53)</f>
        <v>#DIV/0!</v>
      </c>
      <c r="AC10" s="572" t="e">
        <f>('FCD PROJETO'!AF62/'FCD PROJETO'!AF$53)</f>
        <v>#DIV/0!</v>
      </c>
      <c r="AD10" s="572" t="e">
        <f>('FCD PROJETO'!AG62/'FCD PROJETO'!AG$53)</f>
        <v>#DIV/0!</v>
      </c>
      <c r="AE10" s="572" t="e">
        <f>('FCD PROJETO'!AH62/'FCD PROJETO'!AH$53)</f>
        <v>#DIV/0!</v>
      </c>
      <c r="AF10" s="572" t="e">
        <f>('FCD PROJETO'!AI62/'FCD PROJETO'!AI$53)</f>
        <v>#DIV/0!</v>
      </c>
      <c r="AG10" s="572" t="e">
        <f>('FCD PROJETO'!AJ62/'FCD PROJETO'!AJ$53)</f>
        <v>#DIV/0!</v>
      </c>
      <c r="AH10" s="572" t="e">
        <f>('FCD PROJETO'!AK62/'FCD PROJETO'!AK$53)</f>
        <v>#DIV/0!</v>
      </c>
      <c r="AI10" s="572" t="e">
        <f>('FCD PROJETO'!AL62/'FCD PROJETO'!AL$53)</f>
        <v>#DIV/0!</v>
      </c>
      <c r="AJ10" s="572" t="e">
        <f>('FCD PROJETO'!AM62/'FCD PROJETO'!AM$53)</f>
        <v>#DIV/0!</v>
      </c>
      <c r="AK10" s="572" t="e">
        <f>('FCD PROJETO'!AN62/'FCD PROJETO'!AN$53)</f>
        <v>#DIV/0!</v>
      </c>
      <c r="AL10" s="573" t="e">
        <f t="shared" si="1"/>
        <v>#DIV/0!</v>
      </c>
    </row>
    <row r="11" spans="1:38" x14ac:dyDescent="0.25">
      <c r="B11" s="571" t="str">
        <f>'FCD PROJETO'!B63</f>
        <v>2.2.9   - Custeio administrativo e comercial</v>
      </c>
      <c r="C11" s="572" t="e">
        <f>('FCD PROJETO'!F63/'FCD PROJETO'!F$53)</f>
        <v>#DIV/0!</v>
      </c>
      <c r="D11" s="572" t="e">
        <f>('FCD PROJETO'!G63/'FCD PROJETO'!G$53)</f>
        <v>#DIV/0!</v>
      </c>
      <c r="E11" s="572" t="e">
        <f>('FCD PROJETO'!H63/'FCD PROJETO'!H$53)</f>
        <v>#DIV/0!</v>
      </c>
      <c r="F11" s="572" t="e">
        <f>('FCD PROJETO'!I63/'FCD PROJETO'!I$53)</f>
        <v>#DIV/0!</v>
      </c>
      <c r="G11" s="572" t="e">
        <f>('FCD PROJETO'!J63/'FCD PROJETO'!J$53)</f>
        <v>#DIV/0!</v>
      </c>
      <c r="H11" s="572" t="e">
        <f>('FCD PROJETO'!K63/'FCD PROJETO'!K$53)</f>
        <v>#DIV/0!</v>
      </c>
      <c r="I11" s="572" t="e">
        <f>('FCD PROJETO'!L63/'FCD PROJETO'!L$53)</f>
        <v>#DIV/0!</v>
      </c>
      <c r="J11" s="572" t="e">
        <f>('FCD PROJETO'!M63/'FCD PROJETO'!M$53)</f>
        <v>#DIV/0!</v>
      </c>
      <c r="K11" s="572" t="e">
        <f>('FCD PROJETO'!N63/'FCD PROJETO'!N$53)</f>
        <v>#DIV/0!</v>
      </c>
      <c r="L11" s="572" t="e">
        <f>('FCD PROJETO'!O63/'FCD PROJETO'!O$53)</f>
        <v>#DIV/0!</v>
      </c>
      <c r="M11" s="572" t="e">
        <f>('FCD PROJETO'!P63/'FCD PROJETO'!P$53)</f>
        <v>#DIV/0!</v>
      </c>
      <c r="N11" s="572" t="e">
        <f>('FCD PROJETO'!Q63/'FCD PROJETO'!Q$53)</f>
        <v>#DIV/0!</v>
      </c>
      <c r="O11" s="572" t="e">
        <f>('FCD PROJETO'!R63/'FCD PROJETO'!R$53)</f>
        <v>#DIV/0!</v>
      </c>
      <c r="P11" s="572" t="e">
        <f>('FCD PROJETO'!S63/'FCD PROJETO'!S$53)</f>
        <v>#DIV/0!</v>
      </c>
      <c r="Q11" s="572" t="e">
        <f>('FCD PROJETO'!T63/'FCD PROJETO'!T$53)</f>
        <v>#DIV/0!</v>
      </c>
      <c r="R11" s="572" t="e">
        <f>('FCD PROJETO'!U63/'FCD PROJETO'!U$53)</f>
        <v>#DIV/0!</v>
      </c>
      <c r="S11" s="572" t="e">
        <f>('FCD PROJETO'!V63/'FCD PROJETO'!V$53)</f>
        <v>#DIV/0!</v>
      </c>
      <c r="T11" s="572" t="e">
        <f>('FCD PROJETO'!W63/'FCD PROJETO'!W$53)</f>
        <v>#DIV/0!</v>
      </c>
      <c r="U11" s="572" t="e">
        <f>('FCD PROJETO'!X63/'FCD PROJETO'!X$53)</f>
        <v>#DIV/0!</v>
      </c>
      <c r="V11" s="572" t="e">
        <f>('FCD PROJETO'!Y63/'FCD PROJETO'!Y$53)</f>
        <v>#DIV/0!</v>
      </c>
      <c r="W11" s="572" t="e">
        <f>('FCD PROJETO'!Z63/'FCD PROJETO'!Z$53)</f>
        <v>#DIV/0!</v>
      </c>
      <c r="X11" s="572" t="e">
        <f>('FCD PROJETO'!AA63/'FCD PROJETO'!AA$53)</f>
        <v>#DIV/0!</v>
      </c>
      <c r="Y11" s="572" t="e">
        <f>('FCD PROJETO'!AB63/'FCD PROJETO'!AB$53)</f>
        <v>#DIV/0!</v>
      </c>
      <c r="Z11" s="572" t="e">
        <f>('FCD PROJETO'!AC63/'FCD PROJETO'!AC$53)</f>
        <v>#DIV/0!</v>
      </c>
      <c r="AA11" s="572" t="e">
        <f>('FCD PROJETO'!AD63/'FCD PROJETO'!AD$53)</f>
        <v>#DIV/0!</v>
      </c>
      <c r="AB11" s="572" t="e">
        <f>('FCD PROJETO'!AE63/'FCD PROJETO'!AE$53)</f>
        <v>#DIV/0!</v>
      </c>
      <c r="AC11" s="572" t="e">
        <f>('FCD PROJETO'!AF63/'FCD PROJETO'!AF$53)</f>
        <v>#DIV/0!</v>
      </c>
      <c r="AD11" s="572" t="e">
        <f>('FCD PROJETO'!AG63/'FCD PROJETO'!AG$53)</f>
        <v>#DIV/0!</v>
      </c>
      <c r="AE11" s="572" t="e">
        <f>('FCD PROJETO'!AH63/'FCD PROJETO'!AH$53)</f>
        <v>#DIV/0!</v>
      </c>
      <c r="AF11" s="572" t="e">
        <f>('FCD PROJETO'!AI63/'FCD PROJETO'!AI$53)</f>
        <v>#DIV/0!</v>
      </c>
      <c r="AG11" s="572" t="e">
        <f>('FCD PROJETO'!AJ63/'FCD PROJETO'!AJ$53)</f>
        <v>#DIV/0!</v>
      </c>
      <c r="AH11" s="572" t="e">
        <f>('FCD PROJETO'!AK63/'FCD PROJETO'!AK$53)</f>
        <v>#DIV/0!</v>
      </c>
      <c r="AI11" s="572" t="e">
        <f>('FCD PROJETO'!AL63/'FCD PROJETO'!AL$53)</f>
        <v>#DIV/0!</v>
      </c>
      <c r="AJ11" s="572" t="e">
        <f>('FCD PROJETO'!AM63/'FCD PROJETO'!AM$53)</f>
        <v>#DIV/0!</v>
      </c>
      <c r="AK11" s="572" t="e">
        <f>('FCD PROJETO'!AN63/'FCD PROJETO'!AN$53)</f>
        <v>#DIV/0!</v>
      </c>
      <c r="AL11" s="573" t="e">
        <f t="shared" si="1"/>
        <v>#DIV/0!</v>
      </c>
    </row>
    <row r="12" spans="1:38" x14ac:dyDescent="0.25">
      <c r="B12" s="571" t="str">
        <f>'FCD PROJETO'!B64</f>
        <v>2.2.10   - Custeio legal e regulação</v>
      </c>
      <c r="C12" s="572" t="e">
        <f>('FCD PROJETO'!F64/'FCD PROJETO'!F$53)</f>
        <v>#DIV/0!</v>
      </c>
      <c r="D12" s="572" t="e">
        <f>('FCD PROJETO'!G64/'FCD PROJETO'!G$53)</f>
        <v>#DIV/0!</v>
      </c>
      <c r="E12" s="572" t="e">
        <f>('FCD PROJETO'!H64/'FCD PROJETO'!H$53)</f>
        <v>#DIV/0!</v>
      </c>
      <c r="F12" s="572" t="e">
        <f>('FCD PROJETO'!I64/'FCD PROJETO'!I$53)</f>
        <v>#DIV/0!</v>
      </c>
      <c r="G12" s="572" t="e">
        <f>('FCD PROJETO'!J64/'FCD PROJETO'!J$53)</f>
        <v>#DIV/0!</v>
      </c>
      <c r="H12" s="572" t="e">
        <f>('FCD PROJETO'!K64/'FCD PROJETO'!K$53)</f>
        <v>#DIV/0!</v>
      </c>
      <c r="I12" s="572" t="e">
        <f>('FCD PROJETO'!L64/'FCD PROJETO'!L$53)</f>
        <v>#DIV/0!</v>
      </c>
      <c r="J12" s="572" t="e">
        <f>('FCD PROJETO'!M64/'FCD PROJETO'!M$53)</f>
        <v>#DIV/0!</v>
      </c>
      <c r="K12" s="572" t="e">
        <f>('FCD PROJETO'!N64/'FCD PROJETO'!N$53)</f>
        <v>#DIV/0!</v>
      </c>
      <c r="L12" s="572" t="e">
        <f>('FCD PROJETO'!O64/'FCD PROJETO'!O$53)</f>
        <v>#DIV/0!</v>
      </c>
      <c r="M12" s="572" t="e">
        <f>('FCD PROJETO'!P64/'FCD PROJETO'!P$53)</f>
        <v>#DIV/0!</v>
      </c>
      <c r="N12" s="572" t="e">
        <f>('FCD PROJETO'!Q64/'FCD PROJETO'!Q$53)</f>
        <v>#DIV/0!</v>
      </c>
      <c r="O12" s="572" t="e">
        <f>('FCD PROJETO'!R64/'FCD PROJETO'!R$53)</f>
        <v>#DIV/0!</v>
      </c>
      <c r="P12" s="572" t="e">
        <f>('FCD PROJETO'!S64/'FCD PROJETO'!S$53)</f>
        <v>#DIV/0!</v>
      </c>
      <c r="Q12" s="572" t="e">
        <f>('FCD PROJETO'!T64/'FCD PROJETO'!T$53)</f>
        <v>#DIV/0!</v>
      </c>
      <c r="R12" s="572" t="e">
        <f>('FCD PROJETO'!U64/'FCD PROJETO'!U$53)</f>
        <v>#DIV/0!</v>
      </c>
      <c r="S12" s="572" t="e">
        <f>('FCD PROJETO'!V64/'FCD PROJETO'!V$53)</f>
        <v>#DIV/0!</v>
      </c>
      <c r="T12" s="572" t="e">
        <f>('FCD PROJETO'!W64/'FCD PROJETO'!W$53)</f>
        <v>#DIV/0!</v>
      </c>
      <c r="U12" s="572" t="e">
        <f>('FCD PROJETO'!X64/'FCD PROJETO'!X$53)</f>
        <v>#DIV/0!</v>
      </c>
      <c r="V12" s="572" t="e">
        <f>('FCD PROJETO'!Y64/'FCD PROJETO'!Y$53)</f>
        <v>#DIV/0!</v>
      </c>
      <c r="W12" s="572" t="e">
        <f>('FCD PROJETO'!Z64/'FCD PROJETO'!Z$53)</f>
        <v>#DIV/0!</v>
      </c>
      <c r="X12" s="572" t="e">
        <f>('FCD PROJETO'!AA64/'FCD PROJETO'!AA$53)</f>
        <v>#DIV/0!</v>
      </c>
      <c r="Y12" s="572" t="e">
        <f>('FCD PROJETO'!AB64/'FCD PROJETO'!AB$53)</f>
        <v>#DIV/0!</v>
      </c>
      <c r="Z12" s="572" t="e">
        <f>('FCD PROJETO'!AC64/'FCD PROJETO'!AC$53)</f>
        <v>#DIV/0!</v>
      </c>
      <c r="AA12" s="572" t="e">
        <f>('FCD PROJETO'!AD64/'FCD PROJETO'!AD$53)</f>
        <v>#DIV/0!</v>
      </c>
      <c r="AB12" s="572" t="e">
        <f>('FCD PROJETO'!AE64/'FCD PROJETO'!AE$53)</f>
        <v>#DIV/0!</v>
      </c>
      <c r="AC12" s="572" t="e">
        <f>('FCD PROJETO'!AF64/'FCD PROJETO'!AF$53)</f>
        <v>#DIV/0!</v>
      </c>
      <c r="AD12" s="572" t="e">
        <f>('FCD PROJETO'!AG64/'FCD PROJETO'!AG$53)</f>
        <v>#DIV/0!</v>
      </c>
      <c r="AE12" s="572" t="e">
        <f>('FCD PROJETO'!AH64/'FCD PROJETO'!AH$53)</f>
        <v>#DIV/0!</v>
      </c>
      <c r="AF12" s="572" t="e">
        <f>('FCD PROJETO'!AI64/'FCD PROJETO'!AI$53)</f>
        <v>#DIV/0!</v>
      </c>
      <c r="AG12" s="572" t="e">
        <f>('FCD PROJETO'!AJ64/'FCD PROJETO'!AJ$53)</f>
        <v>#DIV/0!</v>
      </c>
      <c r="AH12" s="572" t="e">
        <f>('FCD PROJETO'!AK64/'FCD PROJETO'!AK$53)</f>
        <v>#DIV/0!</v>
      </c>
      <c r="AI12" s="572" t="e">
        <f>('FCD PROJETO'!AL64/'FCD PROJETO'!AL$53)</f>
        <v>#DIV/0!</v>
      </c>
      <c r="AJ12" s="572" t="e">
        <f>('FCD PROJETO'!AM64/'FCD PROJETO'!AM$53)</f>
        <v>#DIV/0!</v>
      </c>
      <c r="AK12" s="572" t="e">
        <f>('FCD PROJETO'!AN64/'FCD PROJETO'!AN$53)</f>
        <v>#DIV/0!</v>
      </c>
      <c r="AL12" s="573" t="e">
        <f t="shared" si="1"/>
        <v>#DIV/0!</v>
      </c>
    </row>
    <row r="13" spans="1:38" x14ac:dyDescent="0.25">
      <c r="B13" s="571" t="str">
        <f>'FCD PROJETO'!B65</f>
        <v>2.2.11 - Despesas diversas</v>
      </c>
      <c r="C13" s="572" t="e">
        <f>('FCD PROJETO'!F65/'FCD PROJETO'!F$53)</f>
        <v>#DIV/0!</v>
      </c>
      <c r="D13" s="572" t="e">
        <f>('FCD PROJETO'!G65/'FCD PROJETO'!G$53)</f>
        <v>#DIV/0!</v>
      </c>
      <c r="E13" s="572" t="e">
        <f>('FCD PROJETO'!H65/'FCD PROJETO'!H$53)</f>
        <v>#DIV/0!</v>
      </c>
      <c r="F13" s="572" t="e">
        <f>('FCD PROJETO'!I65/'FCD PROJETO'!I$53)</f>
        <v>#DIV/0!</v>
      </c>
      <c r="G13" s="572" t="e">
        <f>('FCD PROJETO'!J65/'FCD PROJETO'!J$53)</f>
        <v>#DIV/0!</v>
      </c>
      <c r="H13" s="572" t="e">
        <f>('FCD PROJETO'!K65/'FCD PROJETO'!K$53)</f>
        <v>#DIV/0!</v>
      </c>
      <c r="I13" s="572" t="e">
        <f>('FCD PROJETO'!L65/'FCD PROJETO'!L$53)</f>
        <v>#DIV/0!</v>
      </c>
      <c r="J13" s="572" t="e">
        <f>('FCD PROJETO'!M65/'FCD PROJETO'!M$53)</f>
        <v>#DIV/0!</v>
      </c>
      <c r="K13" s="572" t="e">
        <f>('FCD PROJETO'!N65/'FCD PROJETO'!N$53)</f>
        <v>#DIV/0!</v>
      </c>
      <c r="L13" s="572" t="e">
        <f>('FCD PROJETO'!O65/'FCD PROJETO'!O$53)</f>
        <v>#DIV/0!</v>
      </c>
      <c r="M13" s="572" t="e">
        <f>('FCD PROJETO'!P65/'FCD PROJETO'!P$53)</f>
        <v>#DIV/0!</v>
      </c>
      <c r="N13" s="572" t="e">
        <f>('FCD PROJETO'!Q65/'FCD PROJETO'!Q$53)</f>
        <v>#DIV/0!</v>
      </c>
      <c r="O13" s="572" t="e">
        <f>('FCD PROJETO'!R65/'FCD PROJETO'!R$53)</f>
        <v>#DIV/0!</v>
      </c>
      <c r="P13" s="572" t="e">
        <f>('FCD PROJETO'!S65/'FCD PROJETO'!S$53)</f>
        <v>#DIV/0!</v>
      </c>
      <c r="Q13" s="572" t="e">
        <f>('FCD PROJETO'!T65/'FCD PROJETO'!T$53)</f>
        <v>#DIV/0!</v>
      </c>
      <c r="R13" s="572" t="e">
        <f>('FCD PROJETO'!U65/'FCD PROJETO'!U$53)</f>
        <v>#DIV/0!</v>
      </c>
      <c r="S13" s="572" t="e">
        <f>('FCD PROJETO'!V65/'FCD PROJETO'!V$53)</f>
        <v>#DIV/0!</v>
      </c>
      <c r="T13" s="572" t="e">
        <f>('FCD PROJETO'!W65/'FCD PROJETO'!W$53)</f>
        <v>#DIV/0!</v>
      </c>
      <c r="U13" s="572" t="e">
        <f>('FCD PROJETO'!X65/'FCD PROJETO'!X$53)</f>
        <v>#DIV/0!</v>
      </c>
      <c r="V13" s="572" t="e">
        <f>('FCD PROJETO'!Y65/'FCD PROJETO'!Y$53)</f>
        <v>#DIV/0!</v>
      </c>
      <c r="W13" s="572" t="e">
        <f>('FCD PROJETO'!Z65/'FCD PROJETO'!Z$53)</f>
        <v>#DIV/0!</v>
      </c>
      <c r="X13" s="572" t="e">
        <f>('FCD PROJETO'!AA65/'FCD PROJETO'!AA$53)</f>
        <v>#DIV/0!</v>
      </c>
      <c r="Y13" s="572" t="e">
        <f>('FCD PROJETO'!AB65/'FCD PROJETO'!AB$53)</f>
        <v>#DIV/0!</v>
      </c>
      <c r="Z13" s="572" t="e">
        <f>('FCD PROJETO'!AC65/'FCD PROJETO'!AC$53)</f>
        <v>#DIV/0!</v>
      </c>
      <c r="AA13" s="572" t="e">
        <f>('FCD PROJETO'!AD65/'FCD PROJETO'!AD$53)</f>
        <v>#DIV/0!</v>
      </c>
      <c r="AB13" s="572" t="e">
        <f>('FCD PROJETO'!AE65/'FCD PROJETO'!AE$53)</f>
        <v>#DIV/0!</v>
      </c>
      <c r="AC13" s="572" t="e">
        <f>('FCD PROJETO'!AF65/'FCD PROJETO'!AF$53)</f>
        <v>#DIV/0!</v>
      </c>
      <c r="AD13" s="572" t="e">
        <f>('FCD PROJETO'!AG65/'FCD PROJETO'!AG$53)</f>
        <v>#DIV/0!</v>
      </c>
      <c r="AE13" s="572" t="e">
        <f>('FCD PROJETO'!AH65/'FCD PROJETO'!AH$53)</f>
        <v>#DIV/0!</v>
      </c>
      <c r="AF13" s="572" t="e">
        <f>('FCD PROJETO'!AI65/'FCD PROJETO'!AI$53)</f>
        <v>#DIV/0!</v>
      </c>
      <c r="AG13" s="572" t="e">
        <f>('FCD PROJETO'!AJ65/'FCD PROJETO'!AJ$53)</f>
        <v>#DIV/0!</v>
      </c>
      <c r="AH13" s="572" t="e">
        <f>('FCD PROJETO'!AK65/'FCD PROJETO'!AK$53)</f>
        <v>#DIV/0!</v>
      </c>
      <c r="AI13" s="572" t="e">
        <f>('FCD PROJETO'!AL65/'FCD PROJETO'!AL$53)</f>
        <v>#DIV/0!</v>
      </c>
      <c r="AJ13" s="572" t="e">
        <f>('FCD PROJETO'!AM65/'FCD PROJETO'!AM$53)</f>
        <v>#DIV/0!</v>
      </c>
      <c r="AK13" s="572" t="e">
        <f>('FCD PROJETO'!AN65/'FCD PROJETO'!AN$53)</f>
        <v>#DIV/0!</v>
      </c>
      <c r="AL13" s="573" t="e">
        <f t="shared" si="1"/>
        <v>#DIV/0!</v>
      </c>
    </row>
    <row r="14" spans="1:38" x14ac:dyDescent="0.25">
      <c r="B14" s="571" t="str">
        <f>'FCD PROJETO'!B66</f>
        <v>2.2.12 - Pagamento pelo uso de recursos hídricos</v>
      </c>
      <c r="C14" s="572" t="e">
        <f>('FCD PROJETO'!F66/'FCD PROJETO'!F$53)</f>
        <v>#DIV/0!</v>
      </c>
      <c r="D14" s="572" t="e">
        <f>('FCD PROJETO'!G66/'FCD PROJETO'!G$53)</f>
        <v>#DIV/0!</v>
      </c>
      <c r="E14" s="572" t="e">
        <f>('FCD PROJETO'!H66/'FCD PROJETO'!H$53)</f>
        <v>#DIV/0!</v>
      </c>
      <c r="F14" s="572" t="e">
        <f>('FCD PROJETO'!I66/'FCD PROJETO'!I$53)</f>
        <v>#DIV/0!</v>
      </c>
      <c r="G14" s="572" t="e">
        <f>('FCD PROJETO'!J66/'FCD PROJETO'!J$53)</f>
        <v>#DIV/0!</v>
      </c>
      <c r="H14" s="572" t="e">
        <f>('FCD PROJETO'!K66/'FCD PROJETO'!K$53)</f>
        <v>#DIV/0!</v>
      </c>
      <c r="I14" s="572" t="e">
        <f>('FCD PROJETO'!L66/'FCD PROJETO'!L$53)</f>
        <v>#DIV/0!</v>
      </c>
      <c r="J14" s="572" t="e">
        <f>('FCD PROJETO'!M66/'FCD PROJETO'!M$53)</f>
        <v>#DIV/0!</v>
      </c>
      <c r="K14" s="572" t="e">
        <f>('FCD PROJETO'!N66/'FCD PROJETO'!N$53)</f>
        <v>#DIV/0!</v>
      </c>
      <c r="L14" s="572" t="e">
        <f>('FCD PROJETO'!O66/'FCD PROJETO'!O$53)</f>
        <v>#DIV/0!</v>
      </c>
      <c r="M14" s="572" t="e">
        <f>('FCD PROJETO'!P66/'FCD PROJETO'!P$53)</f>
        <v>#DIV/0!</v>
      </c>
      <c r="N14" s="572" t="e">
        <f>('FCD PROJETO'!Q66/'FCD PROJETO'!Q$53)</f>
        <v>#DIV/0!</v>
      </c>
      <c r="O14" s="572" t="e">
        <f>('FCD PROJETO'!R66/'FCD PROJETO'!R$53)</f>
        <v>#DIV/0!</v>
      </c>
      <c r="P14" s="572" t="e">
        <f>('FCD PROJETO'!S66/'FCD PROJETO'!S$53)</f>
        <v>#DIV/0!</v>
      </c>
      <c r="Q14" s="572" t="e">
        <f>('FCD PROJETO'!T66/'FCD PROJETO'!T$53)</f>
        <v>#DIV/0!</v>
      </c>
      <c r="R14" s="572" t="e">
        <f>('FCD PROJETO'!U66/'FCD PROJETO'!U$53)</f>
        <v>#DIV/0!</v>
      </c>
      <c r="S14" s="572" t="e">
        <f>('FCD PROJETO'!V66/'FCD PROJETO'!V$53)</f>
        <v>#DIV/0!</v>
      </c>
      <c r="T14" s="572" t="e">
        <f>('FCD PROJETO'!W66/'FCD PROJETO'!W$53)</f>
        <v>#DIV/0!</v>
      </c>
      <c r="U14" s="572" t="e">
        <f>('FCD PROJETO'!X66/'FCD PROJETO'!X$53)</f>
        <v>#DIV/0!</v>
      </c>
      <c r="V14" s="572" t="e">
        <f>('FCD PROJETO'!Y66/'FCD PROJETO'!Y$53)</f>
        <v>#DIV/0!</v>
      </c>
      <c r="W14" s="572" t="e">
        <f>('FCD PROJETO'!Z66/'FCD PROJETO'!Z$53)</f>
        <v>#DIV/0!</v>
      </c>
      <c r="X14" s="572" t="e">
        <f>('FCD PROJETO'!AA66/'FCD PROJETO'!AA$53)</f>
        <v>#DIV/0!</v>
      </c>
      <c r="Y14" s="572" t="e">
        <f>('FCD PROJETO'!AB66/'FCD PROJETO'!AB$53)</f>
        <v>#DIV/0!</v>
      </c>
      <c r="Z14" s="572" t="e">
        <f>('FCD PROJETO'!AC66/'FCD PROJETO'!AC$53)</f>
        <v>#DIV/0!</v>
      </c>
      <c r="AA14" s="572" t="e">
        <f>('FCD PROJETO'!AD66/'FCD PROJETO'!AD$53)</f>
        <v>#DIV/0!</v>
      </c>
      <c r="AB14" s="572" t="e">
        <f>('FCD PROJETO'!AE66/'FCD PROJETO'!AE$53)</f>
        <v>#DIV/0!</v>
      </c>
      <c r="AC14" s="572" t="e">
        <f>('FCD PROJETO'!AF66/'FCD PROJETO'!AF$53)</f>
        <v>#DIV/0!</v>
      </c>
      <c r="AD14" s="572" t="e">
        <f>('FCD PROJETO'!AG66/'FCD PROJETO'!AG$53)</f>
        <v>#DIV/0!</v>
      </c>
      <c r="AE14" s="572" t="e">
        <f>('FCD PROJETO'!AH66/'FCD PROJETO'!AH$53)</f>
        <v>#DIV/0!</v>
      </c>
      <c r="AF14" s="572" t="e">
        <f>('FCD PROJETO'!AI66/'FCD PROJETO'!AI$53)</f>
        <v>#DIV/0!</v>
      </c>
      <c r="AG14" s="572" t="e">
        <f>('FCD PROJETO'!AJ66/'FCD PROJETO'!AJ$53)</f>
        <v>#DIV/0!</v>
      </c>
      <c r="AH14" s="572" t="e">
        <f>('FCD PROJETO'!AK66/'FCD PROJETO'!AK$53)</f>
        <v>#DIV/0!</v>
      </c>
      <c r="AI14" s="572" t="e">
        <f>('FCD PROJETO'!AL66/'FCD PROJETO'!AL$53)</f>
        <v>#DIV/0!</v>
      </c>
      <c r="AJ14" s="572" t="e">
        <f>('FCD PROJETO'!AM66/'FCD PROJETO'!AM$53)</f>
        <v>#DIV/0!</v>
      </c>
      <c r="AK14" s="572" t="e">
        <f>('FCD PROJETO'!AN66/'FCD PROJETO'!AN$53)</f>
        <v>#DIV/0!</v>
      </c>
      <c r="AL14" s="573" t="e">
        <f t="shared" si="1"/>
        <v>#DIV/0!</v>
      </c>
    </row>
    <row r="15" spans="1:38" x14ac:dyDescent="0.25">
      <c r="B15" s="571" t="str">
        <f>'FCD PROJETO'!B67</f>
        <v>2.2.13 - Reserva técnica de contingência e emergências</v>
      </c>
      <c r="C15" s="572" t="e">
        <f>('FCD PROJETO'!F67/'FCD PROJETO'!F$53)</f>
        <v>#DIV/0!</v>
      </c>
      <c r="D15" s="572" t="e">
        <f>('FCD PROJETO'!G67/'FCD PROJETO'!G$53)</f>
        <v>#DIV/0!</v>
      </c>
      <c r="E15" s="572" t="e">
        <f>('FCD PROJETO'!H67/'FCD PROJETO'!H$53)</f>
        <v>#DIV/0!</v>
      </c>
      <c r="F15" s="572" t="e">
        <f>('FCD PROJETO'!I67/'FCD PROJETO'!I$53)</f>
        <v>#DIV/0!</v>
      </c>
      <c r="G15" s="572" t="e">
        <f>('FCD PROJETO'!J67/'FCD PROJETO'!J$53)</f>
        <v>#DIV/0!</v>
      </c>
      <c r="H15" s="572" t="e">
        <f>('FCD PROJETO'!K67/'FCD PROJETO'!K$53)</f>
        <v>#DIV/0!</v>
      </c>
      <c r="I15" s="572" t="e">
        <f>('FCD PROJETO'!L67/'FCD PROJETO'!L$53)</f>
        <v>#DIV/0!</v>
      </c>
      <c r="J15" s="572" t="e">
        <f>('FCD PROJETO'!M67/'FCD PROJETO'!M$53)</f>
        <v>#DIV/0!</v>
      </c>
      <c r="K15" s="572" t="e">
        <f>('FCD PROJETO'!N67/'FCD PROJETO'!N$53)</f>
        <v>#DIV/0!</v>
      </c>
      <c r="L15" s="572" t="e">
        <f>('FCD PROJETO'!O67/'FCD PROJETO'!O$53)</f>
        <v>#DIV/0!</v>
      </c>
      <c r="M15" s="572" t="e">
        <f>('FCD PROJETO'!P67/'FCD PROJETO'!P$53)</f>
        <v>#DIV/0!</v>
      </c>
      <c r="N15" s="572" t="e">
        <f>('FCD PROJETO'!Q67/'FCD PROJETO'!Q$53)</f>
        <v>#DIV/0!</v>
      </c>
      <c r="O15" s="572" t="e">
        <f>('FCD PROJETO'!R67/'FCD PROJETO'!R$53)</f>
        <v>#DIV/0!</v>
      </c>
      <c r="P15" s="572" t="e">
        <f>('FCD PROJETO'!S67/'FCD PROJETO'!S$53)</f>
        <v>#DIV/0!</v>
      </c>
      <c r="Q15" s="572" t="e">
        <f>('FCD PROJETO'!T67/'FCD PROJETO'!T$53)</f>
        <v>#DIV/0!</v>
      </c>
      <c r="R15" s="572" t="e">
        <f>('FCD PROJETO'!U67/'FCD PROJETO'!U$53)</f>
        <v>#DIV/0!</v>
      </c>
      <c r="S15" s="572" t="e">
        <f>('FCD PROJETO'!V67/'FCD PROJETO'!V$53)</f>
        <v>#DIV/0!</v>
      </c>
      <c r="T15" s="572" t="e">
        <f>('FCD PROJETO'!W67/'FCD PROJETO'!W$53)</f>
        <v>#DIV/0!</v>
      </c>
      <c r="U15" s="572" t="e">
        <f>('FCD PROJETO'!X67/'FCD PROJETO'!X$53)</f>
        <v>#DIV/0!</v>
      </c>
      <c r="V15" s="572" t="e">
        <f>('FCD PROJETO'!Y67/'FCD PROJETO'!Y$53)</f>
        <v>#DIV/0!</v>
      </c>
      <c r="W15" s="572" t="e">
        <f>('FCD PROJETO'!Z67/'FCD PROJETO'!Z$53)</f>
        <v>#DIV/0!</v>
      </c>
      <c r="X15" s="572" t="e">
        <f>('FCD PROJETO'!AA67/'FCD PROJETO'!AA$53)</f>
        <v>#DIV/0!</v>
      </c>
      <c r="Y15" s="572" t="e">
        <f>('FCD PROJETO'!AB67/'FCD PROJETO'!AB$53)</f>
        <v>#DIV/0!</v>
      </c>
      <c r="Z15" s="572" t="e">
        <f>('FCD PROJETO'!AC67/'FCD PROJETO'!AC$53)</f>
        <v>#DIV/0!</v>
      </c>
      <c r="AA15" s="572" t="e">
        <f>('FCD PROJETO'!AD67/'FCD PROJETO'!AD$53)</f>
        <v>#DIV/0!</v>
      </c>
      <c r="AB15" s="572" t="e">
        <f>('FCD PROJETO'!AE67/'FCD PROJETO'!AE$53)</f>
        <v>#DIV/0!</v>
      </c>
      <c r="AC15" s="572" t="e">
        <f>('FCD PROJETO'!AF67/'FCD PROJETO'!AF$53)</f>
        <v>#DIV/0!</v>
      </c>
      <c r="AD15" s="572" t="e">
        <f>('FCD PROJETO'!AG67/'FCD PROJETO'!AG$53)</f>
        <v>#DIV/0!</v>
      </c>
      <c r="AE15" s="572" t="e">
        <f>('FCD PROJETO'!AH67/'FCD PROJETO'!AH$53)</f>
        <v>#DIV/0!</v>
      </c>
      <c r="AF15" s="572" t="e">
        <f>('FCD PROJETO'!AI67/'FCD PROJETO'!AI$53)</f>
        <v>#DIV/0!</v>
      </c>
      <c r="AG15" s="572" t="e">
        <f>('FCD PROJETO'!AJ67/'FCD PROJETO'!AJ$53)</f>
        <v>#DIV/0!</v>
      </c>
      <c r="AH15" s="572" t="e">
        <f>('FCD PROJETO'!AK67/'FCD PROJETO'!AK$53)</f>
        <v>#DIV/0!</v>
      </c>
      <c r="AI15" s="572" t="e">
        <f>('FCD PROJETO'!AL67/'FCD PROJETO'!AL$53)</f>
        <v>#DIV/0!</v>
      </c>
      <c r="AJ15" s="572" t="e">
        <f>('FCD PROJETO'!AM67/'FCD PROJETO'!AM$53)</f>
        <v>#DIV/0!</v>
      </c>
      <c r="AK15" s="572" t="e">
        <f>('FCD PROJETO'!AN67/'FCD PROJETO'!AN$53)</f>
        <v>#DIV/0!</v>
      </c>
      <c r="AL15" s="573" t="e">
        <f t="shared" si="1"/>
        <v>#DIV/0!</v>
      </c>
    </row>
    <row r="16" spans="1:38" x14ac:dyDescent="0.25">
      <c r="B16" s="571" t="str">
        <f>'FCD PROJETO'!B69</f>
        <v>2.2.14 - Seguros e Garantias</v>
      </c>
      <c r="C16" s="572" t="e">
        <f>('FCD PROJETO'!F69/'FCD PROJETO'!F$53)</f>
        <v>#DIV/0!</v>
      </c>
      <c r="D16" s="572" t="e">
        <f>('FCD PROJETO'!G69/'FCD PROJETO'!G$53)</f>
        <v>#DIV/0!</v>
      </c>
      <c r="E16" s="572" t="e">
        <f>('FCD PROJETO'!H69/'FCD PROJETO'!H$53)</f>
        <v>#DIV/0!</v>
      </c>
      <c r="F16" s="572" t="e">
        <f>('FCD PROJETO'!I69/'FCD PROJETO'!I$53)</f>
        <v>#DIV/0!</v>
      </c>
      <c r="G16" s="572" t="e">
        <f>('FCD PROJETO'!J69/'FCD PROJETO'!J$53)</f>
        <v>#DIV/0!</v>
      </c>
      <c r="H16" s="572" t="e">
        <f>('FCD PROJETO'!K69/'FCD PROJETO'!K$53)</f>
        <v>#DIV/0!</v>
      </c>
      <c r="I16" s="572" t="e">
        <f>('FCD PROJETO'!L69/'FCD PROJETO'!L$53)</f>
        <v>#DIV/0!</v>
      </c>
      <c r="J16" s="572" t="e">
        <f>('FCD PROJETO'!M69/'FCD PROJETO'!M$53)</f>
        <v>#DIV/0!</v>
      </c>
      <c r="K16" s="572" t="e">
        <f>('FCD PROJETO'!N69/'FCD PROJETO'!N$53)</f>
        <v>#DIV/0!</v>
      </c>
      <c r="L16" s="572" t="e">
        <f>('FCD PROJETO'!O69/'FCD PROJETO'!O$53)</f>
        <v>#DIV/0!</v>
      </c>
      <c r="M16" s="572" t="e">
        <f>('FCD PROJETO'!P69/'FCD PROJETO'!P$53)</f>
        <v>#DIV/0!</v>
      </c>
      <c r="N16" s="572" t="e">
        <f>('FCD PROJETO'!Q69/'FCD PROJETO'!Q$53)</f>
        <v>#DIV/0!</v>
      </c>
      <c r="O16" s="572" t="e">
        <f>('FCD PROJETO'!R69/'FCD PROJETO'!R$53)</f>
        <v>#DIV/0!</v>
      </c>
      <c r="P16" s="572" t="e">
        <f>('FCD PROJETO'!S69/'FCD PROJETO'!S$53)</f>
        <v>#DIV/0!</v>
      </c>
      <c r="Q16" s="572" t="e">
        <f>('FCD PROJETO'!T69/'FCD PROJETO'!T$53)</f>
        <v>#DIV/0!</v>
      </c>
      <c r="R16" s="572" t="e">
        <f>('FCD PROJETO'!U69/'FCD PROJETO'!U$53)</f>
        <v>#DIV/0!</v>
      </c>
      <c r="S16" s="572" t="e">
        <f>('FCD PROJETO'!V69/'FCD PROJETO'!V$53)</f>
        <v>#DIV/0!</v>
      </c>
      <c r="T16" s="572" t="e">
        <f>('FCD PROJETO'!W69/'FCD PROJETO'!W$53)</f>
        <v>#DIV/0!</v>
      </c>
      <c r="U16" s="572" t="e">
        <f>('FCD PROJETO'!X69/'FCD PROJETO'!X$53)</f>
        <v>#DIV/0!</v>
      </c>
      <c r="V16" s="572" t="e">
        <f>('FCD PROJETO'!Y69/'FCD PROJETO'!Y$53)</f>
        <v>#DIV/0!</v>
      </c>
      <c r="W16" s="572" t="e">
        <f>('FCD PROJETO'!Z69/'FCD PROJETO'!Z$53)</f>
        <v>#DIV/0!</v>
      </c>
      <c r="X16" s="572" t="e">
        <f>('FCD PROJETO'!AA69/'FCD PROJETO'!AA$53)</f>
        <v>#DIV/0!</v>
      </c>
      <c r="Y16" s="572" t="e">
        <f>('FCD PROJETO'!AB69/'FCD PROJETO'!AB$53)</f>
        <v>#DIV/0!</v>
      </c>
      <c r="Z16" s="572" t="e">
        <f>('FCD PROJETO'!AC69/'FCD PROJETO'!AC$53)</f>
        <v>#DIV/0!</v>
      </c>
      <c r="AA16" s="572" t="e">
        <f>('FCD PROJETO'!AD69/'FCD PROJETO'!AD$53)</f>
        <v>#DIV/0!</v>
      </c>
      <c r="AB16" s="572" t="e">
        <f>('FCD PROJETO'!AE69/'FCD PROJETO'!AE$53)</f>
        <v>#DIV/0!</v>
      </c>
      <c r="AC16" s="572" t="e">
        <f>('FCD PROJETO'!AF69/'FCD PROJETO'!AF$53)</f>
        <v>#DIV/0!</v>
      </c>
      <c r="AD16" s="572" t="e">
        <f>('FCD PROJETO'!AG69/'FCD PROJETO'!AG$53)</f>
        <v>#DIV/0!</v>
      </c>
      <c r="AE16" s="572" t="e">
        <f>('FCD PROJETO'!AH69/'FCD PROJETO'!AH$53)</f>
        <v>#DIV/0!</v>
      </c>
      <c r="AF16" s="572" t="e">
        <f>('FCD PROJETO'!AI69/'FCD PROJETO'!AI$53)</f>
        <v>#DIV/0!</v>
      </c>
      <c r="AG16" s="572" t="e">
        <f>('FCD PROJETO'!AJ69/'FCD PROJETO'!AJ$53)</f>
        <v>#DIV/0!</v>
      </c>
      <c r="AH16" s="572" t="e">
        <f>('FCD PROJETO'!AK69/'FCD PROJETO'!AK$53)</f>
        <v>#DIV/0!</v>
      </c>
      <c r="AI16" s="572" t="e">
        <f>('FCD PROJETO'!AL69/'FCD PROJETO'!AL$53)</f>
        <v>#DIV/0!</v>
      </c>
      <c r="AJ16" s="572" t="e">
        <f>('FCD PROJETO'!AM69/'FCD PROJETO'!AM$53)</f>
        <v>#DIV/0!</v>
      </c>
      <c r="AK16" s="572" t="e">
        <f>('FCD PROJETO'!AN69/'FCD PROJETO'!AN$53)</f>
        <v>#DIV/0!</v>
      </c>
      <c r="AL16" s="573" t="e">
        <f t="shared" si="1"/>
        <v>#DIV/0!</v>
      </c>
    </row>
    <row r="17" spans="2:38" x14ac:dyDescent="0.25">
      <c r="B17" s="571" t="str">
        <f>'FCD PROJETO'!B76</f>
        <v>2.2.15 - Taxa de Administração Central</v>
      </c>
      <c r="C17" s="572" t="e">
        <f>('FCD PROJETO'!F76/'FCD PROJETO'!F$53)</f>
        <v>#DIV/0!</v>
      </c>
      <c r="D17" s="572" t="e">
        <f>('FCD PROJETO'!G76/'FCD PROJETO'!G$53)</f>
        <v>#DIV/0!</v>
      </c>
      <c r="E17" s="572" t="e">
        <f>('FCD PROJETO'!H76/'FCD PROJETO'!H$53)</f>
        <v>#DIV/0!</v>
      </c>
      <c r="F17" s="572" t="e">
        <f>('FCD PROJETO'!I76/'FCD PROJETO'!I$53)</f>
        <v>#DIV/0!</v>
      </c>
      <c r="G17" s="572" t="e">
        <f>('FCD PROJETO'!J76/'FCD PROJETO'!J$53)</f>
        <v>#DIV/0!</v>
      </c>
      <c r="H17" s="572" t="e">
        <f>('FCD PROJETO'!K76/'FCD PROJETO'!K$53)</f>
        <v>#DIV/0!</v>
      </c>
      <c r="I17" s="572" t="e">
        <f>('FCD PROJETO'!L76/'FCD PROJETO'!L$53)</f>
        <v>#DIV/0!</v>
      </c>
      <c r="J17" s="572" t="e">
        <f>('FCD PROJETO'!M76/'FCD PROJETO'!M$53)</f>
        <v>#DIV/0!</v>
      </c>
      <c r="K17" s="572" t="e">
        <f>('FCD PROJETO'!N76/'FCD PROJETO'!N$53)</f>
        <v>#DIV/0!</v>
      </c>
      <c r="L17" s="572" t="e">
        <f>('FCD PROJETO'!O76/'FCD PROJETO'!O$53)</f>
        <v>#DIV/0!</v>
      </c>
      <c r="M17" s="572" t="e">
        <f>('FCD PROJETO'!P76/'FCD PROJETO'!P$53)</f>
        <v>#DIV/0!</v>
      </c>
      <c r="N17" s="572" t="e">
        <f>('FCD PROJETO'!Q76/'FCD PROJETO'!Q$53)</f>
        <v>#DIV/0!</v>
      </c>
      <c r="O17" s="572" t="e">
        <f>('FCD PROJETO'!R76/'FCD PROJETO'!R$53)</f>
        <v>#DIV/0!</v>
      </c>
      <c r="P17" s="572" t="e">
        <f>('FCD PROJETO'!S76/'FCD PROJETO'!S$53)</f>
        <v>#DIV/0!</v>
      </c>
      <c r="Q17" s="572" t="e">
        <f>('FCD PROJETO'!T76/'FCD PROJETO'!T$53)</f>
        <v>#DIV/0!</v>
      </c>
      <c r="R17" s="572" t="e">
        <f>('FCD PROJETO'!U76/'FCD PROJETO'!U$53)</f>
        <v>#DIV/0!</v>
      </c>
      <c r="S17" s="572" t="e">
        <f>('FCD PROJETO'!V76/'FCD PROJETO'!V$53)</f>
        <v>#DIV/0!</v>
      </c>
      <c r="T17" s="572" t="e">
        <f>('FCD PROJETO'!W76/'FCD PROJETO'!W$53)</f>
        <v>#DIV/0!</v>
      </c>
      <c r="U17" s="572" t="e">
        <f>('FCD PROJETO'!X76/'FCD PROJETO'!X$53)</f>
        <v>#DIV/0!</v>
      </c>
      <c r="V17" s="572" t="e">
        <f>('FCD PROJETO'!Y76/'FCD PROJETO'!Y$53)</f>
        <v>#DIV/0!</v>
      </c>
      <c r="W17" s="572" t="e">
        <f>('FCD PROJETO'!Z76/'FCD PROJETO'!Z$53)</f>
        <v>#DIV/0!</v>
      </c>
      <c r="X17" s="572" t="e">
        <f>('FCD PROJETO'!AA76/'FCD PROJETO'!AA$53)</f>
        <v>#DIV/0!</v>
      </c>
      <c r="Y17" s="572" t="e">
        <f>('FCD PROJETO'!AB76/'FCD PROJETO'!AB$53)</f>
        <v>#DIV/0!</v>
      </c>
      <c r="Z17" s="572" t="e">
        <f>('FCD PROJETO'!AC76/'FCD PROJETO'!AC$53)</f>
        <v>#DIV/0!</v>
      </c>
      <c r="AA17" s="572" t="e">
        <f>('FCD PROJETO'!AD76/'FCD PROJETO'!AD$53)</f>
        <v>#DIV/0!</v>
      </c>
      <c r="AB17" s="572" t="e">
        <f>('FCD PROJETO'!AE76/'FCD PROJETO'!AE$53)</f>
        <v>#DIV/0!</v>
      </c>
      <c r="AC17" s="572" t="e">
        <f>('FCD PROJETO'!AF76/'FCD PROJETO'!AF$53)</f>
        <v>#DIV/0!</v>
      </c>
      <c r="AD17" s="572" t="e">
        <f>('FCD PROJETO'!AG76/'FCD PROJETO'!AG$53)</f>
        <v>#DIV/0!</v>
      </c>
      <c r="AE17" s="572" t="e">
        <f>('FCD PROJETO'!AH76/'FCD PROJETO'!AH$53)</f>
        <v>#DIV/0!</v>
      </c>
      <c r="AF17" s="572" t="e">
        <f>('FCD PROJETO'!AI76/'FCD PROJETO'!AI$53)</f>
        <v>#DIV/0!</v>
      </c>
      <c r="AG17" s="572" t="e">
        <f>('FCD PROJETO'!AJ76/'FCD PROJETO'!AJ$53)</f>
        <v>#DIV/0!</v>
      </c>
      <c r="AH17" s="572" t="e">
        <f>('FCD PROJETO'!AK76/'FCD PROJETO'!AK$53)</f>
        <v>#DIV/0!</v>
      </c>
      <c r="AI17" s="572" t="e">
        <f>('FCD PROJETO'!AL76/'FCD PROJETO'!AL$53)</f>
        <v>#DIV/0!</v>
      </c>
      <c r="AJ17" s="572" t="e">
        <f>('FCD PROJETO'!AM76/'FCD PROJETO'!AM$53)</f>
        <v>#DIV/0!</v>
      </c>
      <c r="AK17" s="572" t="e">
        <f>('FCD PROJETO'!AN76/'FCD PROJETO'!AN$53)</f>
        <v>#DIV/0!</v>
      </c>
      <c r="AL17" s="573" t="e">
        <f t="shared" si="1"/>
        <v>#DIV/0!</v>
      </c>
    </row>
    <row r="18" spans="2:38" ht="15.75" thickBot="1" x14ac:dyDescent="0.3">
      <c r="B18" s="575" t="s">
        <v>5</v>
      </c>
      <c r="C18" s="576" t="e">
        <f>SUM(C3:C17)</f>
        <v>#DIV/0!</v>
      </c>
      <c r="D18" s="576" t="e">
        <f t="shared" ref="D18:AL18" si="2">SUM(D3:D17)</f>
        <v>#DIV/0!</v>
      </c>
      <c r="E18" s="576" t="e">
        <f t="shared" si="2"/>
        <v>#DIV/0!</v>
      </c>
      <c r="F18" s="576" t="e">
        <f t="shared" si="2"/>
        <v>#DIV/0!</v>
      </c>
      <c r="G18" s="576" t="e">
        <f t="shared" si="2"/>
        <v>#DIV/0!</v>
      </c>
      <c r="H18" s="576" t="e">
        <f t="shared" si="2"/>
        <v>#DIV/0!</v>
      </c>
      <c r="I18" s="576" t="e">
        <f t="shared" si="2"/>
        <v>#DIV/0!</v>
      </c>
      <c r="J18" s="576" t="e">
        <f t="shared" si="2"/>
        <v>#DIV/0!</v>
      </c>
      <c r="K18" s="576" t="e">
        <f t="shared" si="2"/>
        <v>#DIV/0!</v>
      </c>
      <c r="L18" s="576" t="e">
        <f t="shared" si="2"/>
        <v>#DIV/0!</v>
      </c>
      <c r="M18" s="576" t="e">
        <f t="shared" si="2"/>
        <v>#DIV/0!</v>
      </c>
      <c r="N18" s="576" t="e">
        <f t="shared" si="2"/>
        <v>#DIV/0!</v>
      </c>
      <c r="O18" s="576" t="e">
        <f t="shared" si="2"/>
        <v>#DIV/0!</v>
      </c>
      <c r="P18" s="576" t="e">
        <f t="shared" si="2"/>
        <v>#DIV/0!</v>
      </c>
      <c r="Q18" s="576" t="e">
        <f t="shared" si="2"/>
        <v>#DIV/0!</v>
      </c>
      <c r="R18" s="576" t="e">
        <f t="shared" si="2"/>
        <v>#DIV/0!</v>
      </c>
      <c r="S18" s="576" t="e">
        <f t="shared" si="2"/>
        <v>#DIV/0!</v>
      </c>
      <c r="T18" s="576" t="e">
        <f t="shared" si="2"/>
        <v>#DIV/0!</v>
      </c>
      <c r="U18" s="576" t="e">
        <f t="shared" si="2"/>
        <v>#DIV/0!</v>
      </c>
      <c r="V18" s="576" t="e">
        <f t="shared" si="2"/>
        <v>#DIV/0!</v>
      </c>
      <c r="W18" s="576" t="e">
        <f t="shared" si="2"/>
        <v>#DIV/0!</v>
      </c>
      <c r="X18" s="576" t="e">
        <f t="shared" si="2"/>
        <v>#DIV/0!</v>
      </c>
      <c r="Y18" s="576" t="e">
        <f t="shared" si="2"/>
        <v>#DIV/0!</v>
      </c>
      <c r="Z18" s="576" t="e">
        <f t="shared" si="2"/>
        <v>#DIV/0!</v>
      </c>
      <c r="AA18" s="576" t="e">
        <f t="shared" si="2"/>
        <v>#DIV/0!</v>
      </c>
      <c r="AB18" s="576" t="e">
        <f t="shared" si="2"/>
        <v>#DIV/0!</v>
      </c>
      <c r="AC18" s="576" t="e">
        <f t="shared" si="2"/>
        <v>#DIV/0!</v>
      </c>
      <c r="AD18" s="576" t="e">
        <f t="shared" si="2"/>
        <v>#DIV/0!</v>
      </c>
      <c r="AE18" s="576" t="e">
        <f t="shared" si="2"/>
        <v>#DIV/0!</v>
      </c>
      <c r="AF18" s="576" t="e">
        <f t="shared" si="2"/>
        <v>#DIV/0!</v>
      </c>
      <c r="AG18" s="576" t="e">
        <f t="shared" si="2"/>
        <v>#DIV/0!</v>
      </c>
      <c r="AH18" s="576" t="e">
        <f t="shared" si="2"/>
        <v>#DIV/0!</v>
      </c>
      <c r="AI18" s="576" t="e">
        <f t="shared" si="2"/>
        <v>#DIV/0!</v>
      </c>
      <c r="AJ18" s="576" t="e">
        <f t="shared" si="2"/>
        <v>#DIV/0!</v>
      </c>
      <c r="AK18" s="576" t="e">
        <f t="shared" si="2"/>
        <v>#DIV/0!</v>
      </c>
      <c r="AL18" s="577" t="e">
        <f t="shared" si="2"/>
        <v>#DIV/0!</v>
      </c>
    </row>
  </sheetData>
  <pageMargins left="0.511811024" right="0.511811024" top="0.78740157499999996" bottom="0.78740157499999996" header="0.31496062000000002" footer="0.3149606200000000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L21"/>
  <sheetViews>
    <sheetView showGridLines="0" workbookViewId="0">
      <selection activeCell="K27" sqref="K27"/>
    </sheetView>
  </sheetViews>
  <sheetFormatPr defaultRowHeight="15" x14ac:dyDescent="0.25"/>
  <cols>
    <col min="1" max="1" width="14.85546875" bestFit="1" customWidth="1"/>
    <col min="2" max="2" width="45.42578125" customWidth="1"/>
    <col min="3" max="3" width="8" customWidth="1"/>
    <col min="4" max="33" width="11.7109375" customWidth="1"/>
    <col min="34" max="34" width="11.85546875" customWidth="1"/>
    <col min="35" max="35" width="11.5703125" customWidth="1"/>
    <col min="36" max="37" width="12.5703125" customWidth="1"/>
    <col min="38" max="38" width="13.42578125" customWidth="1"/>
  </cols>
  <sheetData>
    <row r="1" spans="1:38" x14ac:dyDescent="0.25">
      <c r="A1" s="309" t="s">
        <v>520</v>
      </c>
      <c r="B1" s="776" t="s">
        <v>903</v>
      </c>
      <c r="C1" s="777">
        <v>1.0973999999999999</v>
      </c>
    </row>
    <row r="2" spans="1:38" x14ac:dyDescent="0.25">
      <c r="A2" s="145" t="s">
        <v>526</v>
      </c>
    </row>
    <row r="3" spans="1:38" x14ac:dyDescent="0.25">
      <c r="A3" s="213" t="s">
        <v>522</v>
      </c>
      <c r="B3" s="1141" t="s">
        <v>215</v>
      </c>
      <c r="C3" s="1141" t="s">
        <v>216</v>
      </c>
      <c r="D3" s="136">
        <f>'FCD PROJETO'!F23</f>
        <v>1</v>
      </c>
      <c r="E3" s="136">
        <f>'FCD PROJETO'!G23</f>
        <v>2</v>
      </c>
      <c r="F3" s="136">
        <f>'FCD PROJETO'!H23</f>
        <v>3</v>
      </c>
      <c r="G3" s="136">
        <f>'FCD PROJETO'!I23</f>
        <v>4</v>
      </c>
      <c r="H3" s="136">
        <f>'FCD PROJETO'!J23</f>
        <v>5</v>
      </c>
      <c r="I3" s="136">
        <f>'FCD PROJETO'!K23</f>
        <v>6</v>
      </c>
      <c r="J3" s="136">
        <f>'FCD PROJETO'!L23</f>
        <v>7</v>
      </c>
      <c r="K3" s="136">
        <f>'FCD PROJETO'!M23</f>
        <v>8</v>
      </c>
      <c r="L3" s="136">
        <f>'FCD PROJETO'!N23</f>
        <v>9</v>
      </c>
      <c r="M3" s="136">
        <f>'FCD PROJETO'!O23</f>
        <v>10</v>
      </c>
      <c r="N3" s="136">
        <f>'FCD PROJETO'!P23</f>
        <v>11</v>
      </c>
      <c r="O3" s="136">
        <f>'FCD PROJETO'!Q23</f>
        <v>12</v>
      </c>
      <c r="P3" s="136">
        <f>'FCD PROJETO'!R23</f>
        <v>13</v>
      </c>
      <c r="Q3" s="136">
        <f>'FCD PROJETO'!S23</f>
        <v>14</v>
      </c>
      <c r="R3" s="136">
        <f>'FCD PROJETO'!T23</f>
        <v>15</v>
      </c>
      <c r="S3" s="136">
        <f>'FCD PROJETO'!U23</f>
        <v>16</v>
      </c>
      <c r="T3" s="136">
        <f>'FCD PROJETO'!V23</f>
        <v>17</v>
      </c>
      <c r="U3" s="136">
        <f>'FCD PROJETO'!W23</f>
        <v>18</v>
      </c>
      <c r="V3" s="136">
        <f>'FCD PROJETO'!X23</f>
        <v>19</v>
      </c>
      <c r="W3" s="136">
        <f>'FCD PROJETO'!Y23</f>
        <v>20</v>
      </c>
      <c r="X3" s="136">
        <f>'FCD PROJETO'!Z23</f>
        <v>21</v>
      </c>
      <c r="Y3" s="136">
        <f>'FCD PROJETO'!AA23</f>
        <v>22</v>
      </c>
      <c r="Z3" s="136">
        <f>'FCD PROJETO'!AB23</f>
        <v>23</v>
      </c>
      <c r="AA3" s="136">
        <f>'FCD PROJETO'!AC23</f>
        <v>24</v>
      </c>
      <c r="AB3" s="136">
        <f>'FCD PROJETO'!AD23</f>
        <v>25</v>
      </c>
      <c r="AC3" s="136">
        <f>'FCD PROJETO'!AE23</f>
        <v>26</v>
      </c>
      <c r="AD3" s="136">
        <f>'FCD PROJETO'!AF23</f>
        <v>27</v>
      </c>
      <c r="AE3" s="136">
        <f>'FCD PROJETO'!AG23</f>
        <v>28</v>
      </c>
      <c r="AF3" s="136">
        <f>'FCD PROJETO'!AH23</f>
        <v>29</v>
      </c>
      <c r="AG3" s="136">
        <f>'FCD PROJETO'!AI23</f>
        <v>30</v>
      </c>
      <c r="AH3" s="136">
        <f>'FCD PROJETO'!AJ23</f>
        <v>31</v>
      </c>
      <c r="AI3" s="136">
        <f>'FCD PROJETO'!AK23</f>
        <v>32</v>
      </c>
      <c r="AJ3" s="136">
        <f>'FCD PROJETO'!AL23</f>
        <v>33</v>
      </c>
      <c r="AK3" s="136">
        <f>'FCD PROJETO'!AM23</f>
        <v>34</v>
      </c>
      <c r="AL3" s="136">
        <f>'FCD PROJETO'!AN23</f>
        <v>35</v>
      </c>
    </row>
    <row r="4" spans="1:38" x14ac:dyDescent="0.25">
      <c r="B4" s="1141"/>
      <c r="C4" s="1141"/>
      <c r="D4" s="136">
        <f>Cronograma!C4</f>
        <v>2027</v>
      </c>
      <c r="E4" s="136">
        <f>Cronograma!D4</f>
        <v>2028</v>
      </c>
      <c r="F4" s="136">
        <f>Cronograma!E4</f>
        <v>2029</v>
      </c>
      <c r="G4" s="136">
        <f>Cronograma!F4</f>
        <v>2030</v>
      </c>
      <c r="H4" s="136">
        <f>Cronograma!G4</f>
        <v>2031</v>
      </c>
      <c r="I4" s="136">
        <f>Cronograma!H4</f>
        <v>2032</v>
      </c>
      <c r="J4" s="136">
        <f>Cronograma!I4</f>
        <v>2033</v>
      </c>
      <c r="K4" s="136">
        <f>Cronograma!J4</f>
        <v>2034</v>
      </c>
      <c r="L4" s="136">
        <f>Cronograma!K4</f>
        <v>2035</v>
      </c>
      <c r="M4" s="136">
        <f>Cronograma!L4</f>
        <v>2036</v>
      </c>
      <c r="N4" s="136">
        <f>Cronograma!M4</f>
        <v>2037</v>
      </c>
      <c r="O4" s="136">
        <f>Cronograma!N4</f>
        <v>2038</v>
      </c>
      <c r="P4" s="136">
        <f>Cronograma!O4</f>
        <v>2039</v>
      </c>
      <c r="Q4" s="136">
        <f>Cronograma!P4</f>
        <v>2040</v>
      </c>
      <c r="R4" s="136">
        <f>Cronograma!Q4</f>
        <v>2041</v>
      </c>
      <c r="S4" s="136">
        <f>Cronograma!R4</f>
        <v>2042</v>
      </c>
      <c r="T4" s="136">
        <f>Cronograma!S4</f>
        <v>2043</v>
      </c>
      <c r="U4" s="136">
        <f>Cronograma!T4</f>
        <v>2044</v>
      </c>
      <c r="V4" s="136">
        <f>Cronograma!U4</f>
        <v>2045</v>
      </c>
      <c r="W4" s="136">
        <f>Cronograma!V4</f>
        <v>2046</v>
      </c>
      <c r="X4" s="136">
        <f>Cronograma!W4</f>
        <v>2047</v>
      </c>
      <c r="Y4" s="136">
        <f>Cronograma!X4</f>
        <v>2048</v>
      </c>
      <c r="Z4" s="136">
        <f>Cronograma!Y4</f>
        <v>2049</v>
      </c>
      <c r="AA4" s="136">
        <f>Cronograma!Z4</f>
        <v>2050</v>
      </c>
      <c r="AB4" s="136">
        <f>Cronograma!AA4</f>
        <v>2051</v>
      </c>
      <c r="AC4" s="136">
        <f>Cronograma!AB4</f>
        <v>2052</v>
      </c>
      <c r="AD4" s="136">
        <f>Cronograma!AC4</f>
        <v>2053</v>
      </c>
      <c r="AE4" s="136">
        <f>Cronograma!AD4</f>
        <v>2054</v>
      </c>
      <c r="AF4" s="136">
        <f>Cronograma!AE4</f>
        <v>2055</v>
      </c>
      <c r="AG4" s="136">
        <f>Cronograma!AF4</f>
        <v>2056</v>
      </c>
      <c r="AH4" s="136">
        <f>Cronograma!AG4</f>
        <v>2057</v>
      </c>
      <c r="AI4" s="136">
        <f>Cronograma!AH4</f>
        <v>2058</v>
      </c>
      <c r="AJ4" s="136">
        <f>Cronograma!AI4</f>
        <v>2059</v>
      </c>
      <c r="AK4" s="136">
        <f>Cronograma!AJ4</f>
        <v>2060</v>
      </c>
      <c r="AL4" s="136">
        <f>Cronograma!AK4</f>
        <v>2061</v>
      </c>
    </row>
    <row r="5" spans="1:38" x14ac:dyDescent="0.25">
      <c r="B5" s="234" t="s">
        <v>294</v>
      </c>
      <c r="C5" s="235" t="s">
        <v>293</v>
      </c>
      <c r="D5" s="340"/>
      <c r="E5" s="340"/>
      <c r="F5" s="340"/>
      <c r="G5" s="340"/>
      <c r="H5" s="340"/>
      <c r="I5" s="340"/>
      <c r="J5" s="340"/>
      <c r="K5" s="340"/>
      <c r="L5" s="340"/>
      <c r="M5" s="340"/>
      <c r="N5" s="340"/>
      <c r="O5" s="340"/>
      <c r="P5" s="340"/>
      <c r="Q5" s="340"/>
      <c r="R5" s="340"/>
      <c r="S5" s="340"/>
      <c r="T5" s="340"/>
      <c r="U5" s="340"/>
      <c r="V5" s="340"/>
      <c r="W5" s="340"/>
      <c r="X5" s="340"/>
      <c r="Y5" s="340"/>
      <c r="Z5" s="340"/>
      <c r="AA5" s="340"/>
      <c r="AB5" s="340"/>
      <c r="AC5" s="340"/>
      <c r="AD5" s="340"/>
      <c r="AE5" s="340"/>
      <c r="AF5" s="340"/>
      <c r="AG5" s="340"/>
      <c r="AH5" s="340"/>
      <c r="AI5" s="340"/>
      <c r="AJ5" s="340"/>
      <c r="AK5" s="340"/>
      <c r="AL5" s="340"/>
    </row>
    <row r="6" spans="1:38" x14ac:dyDescent="0.25">
      <c r="B6" s="234" t="s">
        <v>295</v>
      </c>
      <c r="C6" s="235" t="s">
        <v>293</v>
      </c>
      <c r="D6" s="340"/>
      <c r="E6" s="340"/>
      <c r="F6" s="340"/>
      <c r="G6" s="340"/>
      <c r="H6" s="340"/>
      <c r="I6" s="340"/>
      <c r="J6" s="340"/>
      <c r="K6" s="340"/>
      <c r="L6" s="340"/>
      <c r="M6" s="340"/>
      <c r="N6" s="340"/>
      <c r="O6" s="340"/>
      <c r="P6" s="340"/>
      <c r="Q6" s="340"/>
      <c r="R6" s="340"/>
      <c r="S6" s="340"/>
      <c r="T6" s="340"/>
      <c r="U6" s="340"/>
      <c r="V6" s="340"/>
      <c r="W6" s="340"/>
      <c r="X6" s="340"/>
      <c r="Y6" s="340"/>
      <c r="Z6" s="340"/>
      <c r="AA6" s="340"/>
      <c r="AB6" s="340"/>
      <c r="AC6" s="340"/>
      <c r="AD6" s="340"/>
      <c r="AE6" s="340"/>
      <c r="AF6" s="340"/>
      <c r="AG6" s="340"/>
      <c r="AH6" s="340"/>
      <c r="AI6" s="340"/>
      <c r="AJ6" s="340"/>
      <c r="AK6" s="340"/>
      <c r="AL6" s="340"/>
    </row>
    <row r="7" spans="1:38" x14ac:dyDescent="0.25">
      <c r="B7" s="234" t="s">
        <v>296</v>
      </c>
      <c r="C7" s="235" t="s">
        <v>293</v>
      </c>
      <c r="D7" s="340"/>
      <c r="E7" s="340"/>
      <c r="F7" s="340"/>
      <c r="G7" s="340"/>
      <c r="H7" s="340"/>
      <c r="I7" s="340"/>
      <c r="J7" s="340"/>
      <c r="K7" s="340"/>
      <c r="L7" s="340"/>
      <c r="M7" s="340"/>
      <c r="N7" s="340"/>
      <c r="O7" s="340"/>
      <c r="P7" s="340"/>
      <c r="Q7" s="340"/>
      <c r="R7" s="340"/>
      <c r="S7" s="340"/>
      <c r="T7" s="340"/>
      <c r="U7" s="340"/>
      <c r="V7" s="340"/>
      <c r="W7" s="340"/>
      <c r="X7" s="340"/>
      <c r="Y7" s="340"/>
      <c r="Z7" s="340"/>
      <c r="AA7" s="340"/>
      <c r="AB7" s="340"/>
      <c r="AC7" s="340"/>
      <c r="AD7" s="340"/>
      <c r="AE7" s="340"/>
      <c r="AF7" s="340"/>
      <c r="AG7" s="340"/>
      <c r="AH7" s="340"/>
      <c r="AI7" s="340"/>
      <c r="AJ7" s="340"/>
      <c r="AK7" s="340"/>
      <c r="AL7" s="340"/>
    </row>
    <row r="8" spans="1:38" x14ac:dyDescent="0.25">
      <c r="B8" s="234" t="s">
        <v>297</v>
      </c>
      <c r="C8" s="235" t="s">
        <v>293</v>
      </c>
      <c r="D8" s="340"/>
      <c r="E8" s="340"/>
      <c r="F8" s="340"/>
      <c r="G8" s="340"/>
      <c r="H8" s="340"/>
      <c r="I8" s="340"/>
      <c r="J8" s="340"/>
      <c r="K8" s="340"/>
      <c r="L8" s="340"/>
      <c r="M8" s="340"/>
      <c r="N8" s="340"/>
      <c r="O8" s="340"/>
      <c r="P8" s="340"/>
      <c r="Q8" s="340"/>
      <c r="R8" s="340"/>
      <c r="S8" s="340"/>
      <c r="T8" s="340"/>
      <c r="U8" s="340"/>
      <c r="V8" s="340"/>
      <c r="W8" s="340"/>
      <c r="X8" s="340"/>
      <c r="Y8" s="340"/>
      <c r="Z8" s="340"/>
      <c r="AA8" s="340"/>
      <c r="AB8" s="340"/>
      <c r="AC8" s="340"/>
      <c r="AD8" s="340"/>
      <c r="AE8" s="340"/>
      <c r="AF8" s="340"/>
      <c r="AG8" s="340"/>
      <c r="AH8" s="340"/>
      <c r="AI8" s="340"/>
      <c r="AJ8" s="340"/>
      <c r="AK8" s="340"/>
      <c r="AL8" s="340"/>
    </row>
    <row r="9" spans="1:38" x14ac:dyDescent="0.25">
      <c r="B9" s="234" t="s">
        <v>298</v>
      </c>
      <c r="C9" s="235" t="s">
        <v>293</v>
      </c>
      <c r="D9" s="340"/>
      <c r="E9" s="340"/>
      <c r="F9" s="340"/>
      <c r="G9" s="340"/>
      <c r="H9" s="340"/>
      <c r="I9" s="340"/>
      <c r="J9" s="340"/>
      <c r="K9" s="340"/>
      <c r="L9" s="340"/>
      <c r="M9" s="340"/>
      <c r="N9" s="340"/>
      <c r="O9" s="340"/>
      <c r="P9" s="340"/>
      <c r="Q9" s="340"/>
      <c r="R9" s="340"/>
      <c r="S9" s="340"/>
      <c r="T9" s="340"/>
      <c r="U9" s="340"/>
      <c r="V9" s="340"/>
      <c r="W9" s="340"/>
      <c r="X9" s="340"/>
      <c r="Y9" s="340"/>
      <c r="Z9" s="340"/>
      <c r="AA9" s="340"/>
      <c r="AB9" s="340"/>
      <c r="AC9" s="340"/>
      <c r="AD9" s="340"/>
      <c r="AE9" s="340"/>
      <c r="AF9" s="340"/>
      <c r="AG9" s="340"/>
      <c r="AH9" s="340"/>
      <c r="AI9" s="340"/>
      <c r="AJ9" s="340"/>
      <c r="AK9" s="340"/>
      <c r="AL9" s="340"/>
    </row>
    <row r="10" spans="1:38" x14ac:dyDescent="0.25">
      <c r="B10" s="234" t="s">
        <v>299</v>
      </c>
      <c r="C10" s="235" t="s">
        <v>293</v>
      </c>
      <c r="D10" s="340"/>
      <c r="E10" s="340"/>
      <c r="F10" s="340"/>
      <c r="G10" s="340"/>
      <c r="H10" s="340"/>
      <c r="I10" s="340"/>
      <c r="J10" s="340"/>
      <c r="K10" s="340"/>
      <c r="L10" s="340"/>
      <c r="M10" s="340"/>
      <c r="N10" s="340"/>
      <c r="O10" s="340"/>
      <c r="P10" s="340"/>
      <c r="Q10" s="340"/>
      <c r="R10" s="340"/>
      <c r="S10" s="340"/>
      <c r="T10" s="340"/>
      <c r="U10" s="340"/>
      <c r="V10" s="340"/>
      <c r="W10" s="340"/>
      <c r="X10" s="340"/>
      <c r="Y10" s="340"/>
      <c r="Z10" s="340"/>
      <c r="AA10" s="340"/>
      <c r="AB10" s="340"/>
      <c r="AC10" s="340"/>
      <c r="AD10" s="340"/>
      <c r="AE10" s="340"/>
      <c r="AF10" s="340"/>
      <c r="AG10" s="340"/>
      <c r="AH10" s="340"/>
      <c r="AI10" s="340"/>
      <c r="AJ10" s="340"/>
      <c r="AK10" s="340"/>
      <c r="AL10" s="340"/>
    </row>
    <row r="11" spans="1:38" x14ac:dyDescent="0.25">
      <c r="B11" s="234" t="s">
        <v>300</v>
      </c>
      <c r="C11" s="235" t="s">
        <v>293</v>
      </c>
      <c r="D11" s="340"/>
      <c r="E11" s="340"/>
      <c r="F11" s="340"/>
      <c r="G11" s="340"/>
      <c r="H11" s="340"/>
      <c r="I11" s="340"/>
      <c r="J11" s="340"/>
      <c r="K11" s="340"/>
      <c r="L11" s="340"/>
      <c r="M11" s="340"/>
      <c r="N11" s="340"/>
      <c r="O11" s="340"/>
      <c r="P11" s="340"/>
      <c r="Q11" s="340"/>
      <c r="R11" s="340"/>
      <c r="S11" s="340"/>
      <c r="T11" s="340"/>
      <c r="U11" s="340"/>
      <c r="V11" s="340"/>
      <c r="W11" s="340"/>
      <c r="X11" s="340"/>
      <c r="Y11" s="340"/>
      <c r="Z11" s="340"/>
      <c r="AA11" s="340"/>
      <c r="AB11" s="340"/>
      <c r="AC11" s="340"/>
      <c r="AD11" s="340"/>
      <c r="AE11" s="340"/>
      <c r="AF11" s="340"/>
      <c r="AG11" s="340"/>
      <c r="AH11" s="340"/>
      <c r="AI11" s="340"/>
      <c r="AJ11" s="340"/>
      <c r="AK11" s="340"/>
      <c r="AL11" s="340"/>
    </row>
    <row r="12" spans="1:38" x14ac:dyDescent="0.25">
      <c r="B12" s="239" t="s">
        <v>301</v>
      </c>
      <c r="C12" s="240" t="s">
        <v>293</v>
      </c>
      <c r="D12" s="308">
        <f>SUM(D5:D11)</f>
        <v>0</v>
      </c>
      <c r="E12" s="308">
        <f t="shared" ref="E12:AL12" si="0">SUM(E5:E11)</f>
        <v>0</v>
      </c>
      <c r="F12" s="308">
        <f t="shared" si="0"/>
        <v>0</v>
      </c>
      <c r="G12" s="308">
        <f t="shared" si="0"/>
        <v>0</v>
      </c>
      <c r="H12" s="308">
        <f t="shared" si="0"/>
        <v>0</v>
      </c>
      <c r="I12" s="308">
        <f t="shared" si="0"/>
        <v>0</v>
      </c>
      <c r="J12" s="308">
        <f t="shared" si="0"/>
        <v>0</v>
      </c>
      <c r="K12" s="308">
        <f t="shared" si="0"/>
        <v>0</v>
      </c>
      <c r="L12" s="308">
        <f t="shared" si="0"/>
        <v>0</v>
      </c>
      <c r="M12" s="308">
        <f t="shared" si="0"/>
        <v>0</v>
      </c>
      <c r="N12" s="308">
        <f t="shared" si="0"/>
        <v>0</v>
      </c>
      <c r="O12" s="308">
        <f t="shared" si="0"/>
        <v>0</v>
      </c>
      <c r="P12" s="308">
        <f t="shared" si="0"/>
        <v>0</v>
      </c>
      <c r="Q12" s="308">
        <f t="shared" si="0"/>
        <v>0</v>
      </c>
      <c r="R12" s="308">
        <f t="shared" si="0"/>
        <v>0</v>
      </c>
      <c r="S12" s="308">
        <f t="shared" si="0"/>
        <v>0</v>
      </c>
      <c r="T12" s="308">
        <f t="shared" si="0"/>
        <v>0</v>
      </c>
      <c r="U12" s="308">
        <f t="shared" si="0"/>
        <v>0</v>
      </c>
      <c r="V12" s="308">
        <f t="shared" si="0"/>
        <v>0</v>
      </c>
      <c r="W12" s="308">
        <f t="shared" si="0"/>
        <v>0</v>
      </c>
      <c r="X12" s="308">
        <f t="shared" si="0"/>
        <v>0</v>
      </c>
      <c r="Y12" s="308">
        <f t="shared" si="0"/>
        <v>0</v>
      </c>
      <c r="Z12" s="308">
        <f t="shared" si="0"/>
        <v>0</v>
      </c>
      <c r="AA12" s="308">
        <f t="shared" si="0"/>
        <v>0</v>
      </c>
      <c r="AB12" s="308">
        <f t="shared" si="0"/>
        <v>0</v>
      </c>
      <c r="AC12" s="308">
        <f t="shared" si="0"/>
        <v>0</v>
      </c>
      <c r="AD12" s="308">
        <f t="shared" si="0"/>
        <v>0</v>
      </c>
      <c r="AE12" s="308">
        <f t="shared" si="0"/>
        <v>0</v>
      </c>
      <c r="AF12" s="308">
        <f t="shared" si="0"/>
        <v>0</v>
      </c>
      <c r="AG12" s="308">
        <f t="shared" si="0"/>
        <v>0</v>
      </c>
      <c r="AH12" s="308">
        <f t="shared" si="0"/>
        <v>0</v>
      </c>
      <c r="AI12" s="308">
        <f t="shared" si="0"/>
        <v>0</v>
      </c>
      <c r="AJ12" s="308">
        <f t="shared" si="0"/>
        <v>0</v>
      </c>
      <c r="AK12" s="308">
        <f t="shared" si="0"/>
        <v>0</v>
      </c>
      <c r="AL12" s="308">
        <f t="shared" si="0"/>
        <v>0</v>
      </c>
    </row>
    <row r="13" spans="1:38" x14ac:dyDescent="0.25">
      <c r="B13" s="239" t="s">
        <v>302</v>
      </c>
      <c r="C13" s="240" t="s">
        <v>303</v>
      </c>
      <c r="D13" s="341"/>
      <c r="E13" s="341"/>
      <c r="F13" s="341"/>
      <c r="G13" s="341"/>
      <c r="H13" s="341"/>
      <c r="I13" s="341"/>
      <c r="J13" s="341"/>
      <c r="K13" s="341"/>
      <c r="L13" s="341"/>
      <c r="M13" s="341"/>
      <c r="N13" s="341"/>
      <c r="O13" s="341"/>
      <c r="P13" s="341"/>
      <c r="Q13" s="341"/>
      <c r="R13" s="341"/>
      <c r="S13" s="341"/>
      <c r="T13" s="341"/>
      <c r="U13" s="341"/>
      <c r="V13" s="341"/>
      <c r="W13" s="341"/>
      <c r="X13" s="341"/>
      <c r="Y13" s="341"/>
      <c r="Z13" s="341"/>
      <c r="AA13" s="341"/>
      <c r="AB13" s="341"/>
      <c r="AC13" s="341"/>
      <c r="AD13" s="341"/>
      <c r="AE13" s="341"/>
      <c r="AF13" s="341"/>
      <c r="AG13" s="341"/>
      <c r="AH13" s="341"/>
      <c r="AI13" s="341"/>
      <c r="AJ13" s="341"/>
      <c r="AK13" s="341"/>
      <c r="AL13" s="341"/>
    </row>
    <row r="14" spans="1:38" x14ac:dyDescent="0.25">
      <c r="A14" s="85"/>
      <c r="B14" s="303"/>
      <c r="C14" s="304"/>
      <c r="D14" s="342"/>
      <c r="E14" s="342"/>
      <c r="F14" s="342"/>
      <c r="G14" s="342"/>
      <c r="H14" s="342"/>
      <c r="I14" s="342"/>
      <c r="J14" s="342"/>
      <c r="K14" s="342"/>
      <c r="L14" s="342"/>
      <c r="M14" s="342"/>
      <c r="N14" s="342"/>
      <c r="O14" s="342"/>
      <c r="P14" s="342"/>
      <c r="Q14" s="342"/>
      <c r="R14" s="342"/>
      <c r="S14" s="342"/>
      <c r="T14" s="342"/>
      <c r="U14" s="342"/>
      <c r="V14" s="342"/>
      <c r="W14" s="342"/>
      <c r="X14" s="342"/>
      <c r="Y14" s="342"/>
      <c r="Z14" s="342"/>
      <c r="AA14" s="342"/>
      <c r="AB14" s="342"/>
      <c r="AC14" s="342"/>
      <c r="AD14" s="342"/>
      <c r="AE14" s="342"/>
      <c r="AF14" s="342"/>
      <c r="AG14" s="342"/>
    </row>
    <row r="15" spans="1:38" x14ac:dyDescent="0.25">
      <c r="B15" s="234" t="s">
        <v>304</v>
      </c>
      <c r="C15" s="235" t="s">
        <v>222</v>
      </c>
      <c r="D15" s="1194"/>
      <c r="E15" s="1194"/>
      <c r="F15" s="1194"/>
      <c r="G15" s="1194"/>
      <c r="H15" s="1194"/>
      <c r="I15" s="1194"/>
      <c r="J15" s="1194"/>
      <c r="K15" s="1194"/>
      <c r="L15" s="1194"/>
      <c r="M15" s="1194"/>
      <c r="N15" s="1194"/>
      <c r="O15" s="1194"/>
      <c r="P15" s="1194"/>
      <c r="Q15" s="1194"/>
      <c r="R15" s="1194"/>
      <c r="S15" s="1194"/>
      <c r="T15" s="1194"/>
      <c r="U15" s="1194"/>
      <c r="V15" s="1194"/>
      <c r="W15" s="1194"/>
      <c r="X15" s="1194"/>
      <c r="Y15" s="1194"/>
      <c r="Z15" s="1194"/>
      <c r="AA15" s="1194"/>
      <c r="AB15" s="1194"/>
      <c r="AC15" s="1194"/>
      <c r="AD15" s="1194"/>
      <c r="AE15" s="1194"/>
      <c r="AF15" s="1194"/>
      <c r="AG15" s="1194"/>
      <c r="AH15" s="1194"/>
      <c r="AI15" s="1194"/>
      <c r="AJ15" s="1194"/>
      <c r="AK15" s="1194"/>
      <c r="AL15" s="1194"/>
    </row>
    <row r="16" spans="1:38" x14ac:dyDescent="0.25">
      <c r="B16" s="234" t="s">
        <v>305</v>
      </c>
      <c r="C16" s="235" t="s">
        <v>222</v>
      </c>
      <c r="D16" s="1194"/>
      <c r="E16" s="1194"/>
      <c r="F16" s="1194"/>
      <c r="G16" s="1194"/>
      <c r="H16" s="1194"/>
      <c r="I16" s="1194"/>
      <c r="J16" s="1194"/>
      <c r="K16" s="1194"/>
      <c r="L16" s="1194"/>
      <c r="M16" s="1194"/>
      <c r="N16" s="1194"/>
      <c r="O16" s="1194"/>
      <c r="P16" s="1194"/>
      <c r="Q16" s="1194"/>
      <c r="R16" s="1194"/>
      <c r="S16" s="1194"/>
      <c r="T16" s="1194"/>
      <c r="U16" s="1194"/>
      <c r="V16" s="1194"/>
      <c r="W16" s="1194"/>
      <c r="X16" s="1194"/>
      <c r="Y16" s="1194"/>
      <c r="Z16" s="1194"/>
      <c r="AA16" s="1194"/>
      <c r="AB16" s="1194"/>
      <c r="AC16" s="1194"/>
      <c r="AD16" s="1194"/>
      <c r="AE16" s="1194"/>
      <c r="AF16" s="1194"/>
      <c r="AG16" s="1194"/>
      <c r="AH16" s="1194"/>
      <c r="AI16" s="1194"/>
      <c r="AJ16" s="1194"/>
      <c r="AK16" s="1194"/>
      <c r="AL16" s="1194"/>
    </row>
    <row r="17" spans="2:38" x14ac:dyDescent="0.25">
      <c r="B17" s="239" t="s">
        <v>306</v>
      </c>
      <c r="C17" s="240" t="s">
        <v>222</v>
      </c>
      <c r="D17" s="307">
        <f>D15+D16</f>
        <v>0</v>
      </c>
      <c r="E17" s="307">
        <f t="shared" ref="E17:AL17" si="1">E15+E16</f>
        <v>0</v>
      </c>
      <c r="F17" s="307">
        <f t="shared" si="1"/>
        <v>0</v>
      </c>
      <c r="G17" s="307">
        <f t="shared" si="1"/>
        <v>0</v>
      </c>
      <c r="H17" s="307">
        <f t="shared" si="1"/>
        <v>0</v>
      </c>
      <c r="I17" s="307">
        <f t="shared" si="1"/>
        <v>0</v>
      </c>
      <c r="J17" s="307">
        <f t="shared" si="1"/>
        <v>0</v>
      </c>
      <c r="K17" s="307">
        <f t="shared" si="1"/>
        <v>0</v>
      </c>
      <c r="L17" s="307">
        <f t="shared" si="1"/>
        <v>0</v>
      </c>
      <c r="M17" s="307">
        <f t="shared" si="1"/>
        <v>0</v>
      </c>
      <c r="N17" s="307">
        <f t="shared" si="1"/>
        <v>0</v>
      </c>
      <c r="O17" s="307">
        <f t="shared" si="1"/>
        <v>0</v>
      </c>
      <c r="P17" s="307">
        <f t="shared" si="1"/>
        <v>0</v>
      </c>
      <c r="Q17" s="307">
        <f t="shared" si="1"/>
        <v>0</v>
      </c>
      <c r="R17" s="307">
        <f t="shared" si="1"/>
        <v>0</v>
      </c>
      <c r="S17" s="307">
        <f t="shared" si="1"/>
        <v>0</v>
      </c>
      <c r="T17" s="307">
        <f t="shared" si="1"/>
        <v>0</v>
      </c>
      <c r="U17" s="307">
        <f t="shared" si="1"/>
        <v>0</v>
      </c>
      <c r="V17" s="307">
        <f t="shared" si="1"/>
        <v>0</v>
      </c>
      <c r="W17" s="307">
        <f t="shared" si="1"/>
        <v>0</v>
      </c>
      <c r="X17" s="307">
        <f t="shared" si="1"/>
        <v>0</v>
      </c>
      <c r="Y17" s="307">
        <f t="shared" si="1"/>
        <v>0</v>
      </c>
      <c r="Z17" s="307">
        <f t="shared" si="1"/>
        <v>0</v>
      </c>
      <c r="AA17" s="307">
        <f t="shared" si="1"/>
        <v>0</v>
      </c>
      <c r="AB17" s="307">
        <f t="shared" si="1"/>
        <v>0</v>
      </c>
      <c r="AC17" s="307">
        <f t="shared" si="1"/>
        <v>0</v>
      </c>
      <c r="AD17" s="307">
        <f t="shared" si="1"/>
        <v>0</v>
      </c>
      <c r="AE17" s="307">
        <f t="shared" si="1"/>
        <v>0</v>
      </c>
      <c r="AF17" s="307">
        <f t="shared" si="1"/>
        <v>0</v>
      </c>
      <c r="AG17" s="307">
        <f t="shared" si="1"/>
        <v>0</v>
      </c>
      <c r="AH17" s="307">
        <f t="shared" si="1"/>
        <v>0</v>
      </c>
      <c r="AI17" s="307">
        <f t="shared" si="1"/>
        <v>0</v>
      </c>
      <c r="AJ17" s="307">
        <f t="shared" si="1"/>
        <v>0</v>
      </c>
      <c r="AK17" s="307">
        <f t="shared" si="1"/>
        <v>0</v>
      </c>
      <c r="AL17" s="307">
        <f t="shared" si="1"/>
        <v>0</v>
      </c>
    </row>
    <row r="18" spans="2:38" x14ac:dyDescent="0.25">
      <c r="B18" s="239" t="s">
        <v>527</v>
      </c>
      <c r="C18" s="240" t="s">
        <v>222</v>
      </c>
      <c r="D18" s="307" t="e">
        <f>D17/D12/12</f>
        <v>#DIV/0!</v>
      </c>
      <c r="E18" s="307" t="e">
        <f t="shared" ref="E18:AL18" si="2">E17/E12/12</f>
        <v>#DIV/0!</v>
      </c>
      <c r="F18" s="307" t="e">
        <f t="shared" si="2"/>
        <v>#DIV/0!</v>
      </c>
      <c r="G18" s="307" t="e">
        <f t="shared" si="2"/>
        <v>#DIV/0!</v>
      </c>
      <c r="H18" s="307" t="e">
        <f t="shared" si="2"/>
        <v>#DIV/0!</v>
      </c>
      <c r="I18" s="307" t="e">
        <f t="shared" si="2"/>
        <v>#DIV/0!</v>
      </c>
      <c r="J18" s="307" t="e">
        <f t="shared" si="2"/>
        <v>#DIV/0!</v>
      </c>
      <c r="K18" s="307" t="e">
        <f t="shared" si="2"/>
        <v>#DIV/0!</v>
      </c>
      <c r="L18" s="307" t="e">
        <f t="shared" si="2"/>
        <v>#DIV/0!</v>
      </c>
      <c r="M18" s="307" t="e">
        <f t="shared" si="2"/>
        <v>#DIV/0!</v>
      </c>
      <c r="N18" s="307" t="e">
        <f t="shared" si="2"/>
        <v>#DIV/0!</v>
      </c>
      <c r="O18" s="307" t="e">
        <f t="shared" si="2"/>
        <v>#DIV/0!</v>
      </c>
      <c r="P18" s="307" t="e">
        <f t="shared" si="2"/>
        <v>#DIV/0!</v>
      </c>
      <c r="Q18" s="307" t="e">
        <f t="shared" si="2"/>
        <v>#DIV/0!</v>
      </c>
      <c r="R18" s="307" t="e">
        <f t="shared" si="2"/>
        <v>#DIV/0!</v>
      </c>
      <c r="S18" s="307" t="e">
        <f t="shared" si="2"/>
        <v>#DIV/0!</v>
      </c>
      <c r="T18" s="307" t="e">
        <f t="shared" si="2"/>
        <v>#DIV/0!</v>
      </c>
      <c r="U18" s="307" t="e">
        <f t="shared" si="2"/>
        <v>#DIV/0!</v>
      </c>
      <c r="V18" s="307" t="e">
        <f t="shared" si="2"/>
        <v>#DIV/0!</v>
      </c>
      <c r="W18" s="307" t="e">
        <f t="shared" si="2"/>
        <v>#DIV/0!</v>
      </c>
      <c r="X18" s="307" t="e">
        <f t="shared" si="2"/>
        <v>#DIV/0!</v>
      </c>
      <c r="Y18" s="307" t="e">
        <f t="shared" si="2"/>
        <v>#DIV/0!</v>
      </c>
      <c r="Z18" s="307" t="e">
        <f t="shared" si="2"/>
        <v>#DIV/0!</v>
      </c>
      <c r="AA18" s="307" t="e">
        <f t="shared" si="2"/>
        <v>#DIV/0!</v>
      </c>
      <c r="AB18" s="307" t="e">
        <f t="shared" si="2"/>
        <v>#DIV/0!</v>
      </c>
      <c r="AC18" s="307" t="e">
        <f t="shared" si="2"/>
        <v>#DIV/0!</v>
      </c>
      <c r="AD18" s="307" t="e">
        <f t="shared" si="2"/>
        <v>#DIV/0!</v>
      </c>
      <c r="AE18" s="307" t="e">
        <f t="shared" si="2"/>
        <v>#DIV/0!</v>
      </c>
      <c r="AF18" s="307" t="e">
        <f t="shared" si="2"/>
        <v>#DIV/0!</v>
      </c>
      <c r="AG18" s="307" t="e">
        <f t="shared" si="2"/>
        <v>#DIV/0!</v>
      </c>
      <c r="AH18" s="307" t="e">
        <f t="shared" si="2"/>
        <v>#DIV/0!</v>
      </c>
      <c r="AI18" s="307" t="e">
        <f t="shared" si="2"/>
        <v>#DIV/0!</v>
      </c>
      <c r="AJ18" s="307" t="e">
        <f t="shared" si="2"/>
        <v>#DIV/0!</v>
      </c>
      <c r="AK18" s="307" t="e">
        <f t="shared" si="2"/>
        <v>#DIV/0!</v>
      </c>
      <c r="AL18" s="307" t="e">
        <f t="shared" si="2"/>
        <v>#DIV/0!</v>
      </c>
    </row>
    <row r="19" spans="2:38" x14ac:dyDescent="0.25">
      <c r="B19" s="303" t="s">
        <v>872</v>
      </c>
    </row>
    <row r="20" spans="2:38" x14ac:dyDescent="0.25">
      <c r="B20" t="s">
        <v>871</v>
      </c>
    </row>
    <row r="21" spans="2:38" x14ac:dyDescent="0.25">
      <c r="B21" t="s">
        <v>1379</v>
      </c>
    </row>
  </sheetData>
  <mergeCells count="2">
    <mergeCell ref="B3:B4"/>
    <mergeCell ref="C3:C4"/>
  </mergeCells>
  <pageMargins left="0.511811024" right="0.511811024" top="0.78740157499999996" bottom="0.78740157499999996" header="0.31496062000000002" footer="0.3149606200000000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AM296"/>
  <sheetViews>
    <sheetView showGridLines="0" zoomScaleNormal="100" workbookViewId="0">
      <pane xSplit="2" ySplit="4" topLeftCell="C277" activePane="bottomRight" state="frozen"/>
      <selection pane="topRight" activeCell="C1" sqref="C1"/>
      <selection pane="bottomLeft" activeCell="A5" sqref="A5"/>
      <selection pane="bottomRight" activeCell="E289" sqref="E289:E293"/>
    </sheetView>
  </sheetViews>
  <sheetFormatPr defaultRowHeight="15" x14ac:dyDescent="0.25"/>
  <cols>
    <col min="1" max="1" width="14.85546875" bestFit="1" customWidth="1"/>
    <col min="2" max="2" width="53" customWidth="1"/>
    <col min="3" max="3" width="8" customWidth="1"/>
    <col min="4" max="38" width="14.7109375" customWidth="1"/>
    <col min="39" max="39" width="17" bestFit="1" customWidth="1"/>
  </cols>
  <sheetData>
    <row r="1" spans="1:39" x14ac:dyDescent="0.25">
      <c r="A1" s="309" t="s">
        <v>520</v>
      </c>
    </row>
    <row r="2" spans="1:39" x14ac:dyDescent="0.25">
      <c r="A2" s="145" t="s">
        <v>526</v>
      </c>
    </row>
    <row r="3" spans="1:39" x14ac:dyDescent="0.25">
      <c r="A3" s="213" t="s">
        <v>522</v>
      </c>
      <c r="B3" s="1141" t="s">
        <v>388</v>
      </c>
      <c r="C3" s="1141" t="s">
        <v>216</v>
      </c>
      <c r="D3" s="136">
        <f>'FCD PROJETO'!F23</f>
        <v>1</v>
      </c>
      <c r="E3" s="136">
        <f>'FCD PROJETO'!G23</f>
        <v>2</v>
      </c>
      <c r="F3" s="136">
        <f>'FCD PROJETO'!H23</f>
        <v>3</v>
      </c>
      <c r="G3" s="136">
        <f>'FCD PROJETO'!I23</f>
        <v>4</v>
      </c>
      <c r="H3" s="136">
        <f>'FCD PROJETO'!J23</f>
        <v>5</v>
      </c>
      <c r="I3" s="136">
        <f>'FCD PROJETO'!K23</f>
        <v>6</v>
      </c>
      <c r="J3" s="136">
        <f>'FCD PROJETO'!L23</f>
        <v>7</v>
      </c>
      <c r="K3" s="136">
        <f>'FCD PROJETO'!M23</f>
        <v>8</v>
      </c>
      <c r="L3" s="136">
        <f>'FCD PROJETO'!N23</f>
        <v>9</v>
      </c>
      <c r="M3" s="136">
        <f>'FCD PROJETO'!O23</f>
        <v>10</v>
      </c>
      <c r="N3" s="136">
        <f>'FCD PROJETO'!P23</f>
        <v>11</v>
      </c>
      <c r="O3" s="136">
        <f>'FCD PROJETO'!Q23</f>
        <v>12</v>
      </c>
      <c r="P3" s="136">
        <f>'FCD PROJETO'!R23</f>
        <v>13</v>
      </c>
      <c r="Q3" s="136">
        <f>'FCD PROJETO'!S23</f>
        <v>14</v>
      </c>
      <c r="R3" s="136">
        <f>'FCD PROJETO'!T23</f>
        <v>15</v>
      </c>
      <c r="S3" s="136">
        <f>'FCD PROJETO'!U23</f>
        <v>16</v>
      </c>
      <c r="T3" s="136">
        <f>'FCD PROJETO'!V23</f>
        <v>17</v>
      </c>
      <c r="U3" s="136">
        <f>'FCD PROJETO'!W23</f>
        <v>18</v>
      </c>
      <c r="V3" s="136">
        <f>'FCD PROJETO'!X23</f>
        <v>19</v>
      </c>
      <c r="W3" s="136">
        <f>'FCD PROJETO'!Y23</f>
        <v>20</v>
      </c>
      <c r="X3" s="136">
        <f>'FCD PROJETO'!Z23</f>
        <v>21</v>
      </c>
      <c r="Y3" s="136">
        <f>'FCD PROJETO'!AA23</f>
        <v>22</v>
      </c>
      <c r="Z3" s="136">
        <f>'FCD PROJETO'!AB23</f>
        <v>23</v>
      </c>
      <c r="AA3" s="136">
        <f>'FCD PROJETO'!AC23</f>
        <v>24</v>
      </c>
      <c r="AB3" s="136">
        <f>'FCD PROJETO'!AD23</f>
        <v>25</v>
      </c>
      <c r="AC3" s="136">
        <f>'FCD PROJETO'!AE23</f>
        <v>26</v>
      </c>
      <c r="AD3" s="136">
        <f>'FCD PROJETO'!AF23</f>
        <v>27</v>
      </c>
      <c r="AE3" s="136">
        <f>'FCD PROJETO'!AG23</f>
        <v>28</v>
      </c>
      <c r="AF3" s="136">
        <f>'FCD PROJETO'!AH23</f>
        <v>29</v>
      </c>
      <c r="AG3" s="136">
        <f>'FCD PROJETO'!AI23</f>
        <v>30</v>
      </c>
      <c r="AH3" s="136">
        <f>'FCD PROJETO'!AJ23</f>
        <v>31</v>
      </c>
      <c r="AI3" s="136">
        <f>'FCD PROJETO'!AK23</f>
        <v>32</v>
      </c>
      <c r="AJ3" s="136">
        <f>'FCD PROJETO'!AL23</f>
        <v>33</v>
      </c>
      <c r="AK3" s="136">
        <f>'FCD PROJETO'!AM23</f>
        <v>34</v>
      </c>
      <c r="AL3" s="136">
        <f>'FCD PROJETO'!AN23</f>
        <v>35</v>
      </c>
    </row>
    <row r="4" spans="1:39" x14ac:dyDescent="0.25">
      <c r="B4" s="1141"/>
      <c r="C4" s="1141"/>
      <c r="D4" s="136">
        <f>'FCD PROJETO'!F24</f>
        <v>2027</v>
      </c>
      <c r="E4" s="136">
        <f>'FCD PROJETO'!G24</f>
        <v>2028</v>
      </c>
      <c r="F4" s="136">
        <f>'FCD PROJETO'!H24</f>
        <v>2029</v>
      </c>
      <c r="G4" s="136">
        <f>'FCD PROJETO'!I24</f>
        <v>2030</v>
      </c>
      <c r="H4" s="136">
        <f>'FCD PROJETO'!J24</f>
        <v>2031</v>
      </c>
      <c r="I4" s="136">
        <f>'FCD PROJETO'!K24</f>
        <v>2032</v>
      </c>
      <c r="J4" s="136">
        <f>'FCD PROJETO'!L24</f>
        <v>2033</v>
      </c>
      <c r="K4" s="136">
        <f>'FCD PROJETO'!M24</f>
        <v>2034</v>
      </c>
      <c r="L4" s="136">
        <f>'FCD PROJETO'!N24</f>
        <v>2035</v>
      </c>
      <c r="M4" s="136">
        <f>'FCD PROJETO'!O24</f>
        <v>2036</v>
      </c>
      <c r="N4" s="136">
        <f>'FCD PROJETO'!P24</f>
        <v>2037</v>
      </c>
      <c r="O4" s="136">
        <f>'FCD PROJETO'!Q24</f>
        <v>2038</v>
      </c>
      <c r="P4" s="136">
        <f>'FCD PROJETO'!R24</f>
        <v>2039</v>
      </c>
      <c r="Q4" s="136">
        <f>'FCD PROJETO'!S24</f>
        <v>2040</v>
      </c>
      <c r="R4" s="136">
        <f>'FCD PROJETO'!T24</f>
        <v>2041</v>
      </c>
      <c r="S4" s="136">
        <f>'FCD PROJETO'!U24</f>
        <v>2042</v>
      </c>
      <c r="T4" s="136">
        <f>'FCD PROJETO'!V24</f>
        <v>2043</v>
      </c>
      <c r="U4" s="136">
        <f>'FCD PROJETO'!W24</f>
        <v>2044</v>
      </c>
      <c r="V4" s="136">
        <f>'FCD PROJETO'!X24</f>
        <v>2045</v>
      </c>
      <c r="W4" s="136">
        <f>'FCD PROJETO'!Y24</f>
        <v>2046</v>
      </c>
      <c r="X4" s="136">
        <f>'FCD PROJETO'!Z24</f>
        <v>2047</v>
      </c>
      <c r="Y4" s="136">
        <f>'FCD PROJETO'!AA24</f>
        <v>2048</v>
      </c>
      <c r="Z4" s="136">
        <f>'FCD PROJETO'!AB24</f>
        <v>2049</v>
      </c>
      <c r="AA4" s="136">
        <f>'FCD PROJETO'!AC24</f>
        <v>2050</v>
      </c>
      <c r="AB4" s="136">
        <f>'FCD PROJETO'!AD24</f>
        <v>2051</v>
      </c>
      <c r="AC4" s="136">
        <f>'FCD PROJETO'!AE24</f>
        <v>2052</v>
      </c>
      <c r="AD4" s="136">
        <f>'FCD PROJETO'!AF24</f>
        <v>2053</v>
      </c>
      <c r="AE4" s="136">
        <f>'FCD PROJETO'!AG24</f>
        <v>2054</v>
      </c>
      <c r="AF4" s="136">
        <f>'FCD PROJETO'!AH24</f>
        <v>2055</v>
      </c>
      <c r="AG4" s="136">
        <f>'FCD PROJETO'!AI24</f>
        <v>2056</v>
      </c>
      <c r="AH4" s="136">
        <f>'FCD PROJETO'!AJ24</f>
        <v>2057</v>
      </c>
      <c r="AI4" s="136">
        <f>'FCD PROJETO'!AK24</f>
        <v>2058</v>
      </c>
      <c r="AJ4" s="136">
        <f>'FCD PROJETO'!AL24</f>
        <v>2059</v>
      </c>
      <c r="AK4" s="136">
        <f>'FCD PROJETO'!AM24</f>
        <v>2060</v>
      </c>
      <c r="AL4" s="136">
        <f>'FCD PROJETO'!AN24</f>
        <v>2061</v>
      </c>
    </row>
    <row r="5" spans="1:39" x14ac:dyDescent="0.25">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row>
    <row r="6" spans="1:39" x14ac:dyDescent="0.25">
      <c r="B6" s="234" t="s">
        <v>389</v>
      </c>
      <c r="C6" s="235" t="s">
        <v>126</v>
      </c>
      <c r="D6" s="241">
        <f>'Base Física'!F10</f>
        <v>0</v>
      </c>
      <c r="E6" s="241">
        <f>'Base Física'!G10</f>
        <v>0</v>
      </c>
      <c r="F6" s="241">
        <f>'Base Física'!H10</f>
        <v>0</v>
      </c>
      <c r="G6" s="241">
        <f>'Base Física'!I10</f>
        <v>0</v>
      </c>
      <c r="H6" s="241">
        <f>'Base Física'!J10</f>
        <v>0</v>
      </c>
      <c r="I6" s="241">
        <f>'Base Física'!K10</f>
        <v>0</v>
      </c>
      <c r="J6" s="241">
        <f>'Base Física'!L10</f>
        <v>0</v>
      </c>
      <c r="K6" s="241">
        <f>'Base Física'!M10</f>
        <v>0</v>
      </c>
      <c r="L6" s="241">
        <f>'Base Física'!N10</f>
        <v>0</v>
      </c>
      <c r="M6" s="241">
        <f>'Base Física'!O10</f>
        <v>0</v>
      </c>
      <c r="N6" s="241">
        <f>'Base Física'!P10</f>
        <v>0</v>
      </c>
      <c r="O6" s="241">
        <f>'Base Física'!Q10</f>
        <v>0</v>
      </c>
      <c r="P6" s="241">
        <f>'Base Física'!R10</f>
        <v>0</v>
      </c>
      <c r="Q6" s="241">
        <f>'Base Física'!S10</f>
        <v>0</v>
      </c>
      <c r="R6" s="241">
        <f>'Base Física'!T10</f>
        <v>0</v>
      </c>
      <c r="S6" s="241">
        <f>'Base Física'!U10</f>
        <v>0</v>
      </c>
      <c r="T6" s="241">
        <f>'Base Física'!V10</f>
        <v>0</v>
      </c>
      <c r="U6" s="241">
        <f>'Base Física'!W10</f>
        <v>0</v>
      </c>
      <c r="V6" s="241">
        <f>'Base Física'!X10</f>
        <v>0</v>
      </c>
      <c r="W6" s="241">
        <f>'Base Física'!Y10</f>
        <v>0</v>
      </c>
      <c r="X6" s="241">
        <f>'Base Física'!Z10</f>
        <v>0</v>
      </c>
      <c r="Y6" s="241">
        <f>'Base Física'!AA10</f>
        <v>0</v>
      </c>
      <c r="Z6" s="241">
        <f>'Base Física'!AB10</f>
        <v>0</v>
      </c>
      <c r="AA6" s="241">
        <f>'Base Física'!AC10</f>
        <v>0</v>
      </c>
      <c r="AB6" s="241">
        <f>'Base Física'!AD10</f>
        <v>0</v>
      </c>
      <c r="AC6" s="241">
        <f>'Base Física'!AE10</f>
        <v>0</v>
      </c>
      <c r="AD6" s="241">
        <f>'Base Física'!AF10</f>
        <v>0</v>
      </c>
      <c r="AE6" s="241">
        <f>'Base Física'!AG10</f>
        <v>0</v>
      </c>
      <c r="AF6" s="241">
        <f>'Base Física'!AH10</f>
        <v>0</v>
      </c>
      <c r="AG6" s="241">
        <f>'Base Física'!AI10</f>
        <v>0</v>
      </c>
      <c r="AH6" s="241">
        <f>'Base Física'!AJ10</f>
        <v>0</v>
      </c>
      <c r="AI6" s="241">
        <f>'Base Física'!AK10</f>
        <v>0</v>
      </c>
      <c r="AJ6" s="241">
        <f>'Base Física'!AL10</f>
        <v>0</v>
      </c>
      <c r="AK6" s="241">
        <f>'Base Física'!AM10</f>
        <v>0</v>
      </c>
      <c r="AL6" s="241">
        <f>'Base Física'!AN10</f>
        <v>0</v>
      </c>
    </row>
    <row r="7" spans="1:39" x14ac:dyDescent="0.25">
      <c r="B7" s="234" t="s">
        <v>390</v>
      </c>
      <c r="C7" s="235" t="s">
        <v>293</v>
      </c>
      <c r="D7" s="242">
        <f>'Base Física'!F52</f>
        <v>0</v>
      </c>
      <c r="E7" s="242">
        <f>'Base Física'!G52</f>
        <v>0</v>
      </c>
      <c r="F7" s="242">
        <f>'Base Física'!H52</f>
        <v>0</v>
      </c>
      <c r="G7" s="242">
        <f>'Base Física'!I52</f>
        <v>0</v>
      </c>
      <c r="H7" s="242">
        <f>'Base Física'!J52</f>
        <v>0</v>
      </c>
      <c r="I7" s="242">
        <f>'Base Física'!K52</f>
        <v>0</v>
      </c>
      <c r="J7" s="242">
        <f>'Base Física'!L52</f>
        <v>0</v>
      </c>
      <c r="K7" s="242">
        <f>'Base Física'!M52</f>
        <v>0</v>
      </c>
      <c r="L7" s="242">
        <f>'Base Física'!N52</f>
        <v>0</v>
      </c>
      <c r="M7" s="242">
        <f>'Base Física'!O52</f>
        <v>0</v>
      </c>
      <c r="N7" s="242">
        <f>'Base Física'!P52</f>
        <v>0</v>
      </c>
      <c r="O7" s="242">
        <f>'Base Física'!Q52</f>
        <v>0</v>
      </c>
      <c r="P7" s="242">
        <f>'Base Física'!R52</f>
        <v>0</v>
      </c>
      <c r="Q7" s="242">
        <f>'Base Física'!S52</f>
        <v>0</v>
      </c>
      <c r="R7" s="242">
        <f>'Base Física'!T52</f>
        <v>0</v>
      </c>
      <c r="S7" s="242">
        <f>'Base Física'!U52</f>
        <v>0</v>
      </c>
      <c r="T7" s="242">
        <f>'Base Física'!V52</f>
        <v>0</v>
      </c>
      <c r="U7" s="242">
        <f>'Base Física'!W52</f>
        <v>0</v>
      </c>
      <c r="V7" s="242">
        <f>'Base Física'!X52</f>
        <v>0</v>
      </c>
      <c r="W7" s="242">
        <f>'Base Física'!Y52</f>
        <v>0</v>
      </c>
      <c r="X7" s="242">
        <f>'Base Física'!Z52</f>
        <v>0</v>
      </c>
      <c r="Y7" s="242">
        <f>'Base Física'!AA52</f>
        <v>0</v>
      </c>
      <c r="Z7" s="242">
        <f>'Base Física'!AB52</f>
        <v>0</v>
      </c>
      <c r="AA7" s="242">
        <f>'Base Física'!AC52</f>
        <v>0</v>
      </c>
      <c r="AB7" s="242">
        <f>'Base Física'!AD52</f>
        <v>0</v>
      </c>
      <c r="AC7" s="242">
        <f>'Base Física'!AE52</f>
        <v>0</v>
      </c>
      <c r="AD7" s="242">
        <f>'Base Física'!AF52</f>
        <v>0</v>
      </c>
      <c r="AE7" s="242">
        <f>'Base Física'!AG52</f>
        <v>0</v>
      </c>
      <c r="AF7" s="242">
        <f>'Base Física'!AH52</f>
        <v>0</v>
      </c>
      <c r="AG7" s="242">
        <f>'Base Física'!AI52</f>
        <v>0</v>
      </c>
      <c r="AH7" s="242">
        <f>'Base Física'!AJ52</f>
        <v>0</v>
      </c>
      <c r="AI7" s="242">
        <f>'Base Física'!AK52</f>
        <v>0</v>
      </c>
      <c r="AJ7" s="242">
        <f>'Base Física'!AL52</f>
        <v>0</v>
      </c>
      <c r="AK7" s="242">
        <f>'Base Física'!AM52</f>
        <v>0</v>
      </c>
      <c r="AL7" s="242">
        <f>'Base Física'!AN52</f>
        <v>0</v>
      </c>
    </row>
    <row r="8" spans="1:39" x14ac:dyDescent="0.25">
      <c r="B8" s="234" t="s">
        <v>391</v>
      </c>
      <c r="C8" s="235" t="s">
        <v>126</v>
      </c>
      <c r="D8" s="241">
        <f>'Base Física'!F13</f>
        <v>0</v>
      </c>
      <c r="E8" s="241">
        <f>'Base Física'!G13</f>
        <v>0</v>
      </c>
      <c r="F8" s="241">
        <f>'Base Física'!H13</f>
        <v>0</v>
      </c>
      <c r="G8" s="241">
        <f>'Base Física'!I13</f>
        <v>0</v>
      </c>
      <c r="H8" s="241">
        <f>'Base Física'!J13</f>
        <v>0</v>
      </c>
      <c r="I8" s="241">
        <f>'Base Física'!K13</f>
        <v>0</v>
      </c>
      <c r="J8" s="241">
        <f>'Base Física'!L13</f>
        <v>0</v>
      </c>
      <c r="K8" s="241">
        <f>'Base Física'!M13</f>
        <v>0</v>
      </c>
      <c r="L8" s="241">
        <f>'Base Física'!N13</f>
        <v>0</v>
      </c>
      <c r="M8" s="241">
        <f>'Base Física'!O13</f>
        <v>0</v>
      </c>
      <c r="N8" s="241">
        <f>'Base Física'!P13</f>
        <v>0</v>
      </c>
      <c r="O8" s="241">
        <f>'Base Física'!Q13</f>
        <v>0</v>
      </c>
      <c r="P8" s="241">
        <f>'Base Física'!R13</f>
        <v>0</v>
      </c>
      <c r="Q8" s="241">
        <f>'Base Física'!S13</f>
        <v>0</v>
      </c>
      <c r="R8" s="241">
        <f>'Base Física'!T13</f>
        <v>0</v>
      </c>
      <c r="S8" s="241">
        <f>'Base Física'!U13</f>
        <v>0</v>
      </c>
      <c r="T8" s="241">
        <f>'Base Física'!V13</f>
        <v>0</v>
      </c>
      <c r="U8" s="241">
        <f>'Base Física'!W13</f>
        <v>0</v>
      </c>
      <c r="V8" s="241">
        <f>'Base Física'!X13</f>
        <v>0</v>
      </c>
      <c r="W8" s="241">
        <f>'Base Física'!Y13</f>
        <v>0</v>
      </c>
      <c r="X8" s="241">
        <f>'Base Física'!Z13</f>
        <v>0</v>
      </c>
      <c r="Y8" s="241">
        <f>'Base Física'!AA13</f>
        <v>0</v>
      </c>
      <c r="Z8" s="241">
        <f>'Base Física'!AB13</f>
        <v>0</v>
      </c>
      <c r="AA8" s="241">
        <f>'Base Física'!AC13</f>
        <v>0</v>
      </c>
      <c r="AB8" s="241">
        <f>'Base Física'!AD13</f>
        <v>0</v>
      </c>
      <c r="AC8" s="241">
        <f>'Base Física'!AE13</f>
        <v>0</v>
      </c>
      <c r="AD8" s="241">
        <f>'Base Física'!AF13</f>
        <v>0</v>
      </c>
      <c r="AE8" s="241">
        <f>'Base Física'!AG13</f>
        <v>0</v>
      </c>
      <c r="AF8" s="241">
        <f>'Base Física'!AH13</f>
        <v>0</v>
      </c>
      <c r="AG8" s="241">
        <f>'Base Física'!AI13</f>
        <v>0</v>
      </c>
      <c r="AH8" s="241">
        <f>'Base Física'!AJ13</f>
        <v>0</v>
      </c>
      <c r="AI8" s="241">
        <f>'Base Física'!AK13</f>
        <v>0</v>
      </c>
      <c r="AJ8" s="241">
        <f>'Base Física'!AL13</f>
        <v>0</v>
      </c>
      <c r="AK8" s="241">
        <f>'Base Física'!AM13</f>
        <v>0</v>
      </c>
      <c r="AL8" s="241">
        <f>'Base Física'!AN13</f>
        <v>0</v>
      </c>
    </row>
    <row r="9" spans="1:39" x14ac:dyDescent="0.25">
      <c r="B9" s="234" t="s">
        <v>392</v>
      </c>
      <c r="C9" s="235" t="s">
        <v>293</v>
      </c>
      <c r="D9" s="242">
        <f>'Base Física'!F53</f>
        <v>0</v>
      </c>
      <c r="E9" s="242">
        <f>'Base Física'!G53</f>
        <v>0</v>
      </c>
      <c r="F9" s="242">
        <f>'Base Física'!H53</f>
        <v>0</v>
      </c>
      <c r="G9" s="242">
        <f>'Base Física'!I53</f>
        <v>0</v>
      </c>
      <c r="H9" s="242">
        <f>'Base Física'!J53</f>
        <v>0</v>
      </c>
      <c r="I9" s="242">
        <f>'Base Física'!K53</f>
        <v>0</v>
      </c>
      <c r="J9" s="242">
        <f>'Base Física'!L53</f>
        <v>0</v>
      </c>
      <c r="K9" s="242">
        <f>'Base Física'!M53</f>
        <v>0</v>
      </c>
      <c r="L9" s="242">
        <f>'Base Física'!N53</f>
        <v>0</v>
      </c>
      <c r="M9" s="242">
        <f>'Base Física'!O53</f>
        <v>0</v>
      </c>
      <c r="N9" s="242">
        <f>'Base Física'!P53</f>
        <v>0</v>
      </c>
      <c r="O9" s="242">
        <f>'Base Física'!Q53</f>
        <v>0</v>
      </c>
      <c r="P9" s="242">
        <f>'Base Física'!R53</f>
        <v>0</v>
      </c>
      <c r="Q9" s="242">
        <f>'Base Física'!S53</f>
        <v>0</v>
      </c>
      <c r="R9" s="242">
        <f>'Base Física'!T53</f>
        <v>0</v>
      </c>
      <c r="S9" s="242">
        <f>'Base Física'!U53</f>
        <v>0</v>
      </c>
      <c r="T9" s="242">
        <f>'Base Física'!V53</f>
        <v>0</v>
      </c>
      <c r="U9" s="242">
        <f>'Base Física'!W53</f>
        <v>0</v>
      </c>
      <c r="V9" s="242">
        <f>'Base Física'!X53</f>
        <v>0</v>
      </c>
      <c r="W9" s="242">
        <f>'Base Física'!Y53</f>
        <v>0</v>
      </c>
      <c r="X9" s="242">
        <f>'Base Física'!Z53</f>
        <v>0</v>
      </c>
      <c r="Y9" s="242">
        <f>'Base Física'!AA53</f>
        <v>0</v>
      </c>
      <c r="Z9" s="242">
        <f>'Base Física'!AB53</f>
        <v>0</v>
      </c>
      <c r="AA9" s="242">
        <f>'Base Física'!AC53</f>
        <v>0</v>
      </c>
      <c r="AB9" s="242">
        <f>'Base Física'!AD53</f>
        <v>0</v>
      </c>
      <c r="AC9" s="242">
        <f>'Base Física'!AE53</f>
        <v>0</v>
      </c>
      <c r="AD9" s="242">
        <f>'Base Física'!AF53</f>
        <v>0</v>
      </c>
      <c r="AE9" s="242">
        <f>'Base Física'!AG53</f>
        <v>0</v>
      </c>
      <c r="AF9" s="242">
        <f>'Base Física'!AH53</f>
        <v>0</v>
      </c>
      <c r="AG9" s="242">
        <f>'Base Física'!AI53</f>
        <v>0</v>
      </c>
      <c r="AH9" s="242">
        <f>'Base Física'!AJ53</f>
        <v>0</v>
      </c>
      <c r="AI9" s="242">
        <f>'Base Física'!AK53</f>
        <v>0</v>
      </c>
      <c r="AJ9" s="242">
        <f>'Base Física'!AL53</f>
        <v>0</v>
      </c>
      <c r="AK9" s="242">
        <f>'Base Física'!AM53</f>
        <v>0</v>
      </c>
      <c r="AL9" s="242">
        <f>'Base Física'!AN53</f>
        <v>0</v>
      </c>
    </row>
    <row r="10" spans="1:39" x14ac:dyDescent="0.25">
      <c r="A10" s="136" t="s">
        <v>566</v>
      </c>
      <c r="B10" s="4"/>
      <c r="C10" s="4"/>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row>
    <row r="11" spans="1:39" x14ac:dyDescent="0.25">
      <c r="A11" s="343">
        <v>0.01</v>
      </c>
      <c r="B11" s="234" t="s">
        <v>393</v>
      </c>
      <c r="C11" s="235" t="s">
        <v>293</v>
      </c>
      <c r="D11" s="242">
        <f t="shared" ref="D11:AL11" si="0">IF(D6&lt;200000,0,(D6/26000*12)*(1+$A$11)^D3)</f>
        <v>0</v>
      </c>
      <c r="E11" s="242">
        <f t="shared" si="0"/>
        <v>0</v>
      </c>
      <c r="F11" s="242">
        <f t="shared" si="0"/>
        <v>0</v>
      </c>
      <c r="G11" s="242">
        <f t="shared" si="0"/>
        <v>0</v>
      </c>
      <c r="H11" s="242">
        <f t="shared" si="0"/>
        <v>0</v>
      </c>
      <c r="I11" s="242">
        <f t="shared" si="0"/>
        <v>0</v>
      </c>
      <c r="J11" s="242">
        <f t="shared" si="0"/>
        <v>0</v>
      </c>
      <c r="K11" s="242">
        <f t="shared" si="0"/>
        <v>0</v>
      </c>
      <c r="L11" s="242">
        <f t="shared" si="0"/>
        <v>0</v>
      </c>
      <c r="M11" s="242">
        <f t="shared" si="0"/>
        <v>0</v>
      </c>
      <c r="N11" s="242">
        <f t="shared" si="0"/>
        <v>0</v>
      </c>
      <c r="O11" s="242">
        <f t="shared" si="0"/>
        <v>0</v>
      </c>
      <c r="P11" s="242">
        <f t="shared" si="0"/>
        <v>0</v>
      </c>
      <c r="Q11" s="242">
        <f t="shared" si="0"/>
        <v>0</v>
      </c>
      <c r="R11" s="242">
        <f t="shared" si="0"/>
        <v>0</v>
      </c>
      <c r="S11" s="242">
        <f t="shared" si="0"/>
        <v>0</v>
      </c>
      <c r="T11" s="242">
        <f t="shared" si="0"/>
        <v>0</v>
      </c>
      <c r="U11" s="242">
        <f t="shared" si="0"/>
        <v>0</v>
      </c>
      <c r="V11" s="242">
        <f t="shared" si="0"/>
        <v>0</v>
      </c>
      <c r="W11" s="242">
        <f t="shared" si="0"/>
        <v>0</v>
      </c>
      <c r="X11" s="242">
        <f t="shared" si="0"/>
        <v>0</v>
      </c>
      <c r="Y11" s="242">
        <f t="shared" si="0"/>
        <v>0</v>
      </c>
      <c r="Z11" s="242">
        <f t="shared" si="0"/>
        <v>0</v>
      </c>
      <c r="AA11" s="242">
        <f t="shared" si="0"/>
        <v>0</v>
      </c>
      <c r="AB11" s="242">
        <f t="shared" si="0"/>
        <v>0</v>
      </c>
      <c r="AC11" s="242">
        <f t="shared" si="0"/>
        <v>0</v>
      </c>
      <c r="AD11" s="242">
        <f t="shared" si="0"/>
        <v>0</v>
      </c>
      <c r="AE11" s="242">
        <f t="shared" si="0"/>
        <v>0</v>
      </c>
      <c r="AF11" s="242">
        <f t="shared" si="0"/>
        <v>0</v>
      </c>
      <c r="AG11" s="242">
        <f t="shared" si="0"/>
        <v>0</v>
      </c>
      <c r="AH11" s="242">
        <f t="shared" si="0"/>
        <v>0</v>
      </c>
      <c r="AI11" s="242">
        <f t="shared" si="0"/>
        <v>0</v>
      </c>
      <c r="AJ11" s="242">
        <f t="shared" si="0"/>
        <v>0</v>
      </c>
      <c r="AK11" s="242">
        <f t="shared" si="0"/>
        <v>0</v>
      </c>
      <c r="AL11" s="242">
        <f t="shared" si="0"/>
        <v>0</v>
      </c>
      <c r="AM11" s="1"/>
    </row>
    <row r="12" spans="1:39" x14ac:dyDescent="0.25">
      <c r="A12" s="86"/>
      <c r="B12" s="234" t="s">
        <v>406</v>
      </c>
      <c r="C12" s="235" t="s">
        <v>293</v>
      </c>
      <c r="D12" s="242">
        <f>D11/12</f>
        <v>0</v>
      </c>
      <c r="E12" s="242">
        <f t="shared" ref="E12:AG12" si="1">E11/12</f>
        <v>0</v>
      </c>
      <c r="F12" s="242">
        <f t="shared" si="1"/>
        <v>0</v>
      </c>
      <c r="G12" s="242">
        <f t="shared" si="1"/>
        <v>0</v>
      </c>
      <c r="H12" s="242">
        <f t="shared" si="1"/>
        <v>0</v>
      </c>
      <c r="I12" s="242">
        <f t="shared" si="1"/>
        <v>0</v>
      </c>
      <c r="J12" s="242">
        <f t="shared" si="1"/>
        <v>0</v>
      </c>
      <c r="K12" s="242">
        <f t="shared" si="1"/>
        <v>0</v>
      </c>
      <c r="L12" s="242">
        <f t="shared" si="1"/>
        <v>0</v>
      </c>
      <c r="M12" s="242">
        <f t="shared" si="1"/>
        <v>0</v>
      </c>
      <c r="N12" s="242">
        <f t="shared" si="1"/>
        <v>0</v>
      </c>
      <c r="O12" s="242">
        <f t="shared" si="1"/>
        <v>0</v>
      </c>
      <c r="P12" s="242">
        <f t="shared" si="1"/>
        <v>0</v>
      </c>
      <c r="Q12" s="242">
        <f t="shared" si="1"/>
        <v>0</v>
      </c>
      <c r="R12" s="242">
        <f t="shared" si="1"/>
        <v>0</v>
      </c>
      <c r="S12" s="242">
        <f t="shared" si="1"/>
        <v>0</v>
      </c>
      <c r="T12" s="242">
        <f t="shared" si="1"/>
        <v>0</v>
      </c>
      <c r="U12" s="242">
        <f t="shared" si="1"/>
        <v>0</v>
      </c>
      <c r="V12" s="242">
        <f t="shared" si="1"/>
        <v>0</v>
      </c>
      <c r="W12" s="242">
        <f t="shared" si="1"/>
        <v>0</v>
      </c>
      <c r="X12" s="242">
        <f t="shared" si="1"/>
        <v>0</v>
      </c>
      <c r="Y12" s="242">
        <f t="shared" si="1"/>
        <v>0</v>
      </c>
      <c r="Z12" s="242">
        <f t="shared" si="1"/>
        <v>0</v>
      </c>
      <c r="AA12" s="242">
        <f t="shared" si="1"/>
        <v>0</v>
      </c>
      <c r="AB12" s="242">
        <f t="shared" si="1"/>
        <v>0</v>
      </c>
      <c r="AC12" s="242">
        <f t="shared" si="1"/>
        <v>0</v>
      </c>
      <c r="AD12" s="242">
        <f t="shared" si="1"/>
        <v>0</v>
      </c>
      <c r="AE12" s="242">
        <f t="shared" si="1"/>
        <v>0</v>
      </c>
      <c r="AF12" s="242">
        <f t="shared" si="1"/>
        <v>0</v>
      </c>
      <c r="AG12" s="242">
        <f t="shared" si="1"/>
        <v>0</v>
      </c>
      <c r="AH12" s="242">
        <f t="shared" ref="AH12:AL12" si="2">AH11/12</f>
        <v>0</v>
      </c>
      <c r="AI12" s="242">
        <f t="shared" si="2"/>
        <v>0</v>
      </c>
      <c r="AJ12" s="242">
        <f t="shared" si="2"/>
        <v>0</v>
      </c>
      <c r="AK12" s="242">
        <f t="shared" si="2"/>
        <v>0</v>
      </c>
      <c r="AL12" s="242">
        <f t="shared" si="2"/>
        <v>0</v>
      </c>
      <c r="AM12" s="45"/>
    </row>
    <row r="13" spans="1:39" x14ac:dyDescent="0.25">
      <c r="A13" s="343">
        <v>2.1200347402451126E-2</v>
      </c>
      <c r="B13" s="234" t="s">
        <v>404</v>
      </c>
      <c r="C13" s="235" t="s">
        <v>126</v>
      </c>
      <c r="D13" s="242">
        <f t="shared" ref="D13:AL13" si="3">IF(D6&lt;200000,0,D6*((1+$A$13)^D3)/100)</f>
        <v>0</v>
      </c>
      <c r="E13" s="242">
        <f t="shared" si="3"/>
        <v>0</v>
      </c>
      <c r="F13" s="242">
        <f t="shared" si="3"/>
        <v>0</v>
      </c>
      <c r="G13" s="242">
        <f t="shared" si="3"/>
        <v>0</v>
      </c>
      <c r="H13" s="242">
        <f t="shared" si="3"/>
        <v>0</v>
      </c>
      <c r="I13" s="242">
        <f t="shared" si="3"/>
        <v>0</v>
      </c>
      <c r="J13" s="242">
        <f t="shared" si="3"/>
        <v>0</v>
      </c>
      <c r="K13" s="242">
        <f t="shared" si="3"/>
        <v>0</v>
      </c>
      <c r="L13" s="242">
        <f t="shared" si="3"/>
        <v>0</v>
      </c>
      <c r="M13" s="242">
        <f t="shared" si="3"/>
        <v>0</v>
      </c>
      <c r="N13" s="242">
        <f t="shared" si="3"/>
        <v>0</v>
      </c>
      <c r="O13" s="242">
        <f t="shared" si="3"/>
        <v>0</v>
      </c>
      <c r="P13" s="242">
        <f t="shared" si="3"/>
        <v>0</v>
      </c>
      <c r="Q13" s="242">
        <f t="shared" si="3"/>
        <v>0</v>
      </c>
      <c r="R13" s="242">
        <f t="shared" si="3"/>
        <v>0</v>
      </c>
      <c r="S13" s="242">
        <f t="shared" si="3"/>
        <v>0</v>
      </c>
      <c r="T13" s="242">
        <f t="shared" si="3"/>
        <v>0</v>
      </c>
      <c r="U13" s="242">
        <f t="shared" si="3"/>
        <v>0</v>
      </c>
      <c r="V13" s="242">
        <f t="shared" si="3"/>
        <v>0</v>
      </c>
      <c r="W13" s="242">
        <f t="shared" si="3"/>
        <v>0</v>
      </c>
      <c r="X13" s="242">
        <f t="shared" si="3"/>
        <v>0</v>
      </c>
      <c r="Y13" s="242">
        <f t="shared" si="3"/>
        <v>0</v>
      </c>
      <c r="Z13" s="242">
        <f t="shared" si="3"/>
        <v>0</v>
      </c>
      <c r="AA13" s="242">
        <f t="shared" si="3"/>
        <v>0</v>
      </c>
      <c r="AB13" s="242">
        <f t="shared" si="3"/>
        <v>0</v>
      </c>
      <c r="AC13" s="242">
        <f t="shared" si="3"/>
        <v>0</v>
      </c>
      <c r="AD13" s="242">
        <f t="shared" si="3"/>
        <v>0</v>
      </c>
      <c r="AE13" s="242">
        <f t="shared" si="3"/>
        <v>0</v>
      </c>
      <c r="AF13" s="242">
        <f t="shared" si="3"/>
        <v>0</v>
      </c>
      <c r="AG13" s="242">
        <f t="shared" si="3"/>
        <v>0</v>
      </c>
      <c r="AH13" s="242">
        <f t="shared" si="3"/>
        <v>0</v>
      </c>
      <c r="AI13" s="242">
        <f t="shared" si="3"/>
        <v>0</v>
      </c>
      <c r="AJ13" s="242">
        <f t="shared" si="3"/>
        <v>0</v>
      </c>
      <c r="AK13" s="242">
        <f t="shared" si="3"/>
        <v>0</v>
      </c>
      <c r="AL13" s="242">
        <f t="shared" si="3"/>
        <v>0</v>
      </c>
      <c r="AM13" s="1"/>
    </row>
    <row r="14" spans="1:39" x14ac:dyDescent="0.25">
      <c r="A14" s="86"/>
      <c r="B14" s="234" t="s">
        <v>406</v>
      </c>
      <c r="C14" s="235" t="s">
        <v>126</v>
      </c>
      <c r="D14" s="242">
        <f>D13/12</f>
        <v>0</v>
      </c>
      <c r="E14" s="242">
        <f t="shared" ref="E14:AG14" si="4">E13/12</f>
        <v>0</v>
      </c>
      <c r="F14" s="242">
        <f t="shared" si="4"/>
        <v>0</v>
      </c>
      <c r="G14" s="242">
        <f t="shared" si="4"/>
        <v>0</v>
      </c>
      <c r="H14" s="242">
        <f t="shared" si="4"/>
        <v>0</v>
      </c>
      <c r="I14" s="242">
        <f t="shared" si="4"/>
        <v>0</v>
      </c>
      <c r="J14" s="242">
        <f t="shared" si="4"/>
        <v>0</v>
      </c>
      <c r="K14" s="242">
        <f t="shared" si="4"/>
        <v>0</v>
      </c>
      <c r="L14" s="242">
        <f t="shared" si="4"/>
        <v>0</v>
      </c>
      <c r="M14" s="242">
        <f t="shared" si="4"/>
        <v>0</v>
      </c>
      <c r="N14" s="242">
        <f t="shared" si="4"/>
        <v>0</v>
      </c>
      <c r="O14" s="242">
        <f t="shared" si="4"/>
        <v>0</v>
      </c>
      <c r="P14" s="242">
        <f t="shared" si="4"/>
        <v>0</v>
      </c>
      <c r="Q14" s="242">
        <f t="shared" si="4"/>
        <v>0</v>
      </c>
      <c r="R14" s="242">
        <f t="shared" si="4"/>
        <v>0</v>
      </c>
      <c r="S14" s="242">
        <f t="shared" si="4"/>
        <v>0</v>
      </c>
      <c r="T14" s="242">
        <f t="shared" si="4"/>
        <v>0</v>
      </c>
      <c r="U14" s="242">
        <f t="shared" si="4"/>
        <v>0</v>
      </c>
      <c r="V14" s="242">
        <f t="shared" si="4"/>
        <v>0</v>
      </c>
      <c r="W14" s="242">
        <f t="shared" si="4"/>
        <v>0</v>
      </c>
      <c r="X14" s="242">
        <f t="shared" si="4"/>
        <v>0</v>
      </c>
      <c r="Y14" s="242">
        <f t="shared" si="4"/>
        <v>0</v>
      </c>
      <c r="Z14" s="242">
        <f t="shared" si="4"/>
        <v>0</v>
      </c>
      <c r="AA14" s="242">
        <f t="shared" si="4"/>
        <v>0</v>
      </c>
      <c r="AB14" s="242">
        <f t="shared" si="4"/>
        <v>0</v>
      </c>
      <c r="AC14" s="242">
        <f t="shared" si="4"/>
        <v>0</v>
      </c>
      <c r="AD14" s="242">
        <f t="shared" si="4"/>
        <v>0</v>
      </c>
      <c r="AE14" s="242">
        <f t="shared" si="4"/>
        <v>0</v>
      </c>
      <c r="AF14" s="242">
        <f t="shared" si="4"/>
        <v>0</v>
      </c>
      <c r="AG14" s="242">
        <f t="shared" si="4"/>
        <v>0</v>
      </c>
      <c r="AH14" s="242">
        <f t="shared" ref="AH14:AL14" si="5">AH13/12</f>
        <v>0</v>
      </c>
      <c r="AI14" s="242">
        <f t="shared" si="5"/>
        <v>0</v>
      </c>
      <c r="AJ14" s="242">
        <f t="shared" si="5"/>
        <v>0</v>
      </c>
      <c r="AK14" s="242">
        <f t="shared" si="5"/>
        <v>0</v>
      </c>
      <c r="AL14" s="242">
        <f t="shared" si="5"/>
        <v>0</v>
      </c>
      <c r="AM14" s="45"/>
    </row>
    <row r="15" spans="1:39" x14ac:dyDescent="0.25">
      <c r="A15" s="343">
        <f>(1/AL3)</f>
        <v>2.8571428571428571E-2</v>
      </c>
      <c r="B15" s="237" t="s">
        <v>394</v>
      </c>
      <c r="C15" s="235" t="s">
        <v>293</v>
      </c>
      <c r="D15" s="242">
        <f t="shared" ref="D15:AL15" si="6">IF(D6&lt;200000,0,D$7*$A$15)</f>
        <v>0</v>
      </c>
      <c r="E15" s="242">
        <f t="shared" si="6"/>
        <v>0</v>
      </c>
      <c r="F15" s="242">
        <f t="shared" si="6"/>
        <v>0</v>
      </c>
      <c r="G15" s="242">
        <f t="shared" si="6"/>
        <v>0</v>
      </c>
      <c r="H15" s="242">
        <f t="shared" si="6"/>
        <v>0</v>
      </c>
      <c r="I15" s="242">
        <f t="shared" si="6"/>
        <v>0</v>
      </c>
      <c r="J15" s="242">
        <f t="shared" si="6"/>
        <v>0</v>
      </c>
      <c r="K15" s="242">
        <f t="shared" si="6"/>
        <v>0</v>
      </c>
      <c r="L15" s="242">
        <f t="shared" si="6"/>
        <v>0</v>
      </c>
      <c r="M15" s="242">
        <f t="shared" si="6"/>
        <v>0</v>
      </c>
      <c r="N15" s="242">
        <f t="shared" si="6"/>
        <v>0</v>
      </c>
      <c r="O15" s="242">
        <f t="shared" si="6"/>
        <v>0</v>
      </c>
      <c r="P15" s="242">
        <f t="shared" si="6"/>
        <v>0</v>
      </c>
      <c r="Q15" s="242">
        <f t="shared" si="6"/>
        <v>0</v>
      </c>
      <c r="R15" s="242">
        <f t="shared" si="6"/>
        <v>0</v>
      </c>
      <c r="S15" s="242">
        <f t="shared" si="6"/>
        <v>0</v>
      </c>
      <c r="T15" s="242">
        <f t="shared" si="6"/>
        <v>0</v>
      </c>
      <c r="U15" s="242">
        <f t="shared" si="6"/>
        <v>0</v>
      </c>
      <c r="V15" s="242">
        <f t="shared" si="6"/>
        <v>0</v>
      </c>
      <c r="W15" s="242">
        <f t="shared" si="6"/>
        <v>0</v>
      </c>
      <c r="X15" s="242">
        <f t="shared" si="6"/>
        <v>0</v>
      </c>
      <c r="Y15" s="242">
        <f t="shared" si="6"/>
        <v>0</v>
      </c>
      <c r="Z15" s="242">
        <f t="shared" si="6"/>
        <v>0</v>
      </c>
      <c r="AA15" s="242">
        <f t="shared" si="6"/>
        <v>0</v>
      </c>
      <c r="AB15" s="242">
        <f t="shared" si="6"/>
        <v>0</v>
      </c>
      <c r="AC15" s="242">
        <f t="shared" si="6"/>
        <v>0</v>
      </c>
      <c r="AD15" s="242">
        <f t="shared" si="6"/>
        <v>0</v>
      </c>
      <c r="AE15" s="242">
        <f t="shared" si="6"/>
        <v>0</v>
      </c>
      <c r="AF15" s="242">
        <f t="shared" si="6"/>
        <v>0</v>
      </c>
      <c r="AG15" s="242">
        <f t="shared" si="6"/>
        <v>0</v>
      </c>
      <c r="AH15" s="242">
        <f t="shared" si="6"/>
        <v>0</v>
      </c>
      <c r="AI15" s="242">
        <f t="shared" si="6"/>
        <v>0</v>
      </c>
      <c r="AJ15" s="242">
        <f t="shared" si="6"/>
        <v>0</v>
      </c>
      <c r="AK15" s="242">
        <f t="shared" si="6"/>
        <v>0</v>
      </c>
      <c r="AL15" s="242">
        <f t="shared" si="6"/>
        <v>0</v>
      </c>
      <c r="AM15" s="1"/>
    </row>
    <row r="16" spans="1:39" x14ac:dyDescent="0.25">
      <c r="A16" s="29"/>
      <c r="B16" s="234"/>
      <c r="C16" s="235"/>
      <c r="D16" s="243" t="e">
        <f t="shared" ref="D16:AL16" si="7">D15/D7</f>
        <v>#DIV/0!</v>
      </c>
      <c r="E16" s="243" t="e">
        <f t="shared" si="7"/>
        <v>#DIV/0!</v>
      </c>
      <c r="F16" s="243" t="e">
        <f t="shared" si="7"/>
        <v>#DIV/0!</v>
      </c>
      <c r="G16" s="243" t="e">
        <f t="shared" si="7"/>
        <v>#DIV/0!</v>
      </c>
      <c r="H16" s="243" t="e">
        <f t="shared" si="7"/>
        <v>#DIV/0!</v>
      </c>
      <c r="I16" s="243" t="e">
        <f t="shared" si="7"/>
        <v>#DIV/0!</v>
      </c>
      <c r="J16" s="243" t="e">
        <f t="shared" si="7"/>
        <v>#DIV/0!</v>
      </c>
      <c r="K16" s="243" t="e">
        <f t="shared" si="7"/>
        <v>#DIV/0!</v>
      </c>
      <c r="L16" s="243" t="e">
        <f t="shared" si="7"/>
        <v>#DIV/0!</v>
      </c>
      <c r="M16" s="243" t="e">
        <f t="shared" si="7"/>
        <v>#DIV/0!</v>
      </c>
      <c r="N16" s="243" t="e">
        <f t="shared" si="7"/>
        <v>#DIV/0!</v>
      </c>
      <c r="O16" s="243" t="e">
        <f t="shared" si="7"/>
        <v>#DIV/0!</v>
      </c>
      <c r="P16" s="243" t="e">
        <f t="shared" si="7"/>
        <v>#DIV/0!</v>
      </c>
      <c r="Q16" s="243" t="e">
        <f t="shared" si="7"/>
        <v>#DIV/0!</v>
      </c>
      <c r="R16" s="243" t="e">
        <f t="shared" si="7"/>
        <v>#DIV/0!</v>
      </c>
      <c r="S16" s="243" t="e">
        <f t="shared" si="7"/>
        <v>#DIV/0!</v>
      </c>
      <c r="T16" s="243" t="e">
        <f t="shared" si="7"/>
        <v>#DIV/0!</v>
      </c>
      <c r="U16" s="243" t="e">
        <f t="shared" si="7"/>
        <v>#DIV/0!</v>
      </c>
      <c r="V16" s="243" t="e">
        <f t="shared" si="7"/>
        <v>#DIV/0!</v>
      </c>
      <c r="W16" s="243" t="e">
        <f t="shared" si="7"/>
        <v>#DIV/0!</v>
      </c>
      <c r="X16" s="243" t="e">
        <f t="shared" si="7"/>
        <v>#DIV/0!</v>
      </c>
      <c r="Y16" s="243" t="e">
        <f t="shared" si="7"/>
        <v>#DIV/0!</v>
      </c>
      <c r="Z16" s="243" t="e">
        <f t="shared" si="7"/>
        <v>#DIV/0!</v>
      </c>
      <c r="AA16" s="243" t="e">
        <f t="shared" si="7"/>
        <v>#DIV/0!</v>
      </c>
      <c r="AB16" s="243" t="e">
        <f t="shared" si="7"/>
        <v>#DIV/0!</v>
      </c>
      <c r="AC16" s="243" t="e">
        <f t="shared" si="7"/>
        <v>#DIV/0!</v>
      </c>
      <c r="AD16" s="243" t="e">
        <f t="shared" si="7"/>
        <v>#DIV/0!</v>
      </c>
      <c r="AE16" s="243" t="e">
        <f t="shared" si="7"/>
        <v>#DIV/0!</v>
      </c>
      <c r="AF16" s="243" t="e">
        <f t="shared" si="7"/>
        <v>#DIV/0!</v>
      </c>
      <c r="AG16" s="243" t="e">
        <f t="shared" si="7"/>
        <v>#DIV/0!</v>
      </c>
      <c r="AH16" s="243" t="e">
        <f t="shared" si="7"/>
        <v>#DIV/0!</v>
      </c>
      <c r="AI16" s="243" t="e">
        <f t="shared" si="7"/>
        <v>#DIV/0!</v>
      </c>
      <c r="AJ16" s="243" t="e">
        <f t="shared" si="7"/>
        <v>#DIV/0!</v>
      </c>
      <c r="AK16" s="243" t="e">
        <f t="shared" si="7"/>
        <v>#DIV/0!</v>
      </c>
      <c r="AL16" s="243" t="e">
        <f t="shared" si="7"/>
        <v>#DIV/0!</v>
      </c>
      <c r="AM16" s="45"/>
    </row>
    <row r="17" spans="1:39" x14ac:dyDescent="0.25">
      <c r="A17" s="86"/>
      <c r="B17" s="234" t="s">
        <v>406</v>
      </c>
      <c r="C17" s="235" t="s">
        <v>293</v>
      </c>
      <c r="D17" s="242">
        <f>D15/12</f>
        <v>0</v>
      </c>
      <c r="E17" s="242">
        <f t="shared" ref="E17:AG17" si="8">E15/12</f>
        <v>0</v>
      </c>
      <c r="F17" s="242">
        <f t="shared" si="8"/>
        <v>0</v>
      </c>
      <c r="G17" s="242">
        <f t="shared" si="8"/>
        <v>0</v>
      </c>
      <c r="H17" s="242">
        <f t="shared" si="8"/>
        <v>0</v>
      </c>
      <c r="I17" s="242">
        <f t="shared" si="8"/>
        <v>0</v>
      </c>
      <c r="J17" s="242">
        <f t="shared" si="8"/>
        <v>0</v>
      </c>
      <c r="K17" s="242">
        <f t="shared" si="8"/>
        <v>0</v>
      </c>
      <c r="L17" s="242">
        <f t="shared" si="8"/>
        <v>0</v>
      </c>
      <c r="M17" s="242">
        <f t="shared" si="8"/>
        <v>0</v>
      </c>
      <c r="N17" s="242">
        <f t="shared" si="8"/>
        <v>0</v>
      </c>
      <c r="O17" s="242">
        <f t="shared" si="8"/>
        <v>0</v>
      </c>
      <c r="P17" s="242">
        <f t="shared" si="8"/>
        <v>0</v>
      </c>
      <c r="Q17" s="242">
        <f t="shared" si="8"/>
        <v>0</v>
      </c>
      <c r="R17" s="242">
        <f t="shared" si="8"/>
        <v>0</v>
      </c>
      <c r="S17" s="242">
        <f t="shared" si="8"/>
        <v>0</v>
      </c>
      <c r="T17" s="242">
        <f t="shared" si="8"/>
        <v>0</v>
      </c>
      <c r="U17" s="242">
        <f t="shared" si="8"/>
        <v>0</v>
      </c>
      <c r="V17" s="242">
        <f t="shared" si="8"/>
        <v>0</v>
      </c>
      <c r="W17" s="242">
        <f t="shared" si="8"/>
        <v>0</v>
      </c>
      <c r="X17" s="242">
        <f t="shared" si="8"/>
        <v>0</v>
      </c>
      <c r="Y17" s="242">
        <f t="shared" si="8"/>
        <v>0</v>
      </c>
      <c r="Z17" s="242">
        <f t="shared" si="8"/>
        <v>0</v>
      </c>
      <c r="AA17" s="242">
        <f t="shared" si="8"/>
        <v>0</v>
      </c>
      <c r="AB17" s="242">
        <f t="shared" si="8"/>
        <v>0</v>
      </c>
      <c r="AC17" s="242">
        <f t="shared" si="8"/>
        <v>0</v>
      </c>
      <c r="AD17" s="242">
        <f t="shared" si="8"/>
        <v>0</v>
      </c>
      <c r="AE17" s="242">
        <f t="shared" si="8"/>
        <v>0</v>
      </c>
      <c r="AF17" s="242">
        <f t="shared" si="8"/>
        <v>0</v>
      </c>
      <c r="AG17" s="242">
        <f t="shared" si="8"/>
        <v>0</v>
      </c>
      <c r="AH17" s="242">
        <f t="shared" ref="AH17:AL17" si="9">AH15/12</f>
        <v>0</v>
      </c>
      <c r="AI17" s="242">
        <f t="shared" si="9"/>
        <v>0</v>
      </c>
      <c r="AJ17" s="242">
        <f t="shared" si="9"/>
        <v>0</v>
      </c>
      <c r="AK17" s="242">
        <f t="shared" si="9"/>
        <v>0</v>
      </c>
      <c r="AL17" s="242">
        <f t="shared" si="9"/>
        <v>0</v>
      </c>
      <c r="AM17" s="85"/>
    </row>
    <row r="18" spans="1:39" x14ac:dyDescent="0.25">
      <c r="A18" s="343">
        <f>1/AL3</f>
        <v>2.8571428571428571E-2</v>
      </c>
      <c r="B18" s="237" t="s">
        <v>395</v>
      </c>
      <c r="C18" s="235" t="s">
        <v>293</v>
      </c>
      <c r="D18" s="242">
        <f t="shared" ref="D18:AL18" si="10">IF(D6&lt;200000,0,D$7*$A$18)</f>
        <v>0</v>
      </c>
      <c r="E18" s="242">
        <f t="shared" si="10"/>
        <v>0</v>
      </c>
      <c r="F18" s="242">
        <f t="shared" si="10"/>
        <v>0</v>
      </c>
      <c r="G18" s="242">
        <f t="shared" si="10"/>
        <v>0</v>
      </c>
      <c r="H18" s="242">
        <f t="shared" si="10"/>
        <v>0</v>
      </c>
      <c r="I18" s="242">
        <f t="shared" si="10"/>
        <v>0</v>
      </c>
      <c r="J18" s="242">
        <f t="shared" si="10"/>
        <v>0</v>
      </c>
      <c r="K18" s="242">
        <f t="shared" si="10"/>
        <v>0</v>
      </c>
      <c r="L18" s="242">
        <f t="shared" si="10"/>
        <v>0</v>
      </c>
      <c r="M18" s="242">
        <f t="shared" si="10"/>
        <v>0</v>
      </c>
      <c r="N18" s="242">
        <f t="shared" si="10"/>
        <v>0</v>
      </c>
      <c r="O18" s="242">
        <f t="shared" si="10"/>
        <v>0</v>
      </c>
      <c r="P18" s="242">
        <f t="shared" si="10"/>
        <v>0</v>
      </c>
      <c r="Q18" s="242">
        <f t="shared" si="10"/>
        <v>0</v>
      </c>
      <c r="R18" s="242">
        <f t="shared" si="10"/>
        <v>0</v>
      </c>
      <c r="S18" s="242">
        <f t="shared" si="10"/>
        <v>0</v>
      </c>
      <c r="T18" s="242">
        <f t="shared" si="10"/>
        <v>0</v>
      </c>
      <c r="U18" s="242">
        <f t="shared" si="10"/>
        <v>0</v>
      </c>
      <c r="V18" s="242">
        <f t="shared" si="10"/>
        <v>0</v>
      </c>
      <c r="W18" s="242">
        <f t="shared" si="10"/>
        <v>0</v>
      </c>
      <c r="X18" s="242">
        <f t="shared" si="10"/>
        <v>0</v>
      </c>
      <c r="Y18" s="242">
        <f t="shared" si="10"/>
        <v>0</v>
      </c>
      <c r="Z18" s="242">
        <f t="shared" si="10"/>
        <v>0</v>
      </c>
      <c r="AA18" s="242">
        <f t="shared" si="10"/>
        <v>0</v>
      </c>
      <c r="AB18" s="242">
        <f t="shared" si="10"/>
        <v>0</v>
      </c>
      <c r="AC18" s="242">
        <f t="shared" si="10"/>
        <v>0</v>
      </c>
      <c r="AD18" s="242">
        <f t="shared" si="10"/>
        <v>0</v>
      </c>
      <c r="AE18" s="242">
        <f t="shared" si="10"/>
        <v>0</v>
      </c>
      <c r="AF18" s="242">
        <f t="shared" si="10"/>
        <v>0</v>
      </c>
      <c r="AG18" s="242">
        <f t="shared" si="10"/>
        <v>0</v>
      </c>
      <c r="AH18" s="242">
        <f t="shared" si="10"/>
        <v>0</v>
      </c>
      <c r="AI18" s="242">
        <f t="shared" si="10"/>
        <v>0</v>
      </c>
      <c r="AJ18" s="242">
        <f t="shared" si="10"/>
        <v>0</v>
      </c>
      <c r="AK18" s="242">
        <f t="shared" si="10"/>
        <v>0</v>
      </c>
      <c r="AL18" s="242">
        <f t="shared" si="10"/>
        <v>0</v>
      </c>
      <c r="AM18" s="1"/>
    </row>
    <row r="19" spans="1:39" x14ac:dyDescent="0.25">
      <c r="A19" s="29"/>
      <c r="B19" s="234"/>
      <c r="C19" s="235"/>
      <c r="D19" s="243" t="e">
        <f t="shared" ref="D19:AL19" si="11">D18/D7</f>
        <v>#DIV/0!</v>
      </c>
      <c r="E19" s="243" t="e">
        <f t="shared" si="11"/>
        <v>#DIV/0!</v>
      </c>
      <c r="F19" s="243" t="e">
        <f t="shared" si="11"/>
        <v>#DIV/0!</v>
      </c>
      <c r="G19" s="243" t="e">
        <f t="shared" si="11"/>
        <v>#DIV/0!</v>
      </c>
      <c r="H19" s="243" t="e">
        <f t="shared" si="11"/>
        <v>#DIV/0!</v>
      </c>
      <c r="I19" s="243" t="e">
        <f t="shared" si="11"/>
        <v>#DIV/0!</v>
      </c>
      <c r="J19" s="243" t="e">
        <f t="shared" si="11"/>
        <v>#DIV/0!</v>
      </c>
      <c r="K19" s="243" t="e">
        <f t="shared" si="11"/>
        <v>#DIV/0!</v>
      </c>
      <c r="L19" s="243" t="e">
        <f t="shared" si="11"/>
        <v>#DIV/0!</v>
      </c>
      <c r="M19" s="243" t="e">
        <f t="shared" si="11"/>
        <v>#DIV/0!</v>
      </c>
      <c r="N19" s="243" t="e">
        <f t="shared" si="11"/>
        <v>#DIV/0!</v>
      </c>
      <c r="O19" s="243" t="e">
        <f t="shared" si="11"/>
        <v>#DIV/0!</v>
      </c>
      <c r="P19" s="243" t="e">
        <f t="shared" si="11"/>
        <v>#DIV/0!</v>
      </c>
      <c r="Q19" s="243" t="e">
        <f t="shared" si="11"/>
        <v>#DIV/0!</v>
      </c>
      <c r="R19" s="243" t="e">
        <f t="shared" si="11"/>
        <v>#DIV/0!</v>
      </c>
      <c r="S19" s="243" t="e">
        <f t="shared" si="11"/>
        <v>#DIV/0!</v>
      </c>
      <c r="T19" s="243" t="e">
        <f t="shared" si="11"/>
        <v>#DIV/0!</v>
      </c>
      <c r="U19" s="243" t="e">
        <f t="shared" si="11"/>
        <v>#DIV/0!</v>
      </c>
      <c r="V19" s="243" t="e">
        <f t="shared" si="11"/>
        <v>#DIV/0!</v>
      </c>
      <c r="W19" s="243" t="e">
        <f t="shared" si="11"/>
        <v>#DIV/0!</v>
      </c>
      <c r="X19" s="243" t="e">
        <f t="shared" si="11"/>
        <v>#DIV/0!</v>
      </c>
      <c r="Y19" s="243" t="e">
        <f t="shared" si="11"/>
        <v>#DIV/0!</v>
      </c>
      <c r="Z19" s="243" t="e">
        <f t="shared" si="11"/>
        <v>#DIV/0!</v>
      </c>
      <c r="AA19" s="243" t="e">
        <f t="shared" si="11"/>
        <v>#DIV/0!</v>
      </c>
      <c r="AB19" s="243" t="e">
        <f t="shared" si="11"/>
        <v>#DIV/0!</v>
      </c>
      <c r="AC19" s="243" t="e">
        <f t="shared" si="11"/>
        <v>#DIV/0!</v>
      </c>
      <c r="AD19" s="243" t="e">
        <f t="shared" si="11"/>
        <v>#DIV/0!</v>
      </c>
      <c r="AE19" s="243" t="e">
        <f t="shared" si="11"/>
        <v>#DIV/0!</v>
      </c>
      <c r="AF19" s="243" t="e">
        <f t="shared" si="11"/>
        <v>#DIV/0!</v>
      </c>
      <c r="AG19" s="243" t="e">
        <f t="shared" si="11"/>
        <v>#DIV/0!</v>
      </c>
      <c r="AH19" s="243" t="e">
        <f t="shared" si="11"/>
        <v>#DIV/0!</v>
      </c>
      <c r="AI19" s="243" t="e">
        <f t="shared" si="11"/>
        <v>#DIV/0!</v>
      </c>
      <c r="AJ19" s="243" t="e">
        <f t="shared" si="11"/>
        <v>#DIV/0!</v>
      </c>
      <c r="AK19" s="243" t="e">
        <f t="shared" si="11"/>
        <v>#DIV/0!</v>
      </c>
      <c r="AL19" s="243" t="e">
        <f t="shared" si="11"/>
        <v>#DIV/0!</v>
      </c>
      <c r="AM19" s="45"/>
    </row>
    <row r="20" spans="1:39" x14ac:dyDescent="0.25">
      <c r="A20" s="86"/>
      <c r="B20" s="234" t="s">
        <v>406</v>
      </c>
      <c r="C20" s="235" t="s">
        <v>293</v>
      </c>
      <c r="D20" s="242">
        <f>D18/12</f>
        <v>0</v>
      </c>
      <c r="E20" s="242">
        <f t="shared" ref="E20:AG20" si="12">E18/12</f>
        <v>0</v>
      </c>
      <c r="F20" s="242">
        <f t="shared" si="12"/>
        <v>0</v>
      </c>
      <c r="G20" s="242">
        <f t="shared" si="12"/>
        <v>0</v>
      </c>
      <c r="H20" s="242">
        <f t="shared" si="12"/>
        <v>0</v>
      </c>
      <c r="I20" s="242">
        <f t="shared" si="12"/>
        <v>0</v>
      </c>
      <c r="J20" s="242">
        <f t="shared" si="12"/>
        <v>0</v>
      </c>
      <c r="K20" s="242">
        <f t="shared" si="12"/>
        <v>0</v>
      </c>
      <c r="L20" s="242">
        <f t="shared" si="12"/>
        <v>0</v>
      </c>
      <c r="M20" s="242">
        <f t="shared" si="12"/>
        <v>0</v>
      </c>
      <c r="N20" s="242">
        <f t="shared" si="12"/>
        <v>0</v>
      </c>
      <c r="O20" s="242">
        <f t="shared" si="12"/>
        <v>0</v>
      </c>
      <c r="P20" s="242">
        <f t="shared" si="12"/>
        <v>0</v>
      </c>
      <c r="Q20" s="242">
        <f t="shared" si="12"/>
        <v>0</v>
      </c>
      <c r="R20" s="242">
        <f t="shared" si="12"/>
        <v>0</v>
      </c>
      <c r="S20" s="242">
        <f t="shared" si="12"/>
        <v>0</v>
      </c>
      <c r="T20" s="242">
        <f t="shared" si="12"/>
        <v>0</v>
      </c>
      <c r="U20" s="242">
        <f t="shared" si="12"/>
        <v>0</v>
      </c>
      <c r="V20" s="242">
        <f t="shared" si="12"/>
        <v>0</v>
      </c>
      <c r="W20" s="242">
        <f t="shared" si="12"/>
        <v>0</v>
      </c>
      <c r="X20" s="242">
        <f t="shared" si="12"/>
        <v>0</v>
      </c>
      <c r="Y20" s="242">
        <f t="shared" si="12"/>
        <v>0</v>
      </c>
      <c r="Z20" s="242">
        <f t="shared" si="12"/>
        <v>0</v>
      </c>
      <c r="AA20" s="242">
        <f t="shared" si="12"/>
        <v>0</v>
      </c>
      <c r="AB20" s="242">
        <f t="shared" si="12"/>
        <v>0</v>
      </c>
      <c r="AC20" s="242">
        <f t="shared" si="12"/>
        <v>0</v>
      </c>
      <c r="AD20" s="242">
        <f t="shared" si="12"/>
        <v>0</v>
      </c>
      <c r="AE20" s="242">
        <f t="shared" si="12"/>
        <v>0</v>
      </c>
      <c r="AF20" s="242">
        <f t="shared" si="12"/>
        <v>0</v>
      </c>
      <c r="AG20" s="242">
        <f t="shared" si="12"/>
        <v>0</v>
      </c>
      <c r="AH20" s="242">
        <f t="shared" ref="AH20:AL20" si="13">AH18/12</f>
        <v>0</v>
      </c>
      <c r="AI20" s="242">
        <f t="shared" si="13"/>
        <v>0</v>
      </c>
      <c r="AJ20" s="242">
        <f t="shared" si="13"/>
        <v>0</v>
      </c>
      <c r="AK20" s="242">
        <f t="shared" si="13"/>
        <v>0</v>
      </c>
      <c r="AL20" s="242">
        <f t="shared" si="13"/>
        <v>0</v>
      </c>
      <c r="AM20" s="85"/>
    </row>
    <row r="21" spans="1:39" x14ac:dyDescent="0.25">
      <c r="A21" s="18"/>
      <c r="B21" s="234" t="s">
        <v>396</v>
      </c>
      <c r="C21" s="235" t="s">
        <v>397</v>
      </c>
      <c r="D21" s="242">
        <f>D11*1*3+D15*1*6</f>
        <v>0</v>
      </c>
      <c r="E21" s="242">
        <f t="shared" ref="E21:AG21" si="14">E11*1*3+E15*1*6</f>
        <v>0</v>
      </c>
      <c r="F21" s="242">
        <f t="shared" si="14"/>
        <v>0</v>
      </c>
      <c r="G21" s="242">
        <f t="shared" si="14"/>
        <v>0</v>
      </c>
      <c r="H21" s="242">
        <f t="shared" si="14"/>
        <v>0</v>
      </c>
      <c r="I21" s="242">
        <f t="shared" si="14"/>
        <v>0</v>
      </c>
      <c r="J21" s="242">
        <f t="shared" si="14"/>
        <v>0</v>
      </c>
      <c r="K21" s="242">
        <f t="shared" si="14"/>
        <v>0</v>
      </c>
      <c r="L21" s="242">
        <f t="shared" si="14"/>
        <v>0</v>
      </c>
      <c r="M21" s="242">
        <f t="shared" si="14"/>
        <v>0</v>
      </c>
      <c r="N21" s="242">
        <f t="shared" si="14"/>
        <v>0</v>
      </c>
      <c r="O21" s="242">
        <f t="shared" si="14"/>
        <v>0</v>
      </c>
      <c r="P21" s="242">
        <f t="shared" si="14"/>
        <v>0</v>
      </c>
      <c r="Q21" s="242">
        <f t="shared" si="14"/>
        <v>0</v>
      </c>
      <c r="R21" s="242">
        <f t="shared" si="14"/>
        <v>0</v>
      </c>
      <c r="S21" s="242">
        <f t="shared" si="14"/>
        <v>0</v>
      </c>
      <c r="T21" s="242">
        <f t="shared" si="14"/>
        <v>0</v>
      </c>
      <c r="U21" s="242">
        <f t="shared" si="14"/>
        <v>0</v>
      </c>
      <c r="V21" s="242">
        <f t="shared" si="14"/>
        <v>0</v>
      </c>
      <c r="W21" s="242">
        <f t="shared" si="14"/>
        <v>0</v>
      </c>
      <c r="X21" s="242">
        <f t="shared" si="14"/>
        <v>0</v>
      </c>
      <c r="Y21" s="242">
        <f t="shared" si="14"/>
        <v>0</v>
      </c>
      <c r="Z21" s="242">
        <f t="shared" si="14"/>
        <v>0</v>
      </c>
      <c r="AA21" s="242">
        <f t="shared" si="14"/>
        <v>0</v>
      </c>
      <c r="AB21" s="242">
        <f t="shared" si="14"/>
        <v>0</v>
      </c>
      <c r="AC21" s="242">
        <f t="shared" si="14"/>
        <v>0</v>
      </c>
      <c r="AD21" s="242">
        <f t="shared" si="14"/>
        <v>0</v>
      </c>
      <c r="AE21" s="242">
        <f t="shared" si="14"/>
        <v>0</v>
      </c>
      <c r="AF21" s="242">
        <f t="shared" si="14"/>
        <v>0</v>
      </c>
      <c r="AG21" s="242">
        <f t="shared" si="14"/>
        <v>0</v>
      </c>
      <c r="AH21" s="242">
        <f t="shared" ref="AH21:AL21" si="15">AH11*1*3+AH15*1*6</f>
        <v>0</v>
      </c>
      <c r="AI21" s="242">
        <f t="shared" si="15"/>
        <v>0</v>
      </c>
      <c r="AJ21" s="242">
        <f t="shared" si="15"/>
        <v>0</v>
      </c>
      <c r="AK21" s="242">
        <f t="shared" si="15"/>
        <v>0</v>
      </c>
      <c r="AL21" s="242">
        <f t="shared" si="15"/>
        <v>0</v>
      </c>
      <c r="AM21" s="45"/>
    </row>
    <row r="22" spans="1:39" x14ac:dyDescent="0.25">
      <c r="A22" s="86"/>
      <c r="B22" s="234" t="s">
        <v>406</v>
      </c>
      <c r="C22" s="235" t="s">
        <v>397</v>
      </c>
      <c r="D22" s="242">
        <f>D21/12</f>
        <v>0</v>
      </c>
      <c r="E22" s="242">
        <f t="shared" ref="E22:AG22" si="16">E21/12</f>
        <v>0</v>
      </c>
      <c r="F22" s="242">
        <f t="shared" si="16"/>
        <v>0</v>
      </c>
      <c r="G22" s="242">
        <f t="shared" si="16"/>
        <v>0</v>
      </c>
      <c r="H22" s="242">
        <f t="shared" si="16"/>
        <v>0</v>
      </c>
      <c r="I22" s="242">
        <f t="shared" si="16"/>
        <v>0</v>
      </c>
      <c r="J22" s="242">
        <f t="shared" si="16"/>
        <v>0</v>
      </c>
      <c r="K22" s="242">
        <f t="shared" si="16"/>
        <v>0</v>
      </c>
      <c r="L22" s="242">
        <f t="shared" si="16"/>
        <v>0</v>
      </c>
      <c r="M22" s="242">
        <f t="shared" si="16"/>
        <v>0</v>
      </c>
      <c r="N22" s="242">
        <f t="shared" si="16"/>
        <v>0</v>
      </c>
      <c r="O22" s="242">
        <f t="shared" si="16"/>
        <v>0</v>
      </c>
      <c r="P22" s="242">
        <f t="shared" si="16"/>
        <v>0</v>
      </c>
      <c r="Q22" s="242">
        <f t="shared" si="16"/>
        <v>0</v>
      </c>
      <c r="R22" s="242">
        <f t="shared" si="16"/>
        <v>0</v>
      </c>
      <c r="S22" s="242">
        <f t="shared" si="16"/>
        <v>0</v>
      </c>
      <c r="T22" s="242">
        <f t="shared" si="16"/>
        <v>0</v>
      </c>
      <c r="U22" s="242">
        <f t="shared" si="16"/>
        <v>0</v>
      </c>
      <c r="V22" s="242">
        <f t="shared" si="16"/>
        <v>0</v>
      </c>
      <c r="W22" s="242">
        <f t="shared" si="16"/>
        <v>0</v>
      </c>
      <c r="X22" s="242">
        <f t="shared" si="16"/>
        <v>0</v>
      </c>
      <c r="Y22" s="242">
        <f t="shared" si="16"/>
        <v>0</v>
      </c>
      <c r="Z22" s="242">
        <f t="shared" si="16"/>
        <v>0</v>
      </c>
      <c r="AA22" s="242">
        <f t="shared" si="16"/>
        <v>0</v>
      </c>
      <c r="AB22" s="242">
        <f t="shared" si="16"/>
        <v>0</v>
      </c>
      <c r="AC22" s="242">
        <f t="shared" si="16"/>
        <v>0</v>
      </c>
      <c r="AD22" s="242">
        <f t="shared" si="16"/>
        <v>0</v>
      </c>
      <c r="AE22" s="242">
        <f t="shared" si="16"/>
        <v>0</v>
      </c>
      <c r="AF22" s="242">
        <f t="shared" si="16"/>
        <v>0</v>
      </c>
      <c r="AG22" s="242">
        <f t="shared" si="16"/>
        <v>0</v>
      </c>
      <c r="AH22" s="242">
        <f t="shared" ref="AH22:AL22" si="17">AH21/12</f>
        <v>0</v>
      </c>
      <c r="AI22" s="242">
        <f t="shared" si="17"/>
        <v>0</v>
      </c>
      <c r="AJ22" s="242">
        <f t="shared" si="17"/>
        <v>0</v>
      </c>
      <c r="AK22" s="242">
        <f t="shared" si="17"/>
        <v>0</v>
      </c>
      <c r="AL22" s="242">
        <f t="shared" si="17"/>
        <v>0</v>
      </c>
      <c r="AM22" s="85"/>
    </row>
    <row r="23" spans="1:39" x14ac:dyDescent="0.25">
      <c r="A23" s="18"/>
      <c r="B23" s="4"/>
      <c r="C23" s="4"/>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row>
    <row r="24" spans="1:39" x14ac:dyDescent="0.25">
      <c r="A24" s="18"/>
      <c r="B24" s="234" t="s">
        <v>399</v>
      </c>
      <c r="C24" s="235" t="s">
        <v>293</v>
      </c>
      <c r="D24" s="242">
        <f t="shared" ref="D24:AL24" si="18">IF(D8&lt;45000,0,(D8/36000*12)*(1+$A$11)^D3)</f>
        <v>0</v>
      </c>
      <c r="E24" s="242">
        <f t="shared" si="18"/>
        <v>0</v>
      </c>
      <c r="F24" s="242">
        <f t="shared" si="18"/>
        <v>0</v>
      </c>
      <c r="G24" s="242">
        <f t="shared" si="18"/>
        <v>0</v>
      </c>
      <c r="H24" s="242">
        <f t="shared" si="18"/>
        <v>0</v>
      </c>
      <c r="I24" s="242">
        <f t="shared" si="18"/>
        <v>0</v>
      </c>
      <c r="J24" s="242">
        <f t="shared" si="18"/>
        <v>0</v>
      </c>
      <c r="K24" s="242">
        <f t="shared" si="18"/>
        <v>0</v>
      </c>
      <c r="L24" s="242">
        <f t="shared" si="18"/>
        <v>0</v>
      </c>
      <c r="M24" s="242">
        <f t="shared" si="18"/>
        <v>0</v>
      </c>
      <c r="N24" s="242">
        <f t="shared" si="18"/>
        <v>0</v>
      </c>
      <c r="O24" s="242">
        <f t="shared" si="18"/>
        <v>0</v>
      </c>
      <c r="P24" s="242">
        <f t="shared" si="18"/>
        <v>0</v>
      </c>
      <c r="Q24" s="242">
        <f t="shared" si="18"/>
        <v>0</v>
      </c>
      <c r="R24" s="242">
        <f t="shared" si="18"/>
        <v>0</v>
      </c>
      <c r="S24" s="242">
        <f t="shared" si="18"/>
        <v>0</v>
      </c>
      <c r="T24" s="242">
        <f t="shared" si="18"/>
        <v>0</v>
      </c>
      <c r="U24" s="242">
        <f t="shared" si="18"/>
        <v>0</v>
      </c>
      <c r="V24" s="242">
        <f t="shared" si="18"/>
        <v>0</v>
      </c>
      <c r="W24" s="242">
        <f t="shared" si="18"/>
        <v>0</v>
      </c>
      <c r="X24" s="242">
        <f t="shared" si="18"/>
        <v>0</v>
      </c>
      <c r="Y24" s="242">
        <f t="shared" si="18"/>
        <v>0</v>
      </c>
      <c r="Z24" s="242">
        <f t="shared" si="18"/>
        <v>0</v>
      </c>
      <c r="AA24" s="242">
        <f t="shared" si="18"/>
        <v>0</v>
      </c>
      <c r="AB24" s="242">
        <f t="shared" si="18"/>
        <v>0</v>
      </c>
      <c r="AC24" s="242">
        <f t="shared" si="18"/>
        <v>0</v>
      </c>
      <c r="AD24" s="242">
        <f t="shared" si="18"/>
        <v>0</v>
      </c>
      <c r="AE24" s="242">
        <f t="shared" si="18"/>
        <v>0</v>
      </c>
      <c r="AF24" s="242">
        <f t="shared" si="18"/>
        <v>0</v>
      </c>
      <c r="AG24" s="242">
        <f t="shared" si="18"/>
        <v>0</v>
      </c>
      <c r="AH24" s="242">
        <f t="shared" si="18"/>
        <v>0</v>
      </c>
      <c r="AI24" s="242">
        <f t="shared" si="18"/>
        <v>0</v>
      </c>
      <c r="AJ24" s="242">
        <f t="shared" si="18"/>
        <v>0</v>
      </c>
      <c r="AK24" s="242">
        <f t="shared" si="18"/>
        <v>0</v>
      </c>
      <c r="AL24" s="242">
        <f t="shared" si="18"/>
        <v>0</v>
      </c>
      <c r="AM24" s="1"/>
    </row>
    <row r="25" spans="1:39" x14ac:dyDescent="0.25">
      <c r="A25" s="86"/>
      <c r="B25" s="234" t="s">
        <v>406</v>
      </c>
      <c r="C25" s="235" t="s">
        <v>293</v>
      </c>
      <c r="D25" s="242">
        <f>D24/12</f>
        <v>0</v>
      </c>
      <c r="E25" s="242">
        <f t="shared" ref="E25:AG25" si="19">E24/12</f>
        <v>0</v>
      </c>
      <c r="F25" s="242">
        <f t="shared" si="19"/>
        <v>0</v>
      </c>
      <c r="G25" s="242">
        <f t="shared" si="19"/>
        <v>0</v>
      </c>
      <c r="H25" s="242">
        <f t="shared" si="19"/>
        <v>0</v>
      </c>
      <c r="I25" s="242">
        <f t="shared" si="19"/>
        <v>0</v>
      </c>
      <c r="J25" s="242">
        <f t="shared" si="19"/>
        <v>0</v>
      </c>
      <c r="K25" s="242">
        <f t="shared" si="19"/>
        <v>0</v>
      </c>
      <c r="L25" s="242">
        <f t="shared" si="19"/>
        <v>0</v>
      </c>
      <c r="M25" s="242">
        <f t="shared" si="19"/>
        <v>0</v>
      </c>
      <c r="N25" s="242">
        <f t="shared" si="19"/>
        <v>0</v>
      </c>
      <c r="O25" s="242">
        <f t="shared" si="19"/>
        <v>0</v>
      </c>
      <c r="P25" s="242">
        <f t="shared" si="19"/>
        <v>0</v>
      </c>
      <c r="Q25" s="242">
        <f t="shared" si="19"/>
        <v>0</v>
      </c>
      <c r="R25" s="242">
        <f t="shared" si="19"/>
        <v>0</v>
      </c>
      <c r="S25" s="242">
        <f t="shared" si="19"/>
        <v>0</v>
      </c>
      <c r="T25" s="242">
        <f t="shared" si="19"/>
        <v>0</v>
      </c>
      <c r="U25" s="242">
        <f t="shared" si="19"/>
        <v>0</v>
      </c>
      <c r="V25" s="242">
        <f t="shared" si="19"/>
        <v>0</v>
      </c>
      <c r="W25" s="242">
        <f t="shared" si="19"/>
        <v>0</v>
      </c>
      <c r="X25" s="242">
        <f t="shared" si="19"/>
        <v>0</v>
      </c>
      <c r="Y25" s="242">
        <f t="shared" si="19"/>
        <v>0</v>
      </c>
      <c r="Z25" s="242">
        <f t="shared" si="19"/>
        <v>0</v>
      </c>
      <c r="AA25" s="242">
        <f t="shared" si="19"/>
        <v>0</v>
      </c>
      <c r="AB25" s="242">
        <f t="shared" si="19"/>
        <v>0</v>
      </c>
      <c r="AC25" s="242">
        <f t="shared" si="19"/>
        <v>0</v>
      </c>
      <c r="AD25" s="242">
        <f t="shared" si="19"/>
        <v>0</v>
      </c>
      <c r="AE25" s="242">
        <f t="shared" si="19"/>
        <v>0</v>
      </c>
      <c r="AF25" s="242">
        <f t="shared" si="19"/>
        <v>0</v>
      </c>
      <c r="AG25" s="242">
        <f t="shared" si="19"/>
        <v>0</v>
      </c>
      <c r="AH25" s="242">
        <f t="shared" ref="AH25:AL25" si="20">AH24/12</f>
        <v>0</v>
      </c>
      <c r="AI25" s="242">
        <f t="shared" si="20"/>
        <v>0</v>
      </c>
      <c r="AJ25" s="242">
        <f t="shared" si="20"/>
        <v>0</v>
      </c>
      <c r="AK25" s="242">
        <f t="shared" si="20"/>
        <v>0</v>
      </c>
      <c r="AL25" s="242">
        <f t="shared" si="20"/>
        <v>0</v>
      </c>
      <c r="AM25" s="45"/>
    </row>
    <row r="26" spans="1:39" x14ac:dyDescent="0.25">
      <c r="A26" s="344">
        <v>2.1709919192907327E-2</v>
      </c>
      <c r="B26" s="237" t="s">
        <v>405</v>
      </c>
      <c r="C26" s="235" t="s">
        <v>126</v>
      </c>
      <c r="D26" s="242">
        <f t="shared" ref="D26:AL26" si="21">IF(D8&lt;100000,0,D$8*((1+$A$26)^D3)/100)</f>
        <v>0</v>
      </c>
      <c r="E26" s="242">
        <f t="shared" si="21"/>
        <v>0</v>
      </c>
      <c r="F26" s="242">
        <f t="shared" si="21"/>
        <v>0</v>
      </c>
      <c r="G26" s="242">
        <f t="shared" si="21"/>
        <v>0</v>
      </c>
      <c r="H26" s="242">
        <f t="shared" si="21"/>
        <v>0</v>
      </c>
      <c r="I26" s="242">
        <f t="shared" si="21"/>
        <v>0</v>
      </c>
      <c r="J26" s="242">
        <f t="shared" si="21"/>
        <v>0</v>
      </c>
      <c r="K26" s="242">
        <f t="shared" si="21"/>
        <v>0</v>
      </c>
      <c r="L26" s="242">
        <f t="shared" si="21"/>
        <v>0</v>
      </c>
      <c r="M26" s="242">
        <f t="shared" si="21"/>
        <v>0</v>
      </c>
      <c r="N26" s="242">
        <f t="shared" si="21"/>
        <v>0</v>
      </c>
      <c r="O26" s="242">
        <f t="shared" si="21"/>
        <v>0</v>
      </c>
      <c r="P26" s="242">
        <f t="shared" si="21"/>
        <v>0</v>
      </c>
      <c r="Q26" s="242">
        <f t="shared" si="21"/>
        <v>0</v>
      </c>
      <c r="R26" s="242">
        <f t="shared" si="21"/>
        <v>0</v>
      </c>
      <c r="S26" s="242">
        <f t="shared" si="21"/>
        <v>0</v>
      </c>
      <c r="T26" s="242">
        <f t="shared" si="21"/>
        <v>0</v>
      </c>
      <c r="U26" s="242">
        <f t="shared" si="21"/>
        <v>0</v>
      </c>
      <c r="V26" s="242">
        <f t="shared" si="21"/>
        <v>0</v>
      </c>
      <c r="W26" s="242">
        <f t="shared" si="21"/>
        <v>0</v>
      </c>
      <c r="X26" s="242">
        <f t="shared" si="21"/>
        <v>0</v>
      </c>
      <c r="Y26" s="242">
        <f t="shared" si="21"/>
        <v>0</v>
      </c>
      <c r="Z26" s="242">
        <f t="shared" si="21"/>
        <v>0</v>
      </c>
      <c r="AA26" s="242">
        <f t="shared" si="21"/>
        <v>0</v>
      </c>
      <c r="AB26" s="242">
        <f t="shared" si="21"/>
        <v>0</v>
      </c>
      <c r="AC26" s="242">
        <f t="shared" si="21"/>
        <v>0</v>
      </c>
      <c r="AD26" s="242">
        <f t="shared" si="21"/>
        <v>0</v>
      </c>
      <c r="AE26" s="242">
        <f t="shared" si="21"/>
        <v>0</v>
      </c>
      <c r="AF26" s="242">
        <f t="shared" si="21"/>
        <v>0</v>
      </c>
      <c r="AG26" s="242">
        <f t="shared" si="21"/>
        <v>0</v>
      </c>
      <c r="AH26" s="242">
        <f t="shared" si="21"/>
        <v>0</v>
      </c>
      <c r="AI26" s="242">
        <f t="shared" si="21"/>
        <v>0</v>
      </c>
      <c r="AJ26" s="242">
        <f t="shared" si="21"/>
        <v>0</v>
      </c>
      <c r="AK26" s="242">
        <f t="shared" si="21"/>
        <v>0</v>
      </c>
      <c r="AL26" s="242">
        <f t="shared" si="21"/>
        <v>0</v>
      </c>
      <c r="AM26" s="1"/>
    </row>
    <row r="27" spans="1:39" x14ac:dyDescent="0.25">
      <c r="A27" s="86"/>
      <c r="B27" s="234" t="s">
        <v>406</v>
      </c>
      <c r="C27" s="235" t="s">
        <v>126</v>
      </c>
      <c r="D27" s="242">
        <f>D26/12</f>
        <v>0</v>
      </c>
      <c r="E27" s="242">
        <f t="shared" ref="E27:AG27" si="22">E26/12</f>
        <v>0</v>
      </c>
      <c r="F27" s="242">
        <f t="shared" si="22"/>
        <v>0</v>
      </c>
      <c r="G27" s="242">
        <f t="shared" si="22"/>
        <v>0</v>
      </c>
      <c r="H27" s="242">
        <f t="shared" si="22"/>
        <v>0</v>
      </c>
      <c r="I27" s="242">
        <f t="shared" si="22"/>
        <v>0</v>
      </c>
      <c r="J27" s="242">
        <f t="shared" si="22"/>
        <v>0</v>
      </c>
      <c r="K27" s="242">
        <f t="shared" si="22"/>
        <v>0</v>
      </c>
      <c r="L27" s="242">
        <f t="shared" si="22"/>
        <v>0</v>
      </c>
      <c r="M27" s="242">
        <f t="shared" si="22"/>
        <v>0</v>
      </c>
      <c r="N27" s="242">
        <f t="shared" si="22"/>
        <v>0</v>
      </c>
      <c r="O27" s="242">
        <f t="shared" si="22"/>
        <v>0</v>
      </c>
      <c r="P27" s="242">
        <f t="shared" si="22"/>
        <v>0</v>
      </c>
      <c r="Q27" s="242">
        <f t="shared" si="22"/>
        <v>0</v>
      </c>
      <c r="R27" s="242">
        <f t="shared" si="22"/>
        <v>0</v>
      </c>
      <c r="S27" s="242">
        <f t="shared" si="22"/>
        <v>0</v>
      </c>
      <c r="T27" s="242">
        <f t="shared" si="22"/>
        <v>0</v>
      </c>
      <c r="U27" s="242">
        <f t="shared" si="22"/>
        <v>0</v>
      </c>
      <c r="V27" s="242">
        <f t="shared" si="22"/>
        <v>0</v>
      </c>
      <c r="W27" s="242">
        <f t="shared" si="22"/>
        <v>0</v>
      </c>
      <c r="X27" s="242">
        <f t="shared" si="22"/>
        <v>0</v>
      </c>
      <c r="Y27" s="242">
        <f t="shared" si="22"/>
        <v>0</v>
      </c>
      <c r="Z27" s="242">
        <f t="shared" si="22"/>
        <v>0</v>
      </c>
      <c r="AA27" s="242">
        <f t="shared" si="22"/>
        <v>0</v>
      </c>
      <c r="AB27" s="242">
        <f t="shared" si="22"/>
        <v>0</v>
      </c>
      <c r="AC27" s="242">
        <f t="shared" si="22"/>
        <v>0</v>
      </c>
      <c r="AD27" s="242">
        <f t="shared" si="22"/>
        <v>0</v>
      </c>
      <c r="AE27" s="242">
        <f t="shared" si="22"/>
        <v>0</v>
      </c>
      <c r="AF27" s="242">
        <f t="shared" si="22"/>
        <v>0</v>
      </c>
      <c r="AG27" s="242">
        <f t="shared" si="22"/>
        <v>0</v>
      </c>
      <c r="AH27" s="242">
        <f t="shared" ref="AH27:AL27" si="23">AH26/12</f>
        <v>0</v>
      </c>
      <c r="AI27" s="242">
        <f t="shared" si="23"/>
        <v>0</v>
      </c>
      <c r="AJ27" s="242">
        <f t="shared" si="23"/>
        <v>0</v>
      </c>
      <c r="AK27" s="242">
        <f t="shared" si="23"/>
        <v>0</v>
      </c>
      <c r="AL27" s="242">
        <f t="shared" si="23"/>
        <v>0</v>
      </c>
      <c r="AM27" s="45"/>
    </row>
    <row r="28" spans="1:39" x14ac:dyDescent="0.25">
      <c r="A28" s="344">
        <v>2.3770317761164964E-2</v>
      </c>
      <c r="B28" s="237" t="s">
        <v>398</v>
      </c>
      <c r="C28" s="235" t="s">
        <v>293</v>
      </c>
      <c r="D28" s="242">
        <f>IF(D9&lt;2000,0,D$9*((1+$A$28)^D3)/100)</f>
        <v>0</v>
      </c>
      <c r="E28" s="242">
        <f t="shared" ref="E28:AL28" si="24">IF(E9&lt;3000,0,E$9*((1+$A$28)^E3)/100)</f>
        <v>0</v>
      </c>
      <c r="F28" s="242">
        <f t="shared" si="24"/>
        <v>0</v>
      </c>
      <c r="G28" s="242">
        <f t="shared" si="24"/>
        <v>0</v>
      </c>
      <c r="H28" s="242">
        <f t="shared" si="24"/>
        <v>0</v>
      </c>
      <c r="I28" s="242">
        <f t="shared" si="24"/>
        <v>0</v>
      </c>
      <c r="J28" s="242">
        <f t="shared" si="24"/>
        <v>0</v>
      </c>
      <c r="K28" s="242">
        <f t="shared" si="24"/>
        <v>0</v>
      </c>
      <c r="L28" s="242">
        <f t="shared" si="24"/>
        <v>0</v>
      </c>
      <c r="M28" s="242">
        <f t="shared" si="24"/>
        <v>0</v>
      </c>
      <c r="N28" s="242">
        <f t="shared" si="24"/>
        <v>0</v>
      </c>
      <c r="O28" s="242">
        <f t="shared" si="24"/>
        <v>0</v>
      </c>
      <c r="P28" s="242">
        <f t="shared" si="24"/>
        <v>0</v>
      </c>
      <c r="Q28" s="242">
        <f t="shared" si="24"/>
        <v>0</v>
      </c>
      <c r="R28" s="242">
        <f t="shared" si="24"/>
        <v>0</v>
      </c>
      <c r="S28" s="242">
        <f t="shared" si="24"/>
        <v>0</v>
      </c>
      <c r="T28" s="242">
        <f t="shared" si="24"/>
        <v>0</v>
      </c>
      <c r="U28" s="242">
        <f t="shared" si="24"/>
        <v>0</v>
      </c>
      <c r="V28" s="242">
        <f t="shared" si="24"/>
        <v>0</v>
      </c>
      <c r="W28" s="242">
        <f t="shared" si="24"/>
        <v>0</v>
      </c>
      <c r="X28" s="242">
        <f t="shared" si="24"/>
        <v>0</v>
      </c>
      <c r="Y28" s="242">
        <f t="shared" si="24"/>
        <v>0</v>
      </c>
      <c r="Z28" s="242">
        <f t="shared" si="24"/>
        <v>0</v>
      </c>
      <c r="AA28" s="242">
        <f t="shared" si="24"/>
        <v>0</v>
      </c>
      <c r="AB28" s="242">
        <f t="shared" si="24"/>
        <v>0</v>
      </c>
      <c r="AC28" s="242">
        <f t="shared" si="24"/>
        <v>0</v>
      </c>
      <c r="AD28" s="242">
        <f t="shared" si="24"/>
        <v>0</v>
      </c>
      <c r="AE28" s="242">
        <f t="shared" si="24"/>
        <v>0</v>
      </c>
      <c r="AF28" s="242">
        <f t="shared" si="24"/>
        <v>0</v>
      </c>
      <c r="AG28" s="242">
        <f t="shared" si="24"/>
        <v>0</v>
      </c>
      <c r="AH28" s="242">
        <f t="shared" si="24"/>
        <v>0</v>
      </c>
      <c r="AI28" s="242">
        <f t="shared" si="24"/>
        <v>0</v>
      </c>
      <c r="AJ28" s="242">
        <f t="shared" si="24"/>
        <v>0</v>
      </c>
      <c r="AK28" s="242">
        <f t="shared" si="24"/>
        <v>0</v>
      </c>
      <c r="AL28" s="242">
        <f t="shared" si="24"/>
        <v>0</v>
      </c>
      <c r="AM28" s="1"/>
    </row>
    <row r="29" spans="1:39" x14ac:dyDescent="0.25">
      <c r="A29" s="18"/>
      <c r="B29" s="234"/>
      <c r="C29" s="235"/>
      <c r="D29" s="243">
        <f t="shared" ref="D29:AL29" si="25">IFERROR(D28/D9,0)</f>
        <v>0</v>
      </c>
      <c r="E29" s="243">
        <f t="shared" si="25"/>
        <v>0</v>
      </c>
      <c r="F29" s="243">
        <f t="shared" si="25"/>
        <v>0</v>
      </c>
      <c r="G29" s="243">
        <f t="shared" si="25"/>
        <v>0</v>
      </c>
      <c r="H29" s="243">
        <f t="shared" si="25"/>
        <v>0</v>
      </c>
      <c r="I29" s="243">
        <f t="shared" si="25"/>
        <v>0</v>
      </c>
      <c r="J29" s="243">
        <f t="shared" si="25"/>
        <v>0</v>
      </c>
      <c r="K29" s="243">
        <f t="shared" si="25"/>
        <v>0</v>
      </c>
      <c r="L29" s="243">
        <f t="shared" si="25"/>
        <v>0</v>
      </c>
      <c r="M29" s="243">
        <f t="shared" si="25"/>
        <v>0</v>
      </c>
      <c r="N29" s="243">
        <f t="shared" si="25"/>
        <v>0</v>
      </c>
      <c r="O29" s="243">
        <f t="shared" si="25"/>
        <v>0</v>
      </c>
      <c r="P29" s="243">
        <f t="shared" si="25"/>
        <v>0</v>
      </c>
      <c r="Q29" s="243">
        <f t="shared" si="25"/>
        <v>0</v>
      </c>
      <c r="R29" s="243">
        <f t="shared" si="25"/>
        <v>0</v>
      </c>
      <c r="S29" s="243">
        <f t="shared" si="25"/>
        <v>0</v>
      </c>
      <c r="T29" s="243">
        <f t="shared" si="25"/>
        <v>0</v>
      </c>
      <c r="U29" s="243">
        <f t="shared" si="25"/>
        <v>0</v>
      </c>
      <c r="V29" s="243">
        <f t="shared" si="25"/>
        <v>0</v>
      </c>
      <c r="W29" s="243">
        <f t="shared" si="25"/>
        <v>0</v>
      </c>
      <c r="X29" s="243">
        <f t="shared" si="25"/>
        <v>0</v>
      </c>
      <c r="Y29" s="243">
        <f t="shared" si="25"/>
        <v>0</v>
      </c>
      <c r="Z29" s="243">
        <f t="shared" si="25"/>
        <v>0</v>
      </c>
      <c r="AA29" s="243">
        <f t="shared" si="25"/>
        <v>0</v>
      </c>
      <c r="AB29" s="243">
        <f t="shared" si="25"/>
        <v>0</v>
      </c>
      <c r="AC29" s="243">
        <f t="shared" si="25"/>
        <v>0</v>
      </c>
      <c r="AD29" s="243">
        <f t="shared" si="25"/>
        <v>0</v>
      </c>
      <c r="AE29" s="243">
        <f t="shared" si="25"/>
        <v>0</v>
      </c>
      <c r="AF29" s="243">
        <f t="shared" si="25"/>
        <v>0</v>
      </c>
      <c r="AG29" s="243">
        <f t="shared" si="25"/>
        <v>0</v>
      </c>
      <c r="AH29" s="243">
        <f t="shared" si="25"/>
        <v>0</v>
      </c>
      <c r="AI29" s="243">
        <f t="shared" si="25"/>
        <v>0</v>
      </c>
      <c r="AJ29" s="243">
        <f t="shared" si="25"/>
        <v>0</v>
      </c>
      <c r="AK29" s="243">
        <f t="shared" si="25"/>
        <v>0</v>
      </c>
      <c r="AL29" s="243">
        <f t="shared" si="25"/>
        <v>0</v>
      </c>
      <c r="AM29" s="45"/>
    </row>
    <row r="30" spans="1:39" x14ac:dyDescent="0.25">
      <c r="A30" s="86"/>
      <c r="B30" s="234" t="s">
        <v>406</v>
      </c>
      <c r="C30" s="235" t="s">
        <v>293</v>
      </c>
      <c r="D30" s="242">
        <f>D28/12</f>
        <v>0</v>
      </c>
      <c r="E30" s="242">
        <f t="shared" ref="E30:AG30" si="26">E28/12</f>
        <v>0</v>
      </c>
      <c r="F30" s="242">
        <f t="shared" si="26"/>
        <v>0</v>
      </c>
      <c r="G30" s="242">
        <f t="shared" si="26"/>
        <v>0</v>
      </c>
      <c r="H30" s="242">
        <f t="shared" si="26"/>
        <v>0</v>
      </c>
      <c r="I30" s="242">
        <f t="shared" si="26"/>
        <v>0</v>
      </c>
      <c r="J30" s="242">
        <f t="shared" si="26"/>
        <v>0</v>
      </c>
      <c r="K30" s="242">
        <f t="shared" si="26"/>
        <v>0</v>
      </c>
      <c r="L30" s="242">
        <f t="shared" si="26"/>
        <v>0</v>
      </c>
      <c r="M30" s="242">
        <f t="shared" si="26"/>
        <v>0</v>
      </c>
      <c r="N30" s="242">
        <f t="shared" si="26"/>
        <v>0</v>
      </c>
      <c r="O30" s="242">
        <f t="shared" si="26"/>
        <v>0</v>
      </c>
      <c r="P30" s="242">
        <f t="shared" si="26"/>
        <v>0</v>
      </c>
      <c r="Q30" s="242">
        <f t="shared" si="26"/>
        <v>0</v>
      </c>
      <c r="R30" s="242">
        <f t="shared" si="26"/>
        <v>0</v>
      </c>
      <c r="S30" s="242">
        <f t="shared" si="26"/>
        <v>0</v>
      </c>
      <c r="T30" s="242">
        <f t="shared" si="26"/>
        <v>0</v>
      </c>
      <c r="U30" s="242">
        <f t="shared" si="26"/>
        <v>0</v>
      </c>
      <c r="V30" s="242">
        <f t="shared" si="26"/>
        <v>0</v>
      </c>
      <c r="W30" s="242">
        <f t="shared" si="26"/>
        <v>0</v>
      </c>
      <c r="X30" s="242">
        <f t="shared" si="26"/>
        <v>0</v>
      </c>
      <c r="Y30" s="242">
        <f t="shared" si="26"/>
        <v>0</v>
      </c>
      <c r="Z30" s="242">
        <f t="shared" si="26"/>
        <v>0</v>
      </c>
      <c r="AA30" s="242">
        <f t="shared" si="26"/>
        <v>0</v>
      </c>
      <c r="AB30" s="242">
        <f t="shared" si="26"/>
        <v>0</v>
      </c>
      <c r="AC30" s="242">
        <f t="shared" si="26"/>
        <v>0</v>
      </c>
      <c r="AD30" s="242">
        <f t="shared" si="26"/>
        <v>0</v>
      </c>
      <c r="AE30" s="242">
        <f t="shared" si="26"/>
        <v>0</v>
      </c>
      <c r="AF30" s="242">
        <f t="shared" si="26"/>
        <v>0</v>
      </c>
      <c r="AG30" s="242">
        <f t="shared" si="26"/>
        <v>0</v>
      </c>
      <c r="AH30" s="242">
        <f t="shared" ref="AH30:AL30" si="27">AH28/12</f>
        <v>0</v>
      </c>
      <c r="AI30" s="242">
        <f t="shared" si="27"/>
        <v>0</v>
      </c>
      <c r="AJ30" s="242">
        <f t="shared" si="27"/>
        <v>0</v>
      </c>
      <c r="AK30" s="242">
        <f t="shared" si="27"/>
        <v>0</v>
      </c>
      <c r="AL30" s="242">
        <f t="shared" si="27"/>
        <v>0</v>
      </c>
      <c r="AM30" s="85"/>
    </row>
    <row r="31" spans="1:39" x14ac:dyDescent="0.25">
      <c r="A31" s="18"/>
      <c r="B31" s="234" t="s">
        <v>400</v>
      </c>
      <c r="C31" s="235" t="s">
        <v>293</v>
      </c>
      <c r="D31" s="242">
        <f t="shared" ref="D31:AL31" si="28">IF(D8&lt;10000,0,(D8/3600))</f>
        <v>0</v>
      </c>
      <c r="E31" s="242">
        <f t="shared" si="28"/>
        <v>0</v>
      </c>
      <c r="F31" s="242">
        <f t="shared" si="28"/>
        <v>0</v>
      </c>
      <c r="G31" s="242">
        <f t="shared" si="28"/>
        <v>0</v>
      </c>
      <c r="H31" s="242">
        <f t="shared" si="28"/>
        <v>0</v>
      </c>
      <c r="I31" s="242">
        <f t="shared" si="28"/>
        <v>0</v>
      </c>
      <c r="J31" s="242">
        <f t="shared" si="28"/>
        <v>0</v>
      </c>
      <c r="K31" s="242">
        <f t="shared" si="28"/>
        <v>0</v>
      </c>
      <c r="L31" s="242">
        <f t="shared" si="28"/>
        <v>0</v>
      </c>
      <c r="M31" s="242">
        <f t="shared" si="28"/>
        <v>0</v>
      </c>
      <c r="N31" s="242">
        <f t="shared" si="28"/>
        <v>0</v>
      </c>
      <c r="O31" s="242">
        <f t="shared" si="28"/>
        <v>0</v>
      </c>
      <c r="P31" s="242">
        <f t="shared" si="28"/>
        <v>0</v>
      </c>
      <c r="Q31" s="242">
        <f t="shared" si="28"/>
        <v>0</v>
      </c>
      <c r="R31" s="242">
        <f t="shared" si="28"/>
        <v>0</v>
      </c>
      <c r="S31" s="242">
        <f t="shared" si="28"/>
        <v>0</v>
      </c>
      <c r="T31" s="242">
        <f t="shared" si="28"/>
        <v>0</v>
      </c>
      <c r="U31" s="242">
        <f t="shared" si="28"/>
        <v>0</v>
      </c>
      <c r="V31" s="242">
        <f t="shared" si="28"/>
        <v>0</v>
      </c>
      <c r="W31" s="242">
        <f t="shared" si="28"/>
        <v>0</v>
      </c>
      <c r="X31" s="242">
        <f t="shared" si="28"/>
        <v>0</v>
      </c>
      <c r="Y31" s="242">
        <f t="shared" si="28"/>
        <v>0</v>
      </c>
      <c r="Z31" s="242">
        <f t="shared" si="28"/>
        <v>0</v>
      </c>
      <c r="AA31" s="242">
        <f t="shared" si="28"/>
        <v>0</v>
      </c>
      <c r="AB31" s="242">
        <f t="shared" si="28"/>
        <v>0</v>
      </c>
      <c r="AC31" s="242">
        <f t="shared" si="28"/>
        <v>0</v>
      </c>
      <c r="AD31" s="242">
        <f t="shared" si="28"/>
        <v>0</v>
      </c>
      <c r="AE31" s="242">
        <f t="shared" si="28"/>
        <v>0</v>
      </c>
      <c r="AF31" s="242">
        <f t="shared" si="28"/>
        <v>0</v>
      </c>
      <c r="AG31" s="242">
        <f t="shared" si="28"/>
        <v>0</v>
      </c>
      <c r="AH31" s="242">
        <f t="shared" si="28"/>
        <v>0</v>
      </c>
      <c r="AI31" s="242">
        <f t="shared" si="28"/>
        <v>0</v>
      </c>
      <c r="AJ31" s="242">
        <f t="shared" si="28"/>
        <v>0</v>
      </c>
      <c r="AK31" s="242">
        <f t="shared" si="28"/>
        <v>0</v>
      </c>
      <c r="AL31" s="242">
        <f t="shared" si="28"/>
        <v>0</v>
      </c>
      <c r="AM31" s="1"/>
    </row>
    <row r="32" spans="1:39" x14ac:dyDescent="0.25">
      <c r="A32" s="86"/>
      <c r="B32" s="234" t="s">
        <v>406</v>
      </c>
      <c r="C32" s="235" t="s">
        <v>293</v>
      </c>
      <c r="D32" s="242">
        <f>D31/12</f>
        <v>0</v>
      </c>
      <c r="E32" s="242">
        <f t="shared" ref="E32:AG32" si="29">E31/12</f>
        <v>0</v>
      </c>
      <c r="F32" s="242">
        <f t="shared" si="29"/>
        <v>0</v>
      </c>
      <c r="G32" s="242">
        <f t="shared" si="29"/>
        <v>0</v>
      </c>
      <c r="H32" s="242">
        <f t="shared" si="29"/>
        <v>0</v>
      </c>
      <c r="I32" s="242">
        <f t="shared" si="29"/>
        <v>0</v>
      </c>
      <c r="J32" s="242">
        <f t="shared" si="29"/>
        <v>0</v>
      </c>
      <c r="K32" s="242">
        <f t="shared" si="29"/>
        <v>0</v>
      </c>
      <c r="L32" s="242">
        <f t="shared" si="29"/>
        <v>0</v>
      </c>
      <c r="M32" s="242">
        <f t="shared" si="29"/>
        <v>0</v>
      </c>
      <c r="N32" s="242">
        <f t="shared" si="29"/>
        <v>0</v>
      </c>
      <c r="O32" s="242">
        <f t="shared" si="29"/>
        <v>0</v>
      </c>
      <c r="P32" s="242">
        <f t="shared" si="29"/>
        <v>0</v>
      </c>
      <c r="Q32" s="242">
        <f t="shared" si="29"/>
        <v>0</v>
      </c>
      <c r="R32" s="242">
        <f t="shared" si="29"/>
        <v>0</v>
      </c>
      <c r="S32" s="242">
        <f t="shared" si="29"/>
        <v>0</v>
      </c>
      <c r="T32" s="242">
        <f t="shared" si="29"/>
        <v>0</v>
      </c>
      <c r="U32" s="242">
        <f t="shared" si="29"/>
        <v>0</v>
      </c>
      <c r="V32" s="242">
        <f t="shared" si="29"/>
        <v>0</v>
      </c>
      <c r="W32" s="242">
        <f t="shared" si="29"/>
        <v>0</v>
      </c>
      <c r="X32" s="242">
        <f t="shared" si="29"/>
        <v>0</v>
      </c>
      <c r="Y32" s="242">
        <f t="shared" si="29"/>
        <v>0</v>
      </c>
      <c r="Z32" s="242">
        <f t="shared" si="29"/>
        <v>0</v>
      </c>
      <c r="AA32" s="242">
        <f t="shared" si="29"/>
        <v>0</v>
      </c>
      <c r="AB32" s="242">
        <f t="shared" si="29"/>
        <v>0</v>
      </c>
      <c r="AC32" s="242">
        <f t="shared" si="29"/>
        <v>0</v>
      </c>
      <c r="AD32" s="242">
        <f t="shared" si="29"/>
        <v>0</v>
      </c>
      <c r="AE32" s="242">
        <f t="shared" si="29"/>
        <v>0</v>
      </c>
      <c r="AF32" s="242">
        <f t="shared" si="29"/>
        <v>0</v>
      </c>
      <c r="AG32" s="242">
        <f t="shared" si="29"/>
        <v>0</v>
      </c>
      <c r="AH32" s="242">
        <f t="shared" ref="AH32:AL32" si="30">AH31/12</f>
        <v>0</v>
      </c>
      <c r="AI32" s="242">
        <f t="shared" si="30"/>
        <v>0</v>
      </c>
      <c r="AJ32" s="242">
        <f t="shared" si="30"/>
        <v>0</v>
      </c>
      <c r="AK32" s="242">
        <f t="shared" si="30"/>
        <v>0</v>
      </c>
      <c r="AL32" s="242">
        <f t="shared" si="30"/>
        <v>0</v>
      </c>
      <c r="AM32" s="45"/>
    </row>
    <row r="33" spans="1:39" x14ac:dyDescent="0.25">
      <c r="A33" s="18"/>
      <c r="B33" s="234" t="s">
        <v>396</v>
      </c>
      <c r="C33" s="235" t="s">
        <v>397</v>
      </c>
      <c r="D33" s="242">
        <f t="shared" ref="D33:AG33" si="31">D28*1*6+D24*2*3+D31*1</f>
        <v>0</v>
      </c>
      <c r="E33" s="242">
        <f t="shared" si="31"/>
        <v>0</v>
      </c>
      <c r="F33" s="242">
        <f t="shared" si="31"/>
        <v>0</v>
      </c>
      <c r="G33" s="242">
        <f t="shared" si="31"/>
        <v>0</v>
      </c>
      <c r="H33" s="242">
        <f t="shared" si="31"/>
        <v>0</v>
      </c>
      <c r="I33" s="242">
        <f t="shared" si="31"/>
        <v>0</v>
      </c>
      <c r="J33" s="242">
        <f t="shared" si="31"/>
        <v>0</v>
      </c>
      <c r="K33" s="242">
        <f t="shared" si="31"/>
        <v>0</v>
      </c>
      <c r="L33" s="242">
        <f t="shared" si="31"/>
        <v>0</v>
      </c>
      <c r="M33" s="242">
        <f t="shared" si="31"/>
        <v>0</v>
      </c>
      <c r="N33" s="242">
        <f t="shared" si="31"/>
        <v>0</v>
      </c>
      <c r="O33" s="242">
        <f t="shared" si="31"/>
        <v>0</v>
      </c>
      <c r="P33" s="242">
        <f t="shared" si="31"/>
        <v>0</v>
      </c>
      <c r="Q33" s="242">
        <f t="shared" si="31"/>
        <v>0</v>
      </c>
      <c r="R33" s="242">
        <f t="shared" si="31"/>
        <v>0</v>
      </c>
      <c r="S33" s="242">
        <f t="shared" si="31"/>
        <v>0</v>
      </c>
      <c r="T33" s="242">
        <f t="shared" si="31"/>
        <v>0</v>
      </c>
      <c r="U33" s="242">
        <f t="shared" si="31"/>
        <v>0</v>
      </c>
      <c r="V33" s="242">
        <f t="shared" si="31"/>
        <v>0</v>
      </c>
      <c r="W33" s="242">
        <f t="shared" si="31"/>
        <v>0</v>
      </c>
      <c r="X33" s="242">
        <f t="shared" si="31"/>
        <v>0</v>
      </c>
      <c r="Y33" s="242">
        <f t="shared" si="31"/>
        <v>0</v>
      </c>
      <c r="Z33" s="242">
        <f t="shared" si="31"/>
        <v>0</v>
      </c>
      <c r="AA33" s="242">
        <f t="shared" si="31"/>
        <v>0</v>
      </c>
      <c r="AB33" s="242">
        <f t="shared" si="31"/>
        <v>0</v>
      </c>
      <c r="AC33" s="242">
        <f t="shared" si="31"/>
        <v>0</v>
      </c>
      <c r="AD33" s="242">
        <f t="shared" si="31"/>
        <v>0</v>
      </c>
      <c r="AE33" s="242">
        <f t="shared" si="31"/>
        <v>0</v>
      </c>
      <c r="AF33" s="242">
        <f t="shared" si="31"/>
        <v>0</v>
      </c>
      <c r="AG33" s="242">
        <f t="shared" si="31"/>
        <v>0</v>
      </c>
      <c r="AH33" s="242">
        <f t="shared" ref="AH33:AL33" si="32">AH28*1*6+AH24*2*3+AH31*1</f>
        <v>0</v>
      </c>
      <c r="AI33" s="242">
        <f t="shared" si="32"/>
        <v>0</v>
      </c>
      <c r="AJ33" s="242">
        <f t="shared" si="32"/>
        <v>0</v>
      </c>
      <c r="AK33" s="242">
        <f t="shared" si="32"/>
        <v>0</v>
      </c>
      <c r="AL33" s="242">
        <f t="shared" si="32"/>
        <v>0</v>
      </c>
      <c r="AM33" s="1"/>
    </row>
    <row r="34" spans="1:39" x14ac:dyDescent="0.25">
      <c r="A34" s="86"/>
      <c r="B34" s="234" t="s">
        <v>406</v>
      </c>
      <c r="C34" s="235" t="s">
        <v>397</v>
      </c>
      <c r="D34" s="242">
        <f>D33/12</f>
        <v>0</v>
      </c>
      <c r="E34" s="242">
        <f t="shared" ref="E34:AG34" si="33">E33/12</f>
        <v>0</v>
      </c>
      <c r="F34" s="242">
        <f t="shared" si="33"/>
        <v>0</v>
      </c>
      <c r="G34" s="242">
        <f t="shared" si="33"/>
        <v>0</v>
      </c>
      <c r="H34" s="242">
        <f t="shared" si="33"/>
        <v>0</v>
      </c>
      <c r="I34" s="242">
        <f t="shared" si="33"/>
        <v>0</v>
      </c>
      <c r="J34" s="242">
        <f t="shared" si="33"/>
        <v>0</v>
      </c>
      <c r="K34" s="242">
        <f t="shared" si="33"/>
        <v>0</v>
      </c>
      <c r="L34" s="242">
        <f t="shared" si="33"/>
        <v>0</v>
      </c>
      <c r="M34" s="242">
        <f t="shared" si="33"/>
        <v>0</v>
      </c>
      <c r="N34" s="242">
        <f t="shared" si="33"/>
        <v>0</v>
      </c>
      <c r="O34" s="242">
        <f t="shared" si="33"/>
        <v>0</v>
      </c>
      <c r="P34" s="242">
        <f t="shared" si="33"/>
        <v>0</v>
      </c>
      <c r="Q34" s="242">
        <f t="shared" si="33"/>
        <v>0</v>
      </c>
      <c r="R34" s="242">
        <f t="shared" si="33"/>
        <v>0</v>
      </c>
      <c r="S34" s="242">
        <f t="shared" si="33"/>
        <v>0</v>
      </c>
      <c r="T34" s="242">
        <f t="shared" si="33"/>
        <v>0</v>
      </c>
      <c r="U34" s="242">
        <f t="shared" si="33"/>
        <v>0</v>
      </c>
      <c r="V34" s="242">
        <f t="shared" si="33"/>
        <v>0</v>
      </c>
      <c r="W34" s="242">
        <f t="shared" si="33"/>
        <v>0</v>
      </c>
      <c r="X34" s="242">
        <f t="shared" si="33"/>
        <v>0</v>
      </c>
      <c r="Y34" s="242">
        <f t="shared" si="33"/>
        <v>0</v>
      </c>
      <c r="Z34" s="242">
        <f t="shared" si="33"/>
        <v>0</v>
      </c>
      <c r="AA34" s="242">
        <f t="shared" si="33"/>
        <v>0</v>
      </c>
      <c r="AB34" s="242">
        <f t="shared" si="33"/>
        <v>0</v>
      </c>
      <c r="AC34" s="242">
        <f t="shared" si="33"/>
        <v>0</v>
      </c>
      <c r="AD34" s="242">
        <f t="shared" si="33"/>
        <v>0</v>
      </c>
      <c r="AE34" s="242">
        <f t="shared" si="33"/>
        <v>0</v>
      </c>
      <c r="AF34" s="242">
        <f t="shared" si="33"/>
        <v>0</v>
      </c>
      <c r="AG34" s="242">
        <f t="shared" si="33"/>
        <v>0</v>
      </c>
      <c r="AH34" s="242">
        <f t="shared" ref="AH34:AL34" si="34">AH33/12</f>
        <v>0</v>
      </c>
      <c r="AI34" s="242">
        <f t="shared" si="34"/>
        <v>0</v>
      </c>
      <c r="AJ34" s="242">
        <f t="shared" si="34"/>
        <v>0</v>
      </c>
      <c r="AK34" s="242">
        <f t="shared" si="34"/>
        <v>0</v>
      </c>
      <c r="AL34" s="242">
        <f t="shared" si="34"/>
        <v>0</v>
      </c>
      <c r="AM34" s="45"/>
    </row>
    <row r="35" spans="1:39" x14ac:dyDescent="0.25">
      <c r="A35" s="86"/>
      <c r="B35" s="234"/>
      <c r="C35" s="235"/>
      <c r="D35" s="236"/>
      <c r="E35" s="236"/>
      <c r="F35" s="236"/>
      <c r="G35" s="236"/>
      <c r="H35" s="236"/>
      <c r="I35" s="236"/>
      <c r="J35" s="236"/>
      <c r="K35" s="236"/>
      <c r="L35" s="236"/>
      <c r="M35" s="236"/>
      <c r="N35" s="236"/>
      <c r="O35" s="236"/>
      <c r="P35" s="236"/>
      <c r="Q35" s="236"/>
      <c r="R35" s="236"/>
      <c r="S35" s="236"/>
      <c r="T35" s="236"/>
      <c r="U35" s="236"/>
      <c r="V35" s="236"/>
      <c r="W35" s="236"/>
      <c r="X35" s="236"/>
      <c r="Y35" s="236"/>
      <c r="Z35" s="236"/>
      <c r="AA35" s="236"/>
      <c r="AB35" s="236"/>
      <c r="AC35" s="236"/>
      <c r="AD35" s="236"/>
      <c r="AE35" s="236"/>
      <c r="AF35" s="236"/>
      <c r="AG35" s="236"/>
      <c r="AH35" s="236"/>
      <c r="AI35" s="236"/>
      <c r="AJ35" s="236"/>
      <c r="AK35" s="236"/>
      <c r="AL35" s="236"/>
      <c r="AM35" s="85"/>
    </row>
    <row r="36" spans="1:39" x14ac:dyDescent="0.25">
      <c r="A36" s="86"/>
      <c r="B36" s="234" t="s">
        <v>408</v>
      </c>
      <c r="C36" s="238" t="s">
        <v>429</v>
      </c>
      <c r="D36" s="244">
        <f>D37/22</f>
        <v>0</v>
      </c>
      <c r="E36" s="244">
        <f t="shared" ref="E36:AL36" si="35">E37/22</f>
        <v>0</v>
      </c>
      <c r="F36" s="244">
        <f t="shared" si="35"/>
        <v>0</v>
      </c>
      <c r="G36" s="244">
        <f t="shared" si="35"/>
        <v>0</v>
      </c>
      <c r="H36" s="244">
        <f t="shared" si="35"/>
        <v>0</v>
      </c>
      <c r="I36" s="244">
        <f t="shared" si="35"/>
        <v>0</v>
      </c>
      <c r="J36" s="244">
        <f t="shared" si="35"/>
        <v>0</v>
      </c>
      <c r="K36" s="244">
        <f t="shared" si="35"/>
        <v>0</v>
      </c>
      <c r="L36" s="244">
        <f t="shared" si="35"/>
        <v>0</v>
      </c>
      <c r="M36" s="244">
        <f t="shared" si="35"/>
        <v>0</v>
      </c>
      <c r="N36" s="244">
        <f t="shared" si="35"/>
        <v>0</v>
      </c>
      <c r="O36" s="244">
        <f t="shared" si="35"/>
        <v>0</v>
      </c>
      <c r="P36" s="244">
        <f t="shared" si="35"/>
        <v>0</v>
      </c>
      <c r="Q36" s="244">
        <f t="shared" si="35"/>
        <v>0</v>
      </c>
      <c r="R36" s="244">
        <f t="shared" si="35"/>
        <v>0</v>
      </c>
      <c r="S36" s="244">
        <f t="shared" si="35"/>
        <v>0</v>
      </c>
      <c r="T36" s="244">
        <f t="shared" si="35"/>
        <v>0</v>
      </c>
      <c r="U36" s="244">
        <f t="shared" si="35"/>
        <v>0</v>
      </c>
      <c r="V36" s="244">
        <f t="shared" si="35"/>
        <v>0</v>
      </c>
      <c r="W36" s="244">
        <f t="shared" si="35"/>
        <v>0</v>
      </c>
      <c r="X36" s="244">
        <f t="shared" si="35"/>
        <v>0</v>
      </c>
      <c r="Y36" s="244">
        <f t="shared" si="35"/>
        <v>0</v>
      </c>
      <c r="Z36" s="244">
        <f t="shared" si="35"/>
        <v>0</v>
      </c>
      <c r="AA36" s="244">
        <f t="shared" si="35"/>
        <v>0</v>
      </c>
      <c r="AB36" s="244">
        <f t="shared" si="35"/>
        <v>0</v>
      </c>
      <c r="AC36" s="244">
        <f t="shared" si="35"/>
        <v>0</v>
      </c>
      <c r="AD36" s="244">
        <f t="shared" si="35"/>
        <v>0</v>
      </c>
      <c r="AE36" s="244">
        <f t="shared" si="35"/>
        <v>0</v>
      </c>
      <c r="AF36" s="244">
        <f t="shared" si="35"/>
        <v>0</v>
      </c>
      <c r="AG36" s="244">
        <f t="shared" si="35"/>
        <v>0</v>
      </c>
      <c r="AH36" s="244">
        <f t="shared" si="35"/>
        <v>0</v>
      </c>
      <c r="AI36" s="244">
        <f t="shared" si="35"/>
        <v>0</v>
      </c>
      <c r="AJ36" s="244">
        <f t="shared" si="35"/>
        <v>0</v>
      </c>
      <c r="AK36" s="244">
        <f t="shared" si="35"/>
        <v>0</v>
      </c>
      <c r="AL36" s="244">
        <f t="shared" si="35"/>
        <v>0</v>
      </c>
      <c r="AM36" s="85"/>
    </row>
    <row r="37" spans="1:39" x14ac:dyDescent="0.25">
      <c r="A37" s="18"/>
      <c r="B37" s="234" t="s">
        <v>407</v>
      </c>
      <c r="C37" s="238" t="s">
        <v>216</v>
      </c>
      <c r="D37" s="244">
        <f t="shared" ref="D37:AL37" si="36">D12+D14/2.5+D17+D20+D22/2.5+D30+D25+D32</f>
        <v>0</v>
      </c>
      <c r="E37" s="244">
        <f t="shared" si="36"/>
        <v>0</v>
      </c>
      <c r="F37" s="244">
        <f t="shared" si="36"/>
        <v>0</v>
      </c>
      <c r="G37" s="244">
        <f t="shared" si="36"/>
        <v>0</v>
      </c>
      <c r="H37" s="244">
        <f t="shared" si="36"/>
        <v>0</v>
      </c>
      <c r="I37" s="244">
        <f t="shared" si="36"/>
        <v>0</v>
      </c>
      <c r="J37" s="244">
        <f t="shared" si="36"/>
        <v>0</v>
      </c>
      <c r="K37" s="244">
        <f t="shared" si="36"/>
        <v>0</v>
      </c>
      <c r="L37" s="244">
        <f t="shared" si="36"/>
        <v>0</v>
      </c>
      <c r="M37" s="244">
        <f t="shared" si="36"/>
        <v>0</v>
      </c>
      <c r="N37" s="244">
        <f t="shared" si="36"/>
        <v>0</v>
      </c>
      <c r="O37" s="244">
        <f t="shared" si="36"/>
        <v>0</v>
      </c>
      <c r="P37" s="244">
        <f t="shared" si="36"/>
        <v>0</v>
      </c>
      <c r="Q37" s="244">
        <f t="shared" si="36"/>
        <v>0</v>
      </c>
      <c r="R37" s="244">
        <f t="shared" si="36"/>
        <v>0</v>
      </c>
      <c r="S37" s="244">
        <f t="shared" si="36"/>
        <v>0</v>
      </c>
      <c r="T37" s="244">
        <f t="shared" si="36"/>
        <v>0</v>
      </c>
      <c r="U37" s="244">
        <f t="shared" si="36"/>
        <v>0</v>
      </c>
      <c r="V37" s="244">
        <f t="shared" si="36"/>
        <v>0</v>
      </c>
      <c r="W37" s="244">
        <f t="shared" si="36"/>
        <v>0</v>
      </c>
      <c r="X37" s="244">
        <f t="shared" si="36"/>
        <v>0</v>
      </c>
      <c r="Y37" s="244">
        <f t="shared" si="36"/>
        <v>0</v>
      </c>
      <c r="Z37" s="244">
        <f t="shared" si="36"/>
        <v>0</v>
      </c>
      <c r="AA37" s="244">
        <f t="shared" si="36"/>
        <v>0</v>
      </c>
      <c r="AB37" s="244">
        <f t="shared" si="36"/>
        <v>0</v>
      </c>
      <c r="AC37" s="244">
        <f t="shared" si="36"/>
        <v>0</v>
      </c>
      <c r="AD37" s="244">
        <f t="shared" si="36"/>
        <v>0</v>
      </c>
      <c r="AE37" s="244">
        <f t="shared" si="36"/>
        <v>0</v>
      </c>
      <c r="AF37" s="244">
        <f t="shared" si="36"/>
        <v>0</v>
      </c>
      <c r="AG37" s="244">
        <f t="shared" si="36"/>
        <v>0</v>
      </c>
      <c r="AH37" s="244">
        <f t="shared" si="36"/>
        <v>0</v>
      </c>
      <c r="AI37" s="244">
        <f t="shared" si="36"/>
        <v>0</v>
      </c>
      <c r="AJ37" s="244">
        <f t="shared" si="36"/>
        <v>0</v>
      </c>
      <c r="AK37" s="244">
        <f t="shared" si="36"/>
        <v>0</v>
      </c>
      <c r="AL37" s="244">
        <f t="shared" si="36"/>
        <v>0</v>
      </c>
    </row>
    <row r="38" spans="1:39" x14ac:dyDescent="0.25">
      <c r="A38" s="18"/>
      <c r="B38" s="234" t="s">
        <v>430</v>
      </c>
      <c r="C38" s="238" t="s">
        <v>216</v>
      </c>
      <c r="D38" s="244">
        <f>D37*12</f>
        <v>0</v>
      </c>
      <c r="E38" s="244">
        <f t="shared" ref="E38:AG38" si="37">E37*12</f>
        <v>0</v>
      </c>
      <c r="F38" s="244">
        <f t="shared" si="37"/>
        <v>0</v>
      </c>
      <c r="G38" s="244">
        <f t="shared" si="37"/>
        <v>0</v>
      </c>
      <c r="H38" s="244">
        <f t="shared" si="37"/>
        <v>0</v>
      </c>
      <c r="I38" s="244">
        <f t="shared" si="37"/>
        <v>0</v>
      </c>
      <c r="J38" s="244">
        <f t="shared" si="37"/>
        <v>0</v>
      </c>
      <c r="K38" s="244">
        <f t="shared" si="37"/>
        <v>0</v>
      </c>
      <c r="L38" s="244">
        <f t="shared" si="37"/>
        <v>0</v>
      </c>
      <c r="M38" s="244">
        <f t="shared" si="37"/>
        <v>0</v>
      </c>
      <c r="N38" s="244">
        <f t="shared" si="37"/>
        <v>0</v>
      </c>
      <c r="O38" s="244">
        <f t="shared" si="37"/>
        <v>0</v>
      </c>
      <c r="P38" s="244">
        <f t="shared" si="37"/>
        <v>0</v>
      </c>
      <c r="Q38" s="244">
        <f t="shared" si="37"/>
        <v>0</v>
      </c>
      <c r="R38" s="244">
        <f t="shared" si="37"/>
        <v>0</v>
      </c>
      <c r="S38" s="244">
        <f t="shared" si="37"/>
        <v>0</v>
      </c>
      <c r="T38" s="244">
        <f t="shared" si="37"/>
        <v>0</v>
      </c>
      <c r="U38" s="244">
        <f t="shared" si="37"/>
        <v>0</v>
      </c>
      <c r="V38" s="244">
        <f t="shared" si="37"/>
        <v>0</v>
      </c>
      <c r="W38" s="244">
        <f t="shared" si="37"/>
        <v>0</v>
      </c>
      <c r="X38" s="244">
        <f t="shared" si="37"/>
        <v>0</v>
      </c>
      <c r="Y38" s="244">
        <f t="shared" si="37"/>
        <v>0</v>
      </c>
      <c r="Z38" s="244">
        <f t="shared" si="37"/>
        <v>0</v>
      </c>
      <c r="AA38" s="244">
        <f t="shared" si="37"/>
        <v>0</v>
      </c>
      <c r="AB38" s="244">
        <f t="shared" si="37"/>
        <v>0</v>
      </c>
      <c r="AC38" s="244">
        <f t="shared" si="37"/>
        <v>0</v>
      </c>
      <c r="AD38" s="244">
        <f t="shared" si="37"/>
        <v>0</v>
      </c>
      <c r="AE38" s="244">
        <f t="shared" si="37"/>
        <v>0</v>
      </c>
      <c r="AF38" s="244">
        <f t="shared" si="37"/>
        <v>0</v>
      </c>
      <c r="AG38" s="244">
        <f t="shared" si="37"/>
        <v>0</v>
      </c>
      <c r="AH38" s="244">
        <f t="shared" ref="AH38:AL38" si="38">AH37*12</f>
        <v>0</v>
      </c>
      <c r="AI38" s="244">
        <f t="shared" si="38"/>
        <v>0</v>
      </c>
      <c r="AJ38" s="244">
        <f t="shared" si="38"/>
        <v>0</v>
      </c>
      <c r="AK38" s="244">
        <f t="shared" si="38"/>
        <v>0</v>
      </c>
      <c r="AL38" s="244">
        <f t="shared" si="38"/>
        <v>0</v>
      </c>
    </row>
    <row r="39" spans="1:39" s="85" customFormat="1" x14ac:dyDescent="0.25">
      <c r="A39" s="86"/>
      <c r="B39" s="234"/>
      <c r="C39" s="238"/>
      <c r="D39" s="134"/>
      <c r="E39" s="134"/>
      <c r="F39" s="134"/>
      <c r="G39" s="134"/>
      <c r="H39" s="134"/>
      <c r="I39" s="134"/>
      <c r="J39" s="134"/>
      <c r="K39" s="134"/>
      <c r="L39" s="134"/>
      <c r="M39" s="134"/>
      <c r="N39" s="134"/>
      <c r="O39" s="134"/>
      <c r="P39" s="134"/>
      <c r="Q39" s="134"/>
      <c r="R39" s="134"/>
      <c r="S39" s="134"/>
      <c r="T39" s="134"/>
      <c r="U39" s="134"/>
      <c r="V39" s="134"/>
      <c r="W39" s="134"/>
      <c r="X39" s="134"/>
      <c r="Y39" s="134"/>
      <c r="Z39" s="134"/>
      <c r="AA39" s="134"/>
      <c r="AB39" s="134"/>
      <c r="AC39" s="134"/>
      <c r="AD39" s="134"/>
      <c r="AE39" s="134"/>
      <c r="AF39" s="134"/>
      <c r="AG39" s="134"/>
      <c r="AH39" s="134"/>
      <c r="AI39" s="134"/>
      <c r="AJ39" s="134"/>
      <c r="AK39" s="134"/>
      <c r="AL39" s="134"/>
    </row>
    <row r="40" spans="1:39" x14ac:dyDescent="0.25">
      <c r="A40" s="18"/>
      <c r="B40" s="234" t="s">
        <v>435</v>
      </c>
      <c r="C40" s="238" t="s">
        <v>216</v>
      </c>
      <c r="D40" s="244">
        <f>IF(D8=0,D36/4+1,D36/4+2)</f>
        <v>1</v>
      </c>
      <c r="E40" s="244">
        <f t="shared" ref="E40:AG40" si="39">E36/4+2</f>
        <v>2</v>
      </c>
      <c r="F40" s="244">
        <f t="shared" si="39"/>
        <v>2</v>
      </c>
      <c r="G40" s="244">
        <f t="shared" si="39"/>
        <v>2</v>
      </c>
      <c r="H40" s="244">
        <f t="shared" si="39"/>
        <v>2</v>
      </c>
      <c r="I40" s="244">
        <f t="shared" si="39"/>
        <v>2</v>
      </c>
      <c r="J40" s="244">
        <f t="shared" si="39"/>
        <v>2</v>
      </c>
      <c r="K40" s="244">
        <f t="shared" si="39"/>
        <v>2</v>
      </c>
      <c r="L40" s="244">
        <f t="shared" si="39"/>
        <v>2</v>
      </c>
      <c r="M40" s="244">
        <f t="shared" si="39"/>
        <v>2</v>
      </c>
      <c r="N40" s="244">
        <f t="shared" si="39"/>
        <v>2</v>
      </c>
      <c r="O40" s="244">
        <f t="shared" si="39"/>
        <v>2</v>
      </c>
      <c r="P40" s="244">
        <f t="shared" si="39"/>
        <v>2</v>
      </c>
      <c r="Q40" s="244">
        <f t="shared" si="39"/>
        <v>2</v>
      </c>
      <c r="R40" s="244">
        <f t="shared" si="39"/>
        <v>2</v>
      </c>
      <c r="S40" s="244">
        <f t="shared" si="39"/>
        <v>2</v>
      </c>
      <c r="T40" s="244">
        <f t="shared" si="39"/>
        <v>2</v>
      </c>
      <c r="U40" s="244">
        <f t="shared" si="39"/>
        <v>2</v>
      </c>
      <c r="V40" s="244">
        <f t="shared" si="39"/>
        <v>2</v>
      </c>
      <c r="W40" s="244">
        <f t="shared" si="39"/>
        <v>2</v>
      </c>
      <c r="X40" s="244">
        <f t="shared" si="39"/>
        <v>2</v>
      </c>
      <c r="Y40" s="244">
        <f t="shared" si="39"/>
        <v>2</v>
      </c>
      <c r="Z40" s="244">
        <f t="shared" si="39"/>
        <v>2</v>
      </c>
      <c r="AA40" s="244">
        <f t="shared" si="39"/>
        <v>2</v>
      </c>
      <c r="AB40" s="244">
        <f t="shared" si="39"/>
        <v>2</v>
      </c>
      <c r="AC40" s="244">
        <f t="shared" si="39"/>
        <v>2</v>
      </c>
      <c r="AD40" s="244">
        <f t="shared" si="39"/>
        <v>2</v>
      </c>
      <c r="AE40" s="244">
        <f t="shared" si="39"/>
        <v>2</v>
      </c>
      <c r="AF40" s="244">
        <f t="shared" si="39"/>
        <v>2</v>
      </c>
      <c r="AG40" s="244">
        <f t="shared" si="39"/>
        <v>2</v>
      </c>
      <c r="AH40" s="244">
        <f t="shared" ref="AH40:AL40" si="40">AH36/4+2</f>
        <v>2</v>
      </c>
      <c r="AI40" s="244">
        <f t="shared" si="40"/>
        <v>2</v>
      </c>
      <c r="AJ40" s="244">
        <f t="shared" si="40"/>
        <v>2</v>
      </c>
      <c r="AK40" s="244">
        <f t="shared" si="40"/>
        <v>2</v>
      </c>
      <c r="AL40" s="244">
        <f t="shared" si="40"/>
        <v>2</v>
      </c>
    </row>
    <row r="41" spans="1:39" x14ac:dyDescent="0.25">
      <c r="A41" s="18"/>
      <c r="B41" s="234" t="s">
        <v>431</v>
      </c>
      <c r="C41" s="238" t="s">
        <v>216</v>
      </c>
      <c r="D41" s="312"/>
      <c r="E41" s="312"/>
      <c r="F41" s="312"/>
      <c r="G41" s="312"/>
      <c r="H41" s="312"/>
      <c r="I41" s="312"/>
      <c r="J41" s="312"/>
      <c r="K41" s="312"/>
      <c r="L41" s="312"/>
      <c r="M41" s="312"/>
      <c r="N41" s="312"/>
      <c r="O41" s="312"/>
      <c r="P41" s="312"/>
      <c r="Q41" s="312"/>
      <c r="R41" s="312"/>
      <c r="S41" s="312"/>
      <c r="T41" s="312"/>
      <c r="U41" s="312"/>
      <c r="V41" s="312"/>
      <c r="W41" s="312"/>
      <c r="X41" s="312"/>
      <c r="Y41" s="312"/>
      <c r="Z41" s="312"/>
      <c r="AA41" s="312"/>
      <c r="AB41" s="312"/>
      <c r="AC41" s="312"/>
      <c r="AD41" s="312"/>
      <c r="AE41" s="312"/>
      <c r="AF41" s="312"/>
      <c r="AG41" s="312"/>
      <c r="AH41" s="312"/>
      <c r="AI41" s="312"/>
      <c r="AJ41" s="312"/>
      <c r="AK41" s="312"/>
      <c r="AL41" s="312"/>
    </row>
    <row r="42" spans="1:39" s="85" customFormat="1" x14ac:dyDescent="0.25">
      <c r="A42" s="86"/>
      <c r="B42" s="234" t="s">
        <v>432</v>
      </c>
      <c r="C42" s="238" t="s">
        <v>216</v>
      </c>
      <c r="D42" s="312"/>
      <c r="E42" s="312"/>
      <c r="F42" s="312"/>
      <c r="G42" s="312"/>
      <c r="H42" s="312"/>
      <c r="I42" s="312"/>
      <c r="J42" s="312"/>
      <c r="K42" s="312"/>
      <c r="L42" s="312"/>
      <c r="M42" s="312"/>
      <c r="N42" s="312"/>
      <c r="O42" s="312"/>
      <c r="P42" s="312"/>
      <c r="Q42" s="312"/>
      <c r="R42" s="312"/>
      <c r="S42" s="312"/>
      <c r="T42" s="312"/>
      <c r="U42" s="312"/>
      <c r="V42" s="312"/>
      <c r="W42" s="312"/>
      <c r="X42" s="312"/>
      <c r="Y42" s="312"/>
      <c r="Z42" s="312"/>
      <c r="AA42" s="312"/>
      <c r="AB42" s="312"/>
      <c r="AC42" s="312"/>
      <c r="AD42" s="312"/>
      <c r="AE42" s="312"/>
      <c r="AF42" s="312"/>
      <c r="AG42" s="312"/>
      <c r="AH42" s="312"/>
      <c r="AI42" s="312"/>
      <c r="AJ42" s="312"/>
      <c r="AK42" s="312"/>
      <c r="AL42" s="312"/>
    </row>
    <row r="43" spans="1:39" s="85" customFormat="1" x14ac:dyDescent="0.25">
      <c r="A43" s="86"/>
      <c r="B43" s="234" t="s">
        <v>433</v>
      </c>
      <c r="C43" s="238" t="s">
        <v>216</v>
      </c>
      <c r="D43" s="312"/>
      <c r="E43" s="312"/>
      <c r="F43" s="312"/>
      <c r="G43" s="312"/>
      <c r="H43" s="312"/>
      <c r="I43" s="312"/>
      <c r="J43" s="312"/>
      <c r="K43" s="312"/>
      <c r="L43" s="312"/>
      <c r="M43" s="312"/>
      <c r="N43" s="312"/>
      <c r="O43" s="312"/>
      <c r="P43" s="312"/>
      <c r="Q43" s="312"/>
      <c r="R43" s="312"/>
      <c r="S43" s="312"/>
      <c r="T43" s="312"/>
      <c r="U43" s="312"/>
      <c r="V43" s="312"/>
      <c r="W43" s="312"/>
      <c r="X43" s="312"/>
      <c r="Y43" s="312"/>
      <c r="Z43" s="312"/>
      <c r="AA43" s="312"/>
      <c r="AB43" s="312"/>
      <c r="AC43" s="312"/>
      <c r="AD43" s="312"/>
      <c r="AE43" s="312"/>
      <c r="AF43" s="312"/>
      <c r="AG43" s="312"/>
      <c r="AH43" s="312"/>
      <c r="AI43" s="312"/>
      <c r="AJ43" s="312"/>
      <c r="AK43" s="312"/>
      <c r="AL43" s="312"/>
    </row>
    <row r="44" spans="1:39" s="85" customFormat="1" x14ac:dyDescent="0.25">
      <c r="A44" s="86"/>
      <c r="B44" s="234" t="s">
        <v>434</v>
      </c>
      <c r="C44" s="238" t="s">
        <v>216</v>
      </c>
      <c r="D44" s="312"/>
      <c r="E44" s="312"/>
      <c r="F44" s="312"/>
      <c r="G44" s="312"/>
      <c r="H44" s="312"/>
      <c r="I44" s="312"/>
      <c r="J44" s="312"/>
      <c r="K44" s="312"/>
      <c r="L44" s="312"/>
      <c r="M44" s="312"/>
      <c r="N44" s="312"/>
      <c r="O44" s="312"/>
      <c r="P44" s="312"/>
      <c r="Q44" s="312"/>
      <c r="R44" s="312"/>
      <c r="S44" s="312"/>
      <c r="T44" s="312"/>
      <c r="U44" s="312"/>
      <c r="V44" s="312"/>
      <c r="W44" s="312"/>
      <c r="X44" s="312"/>
      <c r="Y44" s="312"/>
      <c r="Z44" s="312"/>
      <c r="AA44" s="312"/>
      <c r="AB44" s="312"/>
      <c r="AC44" s="312"/>
      <c r="AD44" s="312"/>
      <c r="AE44" s="312"/>
      <c r="AF44" s="312"/>
      <c r="AG44" s="312"/>
      <c r="AH44" s="312"/>
      <c r="AI44" s="312"/>
      <c r="AJ44" s="312"/>
      <c r="AK44" s="312"/>
      <c r="AL44" s="312"/>
    </row>
    <row r="45" spans="1:39" s="85" customFormat="1" x14ac:dyDescent="0.25">
      <c r="A45" s="86"/>
      <c r="B45" s="234"/>
      <c r="C45" s="234"/>
      <c r="D45" s="234"/>
      <c r="E45" s="234"/>
      <c r="F45" s="234"/>
      <c r="G45" s="234"/>
      <c r="H45" s="234"/>
      <c r="I45" s="234"/>
      <c r="J45" s="234"/>
      <c r="K45" s="234"/>
      <c r="L45" s="234"/>
      <c r="M45" s="234"/>
      <c r="N45" s="234"/>
      <c r="O45" s="234"/>
      <c r="P45" s="234"/>
      <c r="Q45" s="234"/>
      <c r="R45" s="234"/>
      <c r="S45" s="234"/>
      <c r="T45" s="234"/>
      <c r="U45" s="234"/>
      <c r="V45" s="234"/>
      <c r="W45" s="234"/>
      <c r="X45" s="234"/>
      <c r="Y45" s="234"/>
      <c r="Z45" s="234"/>
      <c r="AA45" s="234"/>
      <c r="AB45" s="234"/>
      <c r="AC45" s="234"/>
      <c r="AD45" s="234"/>
      <c r="AE45" s="234"/>
      <c r="AF45" s="234"/>
      <c r="AG45" s="234"/>
      <c r="AH45" s="234"/>
      <c r="AI45" s="234"/>
      <c r="AJ45" s="234"/>
      <c r="AK45" s="234"/>
      <c r="AL45" s="234"/>
    </row>
    <row r="46" spans="1:39" x14ac:dyDescent="0.25">
      <c r="B46" s="234" t="s">
        <v>436</v>
      </c>
      <c r="C46" s="238" t="s">
        <v>216</v>
      </c>
      <c r="D46" s="312"/>
      <c r="E46" s="312"/>
      <c r="F46" s="312"/>
      <c r="G46" s="312"/>
      <c r="H46" s="312"/>
      <c r="I46" s="312"/>
      <c r="J46" s="312"/>
      <c r="K46" s="312"/>
      <c r="L46" s="312"/>
      <c r="M46" s="312"/>
      <c r="N46" s="312"/>
      <c r="O46" s="312"/>
      <c r="P46" s="312"/>
      <c r="Q46" s="312"/>
      <c r="R46" s="312"/>
      <c r="S46" s="312"/>
      <c r="T46" s="312"/>
      <c r="U46" s="312"/>
      <c r="V46" s="312"/>
      <c r="W46" s="312"/>
      <c r="X46" s="312"/>
      <c r="Y46" s="312"/>
      <c r="Z46" s="312"/>
      <c r="AA46" s="312"/>
      <c r="AB46" s="312"/>
      <c r="AC46" s="312"/>
      <c r="AD46" s="312"/>
      <c r="AE46" s="312"/>
      <c r="AF46" s="312"/>
      <c r="AG46" s="312"/>
      <c r="AH46" s="312"/>
      <c r="AI46" s="312"/>
      <c r="AJ46" s="312"/>
      <c r="AK46" s="312"/>
      <c r="AL46" s="312"/>
    </row>
    <row r="47" spans="1:39" s="85" customFormat="1" x14ac:dyDescent="0.25">
      <c r="A47" s="86"/>
      <c r="B47" s="234" t="s">
        <v>441</v>
      </c>
      <c r="C47" s="238" t="s">
        <v>216</v>
      </c>
      <c r="D47" s="312"/>
      <c r="E47" s="312"/>
      <c r="F47" s="312"/>
      <c r="G47" s="312"/>
      <c r="H47" s="312"/>
      <c r="I47" s="312"/>
      <c r="J47" s="312"/>
      <c r="K47" s="312"/>
      <c r="L47" s="312"/>
      <c r="M47" s="312"/>
      <c r="N47" s="312"/>
      <c r="O47" s="312"/>
      <c r="P47" s="312"/>
      <c r="Q47" s="312"/>
      <c r="R47" s="312"/>
      <c r="S47" s="312"/>
      <c r="T47" s="312"/>
      <c r="U47" s="312"/>
      <c r="V47" s="312"/>
      <c r="W47" s="312"/>
      <c r="X47" s="312"/>
      <c r="Y47" s="312"/>
      <c r="Z47" s="312"/>
      <c r="AA47" s="312"/>
      <c r="AB47" s="312"/>
      <c r="AC47" s="312"/>
      <c r="AD47" s="312"/>
      <c r="AE47" s="312"/>
      <c r="AF47" s="312"/>
      <c r="AG47" s="312"/>
      <c r="AH47" s="312"/>
      <c r="AI47" s="312"/>
      <c r="AJ47" s="312"/>
      <c r="AK47" s="312"/>
      <c r="AL47" s="312"/>
    </row>
    <row r="48" spans="1:39" s="85" customFormat="1" x14ac:dyDescent="0.25">
      <c r="A48" s="86"/>
      <c r="B48" s="234" t="s">
        <v>440</v>
      </c>
      <c r="C48" s="238" t="s">
        <v>216</v>
      </c>
      <c r="D48" s="312"/>
      <c r="E48" s="312"/>
      <c r="F48" s="312"/>
      <c r="G48" s="312"/>
      <c r="H48" s="312"/>
      <c r="I48" s="312"/>
      <c r="J48" s="312"/>
      <c r="K48" s="312"/>
      <c r="L48" s="312"/>
      <c r="M48" s="312"/>
      <c r="N48" s="312"/>
      <c r="O48" s="312"/>
      <c r="P48" s="312"/>
      <c r="Q48" s="312"/>
      <c r="R48" s="312"/>
      <c r="S48" s="312"/>
      <c r="T48" s="312"/>
      <c r="U48" s="312"/>
      <c r="V48" s="312"/>
      <c r="W48" s="312"/>
      <c r="X48" s="312"/>
      <c r="Y48" s="312"/>
      <c r="Z48" s="312"/>
      <c r="AA48" s="312"/>
      <c r="AB48" s="312"/>
      <c r="AC48" s="312"/>
      <c r="AD48" s="312"/>
      <c r="AE48" s="312"/>
      <c r="AF48" s="312"/>
      <c r="AG48" s="312"/>
      <c r="AH48" s="312"/>
      <c r="AI48" s="312"/>
      <c r="AJ48" s="312"/>
      <c r="AK48" s="312"/>
      <c r="AL48" s="312"/>
    </row>
    <row r="49" spans="1:39" s="85" customFormat="1" x14ac:dyDescent="0.25">
      <c r="A49" s="86"/>
      <c r="B49" s="234" t="s">
        <v>438</v>
      </c>
      <c r="C49" s="238" t="s">
        <v>216</v>
      </c>
      <c r="D49" s="312"/>
      <c r="E49" s="312"/>
      <c r="F49" s="312"/>
      <c r="G49" s="312"/>
      <c r="H49" s="312"/>
      <c r="I49" s="312"/>
      <c r="J49" s="312"/>
      <c r="K49" s="312"/>
      <c r="L49" s="312"/>
      <c r="M49" s="312"/>
      <c r="N49" s="312"/>
      <c r="O49" s="312"/>
      <c r="P49" s="312"/>
      <c r="Q49" s="312"/>
      <c r="R49" s="312"/>
      <c r="S49" s="312"/>
      <c r="T49" s="312"/>
      <c r="U49" s="312"/>
      <c r="V49" s="312"/>
      <c r="W49" s="312"/>
      <c r="X49" s="312"/>
      <c r="Y49" s="312"/>
      <c r="Z49" s="312"/>
      <c r="AA49" s="312"/>
      <c r="AB49" s="312"/>
      <c r="AC49" s="312"/>
      <c r="AD49" s="312"/>
      <c r="AE49" s="312"/>
      <c r="AF49" s="312"/>
      <c r="AG49" s="312"/>
      <c r="AH49" s="312"/>
      <c r="AI49" s="312"/>
      <c r="AJ49" s="312"/>
      <c r="AK49" s="312"/>
      <c r="AL49" s="312"/>
    </row>
    <row r="50" spans="1:39" s="85" customFormat="1" x14ac:dyDescent="0.25">
      <c r="A50" s="86"/>
      <c r="B50" s="234" t="s">
        <v>439</v>
      </c>
      <c r="C50" s="238" t="s">
        <v>216</v>
      </c>
      <c r="D50" s="312"/>
      <c r="E50" s="312"/>
      <c r="F50" s="312"/>
      <c r="G50" s="312"/>
      <c r="H50" s="312"/>
      <c r="I50" s="312"/>
      <c r="J50" s="312"/>
      <c r="K50" s="312"/>
      <c r="L50" s="312"/>
      <c r="M50" s="312"/>
      <c r="N50" s="312"/>
      <c r="O50" s="312"/>
      <c r="P50" s="312"/>
      <c r="Q50" s="312"/>
      <c r="R50" s="312"/>
      <c r="S50" s="312"/>
      <c r="T50" s="312"/>
      <c r="U50" s="312"/>
      <c r="V50" s="312"/>
      <c r="W50" s="312"/>
      <c r="X50" s="312"/>
      <c r="Y50" s="312"/>
      <c r="Z50" s="312"/>
      <c r="AA50" s="312"/>
      <c r="AB50" s="312"/>
      <c r="AC50" s="312"/>
      <c r="AD50" s="312"/>
      <c r="AE50" s="312"/>
      <c r="AF50" s="312"/>
      <c r="AG50" s="312"/>
      <c r="AH50" s="312"/>
      <c r="AI50" s="312"/>
      <c r="AJ50" s="312"/>
      <c r="AK50" s="312"/>
      <c r="AL50" s="312"/>
    </row>
    <row r="51" spans="1:39" s="85" customFormat="1" x14ac:dyDescent="0.25">
      <c r="A51" s="86"/>
      <c r="B51" s="234" t="s">
        <v>437</v>
      </c>
      <c r="C51" s="238" t="s">
        <v>216</v>
      </c>
      <c r="D51" s="312"/>
      <c r="E51" s="312"/>
      <c r="F51" s="312"/>
      <c r="G51" s="312"/>
      <c r="H51" s="312"/>
      <c r="I51" s="312"/>
      <c r="J51" s="312"/>
      <c r="K51" s="312"/>
      <c r="L51" s="312"/>
      <c r="M51" s="312"/>
      <c r="N51" s="312"/>
      <c r="O51" s="312"/>
      <c r="P51" s="312"/>
      <c r="Q51" s="312"/>
      <c r="R51" s="312"/>
      <c r="S51" s="312"/>
      <c r="T51" s="312"/>
      <c r="U51" s="312"/>
      <c r="V51" s="312"/>
      <c r="W51" s="312"/>
      <c r="X51" s="312"/>
      <c r="Y51" s="312"/>
      <c r="Z51" s="312"/>
      <c r="AA51" s="312"/>
      <c r="AB51" s="312"/>
      <c r="AC51" s="312"/>
      <c r="AD51" s="312"/>
      <c r="AE51" s="312"/>
      <c r="AF51" s="312"/>
      <c r="AG51" s="312"/>
      <c r="AH51" s="312"/>
      <c r="AI51" s="312"/>
      <c r="AJ51" s="312"/>
      <c r="AK51" s="312"/>
      <c r="AL51" s="312"/>
    </row>
    <row r="52" spans="1:39" s="85" customFormat="1" x14ac:dyDescent="0.25">
      <c r="A52" s="86"/>
      <c r="B52" s="234"/>
      <c r="C52" s="238"/>
      <c r="D52" s="134"/>
      <c r="E52" s="134"/>
      <c r="F52" s="134"/>
      <c r="G52" s="134"/>
      <c r="H52" s="134"/>
      <c r="I52" s="134"/>
      <c r="J52" s="134"/>
      <c r="K52" s="134"/>
      <c r="L52" s="134"/>
      <c r="M52" s="134"/>
      <c r="N52" s="134"/>
      <c r="O52" s="134"/>
      <c r="P52" s="134"/>
      <c r="Q52" s="134"/>
      <c r="R52" s="134"/>
      <c r="S52" s="134"/>
      <c r="T52" s="134"/>
      <c r="U52" s="134"/>
      <c r="V52" s="134"/>
      <c r="W52" s="134"/>
      <c r="X52" s="134"/>
      <c r="Y52" s="134"/>
      <c r="Z52" s="134"/>
      <c r="AA52" s="134"/>
      <c r="AB52" s="134"/>
      <c r="AC52" s="134"/>
      <c r="AD52" s="134"/>
      <c r="AE52" s="134"/>
      <c r="AF52" s="134"/>
      <c r="AG52" s="134"/>
      <c r="AH52" s="134"/>
      <c r="AI52" s="134"/>
      <c r="AJ52" s="134"/>
      <c r="AK52" s="134"/>
      <c r="AL52" s="134"/>
    </row>
    <row r="53" spans="1:39" x14ac:dyDescent="0.25">
      <c r="A53" s="86"/>
      <c r="B53" s="234" t="s">
        <v>401</v>
      </c>
      <c r="C53" s="235" t="s">
        <v>222</v>
      </c>
      <c r="D53" s="245">
        <f>$F$68*D11</f>
        <v>0</v>
      </c>
      <c r="E53" s="245">
        <f t="shared" ref="E53:AL53" si="41">$F$68*E11</f>
        <v>0</v>
      </c>
      <c r="F53" s="245">
        <f t="shared" si="41"/>
        <v>0</v>
      </c>
      <c r="G53" s="245">
        <f t="shared" si="41"/>
        <v>0</v>
      </c>
      <c r="H53" s="245">
        <f t="shared" si="41"/>
        <v>0</v>
      </c>
      <c r="I53" s="245">
        <f t="shared" si="41"/>
        <v>0</v>
      </c>
      <c r="J53" s="245">
        <f t="shared" si="41"/>
        <v>0</v>
      </c>
      <c r="K53" s="245">
        <f t="shared" si="41"/>
        <v>0</v>
      </c>
      <c r="L53" s="245">
        <f t="shared" si="41"/>
        <v>0</v>
      </c>
      <c r="M53" s="245">
        <f t="shared" si="41"/>
        <v>0</v>
      </c>
      <c r="N53" s="245">
        <f t="shared" si="41"/>
        <v>0</v>
      </c>
      <c r="O53" s="245">
        <f t="shared" si="41"/>
        <v>0</v>
      </c>
      <c r="P53" s="245">
        <f t="shared" si="41"/>
        <v>0</v>
      </c>
      <c r="Q53" s="245">
        <f t="shared" si="41"/>
        <v>0</v>
      </c>
      <c r="R53" s="245">
        <f t="shared" si="41"/>
        <v>0</v>
      </c>
      <c r="S53" s="245">
        <f t="shared" si="41"/>
        <v>0</v>
      </c>
      <c r="T53" s="245">
        <f t="shared" si="41"/>
        <v>0</v>
      </c>
      <c r="U53" s="245">
        <f t="shared" si="41"/>
        <v>0</v>
      </c>
      <c r="V53" s="245">
        <f t="shared" si="41"/>
        <v>0</v>
      </c>
      <c r="W53" s="245">
        <f t="shared" si="41"/>
        <v>0</v>
      </c>
      <c r="X53" s="245">
        <f t="shared" si="41"/>
        <v>0</v>
      </c>
      <c r="Y53" s="245">
        <f t="shared" si="41"/>
        <v>0</v>
      </c>
      <c r="Z53" s="245">
        <f t="shared" si="41"/>
        <v>0</v>
      </c>
      <c r="AA53" s="245">
        <f t="shared" si="41"/>
        <v>0</v>
      </c>
      <c r="AB53" s="245">
        <f t="shared" si="41"/>
        <v>0</v>
      </c>
      <c r="AC53" s="245">
        <f t="shared" si="41"/>
        <v>0</v>
      </c>
      <c r="AD53" s="245">
        <f t="shared" si="41"/>
        <v>0</v>
      </c>
      <c r="AE53" s="245">
        <f t="shared" si="41"/>
        <v>0</v>
      </c>
      <c r="AF53" s="245">
        <f t="shared" si="41"/>
        <v>0</v>
      </c>
      <c r="AG53" s="245">
        <f t="shared" si="41"/>
        <v>0</v>
      </c>
      <c r="AH53" s="245">
        <f t="shared" si="41"/>
        <v>0</v>
      </c>
      <c r="AI53" s="245">
        <f t="shared" si="41"/>
        <v>0</v>
      </c>
      <c r="AJ53" s="245">
        <f t="shared" si="41"/>
        <v>0</v>
      </c>
      <c r="AK53" s="245">
        <f t="shared" si="41"/>
        <v>0</v>
      </c>
      <c r="AL53" s="245">
        <f t="shared" si="41"/>
        <v>0</v>
      </c>
    </row>
    <row r="54" spans="1:39" x14ac:dyDescent="0.25">
      <c r="A54" s="86"/>
      <c r="B54" s="234" t="s">
        <v>404</v>
      </c>
      <c r="C54" s="235" t="s">
        <v>222</v>
      </c>
      <c r="D54" s="245">
        <f t="shared" ref="D54:AL54" si="42">$F$98*D13</f>
        <v>0</v>
      </c>
      <c r="E54" s="245">
        <f t="shared" si="42"/>
        <v>0</v>
      </c>
      <c r="F54" s="245">
        <f t="shared" si="42"/>
        <v>0</v>
      </c>
      <c r="G54" s="245">
        <f t="shared" si="42"/>
        <v>0</v>
      </c>
      <c r="H54" s="245">
        <f t="shared" si="42"/>
        <v>0</v>
      </c>
      <c r="I54" s="245">
        <f t="shared" si="42"/>
        <v>0</v>
      </c>
      <c r="J54" s="245">
        <f t="shared" si="42"/>
        <v>0</v>
      </c>
      <c r="K54" s="245">
        <f t="shared" si="42"/>
        <v>0</v>
      </c>
      <c r="L54" s="245">
        <f t="shared" si="42"/>
        <v>0</v>
      </c>
      <c r="M54" s="245">
        <f t="shared" si="42"/>
        <v>0</v>
      </c>
      <c r="N54" s="245">
        <f t="shared" si="42"/>
        <v>0</v>
      </c>
      <c r="O54" s="245">
        <f t="shared" si="42"/>
        <v>0</v>
      </c>
      <c r="P54" s="245">
        <f t="shared" si="42"/>
        <v>0</v>
      </c>
      <c r="Q54" s="245">
        <f t="shared" si="42"/>
        <v>0</v>
      </c>
      <c r="R54" s="245">
        <f t="shared" si="42"/>
        <v>0</v>
      </c>
      <c r="S54" s="245">
        <f t="shared" si="42"/>
        <v>0</v>
      </c>
      <c r="T54" s="245">
        <f t="shared" si="42"/>
        <v>0</v>
      </c>
      <c r="U54" s="245">
        <f t="shared" si="42"/>
        <v>0</v>
      </c>
      <c r="V54" s="245">
        <f t="shared" si="42"/>
        <v>0</v>
      </c>
      <c r="W54" s="245">
        <f t="shared" si="42"/>
        <v>0</v>
      </c>
      <c r="X54" s="245">
        <f t="shared" si="42"/>
        <v>0</v>
      </c>
      <c r="Y54" s="245">
        <f t="shared" si="42"/>
        <v>0</v>
      </c>
      <c r="Z54" s="245">
        <f t="shared" si="42"/>
        <v>0</v>
      </c>
      <c r="AA54" s="245">
        <f t="shared" si="42"/>
        <v>0</v>
      </c>
      <c r="AB54" s="245">
        <f t="shared" si="42"/>
        <v>0</v>
      </c>
      <c r="AC54" s="245">
        <f t="shared" si="42"/>
        <v>0</v>
      </c>
      <c r="AD54" s="245">
        <f t="shared" si="42"/>
        <v>0</v>
      </c>
      <c r="AE54" s="245">
        <f t="shared" si="42"/>
        <v>0</v>
      </c>
      <c r="AF54" s="245">
        <f t="shared" si="42"/>
        <v>0</v>
      </c>
      <c r="AG54" s="245">
        <f t="shared" si="42"/>
        <v>0</v>
      </c>
      <c r="AH54" s="245">
        <f t="shared" si="42"/>
        <v>0</v>
      </c>
      <c r="AI54" s="245">
        <f t="shared" si="42"/>
        <v>0</v>
      </c>
      <c r="AJ54" s="245">
        <f t="shared" si="42"/>
        <v>0</v>
      </c>
      <c r="AK54" s="245">
        <f t="shared" si="42"/>
        <v>0</v>
      </c>
      <c r="AL54" s="245">
        <f t="shared" si="42"/>
        <v>0</v>
      </c>
    </row>
    <row r="55" spans="1:39" x14ac:dyDescent="0.25">
      <c r="A55" s="86"/>
      <c r="B55" s="234" t="s">
        <v>394</v>
      </c>
      <c r="C55" s="235" t="s">
        <v>222</v>
      </c>
      <c r="D55" s="245">
        <f t="shared" ref="D55:AL55" si="43">$F$124*D15</f>
        <v>0</v>
      </c>
      <c r="E55" s="245">
        <f t="shared" si="43"/>
        <v>0</v>
      </c>
      <c r="F55" s="245">
        <f t="shared" si="43"/>
        <v>0</v>
      </c>
      <c r="G55" s="245">
        <f t="shared" si="43"/>
        <v>0</v>
      </c>
      <c r="H55" s="245">
        <f t="shared" si="43"/>
        <v>0</v>
      </c>
      <c r="I55" s="245">
        <f t="shared" si="43"/>
        <v>0</v>
      </c>
      <c r="J55" s="245">
        <f t="shared" si="43"/>
        <v>0</v>
      </c>
      <c r="K55" s="245">
        <f t="shared" si="43"/>
        <v>0</v>
      </c>
      <c r="L55" s="245">
        <f t="shared" si="43"/>
        <v>0</v>
      </c>
      <c r="M55" s="245">
        <f t="shared" si="43"/>
        <v>0</v>
      </c>
      <c r="N55" s="245">
        <f t="shared" si="43"/>
        <v>0</v>
      </c>
      <c r="O55" s="245">
        <f t="shared" si="43"/>
        <v>0</v>
      </c>
      <c r="P55" s="245">
        <f t="shared" si="43"/>
        <v>0</v>
      </c>
      <c r="Q55" s="245">
        <f t="shared" si="43"/>
        <v>0</v>
      </c>
      <c r="R55" s="245">
        <f t="shared" si="43"/>
        <v>0</v>
      </c>
      <c r="S55" s="245">
        <f t="shared" si="43"/>
        <v>0</v>
      </c>
      <c r="T55" s="245">
        <f t="shared" si="43"/>
        <v>0</v>
      </c>
      <c r="U55" s="245">
        <f t="shared" si="43"/>
        <v>0</v>
      </c>
      <c r="V55" s="245">
        <f t="shared" si="43"/>
        <v>0</v>
      </c>
      <c r="W55" s="245">
        <f t="shared" si="43"/>
        <v>0</v>
      </c>
      <c r="X55" s="245">
        <f t="shared" si="43"/>
        <v>0</v>
      </c>
      <c r="Y55" s="245">
        <f t="shared" si="43"/>
        <v>0</v>
      </c>
      <c r="Z55" s="245">
        <f t="shared" si="43"/>
        <v>0</v>
      </c>
      <c r="AA55" s="245">
        <f t="shared" si="43"/>
        <v>0</v>
      </c>
      <c r="AB55" s="245">
        <f t="shared" si="43"/>
        <v>0</v>
      </c>
      <c r="AC55" s="245">
        <f t="shared" si="43"/>
        <v>0</v>
      </c>
      <c r="AD55" s="245">
        <f t="shared" si="43"/>
        <v>0</v>
      </c>
      <c r="AE55" s="245">
        <f t="shared" si="43"/>
        <v>0</v>
      </c>
      <c r="AF55" s="245">
        <f t="shared" si="43"/>
        <v>0</v>
      </c>
      <c r="AG55" s="245">
        <f t="shared" si="43"/>
        <v>0</v>
      </c>
      <c r="AH55" s="245">
        <f t="shared" si="43"/>
        <v>0</v>
      </c>
      <c r="AI55" s="245">
        <f t="shared" si="43"/>
        <v>0</v>
      </c>
      <c r="AJ55" s="245">
        <f t="shared" si="43"/>
        <v>0</v>
      </c>
      <c r="AK55" s="245">
        <f t="shared" si="43"/>
        <v>0</v>
      </c>
      <c r="AL55" s="245">
        <f t="shared" si="43"/>
        <v>0</v>
      </c>
    </row>
    <row r="56" spans="1:39" x14ac:dyDescent="0.25">
      <c r="A56" s="86"/>
      <c r="B56" s="234" t="s">
        <v>395</v>
      </c>
      <c r="C56" s="235" t="s">
        <v>222</v>
      </c>
      <c r="D56" s="245">
        <f t="shared" ref="D56:AL56" si="44">$F$152*D18</f>
        <v>0</v>
      </c>
      <c r="E56" s="245">
        <f t="shared" si="44"/>
        <v>0</v>
      </c>
      <c r="F56" s="245">
        <f t="shared" si="44"/>
        <v>0</v>
      </c>
      <c r="G56" s="245">
        <f t="shared" si="44"/>
        <v>0</v>
      </c>
      <c r="H56" s="245">
        <f t="shared" si="44"/>
        <v>0</v>
      </c>
      <c r="I56" s="245">
        <f t="shared" si="44"/>
        <v>0</v>
      </c>
      <c r="J56" s="245">
        <f t="shared" si="44"/>
        <v>0</v>
      </c>
      <c r="K56" s="245">
        <f t="shared" si="44"/>
        <v>0</v>
      </c>
      <c r="L56" s="245">
        <f t="shared" si="44"/>
        <v>0</v>
      </c>
      <c r="M56" s="245">
        <f t="shared" si="44"/>
        <v>0</v>
      </c>
      <c r="N56" s="245">
        <f t="shared" si="44"/>
        <v>0</v>
      </c>
      <c r="O56" s="245">
        <f t="shared" si="44"/>
        <v>0</v>
      </c>
      <c r="P56" s="245">
        <f t="shared" si="44"/>
        <v>0</v>
      </c>
      <c r="Q56" s="245">
        <f t="shared" si="44"/>
        <v>0</v>
      </c>
      <c r="R56" s="245">
        <f t="shared" si="44"/>
        <v>0</v>
      </c>
      <c r="S56" s="245">
        <f t="shared" si="44"/>
        <v>0</v>
      </c>
      <c r="T56" s="245">
        <f t="shared" si="44"/>
        <v>0</v>
      </c>
      <c r="U56" s="245">
        <f t="shared" si="44"/>
        <v>0</v>
      </c>
      <c r="V56" s="245">
        <f t="shared" si="44"/>
        <v>0</v>
      </c>
      <c r="W56" s="245">
        <f t="shared" si="44"/>
        <v>0</v>
      </c>
      <c r="X56" s="245">
        <f t="shared" si="44"/>
        <v>0</v>
      </c>
      <c r="Y56" s="245">
        <f t="shared" si="44"/>
        <v>0</v>
      </c>
      <c r="Z56" s="245">
        <f t="shared" si="44"/>
        <v>0</v>
      </c>
      <c r="AA56" s="245">
        <f t="shared" si="44"/>
        <v>0</v>
      </c>
      <c r="AB56" s="245">
        <f t="shared" si="44"/>
        <v>0</v>
      </c>
      <c r="AC56" s="245">
        <f t="shared" si="44"/>
        <v>0</v>
      </c>
      <c r="AD56" s="245">
        <f t="shared" si="44"/>
        <v>0</v>
      </c>
      <c r="AE56" s="245">
        <f t="shared" si="44"/>
        <v>0</v>
      </c>
      <c r="AF56" s="245">
        <f t="shared" si="44"/>
        <v>0</v>
      </c>
      <c r="AG56" s="245">
        <f t="shared" si="44"/>
        <v>0</v>
      </c>
      <c r="AH56" s="245">
        <f t="shared" si="44"/>
        <v>0</v>
      </c>
      <c r="AI56" s="245">
        <f t="shared" si="44"/>
        <v>0</v>
      </c>
      <c r="AJ56" s="245">
        <f t="shared" si="44"/>
        <v>0</v>
      </c>
      <c r="AK56" s="245">
        <f t="shared" si="44"/>
        <v>0</v>
      </c>
      <c r="AL56" s="245">
        <f t="shared" si="44"/>
        <v>0</v>
      </c>
    </row>
    <row r="57" spans="1:39" x14ac:dyDescent="0.25">
      <c r="A57" s="86"/>
      <c r="B57" s="234" t="s">
        <v>410</v>
      </c>
      <c r="C57" s="235" t="s">
        <v>222</v>
      </c>
      <c r="D57" s="245">
        <f>$F$179*(D21)</f>
        <v>0</v>
      </c>
      <c r="E57" s="245">
        <f t="shared" ref="E57:AL57" si="45">$F$179*(E21)</f>
        <v>0</v>
      </c>
      <c r="F57" s="245">
        <f t="shared" si="45"/>
        <v>0</v>
      </c>
      <c r="G57" s="245">
        <f t="shared" si="45"/>
        <v>0</v>
      </c>
      <c r="H57" s="245">
        <f t="shared" si="45"/>
        <v>0</v>
      </c>
      <c r="I57" s="245">
        <f t="shared" si="45"/>
        <v>0</v>
      </c>
      <c r="J57" s="245">
        <f t="shared" si="45"/>
        <v>0</v>
      </c>
      <c r="K57" s="245">
        <f t="shared" si="45"/>
        <v>0</v>
      </c>
      <c r="L57" s="245">
        <f t="shared" si="45"/>
        <v>0</v>
      </c>
      <c r="M57" s="245">
        <f t="shared" si="45"/>
        <v>0</v>
      </c>
      <c r="N57" s="245">
        <f t="shared" si="45"/>
        <v>0</v>
      </c>
      <c r="O57" s="245">
        <f t="shared" si="45"/>
        <v>0</v>
      </c>
      <c r="P57" s="245">
        <f t="shared" si="45"/>
        <v>0</v>
      </c>
      <c r="Q57" s="245">
        <f t="shared" si="45"/>
        <v>0</v>
      </c>
      <c r="R57" s="245">
        <f t="shared" si="45"/>
        <v>0</v>
      </c>
      <c r="S57" s="245">
        <f t="shared" si="45"/>
        <v>0</v>
      </c>
      <c r="T57" s="245">
        <f t="shared" si="45"/>
        <v>0</v>
      </c>
      <c r="U57" s="245">
        <f t="shared" si="45"/>
        <v>0</v>
      </c>
      <c r="V57" s="245">
        <f t="shared" si="45"/>
        <v>0</v>
      </c>
      <c r="W57" s="245">
        <f t="shared" si="45"/>
        <v>0</v>
      </c>
      <c r="X57" s="245">
        <f t="shared" si="45"/>
        <v>0</v>
      </c>
      <c r="Y57" s="245">
        <f t="shared" si="45"/>
        <v>0</v>
      </c>
      <c r="Z57" s="245">
        <f t="shared" si="45"/>
        <v>0</v>
      </c>
      <c r="AA57" s="245">
        <f t="shared" si="45"/>
        <v>0</v>
      </c>
      <c r="AB57" s="245">
        <f t="shared" si="45"/>
        <v>0</v>
      </c>
      <c r="AC57" s="245">
        <f t="shared" si="45"/>
        <v>0</v>
      </c>
      <c r="AD57" s="245">
        <f t="shared" si="45"/>
        <v>0</v>
      </c>
      <c r="AE57" s="245">
        <f t="shared" si="45"/>
        <v>0</v>
      </c>
      <c r="AF57" s="245">
        <f t="shared" si="45"/>
        <v>0</v>
      </c>
      <c r="AG57" s="245">
        <f t="shared" si="45"/>
        <v>0</v>
      </c>
      <c r="AH57" s="245">
        <f t="shared" si="45"/>
        <v>0</v>
      </c>
      <c r="AI57" s="245">
        <f t="shared" si="45"/>
        <v>0</v>
      </c>
      <c r="AJ57" s="245">
        <f t="shared" si="45"/>
        <v>0</v>
      </c>
      <c r="AK57" s="245">
        <f t="shared" si="45"/>
        <v>0</v>
      </c>
      <c r="AL57" s="245">
        <f t="shared" si="45"/>
        <v>0</v>
      </c>
    </row>
    <row r="58" spans="1:39" x14ac:dyDescent="0.25">
      <c r="A58" s="86"/>
      <c r="B58" s="234" t="s">
        <v>402</v>
      </c>
      <c r="C58" s="235" t="s">
        <v>222</v>
      </c>
      <c r="D58" s="245">
        <f>$F$204*D24</f>
        <v>0</v>
      </c>
      <c r="E58" s="245">
        <f t="shared" ref="E58:AL58" si="46">$F$204*E24</f>
        <v>0</v>
      </c>
      <c r="F58" s="245">
        <f t="shared" si="46"/>
        <v>0</v>
      </c>
      <c r="G58" s="245">
        <f t="shared" si="46"/>
        <v>0</v>
      </c>
      <c r="H58" s="245">
        <f t="shared" si="46"/>
        <v>0</v>
      </c>
      <c r="I58" s="245">
        <f t="shared" si="46"/>
        <v>0</v>
      </c>
      <c r="J58" s="245">
        <f t="shared" si="46"/>
        <v>0</v>
      </c>
      <c r="K58" s="245">
        <f t="shared" si="46"/>
        <v>0</v>
      </c>
      <c r="L58" s="245">
        <f t="shared" si="46"/>
        <v>0</v>
      </c>
      <c r="M58" s="245">
        <f t="shared" si="46"/>
        <v>0</v>
      </c>
      <c r="N58" s="245">
        <f t="shared" si="46"/>
        <v>0</v>
      </c>
      <c r="O58" s="245">
        <f t="shared" si="46"/>
        <v>0</v>
      </c>
      <c r="P58" s="245">
        <f t="shared" si="46"/>
        <v>0</v>
      </c>
      <c r="Q58" s="245">
        <f t="shared" si="46"/>
        <v>0</v>
      </c>
      <c r="R58" s="245">
        <f t="shared" si="46"/>
        <v>0</v>
      </c>
      <c r="S58" s="245">
        <f t="shared" si="46"/>
        <v>0</v>
      </c>
      <c r="T58" s="245">
        <f t="shared" si="46"/>
        <v>0</v>
      </c>
      <c r="U58" s="245">
        <f t="shared" si="46"/>
        <v>0</v>
      </c>
      <c r="V58" s="245">
        <f t="shared" si="46"/>
        <v>0</v>
      </c>
      <c r="W58" s="245">
        <f t="shared" si="46"/>
        <v>0</v>
      </c>
      <c r="X58" s="245">
        <f t="shared" si="46"/>
        <v>0</v>
      </c>
      <c r="Y58" s="245">
        <f t="shared" si="46"/>
        <v>0</v>
      </c>
      <c r="Z58" s="245">
        <f t="shared" si="46"/>
        <v>0</v>
      </c>
      <c r="AA58" s="245">
        <f t="shared" si="46"/>
        <v>0</v>
      </c>
      <c r="AB58" s="245">
        <f t="shared" si="46"/>
        <v>0</v>
      </c>
      <c r="AC58" s="245">
        <f t="shared" si="46"/>
        <v>0</v>
      </c>
      <c r="AD58" s="245">
        <f t="shared" si="46"/>
        <v>0</v>
      </c>
      <c r="AE58" s="245">
        <f t="shared" si="46"/>
        <v>0</v>
      </c>
      <c r="AF58" s="245">
        <f t="shared" si="46"/>
        <v>0</v>
      </c>
      <c r="AG58" s="245">
        <f t="shared" si="46"/>
        <v>0</v>
      </c>
      <c r="AH58" s="245">
        <f t="shared" si="46"/>
        <v>0</v>
      </c>
      <c r="AI58" s="245">
        <f t="shared" si="46"/>
        <v>0</v>
      </c>
      <c r="AJ58" s="245">
        <f t="shared" si="46"/>
        <v>0</v>
      </c>
      <c r="AK58" s="245">
        <f t="shared" si="46"/>
        <v>0</v>
      </c>
      <c r="AL58" s="245">
        <f t="shared" si="46"/>
        <v>0</v>
      </c>
    </row>
    <row r="59" spans="1:39" x14ac:dyDescent="0.25">
      <c r="A59" s="86"/>
      <c r="B59" s="234" t="s">
        <v>405</v>
      </c>
      <c r="C59" s="235" t="s">
        <v>222</v>
      </c>
      <c r="D59" s="245">
        <f>$F$228*D26</f>
        <v>0</v>
      </c>
      <c r="E59" s="245">
        <f t="shared" ref="E59:AL59" si="47">$F$228*E26</f>
        <v>0</v>
      </c>
      <c r="F59" s="245">
        <f t="shared" si="47"/>
        <v>0</v>
      </c>
      <c r="G59" s="245">
        <f t="shared" si="47"/>
        <v>0</v>
      </c>
      <c r="H59" s="245">
        <f t="shared" si="47"/>
        <v>0</v>
      </c>
      <c r="I59" s="245">
        <f t="shared" si="47"/>
        <v>0</v>
      </c>
      <c r="J59" s="245">
        <f t="shared" si="47"/>
        <v>0</v>
      </c>
      <c r="K59" s="245">
        <f t="shared" si="47"/>
        <v>0</v>
      </c>
      <c r="L59" s="245">
        <f t="shared" si="47"/>
        <v>0</v>
      </c>
      <c r="M59" s="245">
        <f t="shared" si="47"/>
        <v>0</v>
      </c>
      <c r="N59" s="245">
        <f t="shared" si="47"/>
        <v>0</v>
      </c>
      <c r="O59" s="245">
        <f t="shared" si="47"/>
        <v>0</v>
      </c>
      <c r="P59" s="245">
        <f t="shared" si="47"/>
        <v>0</v>
      </c>
      <c r="Q59" s="245">
        <f t="shared" si="47"/>
        <v>0</v>
      </c>
      <c r="R59" s="245">
        <f t="shared" si="47"/>
        <v>0</v>
      </c>
      <c r="S59" s="245">
        <f t="shared" si="47"/>
        <v>0</v>
      </c>
      <c r="T59" s="245">
        <f t="shared" si="47"/>
        <v>0</v>
      </c>
      <c r="U59" s="245">
        <f t="shared" si="47"/>
        <v>0</v>
      </c>
      <c r="V59" s="245">
        <f t="shared" si="47"/>
        <v>0</v>
      </c>
      <c r="W59" s="245">
        <f t="shared" si="47"/>
        <v>0</v>
      </c>
      <c r="X59" s="245">
        <f t="shared" si="47"/>
        <v>0</v>
      </c>
      <c r="Y59" s="245">
        <f t="shared" si="47"/>
        <v>0</v>
      </c>
      <c r="Z59" s="245">
        <f t="shared" si="47"/>
        <v>0</v>
      </c>
      <c r="AA59" s="245">
        <f t="shared" si="47"/>
        <v>0</v>
      </c>
      <c r="AB59" s="245">
        <f t="shared" si="47"/>
        <v>0</v>
      </c>
      <c r="AC59" s="245">
        <f t="shared" si="47"/>
        <v>0</v>
      </c>
      <c r="AD59" s="245">
        <f t="shared" si="47"/>
        <v>0</v>
      </c>
      <c r="AE59" s="245">
        <f t="shared" si="47"/>
        <v>0</v>
      </c>
      <c r="AF59" s="245">
        <f t="shared" si="47"/>
        <v>0</v>
      </c>
      <c r="AG59" s="245">
        <f t="shared" si="47"/>
        <v>0</v>
      </c>
      <c r="AH59" s="245">
        <f t="shared" si="47"/>
        <v>0</v>
      </c>
      <c r="AI59" s="245">
        <f t="shared" si="47"/>
        <v>0</v>
      </c>
      <c r="AJ59" s="245">
        <f t="shared" si="47"/>
        <v>0</v>
      </c>
      <c r="AK59" s="245">
        <f t="shared" si="47"/>
        <v>0</v>
      </c>
      <c r="AL59" s="245">
        <f t="shared" si="47"/>
        <v>0</v>
      </c>
    </row>
    <row r="60" spans="1:39" x14ac:dyDescent="0.25">
      <c r="A60" s="86"/>
      <c r="B60" s="234" t="s">
        <v>398</v>
      </c>
      <c r="C60" s="235" t="s">
        <v>222</v>
      </c>
      <c r="D60" s="245">
        <f>$F$252*D28</f>
        <v>0</v>
      </c>
      <c r="E60" s="245">
        <f t="shared" ref="E60:AL60" si="48">$F$252*E28</f>
        <v>0</v>
      </c>
      <c r="F60" s="245">
        <f t="shared" si="48"/>
        <v>0</v>
      </c>
      <c r="G60" s="245">
        <f t="shared" si="48"/>
        <v>0</v>
      </c>
      <c r="H60" s="245">
        <f t="shared" si="48"/>
        <v>0</v>
      </c>
      <c r="I60" s="245">
        <f t="shared" si="48"/>
        <v>0</v>
      </c>
      <c r="J60" s="245">
        <f t="shared" si="48"/>
        <v>0</v>
      </c>
      <c r="K60" s="245">
        <f t="shared" si="48"/>
        <v>0</v>
      </c>
      <c r="L60" s="245">
        <f t="shared" si="48"/>
        <v>0</v>
      </c>
      <c r="M60" s="245">
        <f t="shared" si="48"/>
        <v>0</v>
      </c>
      <c r="N60" s="245">
        <f t="shared" si="48"/>
        <v>0</v>
      </c>
      <c r="O60" s="245">
        <f t="shared" si="48"/>
        <v>0</v>
      </c>
      <c r="P60" s="245">
        <f t="shared" si="48"/>
        <v>0</v>
      </c>
      <c r="Q60" s="245">
        <f t="shared" si="48"/>
        <v>0</v>
      </c>
      <c r="R60" s="245">
        <f t="shared" si="48"/>
        <v>0</v>
      </c>
      <c r="S60" s="245">
        <f t="shared" si="48"/>
        <v>0</v>
      </c>
      <c r="T60" s="245">
        <f t="shared" si="48"/>
        <v>0</v>
      </c>
      <c r="U60" s="245">
        <f t="shared" si="48"/>
        <v>0</v>
      </c>
      <c r="V60" s="245">
        <f t="shared" si="48"/>
        <v>0</v>
      </c>
      <c r="W60" s="245">
        <f t="shared" si="48"/>
        <v>0</v>
      </c>
      <c r="X60" s="245">
        <f t="shared" si="48"/>
        <v>0</v>
      </c>
      <c r="Y60" s="245">
        <f t="shared" si="48"/>
        <v>0</v>
      </c>
      <c r="Z60" s="245">
        <f t="shared" si="48"/>
        <v>0</v>
      </c>
      <c r="AA60" s="245">
        <f t="shared" si="48"/>
        <v>0</v>
      </c>
      <c r="AB60" s="245">
        <f t="shared" si="48"/>
        <v>0</v>
      </c>
      <c r="AC60" s="245">
        <f t="shared" si="48"/>
        <v>0</v>
      </c>
      <c r="AD60" s="245">
        <f t="shared" si="48"/>
        <v>0</v>
      </c>
      <c r="AE60" s="245">
        <f t="shared" si="48"/>
        <v>0</v>
      </c>
      <c r="AF60" s="245">
        <f t="shared" si="48"/>
        <v>0</v>
      </c>
      <c r="AG60" s="245">
        <f t="shared" si="48"/>
        <v>0</v>
      </c>
      <c r="AH60" s="245">
        <f t="shared" si="48"/>
        <v>0</v>
      </c>
      <c r="AI60" s="245">
        <f t="shared" si="48"/>
        <v>0</v>
      </c>
      <c r="AJ60" s="245">
        <f t="shared" si="48"/>
        <v>0</v>
      </c>
      <c r="AK60" s="245">
        <f t="shared" si="48"/>
        <v>0</v>
      </c>
      <c r="AL60" s="245">
        <f t="shared" si="48"/>
        <v>0</v>
      </c>
    </row>
    <row r="61" spans="1:39" x14ac:dyDescent="0.25">
      <c r="A61" s="86"/>
      <c r="B61" s="234" t="s">
        <v>400</v>
      </c>
      <c r="C61" s="235" t="s">
        <v>222</v>
      </c>
      <c r="D61" s="245">
        <f>$F$274*D31</f>
        <v>0</v>
      </c>
      <c r="E61" s="245">
        <f t="shared" ref="E61:AL61" si="49">$F$274*E31</f>
        <v>0</v>
      </c>
      <c r="F61" s="245">
        <f t="shared" si="49"/>
        <v>0</v>
      </c>
      <c r="G61" s="245">
        <f t="shared" si="49"/>
        <v>0</v>
      </c>
      <c r="H61" s="245">
        <f t="shared" si="49"/>
        <v>0</v>
      </c>
      <c r="I61" s="245">
        <f t="shared" si="49"/>
        <v>0</v>
      </c>
      <c r="J61" s="245">
        <f t="shared" si="49"/>
        <v>0</v>
      </c>
      <c r="K61" s="245">
        <f t="shared" si="49"/>
        <v>0</v>
      </c>
      <c r="L61" s="245">
        <f t="shared" si="49"/>
        <v>0</v>
      </c>
      <c r="M61" s="245">
        <f t="shared" si="49"/>
        <v>0</v>
      </c>
      <c r="N61" s="245">
        <f t="shared" si="49"/>
        <v>0</v>
      </c>
      <c r="O61" s="245">
        <f t="shared" si="49"/>
        <v>0</v>
      </c>
      <c r="P61" s="245">
        <f t="shared" si="49"/>
        <v>0</v>
      </c>
      <c r="Q61" s="245">
        <f t="shared" si="49"/>
        <v>0</v>
      </c>
      <c r="R61" s="245">
        <f t="shared" si="49"/>
        <v>0</v>
      </c>
      <c r="S61" s="245">
        <f t="shared" si="49"/>
        <v>0</v>
      </c>
      <c r="T61" s="245">
        <f t="shared" si="49"/>
        <v>0</v>
      </c>
      <c r="U61" s="245">
        <f t="shared" si="49"/>
        <v>0</v>
      </c>
      <c r="V61" s="245">
        <f t="shared" si="49"/>
        <v>0</v>
      </c>
      <c r="W61" s="245">
        <f t="shared" si="49"/>
        <v>0</v>
      </c>
      <c r="X61" s="245">
        <f t="shared" si="49"/>
        <v>0</v>
      </c>
      <c r="Y61" s="245">
        <f t="shared" si="49"/>
        <v>0</v>
      </c>
      <c r="Z61" s="245">
        <f t="shared" si="49"/>
        <v>0</v>
      </c>
      <c r="AA61" s="245">
        <f t="shared" si="49"/>
        <v>0</v>
      </c>
      <c r="AB61" s="245">
        <f t="shared" si="49"/>
        <v>0</v>
      </c>
      <c r="AC61" s="245">
        <f t="shared" si="49"/>
        <v>0</v>
      </c>
      <c r="AD61" s="245">
        <f t="shared" si="49"/>
        <v>0</v>
      </c>
      <c r="AE61" s="245">
        <f t="shared" si="49"/>
        <v>0</v>
      </c>
      <c r="AF61" s="245">
        <f t="shared" si="49"/>
        <v>0</v>
      </c>
      <c r="AG61" s="245">
        <f t="shared" si="49"/>
        <v>0</v>
      </c>
      <c r="AH61" s="245">
        <f t="shared" si="49"/>
        <v>0</v>
      </c>
      <c r="AI61" s="245">
        <f t="shared" si="49"/>
        <v>0</v>
      </c>
      <c r="AJ61" s="245">
        <f t="shared" si="49"/>
        <v>0</v>
      </c>
      <c r="AK61" s="245">
        <f t="shared" si="49"/>
        <v>0</v>
      </c>
      <c r="AL61" s="245">
        <f t="shared" si="49"/>
        <v>0</v>
      </c>
    </row>
    <row r="62" spans="1:39" x14ac:dyDescent="0.25">
      <c r="A62" s="86"/>
      <c r="B62" s="234" t="s">
        <v>409</v>
      </c>
      <c r="C62" s="235" t="s">
        <v>222</v>
      </c>
      <c r="D62" s="245">
        <f>$F$179*(D33)</f>
        <v>0</v>
      </c>
      <c r="E62" s="245">
        <f t="shared" ref="E62:AL62" si="50">$F$179*(E33)</f>
        <v>0</v>
      </c>
      <c r="F62" s="245">
        <f t="shared" si="50"/>
        <v>0</v>
      </c>
      <c r="G62" s="245">
        <f t="shared" si="50"/>
        <v>0</v>
      </c>
      <c r="H62" s="245">
        <f t="shared" si="50"/>
        <v>0</v>
      </c>
      <c r="I62" s="245">
        <f t="shared" si="50"/>
        <v>0</v>
      </c>
      <c r="J62" s="245">
        <f t="shared" si="50"/>
        <v>0</v>
      </c>
      <c r="K62" s="245">
        <f t="shared" si="50"/>
        <v>0</v>
      </c>
      <c r="L62" s="245">
        <f t="shared" si="50"/>
        <v>0</v>
      </c>
      <c r="M62" s="245">
        <f t="shared" si="50"/>
        <v>0</v>
      </c>
      <c r="N62" s="245">
        <f t="shared" si="50"/>
        <v>0</v>
      </c>
      <c r="O62" s="245">
        <f t="shared" si="50"/>
        <v>0</v>
      </c>
      <c r="P62" s="245">
        <f t="shared" si="50"/>
        <v>0</v>
      </c>
      <c r="Q62" s="245">
        <f t="shared" si="50"/>
        <v>0</v>
      </c>
      <c r="R62" s="245">
        <f t="shared" si="50"/>
        <v>0</v>
      </c>
      <c r="S62" s="245">
        <f t="shared" si="50"/>
        <v>0</v>
      </c>
      <c r="T62" s="245">
        <f t="shared" si="50"/>
        <v>0</v>
      </c>
      <c r="U62" s="245">
        <f t="shared" si="50"/>
        <v>0</v>
      </c>
      <c r="V62" s="245">
        <f t="shared" si="50"/>
        <v>0</v>
      </c>
      <c r="W62" s="245">
        <f t="shared" si="50"/>
        <v>0</v>
      </c>
      <c r="X62" s="245">
        <f t="shared" si="50"/>
        <v>0</v>
      </c>
      <c r="Y62" s="245">
        <f t="shared" si="50"/>
        <v>0</v>
      </c>
      <c r="Z62" s="245">
        <f t="shared" si="50"/>
        <v>0</v>
      </c>
      <c r="AA62" s="245">
        <f t="shared" si="50"/>
        <v>0</v>
      </c>
      <c r="AB62" s="245">
        <f t="shared" si="50"/>
        <v>0</v>
      </c>
      <c r="AC62" s="245">
        <f t="shared" si="50"/>
        <v>0</v>
      </c>
      <c r="AD62" s="245">
        <f t="shared" si="50"/>
        <v>0</v>
      </c>
      <c r="AE62" s="245">
        <f t="shared" si="50"/>
        <v>0</v>
      </c>
      <c r="AF62" s="245">
        <f t="shared" si="50"/>
        <v>0</v>
      </c>
      <c r="AG62" s="245">
        <f t="shared" si="50"/>
        <v>0</v>
      </c>
      <c r="AH62" s="245">
        <f t="shared" si="50"/>
        <v>0</v>
      </c>
      <c r="AI62" s="245">
        <f t="shared" si="50"/>
        <v>0</v>
      </c>
      <c r="AJ62" s="245">
        <f t="shared" si="50"/>
        <v>0</v>
      </c>
      <c r="AK62" s="245">
        <f t="shared" si="50"/>
        <v>0</v>
      </c>
      <c r="AL62" s="245">
        <f t="shared" si="50"/>
        <v>0</v>
      </c>
    </row>
    <row r="63" spans="1:39" s="46" customFormat="1" x14ac:dyDescent="0.25">
      <c r="B63" s="239" t="s">
        <v>403</v>
      </c>
      <c r="C63" s="240"/>
      <c r="D63" s="755">
        <f>SUM(D53:D62)</f>
        <v>0</v>
      </c>
      <c r="E63" s="755">
        <f t="shared" ref="E63:AG63" si="51">SUM(E53:E62)</f>
        <v>0</v>
      </c>
      <c r="F63" s="755">
        <f t="shared" si="51"/>
        <v>0</v>
      </c>
      <c r="G63" s="755">
        <f t="shared" si="51"/>
        <v>0</v>
      </c>
      <c r="H63" s="755">
        <f t="shared" si="51"/>
        <v>0</v>
      </c>
      <c r="I63" s="755">
        <f t="shared" si="51"/>
        <v>0</v>
      </c>
      <c r="J63" s="755">
        <f t="shared" si="51"/>
        <v>0</v>
      </c>
      <c r="K63" s="755">
        <f t="shared" si="51"/>
        <v>0</v>
      </c>
      <c r="L63" s="755">
        <f t="shared" si="51"/>
        <v>0</v>
      </c>
      <c r="M63" s="755">
        <f t="shared" si="51"/>
        <v>0</v>
      </c>
      <c r="N63" s="755">
        <f t="shared" si="51"/>
        <v>0</v>
      </c>
      <c r="O63" s="755">
        <f t="shared" si="51"/>
        <v>0</v>
      </c>
      <c r="P63" s="755">
        <f t="shared" si="51"/>
        <v>0</v>
      </c>
      <c r="Q63" s="755">
        <f t="shared" si="51"/>
        <v>0</v>
      </c>
      <c r="R63" s="755">
        <f t="shared" si="51"/>
        <v>0</v>
      </c>
      <c r="S63" s="755">
        <f t="shared" si="51"/>
        <v>0</v>
      </c>
      <c r="T63" s="755">
        <f t="shared" si="51"/>
        <v>0</v>
      </c>
      <c r="U63" s="755">
        <f t="shared" si="51"/>
        <v>0</v>
      </c>
      <c r="V63" s="755">
        <f t="shared" si="51"/>
        <v>0</v>
      </c>
      <c r="W63" s="755">
        <f t="shared" si="51"/>
        <v>0</v>
      </c>
      <c r="X63" s="755">
        <f t="shared" si="51"/>
        <v>0</v>
      </c>
      <c r="Y63" s="755">
        <f t="shared" si="51"/>
        <v>0</v>
      </c>
      <c r="Z63" s="755">
        <f t="shared" si="51"/>
        <v>0</v>
      </c>
      <c r="AA63" s="755">
        <f t="shared" si="51"/>
        <v>0</v>
      </c>
      <c r="AB63" s="755">
        <f t="shared" si="51"/>
        <v>0</v>
      </c>
      <c r="AC63" s="755">
        <f t="shared" si="51"/>
        <v>0</v>
      </c>
      <c r="AD63" s="755">
        <f t="shared" si="51"/>
        <v>0</v>
      </c>
      <c r="AE63" s="755">
        <f t="shared" si="51"/>
        <v>0</v>
      </c>
      <c r="AF63" s="755">
        <f t="shared" si="51"/>
        <v>0</v>
      </c>
      <c r="AG63" s="755">
        <f t="shared" si="51"/>
        <v>0</v>
      </c>
      <c r="AH63" s="755">
        <f t="shared" ref="AH63:AL63" si="52">SUM(AH53:AH62)</f>
        <v>0</v>
      </c>
      <c r="AI63" s="755">
        <f t="shared" si="52"/>
        <v>0</v>
      </c>
      <c r="AJ63" s="755">
        <f t="shared" si="52"/>
        <v>0</v>
      </c>
      <c r="AK63" s="755">
        <f t="shared" si="52"/>
        <v>0</v>
      </c>
      <c r="AL63" s="755">
        <f t="shared" si="52"/>
        <v>0</v>
      </c>
      <c r="AM63" s="23"/>
    </row>
    <row r="66" spans="2:10" x14ac:dyDescent="0.25">
      <c r="B66" t="s">
        <v>1386</v>
      </c>
    </row>
    <row r="67" spans="2:10" ht="15.75" thickBot="1" x14ac:dyDescent="0.3"/>
    <row r="68" spans="2:10" s="384" customFormat="1" x14ac:dyDescent="0.25">
      <c r="B68" s="385" t="s">
        <v>592</v>
      </c>
      <c r="C68" s="1144" t="s">
        <v>567</v>
      </c>
      <c r="D68" s="1144"/>
      <c r="E68" s="721" t="s">
        <v>568</v>
      </c>
      <c r="F68" s="722">
        <f>ROUND(F74+F84+F96,2)</f>
        <v>0</v>
      </c>
      <c r="G68"/>
      <c r="H68"/>
      <c r="I68"/>
      <c r="J68"/>
    </row>
    <row r="69" spans="2:10" s="384" customFormat="1" x14ac:dyDescent="0.25">
      <c r="B69" s="386" t="s">
        <v>569</v>
      </c>
      <c r="C69" s="387" t="s">
        <v>570</v>
      </c>
      <c r="D69" s="387" t="s">
        <v>216</v>
      </c>
      <c r="E69" s="388" t="s">
        <v>571</v>
      </c>
      <c r="F69" s="380" t="s">
        <v>572</v>
      </c>
      <c r="G69"/>
      <c r="H69"/>
      <c r="I69"/>
      <c r="J69"/>
    </row>
    <row r="70" spans="2:10" s="384" customFormat="1" ht="25.5" x14ac:dyDescent="0.25">
      <c r="B70" s="389" t="s">
        <v>574</v>
      </c>
      <c r="C70" s="390"/>
      <c r="D70" s="391" t="s">
        <v>573</v>
      </c>
      <c r="E70" s="392"/>
      <c r="F70" s="381">
        <f t="shared" ref="F70:F71" si="53">ROUND(C70*E70,2)</f>
        <v>0</v>
      </c>
      <c r="G70"/>
      <c r="H70"/>
      <c r="I70"/>
      <c r="J70"/>
    </row>
    <row r="71" spans="2:10" s="384" customFormat="1" x14ac:dyDescent="0.25">
      <c r="B71" s="389" t="s">
        <v>575</v>
      </c>
      <c r="C71" s="390"/>
      <c r="D71" s="391" t="s">
        <v>576</v>
      </c>
      <c r="E71" s="392"/>
      <c r="F71" s="381">
        <f t="shared" si="53"/>
        <v>0</v>
      </c>
      <c r="G71"/>
      <c r="H71"/>
      <c r="I71"/>
      <c r="J71"/>
    </row>
    <row r="72" spans="2:10" s="384" customFormat="1" ht="13.15" customHeight="1" x14ac:dyDescent="0.25">
      <c r="B72" s="715" t="s">
        <v>591</v>
      </c>
      <c r="C72" s="716">
        <v>1.3295999999999999</v>
      </c>
      <c r="D72" s="391"/>
      <c r="E72" s="393"/>
      <c r="F72" s="723">
        <f>ROUND(SUM(F70:F71)*C72,2)</f>
        <v>0</v>
      </c>
      <c r="G72"/>
      <c r="H72"/>
      <c r="I72"/>
      <c r="J72"/>
    </row>
    <row r="73" spans="2:10" s="384" customFormat="1" x14ac:dyDescent="0.25">
      <c r="B73" s="715" t="s">
        <v>577</v>
      </c>
      <c r="C73" s="716">
        <v>0.22500000000000001</v>
      </c>
      <c r="D73" s="394"/>
      <c r="E73" s="393"/>
      <c r="F73" s="723">
        <f>ROUND(SUM(F70:F72)*C73,2)</f>
        <v>0</v>
      </c>
      <c r="G73"/>
      <c r="H73"/>
      <c r="I73"/>
      <c r="J73"/>
    </row>
    <row r="74" spans="2:10" s="384" customFormat="1" x14ac:dyDescent="0.25">
      <c r="B74" s="717" t="s">
        <v>578</v>
      </c>
      <c r="C74" s="395"/>
      <c r="D74" s="718"/>
      <c r="E74" s="719"/>
      <c r="F74" s="720">
        <f>ROUND(SUM(F70:F73),2)</f>
        <v>0</v>
      </c>
      <c r="G74"/>
      <c r="H74"/>
      <c r="I74"/>
      <c r="J74"/>
    </row>
    <row r="75" spans="2:10" s="384" customFormat="1" x14ac:dyDescent="0.25">
      <c r="B75" s="386" t="s">
        <v>579</v>
      </c>
      <c r="C75" s="387" t="s">
        <v>570</v>
      </c>
      <c r="D75" s="387" t="s">
        <v>216</v>
      </c>
      <c r="E75" s="388" t="s">
        <v>571</v>
      </c>
      <c r="F75" s="380" t="s">
        <v>572</v>
      </c>
      <c r="G75"/>
      <c r="H75"/>
      <c r="I75"/>
      <c r="J75"/>
    </row>
    <row r="76" spans="2:10" s="384" customFormat="1" ht="25.5" x14ac:dyDescent="0.25">
      <c r="B76" s="389" t="s">
        <v>580</v>
      </c>
      <c r="C76" s="390"/>
      <c r="D76" s="391" t="s">
        <v>581</v>
      </c>
      <c r="E76" s="392"/>
      <c r="F76" s="381">
        <f t="shared" ref="F76:F82" si="54">ROUND(C76*E76,2)</f>
        <v>0</v>
      </c>
      <c r="G76"/>
      <c r="H76"/>
      <c r="I76"/>
      <c r="J76"/>
    </row>
    <row r="77" spans="2:10" s="384" customFormat="1" x14ac:dyDescent="0.25">
      <c r="B77" s="389" t="s">
        <v>582</v>
      </c>
      <c r="C77" s="390"/>
      <c r="D77" s="391" t="s">
        <v>581</v>
      </c>
      <c r="E77" s="392"/>
      <c r="F77" s="381">
        <f t="shared" si="54"/>
        <v>0</v>
      </c>
      <c r="G77"/>
      <c r="H77"/>
      <c r="I77"/>
      <c r="J77"/>
    </row>
    <row r="78" spans="2:10" s="384" customFormat="1" ht="25.5" x14ac:dyDescent="0.25">
      <c r="B78" s="389" t="s">
        <v>574</v>
      </c>
      <c r="C78" s="390"/>
      <c r="D78" s="391" t="s">
        <v>573</v>
      </c>
      <c r="E78" s="392"/>
      <c r="F78" s="381">
        <f t="shared" si="54"/>
        <v>0</v>
      </c>
      <c r="G78"/>
      <c r="H78"/>
      <c r="I78"/>
      <c r="J78"/>
    </row>
    <row r="79" spans="2:10" s="384" customFormat="1" ht="25.5" x14ac:dyDescent="0.25">
      <c r="B79" s="389" t="s">
        <v>604</v>
      </c>
      <c r="C79" s="390"/>
      <c r="D79" s="391" t="s">
        <v>576</v>
      </c>
      <c r="E79" s="392"/>
      <c r="F79" s="381">
        <f t="shared" si="54"/>
        <v>0</v>
      </c>
      <c r="G79"/>
      <c r="H79"/>
      <c r="I79"/>
      <c r="J79"/>
    </row>
    <row r="80" spans="2:10" s="384" customFormat="1" x14ac:dyDescent="0.25">
      <c r="B80" s="389" t="s">
        <v>575</v>
      </c>
      <c r="C80" s="390"/>
      <c r="D80" s="391" t="s">
        <v>576</v>
      </c>
      <c r="E80" s="392"/>
      <c r="F80" s="381">
        <f t="shared" si="54"/>
        <v>0</v>
      </c>
      <c r="G80"/>
      <c r="H80"/>
      <c r="I80"/>
      <c r="J80"/>
    </row>
    <row r="81" spans="2:10" s="384" customFormat="1" x14ac:dyDescent="0.25">
      <c r="B81" s="389" t="s">
        <v>605</v>
      </c>
      <c r="C81" s="390"/>
      <c r="D81" s="391" t="s">
        <v>576</v>
      </c>
      <c r="E81" s="392"/>
      <c r="F81" s="381">
        <f t="shared" si="54"/>
        <v>0</v>
      </c>
      <c r="G81"/>
      <c r="H81"/>
      <c r="I81"/>
      <c r="J81"/>
    </row>
    <row r="82" spans="2:10" s="384" customFormat="1" x14ac:dyDescent="0.25">
      <c r="B82" s="389" t="s">
        <v>583</v>
      </c>
      <c r="C82" s="390"/>
      <c r="D82" s="391" t="s">
        <v>126</v>
      </c>
      <c r="E82" s="392"/>
      <c r="F82" s="381">
        <f t="shared" si="54"/>
        <v>0</v>
      </c>
      <c r="G82"/>
      <c r="H82"/>
      <c r="I82"/>
      <c r="J82"/>
    </row>
    <row r="83" spans="2:10" s="384" customFormat="1" x14ac:dyDescent="0.25">
      <c r="B83" s="715" t="s">
        <v>577</v>
      </c>
      <c r="C83" s="716">
        <v>0.22500000000000001</v>
      </c>
      <c r="D83" s="391"/>
      <c r="E83" s="393"/>
      <c r="F83" s="723">
        <f>ROUND(SUM(F76:F82)*C83,2)</f>
        <v>0</v>
      </c>
      <c r="G83"/>
      <c r="H83"/>
      <c r="I83"/>
      <c r="J83"/>
    </row>
    <row r="84" spans="2:10" s="384" customFormat="1" x14ac:dyDescent="0.25">
      <c r="B84" s="717" t="s">
        <v>584</v>
      </c>
      <c r="C84" s="396"/>
      <c r="D84" s="397"/>
      <c r="E84" s="398"/>
      <c r="F84" s="720">
        <f>ROUND(SUM(F76:F83),2)</f>
        <v>0</v>
      </c>
      <c r="G84"/>
      <c r="H84"/>
      <c r="I84"/>
      <c r="J84"/>
    </row>
    <row r="85" spans="2:10" s="384" customFormat="1" x14ac:dyDescent="0.25">
      <c r="B85" s="386" t="s">
        <v>585</v>
      </c>
      <c r="C85" s="387" t="s">
        <v>570</v>
      </c>
      <c r="D85" s="387" t="s">
        <v>216</v>
      </c>
      <c r="E85" s="388" t="s">
        <v>571</v>
      </c>
      <c r="F85" s="380" t="s">
        <v>572</v>
      </c>
      <c r="G85"/>
      <c r="H85"/>
      <c r="I85"/>
      <c r="J85"/>
    </row>
    <row r="86" spans="2:10" s="384" customFormat="1" ht="25.5" x14ac:dyDescent="0.25">
      <c r="B86" s="389" t="s">
        <v>574</v>
      </c>
      <c r="C86" s="390"/>
      <c r="D86" s="391" t="s">
        <v>573</v>
      </c>
      <c r="E86" s="392"/>
      <c r="F86" s="381">
        <f t="shared" ref="F86:F94" si="55">ROUND(C86*E86,2)</f>
        <v>0</v>
      </c>
      <c r="G86"/>
      <c r="H86"/>
      <c r="I86"/>
      <c r="J86"/>
    </row>
    <row r="87" spans="2:10" s="384" customFormat="1" x14ac:dyDescent="0.25">
      <c r="B87" s="389" t="s">
        <v>605</v>
      </c>
      <c r="C87" s="390"/>
      <c r="D87" s="391" t="s">
        <v>576</v>
      </c>
      <c r="E87" s="392"/>
      <c r="F87" s="381">
        <f t="shared" si="55"/>
        <v>0</v>
      </c>
      <c r="G87"/>
      <c r="H87"/>
      <c r="I87"/>
      <c r="J87"/>
    </row>
    <row r="88" spans="2:10" s="384" customFormat="1" x14ac:dyDescent="0.25">
      <c r="B88" s="389" t="s">
        <v>583</v>
      </c>
      <c r="C88" s="390"/>
      <c r="D88" s="391" t="s">
        <v>126</v>
      </c>
      <c r="E88" s="392"/>
      <c r="F88" s="381">
        <f t="shared" si="55"/>
        <v>0</v>
      </c>
      <c r="G88"/>
      <c r="H88"/>
      <c r="I88"/>
      <c r="J88"/>
    </row>
    <row r="89" spans="2:10" s="384" customFormat="1" x14ac:dyDescent="0.25">
      <c r="B89" s="389" t="s">
        <v>586</v>
      </c>
      <c r="C89" s="390"/>
      <c r="D89" s="391" t="s">
        <v>568</v>
      </c>
      <c r="E89" s="392"/>
      <c r="F89" s="381">
        <f t="shared" si="55"/>
        <v>0</v>
      </c>
      <c r="G89"/>
      <c r="H89"/>
      <c r="I89"/>
      <c r="J89"/>
    </row>
    <row r="90" spans="2:10" s="384" customFormat="1" x14ac:dyDescent="0.25">
      <c r="B90" s="389" t="s">
        <v>587</v>
      </c>
      <c r="C90" s="390"/>
      <c r="D90" s="391" t="s">
        <v>568</v>
      </c>
      <c r="E90" s="392"/>
      <c r="F90" s="381">
        <f t="shared" si="55"/>
        <v>0</v>
      </c>
      <c r="G90"/>
      <c r="H90"/>
      <c r="I90"/>
      <c r="J90"/>
    </row>
    <row r="91" spans="2:10" s="384" customFormat="1" x14ac:dyDescent="0.25">
      <c r="B91" s="389" t="s">
        <v>619</v>
      </c>
      <c r="C91" s="390"/>
      <c r="D91" s="391" t="s">
        <v>568</v>
      </c>
      <c r="E91" s="392"/>
      <c r="F91" s="381">
        <f t="shared" si="55"/>
        <v>0</v>
      </c>
      <c r="G91"/>
      <c r="H91"/>
      <c r="I91"/>
      <c r="J91"/>
    </row>
    <row r="92" spans="2:10" s="384" customFormat="1" x14ac:dyDescent="0.25">
      <c r="B92" s="389" t="s">
        <v>588</v>
      </c>
      <c r="C92" s="390"/>
      <c r="D92" s="391" t="s">
        <v>126</v>
      </c>
      <c r="E92" s="392"/>
      <c r="F92" s="381">
        <f t="shared" si="55"/>
        <v>0</v>
      </c>
      <c r="G92"/>
      <c r="H92"/>
      <c r="I92"/>
      <c r="J92"/>
    </row>
    <row r="93" spans="2:10" s="384" customFormat="1" x14ac:dyDescent="0.25">
      <c r="B93" s="389" t="s">
        <v>589</v>
      </c>
      <c r="C93" s="390"/>
      <c r="D93" s="391" t="s">
        <v>126</v>
      </c>
      <c r="E93" s="392"/>
      <c r="F93" s="381">
        <f t="shared" si="55"/>
        <v>0</v>
      </c>
      <c r="G93"/>
      <c r="H93"/>
      <c r="I93"/>
      <c r="J93"/>
    </row>
    <row r="94" spans="2:10" s="384" customFormat="1" x14ac:dyDescent="0.25">
      <c r="B94" s="389" t="s">
        <v>620</v>
      </c>
      <c r="C94" s="390"/>
      <c r="D94" s="391" t="s">
        <v>126</v>
      </c>
      <c r="E94" s="392"/>
      <c r="F94" s="381">
        <f t="shared" si="55"/>
        <v>0</v>
      </c>
      <c r="G94"/>
      <c r="H94"/>
      <c r="I94"/>
      <c r="J94"/>
    </row>
    <row r="95" spans="2:10" s="384" customFormat="1" x14ac:dyDescent="0.25">
      <c r="B95" s="715" t="s">
        <v>577</v>
      </c>
      <c r="C95" s="724">
        <v>0.22500000000000001</v>
      </c>
      <c r="D95" s="391"/>
      <c r="E95" s="393"/>
      <c r="F95" s="723">
        <f>ROUND(SUM(F86:F94)*C95,2)</f>
        <v>0</v>
      </c>
      <c r="G95"/>
      <c r="H95"/>
      <c r="I95"/>
      <c r="J95"/>
    </row>
    <row r="96" spans="2:10" s="384" customFormat="1" ht="15.75" thickBot="1" x14ac:dyDescent="0.3">
      <c r="B96" s="725" t="s">
        <v>590</v>
      </c>
      <c r="C96" s="726"/>
      <c r="D96" s="382"/>
      <c r="E96" s="383"/>
      <c r="F96" s="727">
        <f>ROUND(SUM(F86:F95),2)</f>
        <v>0</v>
      </c>
      <c r="G96"/>
      <c r="H96"/>
      <c r="I96"/>
      <c r="J96"/>
    </row>
    <row r="97" spans="2:6" ht="15.75" thickBot="1" x14ac:dyDescent="0.3">
      <c r="B97" s="279"/>
      <c r="C97" s="279"/>
      <c r="D97" s="279"/>
      <c r="E97" s="279"/>
      <c r="F97" s="279"/>
    </row>
    <row r="98" spans="2:6" x14ac:dyDescent="0.25">
      <c r="B98" s="385" t="s">
        <v>404</v>
      </c>
      <c r="C98" s="1144" t="s">
        <v>567</v>
      </c>
      <c r="D98" s="1144"/>
      <c r="E98" s="721" t="s">
        <v>568</v>
      </c>
      <c r="F98" s="722">
        <f>ROUND(F104+F112+F122,2)</f>
        <v>0</v>
      </c>
    </row>
    <row r="99" spans="2:6" x14ac:dyDescent="0.25">
      <c r="B99" s="386" t="s">
        <v>569</v>
      </c>
      <c r="C99" s="387" t="s">
        <v>570</v>
      </c>
      <c r="D99" s="387" t="s">
        <v>216</v>
      </c>
      <c r="E99" s="388" t="s">
        <v>571</v>
      </c>
      <c r="F99" s="380" t="s">
        <v>572</v>
      </c>
    </row>
    <row r="100" spans="2:6" ht="25.5" x14ac:dyDescent="0.25">
      <c r="B100" s="389" t="s">
        <v>574</v>
      </c>
      <c r="C100" s="390"/>
      <c r="D100" s="391" t="s">
        <v>573</v>
      </c>
      <c r="E100" s="392"/>
      <c r="F100" s="381">
        <f t="shared" ref="F100:F101" si="56">ROUND(C100*E100,2)</f>
        <v>0</v>
      </c>
    </row>
    <row r="101" spans="2:6" x14ac:dyDescent="0.25">
      <c r="B101" s="389" t="s">
        <v>575</v>
      </c>
      <c r="C101" s="390"/>
      <c r="D101" s="391" t="s">
        <v>576</v>
      </c>
      <c r="E101" s="392"/>
      <c r="F101" s="381">
        <f t="shared" si="56"/>
        <v>0</v>
      </c>
    </row>
    <row r="102" spans="2:6" x14ac:dyDescent="0.25">
      <c r="B102" s="715" t="s">
        <v>591</v>
      </c>
      <c r="C102" s="716">
        <v>1.3295999999999999</v>
      </c>
      <c r="D102" s="391"/>
      <c r="E102" s="393"/>
      <c r="F102" s="723">
        <f>ROUND(SUM(F100:F101)*C102,2)</f>
        <v>0</v>
      </c>
    </row>
    <row r="103" spans="2:6" x14ac:dyDescent="0.25">
      <c r="B103" s="715" t="s">
        <v>577</v>
      </c>
      <c r="C103" s="716">
        <v>0.22500000000000001</v>
      </c>
      <c r="D103" s="394"/>
      <c r="E103" s="393"/>
      <c r="F103" s="723">
        <f>ROUND(SUM(F100:F102)*C103,2)</f>
        <v>0</v>
      </c>
    </row>
    <row r="104" spans="2:6" x14ac:dyDescent="0.25">
      <c r="B104" s="717" t="s">
        <v>578</v>
      </c>
      <c r="C104" s="395"/>
      <c r="D104" s="718"/>
      <c r="E104" s="719"/>
      <c r="F104" s="720">
        <f>ROUND(SUM(F100:F103),2)</f>
        <v>0</v>
      </c>
    </row>
    <row r="105" spans="2:6" x14ac:dyDescent="0.25">
      <c r="B105" s="386" t="s">
        <v>579</v>
      </c>
      <c r="C105" s="387" t="s">
        <v>570</v>
      </c>
      <c r="D105" s="387" t="s">
        <v>216</v>
      </c>
      <c r="E105" s="388" t="s">
        <v>571</v>
      </c>
      <c r="F105" s="380" t="s">
        <v>572</v>
      </c>
    </row>
    <row r="106" spans="2:6" ht="25.5" x14ac:dyDescent="0.25">
      <c r="B106" s="389" t="s">
        <v>574</v>
      </c>
      <c r="C106" s="390"/>
      <c r="D106" s="391" t="s">
        <v>573</v>
      </c>
      <c r="E106" s="392"/>
      <c r="F106" s="381">
        <f t="shared" ref="F106:F110" si="57">ROUND(C106*E106,2)</f>
        <v>0</v>
      </c>
    </row>
    <row r="107" spans="2:6" ht="25.5" x14ac:dyDescent="0.25">
      <c r="B107" s="389" t="s">
        <v>604</v>
      </c>
      <c r="C107" s="390"/>
      <c r="D107" s="391" t="s">
        <v>576</v>
      </c>
      <c r="E107" s="392"/>
      <c r="F107" s="381">
        <f t="shared" si="57"/>
        <v>0</v>
      </c>
    </row>
    <row r="108" spans="2:6" x14ac:dyDescent="0.25">
      <c r="B108" s="389" t="s">
        <v>575</v>
      </c>
      <c r="C108" s="390"/>
      <c r="D108" s="391" t="s">
        <v>576</v>
      </c>
      <c r="E108" s="392"/>
      <c r="F108" s="381">
        <f t="shared" si="57"/>
        <v>0</v>
      </c>
    </row>
    <row r="109" spans="2:6" x14ac:dyDescent="0.25">
      <c r="B109" s="389" t="s">
        <v>605</v>
      </c>
      <c r="C109" s="390"/>
      <c r="D109" s="391" t="s">
        <v>576</v>
      </c>
      <c r="E109" s="392"/>
      <c r="F109" s="381">
        <f t="shared" si="57"/>
        <v>0</v>
      </c>
    </row>
    <row r="110" spans="2:6" x14ac:dyDescent="0.25">
      <c r="B110" s="389" t="s">
        <v>583</v>
      </c>
      <c r="C110" s="390"/>
      <c r="D110" s="391" t="s">
        <v>126</v>
      </c>
      <c r="E110" s="392"/>
      <c r="F110" s="381">
        <f t="shared" si="57"/>
        <v>0</v>
      </c>
    </row>
    <row r="111" spans="2:6" x14ac:dyDescent="0.25">
      <c r="B111" s="715" t="s">
        <v>577</v>
      </c>
      <c r="C111" s="716">
        <v>0.22500000000000001</v>
      </c>
      <c r="D111" s="391"/>
      <c r="E111" s="393"/>
      <c r="F111" s="723">
        <f>ROUND(SUM(F106:F110)*C111,2)</f>
        <v>0</v>
      </c>
    </row>
    <row r="112" spans="2:6" x14ac:dyDescent="0.25">
      <c r="B112" s="717" t="s">
        <v>584</v>
      </c>
      <c r="C112" s="396"/>
      <c r="D112" s="397"/>
      <c r="E112" s="398"/>
      <c r="F112" s="720">
        <f>ROUND(SUM(F106:F111),2)</f>
        <v>0</v>
      </c>
    </row>
    <row r="113" spans="2:6" x14ac:dyDescent="0.25">
      <c r="B113" s="386" t="s">
        <v>585</v>
      </c>
      <c r="C113" s="387" t="s">
        <v>570</v>
      </c>
      <c r="D113" s="387" t="s">
        <v>216</v>
      </c>
      <c r="E113" s="388" t="s">
        <v>571</v>
      </c>
      <c r="F113" s="380" t="s">
        <v>572</v>
      </c>
    </row>
    <row r="114" spans="2:6" ht="25.5" x14ac:dyDescent="0.25">
      <c r="B114" s="389" t="s">
        <v>574</v>
      </c>
      <c r="C114" s="390"/>
      <c r="D114" s="391" t="s">
        <v>573</v>
      </c>
      <c r="E114" s="392"/>
      <c r="F114" s="381">
        <f t="shared" ref="F114:F120" si="58">ROUND(C114*E114,2)</f>
        <v>0</v>
      </c>
    </row>
    <row r="115" spans="2:6" x14ac:dyDescent="0.25">
      <c r="B115" s="389" t="s">
        <v>605</v>
      </c>
      <c r="C115" s="390"/>
      <c r="D115" s="391" t="s">
        <v>576</v>
      </c>
      <c r="E115" s="392"/>
      <c r="F115" s="381">
        <f t="shared" si="58"/>
        <v>0</v>
      </c>
    </row>
    <row r="116" spans="2:6" x14ac:dyDescent="0.25">
      <c r="B116" s="389" t="s">
        <v>583</v>
      </c>
      <c r="C116" s="390"/>
      <c r="D116" s="391" t="s">
        <v>126</v>
      </c>
      <c r="E116" s="392"/>
      <c r="F116" s="381">
        <f t="shared" si="58"/>
        <v>0</v>
      </c>
    </row>
    <row r="117" spans="2:6" x14ac:dyDescent="0.25">
      <c r="B117" s="389" t="s">
        <v>586</v>
      </c>
      <c r="C117" s="390"/>
      <c r="D117" s="391" t="s">
        <v>568</v>
      </c>
      <c r="E117" s="392"/>
      <c r="F117" s="381">
        <f t="shared" si="58"/>
        <v>0</v>
      </c>
    </row>
    <row r="118" spans="2:6" x14ac:dyDescent="0.25">
      <c r="B118" s="389" t="s">
        <v>587</v>
      </c>
      <c r="C118" s="390"/>
      <c r="D118" s="391" t="s">
        <v>568</v>
      </c>
      <c r="E118" s="392"/>
      <c r="F118" s="381">
        <f t="shared" si="58"/>
        <v>0</v>
      </c>
    </row>
    <row r="119" spans="2:6" x14ac:dyDescent="0.25">
      <c r="B119" s="389" t="s">
        <v>588</v>
      </c>
      <c r="C119" s="390"/>
      <c r="D119" s="391" t="s">
        <v>126</v>
      </c>
      <c r="E119" s="392"/>
      <c r="F119" s="381">
        <f t="shared" si="58"/>
        <v>0</v>
      </c>
    </row>
    <row r="120" spans="2:6" x14ac:dyDescent="0.25">
      <c r="B120" s="389" t="s">
        <v>589</v>
      </c>
      <c r="C120" s="390"/>
      <c r="D120" s="391" t="s">
        <v>126</v>
      </c>
      <c r="E120" s="392"/>
      <c r="F120" s="381">
        <f t="shared" si="58"/>
        <v>0</v>
      </c>
    </row>
    <row r="121" spans="2:6" x14ac:dyDescent="0.25">
      <c r="B121" s="715" t="s">
        <v>577</v>
      </c>
      <c r="C121" s="724">
        <v>0.22500000000000001</v>
      </c>
      <c r="D121" s="391"/>
      <c r="E121" s="393"/>
      <c r="F121" s="723">
        <f>ROUND(SUM(F114:F120)*C121,2)</f>
        <v>0</v>
      </c>
    </row>
    <row r="122" spans="2:6" ht="15.75" thickBot="1" x14ac:dyDescent="0.3">
      <c r="B122" s="725" t="s">
        <v>590</v>
      </c>
      <c r="C122" s="726"/>
      <c r="D122" s="382"/>
      <c r="E122" s="383"/>
      <c r="F122" s="727">
        <f>ROUND(SUM(F114:F121),2)</f>
        <v>0</v>
      </c>
    </row>
    <row r="123" spans="2:6" ht="15.75" thickBot="1" x14ac:dyDescent="0.3">
      <c r="B123" s="279"/>
      <c r="C123" s="279"/>
      <c r="D123" s="279"/>
      <c r="E123" s="279"/>
      <c r="F123" s="279"/>
    </row>
    <row r="124" spans="2:6" x14ac:dyDescent="0.25">
      <c r="B124" s="385" t="s">
        <v>597</v>
      </c>
      <c r="C124" s="1142" t="s">
        <v>567</v>
      </c>
      <c r="D124" s="1143"/>
      <c r="E124" s="721" t="s">
        <v>568</v>
      </c>
      <c r="F124" s="722">
        <f>ROUND(F129+F135+F150,2)</f>
        <v>0</v>
      </c>
    </row>
    <row r="125" spans="2:6" x14ac:dyDescent="0.25">
      <c r="B125" s="386" t="s">
        <v>569</v>
      </c>
      <c r="C125" s="387" t="s">
        <v>570</v>
      </c>
      <c r="D125" s="387" t="s">
        <v>216</v>
      </c>
      <c r="E125" s="388" t="s">
        <v>571</v>
      </c>
      <c r="F125" s="380" t="s">
        <v>572</v>
      </c>
    </row>
    <row r="126" spans="2:6" x14ac:dyDescent="0.25">
      <c r="B126" s="389" t="s">
        <v>575</v>
      </c>
      <c r="C126" s="390"/>
      <c r="D126" s="391" t="s">
        <v>576</v>
      </c>
      <c r="E126" s="392"/>
      <c r="F126" s="381">
        <f t="shared" ref="F126" si="59">ROUND(C126*E126,2)</f>
        <v>0</v>
      </c>
    </row>
    <row r="127" spans="2:6" x14ac:dyDescent="0.25">
      <c r="B127" s="715" t="s">
        <v>591</v>
      </c>
      <c r="C127" s="716">
        <v>1.3295999999999999</v>
      </c>
      <c r="D127" s="391"/>
      <c r="E127" s="393"/>
      <c r="F127" s="723">
        <f>ROUND(SUM(F126:F126)*C127,2)</f>
        <v>0</v>
      </c>
    </row>
    <row r="128" spans="2:6" x14ac:dyDescent="0.25">
      <c r="B128" s="715" t="s">
        <v>577</v>
      </c>
      <c r="C128" s="716">
        <v>0.22500000000000001</v>
      </c>
      <c r="D128" s="394"/>
      <c r="E128" s="393"/>
      <c r="F128" s="723">
        <f>ROUND(SUM(F126:F127)*C128,2)</f>
        <v>0</v>
      </c>
    </row>
    <row r="129" spans="2:6" x14ac:dyDescent="0.25">
      <c r="B129" s="717" t="s">
        <v>578</v>
      </c>
      <c r="C129" s="395"/>
      <c r="D129" s="718"/>
      <c r="E129" s="719"/>
      <c r="F129" s="720">
        <f>ROUND(SUM(F126:F128),2)</f>
        <v>0</v>
      </c>
    </row>
    <row r="130" spans="2:6" x14ac:dyDescent="0.25">
      <c r="B130" s="386" t="s">
        <v>579</v>
      </c>
      <c r="C130" s="387" t="s">
        <v>570</v>
      </c>
      <c r="D130" s="387" t="s">
        <v>216</v>
      </c>
      <c r="E130" s="388" t="s">
        <v>571</v>
      </c>
      <c r="F130" s="380" t="s">
        <v>572</v>
      </c>
    </row>
    <row r="131" spans="2:6" ht="25.5" x14ac:dyDescent="0.25">
      <c r="B131" s="389" t="s">
        <v>604</v>
      </c>
      <c r="C131" s="390"/>
      <c r="D131" s="391" t="s">
        <v>576</v>
      </c>
      <c r="E131" s="392"/>
      <c r="F131" s="381">
        <f t="shared" ref="F131:F133" si="60">ROUND(C131*E131,2)</f>
        <v>0</v>
      </c>
    </row>
    <row r="132" spans="2:6" x14ac:dyDescent="0.25">
      <c r="B132" s="389" t="s">
        <v>575</v>
      </c>
      <c r="C132" s="390"/>
      <c r="D132" s="391" t="s">
        <v>576</v>
      </c>
      <c r="E132" s="392"/>
      <c r="F132" s="381">
        <f t="shared" si="60"/>
        <v>0</v>
      </c>
    </row>
    <row r="133" spans="2:6" x14ac:dyDescent="0.25">
      <c r="B133" s="389" t="s">
        <v>605</v>
      </c>
      <c r="C133" s="390"/>
      <c r="D133" s="391" t="s">
        <v>576</v>
      </c>
      <c r="E133" s="392"/>
      <c r="F133" s="381">
        <f t="shared" si="60"/>
        <v>0</v>
      </c>
    </row>
    <row r="134" spans="2:6" x14ac:dyDescent="0.25">
      <c r="B134" s="715" t="s">
        <v>577</v>
      </c>
      <c r="C134" s="716">
        <v>0.22500000000000001</v>
      </c>
      <c r="D134" s="391"/>
      <c r="E134" s="393"/>
      <c r="F134" s="723">
        <f>ROUND(SUM(F131:F133)*C134,2)</f>
        <v>0</v>
      </c>
    </row>
    <row r="135" spans="2:6" x14ac:dyDescent="0.25">
      <c r="B135" s="717" t="s">
        <v>584</v>
      </c>
      <c r="C135" s="396"/>
      <c r="D135" s="397"/>
      <c r="E135" s="398"/>
      <c r="F135" s="720">
        <f>ROUND(SUM(F131:F134),2)</f>
        <v>0</v>
      </c>
    </row>
    <row r="136" spans="2:6" x14ac:dyDescent="0.25">
      <c r="B136" s="386" t="s">
        <v>585</v>
      </c>
      <c r="C136" s="387" t="s">
        <v>570</v>
      </c>
      <c r="D136" s="387" t="s">
        <v>216</v>
      </c>
      <c r="E136" s="388" t="s">
        <v>571</v>
      </c>
      <c r="F136" s="380" t="s">
        <v>572</v>
      </c>
    </row>
    <row r="137" spans="2:6" x14ac:dyDescent="0.25">
      <c r="B137" s="389" t="s">
        <v>605</v>
      </c>
      <c r="C137" s="390"/>
      <c r="D137" s="391" t="s">
        <v>576</v>
      </c>
      <c r="E137" s="392"/>
      <c r="F137" s="381">
        <f t="shared" ref="F137:F147" si="61">ROUND(C137*E137,2)</f>
        <v>0</v>
      </c>
    </row>
    <row r="138" spans="2:6" ht="25.5" x14ac:dyDescent="0.25">
      <c r="B138" s="389" t="s">
        <v>593</v>
      </c>
      <c r="C138" s="390"/>
      <c r="D138" s="391" t="s">
        <v>568</v>
      </c>
      <c r="E138" s="392"/>
      <c r="F138" s="381">
        <f t="shared" si="61"/>
        <v>0</v>
      </c>
    </row>
    <row r="139" spans="2:6" ht="25.5" x14ac:dyDescent="0.25">
      <c r="B139" s="389" t="s">
        <v>603</v>
      </c>
      <c r="C139" s="390"/>
      <c r="D139" s="391" t="s">
        <v>568</v>
      </c>
      <c r="E139" s="392"/>
      <c r="F139" s="381">
        <f t="shared" si="61"/>
        <v>0</v>
      </c>
    </row>
    <row r="140" spans="2:6" ht="25.5" x14ac:dyDescent="0.25">
      <c r="B140" s="389" t="s">
        <v>602</v>
      </c>
      <c r="C140" s="390"/>
      <c r="D140" s="391" t="s">
        <v>568</v>
      </c>
      <c r="E140" s="392"/>
      <c r="F140" s="381">
        <f t="shared" si="61"/>
        <v>0</v>
      </c>
    </row>
    <row r="141" spans="2:6" ht="25.5" x14ac:dyDescent="0.25">
      <c r="B141" s="389" t="s">
        <v>601</v>
      </c>
      <c r="C141" s="390"/>
      <c r="D141" s="391" t="s">
        <v>568</v>
      </c>
      <c r="E141" s="392"/>
      <c r="F141" s="381">
        <f t="shared" si="61"/>
        <v>0</v>
      </c>
    </row>
    <row r="142" spans="2:6" x14ac:dyDescent="0.25">
      <c r="B142" s="389" t="s">
        <v>594</v>
      </c>
      <c r="C142" s="390"/>
      <c r="D142" s="391" t="s">
        <v>568</v>
      </c>
      <c r="E142" s="392"/>
      <c r="F142" s="381">
        <f t="shared" si="61"/>
        <v>0</v>
      </c>
    </row>
    <row r="143" spans="2:6" x14ac:dyDescent="0.25">
      <c r="B143" s="389" t="s">
        <v>595</v>
      </c>
      <c r="C143" s="390"/>
      <c r="D143" s="391" t="s">
        <v>568</v>
      </c>
      <c r="E143" s="392"/>
      <c r="F143" s="381">
        <f t="shared" si="61"/>
        <v>0</v>
      </c>
    </row>
    <row r="144" spans="2:6" ht="25.5" x14ac:dyDescent="0.25">
      <c r="B144" s="389" t="s">
        <v>596</v>
      </c>
      <c r="C144" s="390"/>
      <c r="D144" s="391" t="s">
        <v>568</v>
      </c>
      <c r="E144" s="392"/>
      <c r="F144" s="381">
        <f t="shared" si="61"/>
        <v>0</v>
      </c>
    </row>
    <row r="145" spans="2:6" ht="25.5" x14ac:dyDescent="0.25">
      <c r="B145" s="399" t="s">
        <v>600</v>
      </c>
      <c r="C145" s="390"/>
      <c r="D145" s="391" t="s">
        <v>568</v>
      </c>
      <c r="E145" s="392"/>
      <c r="F145" s="381">
        <f t="shared" si="61"/>
        <v>0</v>
      </c>
    </row>
    <row r="146" spans="2:6" ht="25.5" x14ac:dyDescent="0.25">
      <c r="B146" s="399" t="s">
        <v>599</v>
      </c>
      <c r="C146" s="390"/>
      <c r="D146" s="391" t="s">
        <v>568</v>
      </c>
      <c r="E146" s="392"/>
      <c r="F146" s="381">
        <f t="shared" si="61"/>
        <v>0</v>
      </c>
    </row>
    <row r="147" spans="2:6" ht="25.5" x14ac:dyDescent="0.25">
      <c r="B147" s="399" t="s">
        <v>598</v>
      </c>
      <c r="C147" s="390"/>
      <c r="D147" s="391" t="s">
        <v>568</v>
      </c>
      <c r="E147" s="392"/>
      <c r="F147" s="381">
        <f t="shared" si="61"/>
        <v>0</v>
      </c>
    </row>
    <row r="148" spans="2:6" ht="25.5" x14ac:dyDescent="0.25">
      <c r="B148" s="389" t="s">
        <v>606</v>
      </c>
      <c r="C148" s="390"/>
      <c r="D148" s="391" t="s">
        <v>126</v>
      </c>
      <c r="E148" s="392"/>
      <c r="F148" s="381">
        <f>ROUND(C148*E148,2)</f>
        <v>0</v>
      </c>
    </row>
    <row r="149" spans="2:6" x14ac:dyDescent="0.25">
      <c r="B149" s="715" t="s">
        <v>577</v>
      </c>
      <c r="C149" s="716">
        <v>0.22500000000000001</v>
      </c>
      <c r="D149" s="391"/>
      <c r="E149" s="393"/>
      <c r="F149" s="723">
        <f>ROUND(SUM(F137:F148)*C149,2)</f>
        <v>0</v>
      </c>
    </row>
    <row r="150" spans="2:6" ht="15.75" thickBot="1" x14ac:dyDescent="0.3">
      <c r="B150" s="725" t="s">
        <v>590</v>
      </c>
      <c r="C150" s="726"/>
      <c r="D150" s="382"/>
      <c r="E150" s="383"/>
      <c r="F150" s="727">
        <f>ROUND(SUM(F137:F149),2)</f>
        <v>0</v>
      </c>
    </row>
    <row r="151" spans="2:6" ht="15.75" thickBot="1" x14ac:dyDescent="0.3">
      <c r="B151" s="279"/>
      <c r="C151" s="279"/>
      <c r="D151" s="279"/>
      <c r="E151" s="279"/>
      <c r="F151" s="279"/>
    </row>
    <row r="152" spans="2:6" x14ac:dyDescent="0.25">
      <c r="B152" s="405" t="s">
        <v>616</v>
      </c>
      <c r="C152" s="1145" t="s">
        <v>567</v>
      </c>
      <c r="D152" s="1145"/>
      <c r="E152" s="728" t="s">
        <v>568</v>
      </c>
      <c r="F152" s="729">
        <f>ROUND(F158+F165+F177,2)</f>
        <v>0</v>
      </c>
    </row>
    <row r="153" spans="2:6" ht="30" x14ac:dyDescent="0.25">
      <c r="B153" s="406" t="s">
        <v>569</v>
      </c>
      <c r="C153" s="284" t="s">
        <v>570</v>
      </c>
      <c r="D153" s="284" t="s">
        <v>216</v>
      </c>
      <c r="E153" s="407" t="s">
        <v>571</v>
      </c>
      <c r="F153" s="401" t="s">
        <v>572</v>
      </c>
    </row>
    <row r="154" spans="2:6" ht="30" x14ac:dyDescent="0.25">
      <c r="B154" s="408" t="s">
        <v>608</v>
      </c>
      <c r="C154" s="390"/>
      <c r="D154" s="409" t="s">
        <v>573</v>
      </c>
      <c r="E154" s="392"/>
      <c r="F154" s="402">
        <f t="shared" ref="F154:F155" si="62">ROUND(C154*E154,2)</f>
        <v>0</v>
      </c>
    </row>
    <row r="155" spans="2:6" x14ac:dyDescent="0.25">
      <c r="B155" s="408" t="s">
        <v>575</v>
      </c>
      <c r="C155" s="390"/>
      <c r="D155" s="409" t="s">
        <v>576</v>
      </c>
      <c r="E155" s="392"/>
      <c r="F155" s="402">
        <f t="shared" si="62"/>
        <v>0</v>
      </c>
    </row>
    <row r="156" spans="2:6" x14ac:dyDescent="0.25">
      <c r="B156" s="730" t="s">
        <v>591</v>
      </c>
      <c r="C156" s="731">
        <v>1.3295999999999999</v>
      </c>
      <c r="D156" s="409"/>
      <c r="E156" s="410"/>
      <c r="F156" s="732">
        <f>ROUND(SUM(F154:F155)*C156,2)</f>
        <v>0</v>
      </c>
    </row>
    <row r="157" spans="2:6" x14ac:dyDescent="0.25">
      <c r="B157" s="730" t="s">
        <v>577</v>
      </c>
      <c r="C157" s="731">
        <v>0.22500000000000001</v>
      </c>
      <c r="D157" s="411"/>
      <c r="E157" s="410"/>
      <c r="F157" s="732">
        <f>ROUND(SUM(F154:F156)*C157,2)</f>
        <v>0</v>
      </c>
    </row>
    <row r="158" spans="2:6" x14ac:dyDescent="0.25">
      <c r="B158" s="733" t="s">
        <v>578</v>
      </c>
      <c r="C158" s="412"/>
      <c r="D158" s="734"/>
      <c r="E158" s="735"/>
      <c r="F158" s="736">
        <f>ROUND(SUM(F154:F157),2)</f>
        <v>0</v>
      </c>
    </row>
    <row r="159" spans="2:6" ht="30" x14ac:dyDescent="0.25">
      <c r="B159" s="406" t="s">
        <v>579</v>
      </c>
      <c r="C159" s="284" t="s">
        <v>570</v>
      </c>
      <c r="D159" s="284" t="s">
        <v>216</v>
      </c>
      <c r="E159" s="407" t="s">
        <v>571</v>
      </c>
      <c r="F159" s="401" t="s">
        <v>572</v>
      </c>
    </row>
    <row r="160" spans="2:6" ht="30" x14ac:dyDescent="0.25">
      <c r="B160" s="408" t="s">
        <v>608</v>
      </c>
      <c r="C160" s="390"/>
      <c r="D160" s="409" t="s">
        <v>573</v>
      </c>
      <c r="E160" s="392"/>
      <c r="F160" s="402">
        <f t="shared" ref="F160:F163" si="63">ROUND(C160*E160,2)</f>
        <v>0</v>
      </c>
    </row>
    <row r="161" spans="2:6" ht="30" x14ac:dyDescent="0.25">
      <c r="B161" s="408" t="s">
        <v>604</v>
      </c>
      <c r="C161" s="390"/>
      <c r="D161" s="409" t="s">
        <v>576</v>
      </c>
      <c r="E161" s="392"/>
      <c r="F161" s="402">
        <f t="shared" si="63"/>
        <v>0</v>
      </c>
    </row>
    <row r="162" spans="2:6" x14ac:dyDescent="0.25">
      <c r="B162" s="408" t="s">
        <v>575</v>
      </c>
      <c r="C162" s="390"/>
      <c r="D162" s="409" t="s">
        <v>576</v>
      </c>
      <c r="E162" s="392"/>
      <c r="F162" s="402">
        <f t="shared" si="63"/>
        <v>0</v>
      </c>
    </row>
    <row r="163" spans="2:6" x14ac:dyDescent="0.25">
      <c r="B163" s="408" t="s">
        <v>605</v>
      </c>
      <c r="C163" s="390"/>
      <c r="D163" s="409" t="s">
        <v>576</v>
      </c>
      <c r="E163" s="392"/>
      <c r="F163" s="402">
        <f t="shared" si="63"/>
        <v>0</v>
      </c>
    </row>
    <row r="164" spans="2:6" x14ac:dyDescent="0.25">
      <c r="B164" s="730" t="s">
        <v>577</v>
      </c>
      <c r="C164" s="731">
        <v>0.22500000000000001</v>
      </c>
      <c r="D164" s="409"/>
      <c r="E164" s="410"/>
      <c r="F164" s="732">
        <f>ROUND(SUM(F160:F163)*C164,2)</f>
        <v>0</v>
      </c>
    </row>
    <row r="165" spans="2:6" x14ac:dyDescent="0.25">
      <c r="B165" s="733" t="s">
        <v>584</v>
      </c>
      <c r="C165" s="413"/>
      <c r="D165" s="414"/>
      <c r="E165" s="415"/>
      <c r="F165" s="736">
        <f>ROUND(SUM(F160:F164),2)</f>
        <v>0</v>
      </c>
    </row>
    <row r="166" spans="2:6" ht="30" x14ac:dyDescent="0.25">
      <c r="B166" s="406" t="s">
        <v>585</v>
      </c>
      <c r="C166" s="284" t="s">
        <v>570</v>
      </c>
      <c r="D166" s="284" t="s">
        <v>216</v>
      </c>
      <c r="E166" s="407" t="s">
        <v>571</v>
      </c>
      <c r="F166" s="401" t="s">
        <v>572</v>
      </c>
    </row>
    <row r="167" spans="2:6" ht="30" x14ac:dyDescent="0.25">
      <c r="B167" s="408" t="s">
        <v>608</v>
      </c>
      <c r="C167" s="390"/>
      <c r="D167" s="409" t="s">
        <v>573</v>
      </c>
      <c r="E167" s="392"/>
      <c r="F167" s="402">
        <f t="shared" ref="F167:F175" si="64">ROUND(C167*E167,2)</f>
        <v>0</v>
      </c>
    </row>
    <row r="168" spans="2:6" x14ac:dyDescent="0.25">
      <c r="B168" s="408" t="s">
        <v>609</v>
      </c>
      <c r="C168" s="390"/>
      <c r="D168" s="409" t="s">
        <v>576</v>
      </c>
      <c r="E168" s="392"/>
      <c r="F168" s="402">
        <f t="shared" si="64"/>
        <v>0</v>
      </c>
    </row>
    <row r="169" spans="2:6" x14ac:dyDescent="0.25">
      <c r="B169" s="408" t="s">
        <v>594</v>
      </c>
      <c r="C169" s="390"/>
      <c r="D169" s="409" t="s">
        <v>568</v>
      </c>
      <c r="E169" s="392"/>
      <c r="F169" s="402">
        <f t="shared" si="64"/>
        <v>0</v>
      </c>
    </row>
    <row r="170" spans="2:6" ht="30" x14ac:dyDescent="0.25">
      <c r="B170" s="408" t="s">
        <v>610</v>
      </c>
      <c r="C170" s="390"/>
      <c r="D170" s="409" t="s">
        <v>568</v>
      </c>
      <c r="E170" s="392"/>
      <c r="F170" s="402">
        <f>ROUND(C170*E170,2)</f>
        <v>0</v>
      </c>
    </row>
    <row r="171" spans="2:6" x14ac:dyDescent="0.25">
      <c r="B171" s="408" t="s">
        <v>611</v>
      </c>
      <c r="C171" s="390"/>
      <c r="D171" s="409" t="s">
        <v>568</v>
      </c>
      <c r="E171" s="392"/>
      <c r="F171" s="402">
        <f>ROUND(C171*E171,2)</f>
        <v>0</v>
      </c>
    </row>
    <row r="172" spans="2:6" x14ac:dyDescent="0.25">
      <c r="B172" s="408" t="s">
        <v>612</v>
      </c>
      <c r="C172" s="390"/>
      <c r="D172" s="409" t="s">
        <v>568</v>
      </c>
      <c r="E172" s="392"/>
      <c r="F172" s="402">
        <f>ROUND(C172*E172,2)</f>
        <v>0</v>
      </c>
    </row>
    <row r="173" spans="2:6" x14ac:dyDescent="0.25">
      <c r="B173" s="408" t="s">
        <v>613</v>
      </c>
      <c r="C173" s="390"/>
      <c r="D173" s="409" t="s">
        <v>568</v>
      </c>
      <c r="E173" s="392"/>
      <c r="F173" s="402">
        <f t="shared" si="64"/>
        <v>0</v>
      </c>
    </row>
    <row r="174" spans="2:6" ht="30" x14ac:dyDescent="0.25">
      <c r="B174" s="408" t="s">
        <v>614</v>
      </c>
      <c r="C174" s="390"/>
      <c r="D174" s="409" t="s">
        <v>568</v>
      </c>
      <c r="E174" s="392"/>
      <c r="F174" s="402">
        <f t="shared" si="64"/>
        <v>0</v>
      </c>
    </row>
    <row r="175" spans="2:6" ht="30" x14ac:dyDescent="0.25">
      <c r="B175" s="408" t="s">
        <v>615</v>
      </c>
      <c r="C175" s="390"/>
      <c r="D175" s="409" t="s">
        <v>126</v>
      </c>
      <c r="E175" s="392"/>
      <c r="F175" s="402">
        <f t="shared" si="64"/>
        <v>0</v>
      </c>
    </row>
    <row r="176" spans="2:6" x14ac:dyDescent="0.25">
      <c r="B176" s="730" t="s">
        <v>577</v>
      </c>
      <c r="C176" s="737">
        <v>0.22500000000000001</v>
      </c>
      <c r="D176" s="409"/>
      <c r="E176" s="410"/>
      <c r="F176" s="732">
        <f>ROUND(SUM(F167:F175)*C176,2)</f>
        <v>0</v>
      </c>
    </row>
    <row r="177" spans="2:6" ht="15.75" thickBot="1" x14ac:dyDescent="0.3">
      <c r="B177" s="738" t="s">
        <v>590</v>
      </c>
      <c r="C177" s="739"/>
      <c r="D177" s="403"/>
      <c r="E177" s="404"/>
      <c r="F177" s="740">
        <f>ROUND(SUM(F167:F176),2)</f>
        <v>0</v>
      </c>
    </row>
    <row r="178" spans="2:6" ht="15.75" thickBot="1" x14ac:dyDescent="0.3">
      <c r="B178" s="279"/>
      <c r="C178" s="279"/>
      <c r="D178" s="279"/>
      <c r="E178" s="279"/>
      <c r="F178" s="279"/>
    </row>
    <row r="179" spans="2:6" ht="15" customHeight="1" x14ac:dyDescent="0.25">
      <c r="B179" s="405" t="s">
        <v>618</v>
      </c>
      <c r="C179" s="1145" t="s">
        <v>567</v>
      </c>
      <c r="D179" s="1145"/>
      <c r="E179" s="728" t="s">
        <v>397</v>
      </c>
      <c r="F179" s="729">
        <f>ROUND(F186+F195+F202,1)</f>
        <v>0</v>
      </c>
    </row>
    <row r="180" spans="2:6" ht="30" x14ac:dyDescent="0.25">
      <c r="B180" s="406" t="s">
        <v>569</v>
      </c>
      <c r="C180" s="284" t="s">
        <v>570</v>
      </c>
      <c r="D180" s="284" t="s">
        <v>216</v>
      </c>
      <c r="E180" s="407" t="s">
        <v>571</v>
      </c>
      <c r="F180" s="401" t="s">
        <v>572</v>
      </c>
    </row>
    <row r="181" spans="2:6" ht="30" x14ac:dyDescent="0.25">
      <c r="B181" s="408" t="s">
        <v>617</v>
      </c>
      <c r="C181" s="390"/>
      <c r="D181" s="409" t="s">
        <v>573</v>
      </c>
      <c r="E181" s="392"/>
      <c r="F181" s="402">
        <f t="shared" ref="F181:F183" si="65">ROUND(C181*E181,2)</f>
        <v>0</v>
      </c>
    </row>
    <row r="182" spans="2:6" ht="30" x14ac:dyDescent="0.25">
      <c r="B182" s="408" t="s">
        <v>574</v>
      </c>
      <c r="C182" s="390"/>
      <c r="D182" s="409" t="s">
        <v>573</v>
      </c>
      <c r="E182" s="392"/>
      <c r="F182" s="402">
        <f t="shared" si="65"/>
        <v>0</v>
      </c>
    </row>
    <row r="183" spans="2:6" x14ac:dyDescent="0.25">
      <c r="B183" s="408" t="s">
        <v>575</v>
      </c>
      <c r="C183" s="390"/>
      <c r="D183" s="409" t="s">
        <v>576</v>
      </c>
      <c r="E183" s="392"/>
      <c r="F183" s="402">
        <f t="shared" si="65"/>
        <v>0</v>
      </c>
    </row>
    <row r="184" spans="2:6" ht="13.15" customHeight="1" x14ac:dyDescent="0.25">
      <c r="B184" s="730" t="s">
        <v>591</v>
      </c>
      <c r="C184" s="731">
        <v>1.3295999999999999</v>
      </c>
      <c r="D184" s="409"/>
      <c r="E184" s="410"/>
      <c r="F184" s="732">
        <f>ROUND(SUM(F181:F183)*C184,2)</f>
        <v>0</v>
      </c>
    </row>
    <row r="185" spans="2:6" x14ac:dyDescent="0.25">
      <c r="B185" s="730" t="s">
        <v>577</v>
      </c>
      <c r="C185" s="731">
        <v>0.22500000000000001</v>
      </c>
      <c r="D185" s="411"/>
      <c r="E185" s="410"/>
      <c r="F185" s="732">
        <f>ROUND(SUM(F181:F184)*C185,2)</f>
        <v>0</v>
      </c>
    </row>
    <row r="186" spans="2:6" x14ac:dyDescent="0.25">
      <c r="B186" s="733" t="s">
        <v>578</v>
      </c>
      <c r="C186" s="412"/>
      <c r="D186" s="734"/>
      <c r="E186" s="735"/>
      <c r="F186" s="736">
        <f>ROUND(SUM(F181:F185),2)</f>
        <v>0</v>
      </c>
    </row>
    <row r="187" spans="2:6" ht="30" x14ac:dyDescent="0.25">
      <c r="B187" s="406" t="s">
        <v>579</v>
      </c>
      <c r="C187" s="284" t="s">
        <v>570</v>
      </c>
      <c r="D187" s="284" t="s">
        <v>216</v>
      </c>
      <c r="E187" s="407" t="s">
        <v>571</v>
      </c>
      <c r="F187" s="401" t="s">
        <v>572</v>
      </c>
    </row>
    <row r="188" spans="2:6" ht="30" x14ac:dyDescent="0.25">
      <c r="B188" s="408" t="s">
        <v>617</v>
      </c>
      <c r="C188" s="390"/>
      <c r="D188" s="409" t="s">
        <v>573</v>
      </c>
      <c r="E188" s="392"/>
      <c r="F188" s="402">
        <f>ROUND(C188*E188,2)</f>
        <v>0</v>
      </c>
    </row>
    <row r="189" spans="2:6" ht="30" x14ac:dyDescent="0.25">
      <c r="B189" s="408" t="s">
        <v>574</v>
      </c>
      <c r="C189" s="390"/>
      <c r="D189" s="409" t="s">
        <v>573</v>
      </c>
      <c r="E189" s="392"/>
      <c r="F189" s="402">
        <f t="shared" ref="F189:F193" si="66">ROUND(C189*E189,2)</f>
        <v>0</v>
      </c>
    </row>
    <row r="190" spans="2:6" ht="30" x14ac:dyDescent="0.25">
      <c r="B190" s="408" t="s">
        <v>623</v>
      </c>
      <c r="C190" s="390"/>
      <c r="D190" s="409" t="s">
        <v>576</v>
      </c>
      <c r="E190" s="392"/>
      <c r="F190" s="402">
        <f t="shared" si="66"/>
        <v>0</v>
      </c>
    </row>
    <row r="191" spans="2:6" x14ac:dyDescent="0.25">
      <c r="B191" s="408" t="s">
        <v>575</v>
      </c>
      <c r="C191" s="390"/>
      <c r="D191" s="409" t="s">
        <v>576</v>
      </c>
      <c r="E191" s="392"/>
      <c r="F191" s="402">
        <f t="shared" si="66"/>
        <v>0</v>
      </c>
    </row>
    <row r="192" spans="2:6" x14ac:dyDescent="0.25">
      <c r="B192" s="408" t="s">
        <v>605</v>
      </c>
      <c r="C192" s="390"/>
      <c r="D192" s="409" t="s">
        <v>576</v>
      </c>
      <c r="E192" s="392"/>
      <c r="F192" s="402">
        <f t="shared" si="66"/>
        <v>0</v>
      </c>
    </row>
    <row r="193" spans="2:6" x14ac:dyDescent="0.25">
      <c r="B193" s="408" t="s">
        <v>583</v>
      </c>
      <c r="C193" s="390"/>
      <c r="D193" s="409" t="s">
        <v>126</v>
      </c>
      <c r="E193" s="392"/>
      <c r="F193" s="402">
        <f t="shared" si="66"/>
        <v>0</v>
      </c>
    </row>
    <row r="194" spans="2:6" x14ac:dyDescent="0.25">
      <c r="B194" s="730" t="s">
        <v>577</v>
      </c>
      <c r="C194" s="731">
        <v>0.22500000000000001</v>
      </c>
      <c r="D194" s="409"/>
      <c r="E194" s="410"/>
      <c r="F194" s="732">
        <f>ROUND(SUM(F188:F193)*C194,2)</f>
        <v>0</v>
      </c>
    </row>
    <row r="195" spans="2:6" x14ac:dyDescent="0.25">
      <c r="B195" s="733" t="s">
        <v>584</v>
      </c>
      <c r="C195" s="413"/>
      <c r="D195" s="414"/>
      <c r="E195" s="415"/>
      <c r="F195" s="736">
        <f>ROUND(SUM(F188:F194),2)</f>
        <v>0</v>
      </c>
    </row>
    <row r="196" spans="2:6" ht="30" x14ac:dyDescent="0.25">
      <c r="B196" s="406" t="s">
        <v>585</v>
      </c>
      <c r="C196" s="284" t="s">
        <v>570</v>
      </c>
      <c r="D196" s="284" t="s">
        <v>216</v>
      </c>
      <c r="E196" s="407" t="s">
        <v>571</v>
      </c>
      <c r="F196" s="401" t="s">
        <v>572</v>
      </c>
    </row>
    <row r="197" spans="2:6" ht="30" x14ac:dyDescent="0.25">
      <c r="B197" s="408" t="s">
        <v>617</v>
      </c>
      <c r="C197" s="390"/>
      <c r="D197" s="409" t="s">
        <v>573</v>
      </c>
      <c r="E197" s="392"/>
      <c r="F197" s="402">
        <f t="shared" ref="F197:F200" si="67">ROUND(C197*E197,2)</f>
        <v>0</v>
      </c>
    </row>
    <row r="198" spans="2:6" ht="30" x14ac:dyDescent="0.25">
      <c r="B198" s="408" t="s">
        <v>574</v>
      </c>
      <c r="C198" s="390"/>
      <c r="D198" s="409" t="s">
        <v>573</v>
      </c>
      <c r="E198" s="392"/>
      <c r="F198" s="402">
        <f t="shared" si="67"/>
        <v>0</v>
      </c>
    </row>
    <row r="199" spans="2:6" x14ac:dyDescent="0.25">
      <c r="B199" s="408" t="s">
        <v>605</v>
      </c>
      <c r="C199" s="390"/>
      <c r="D199" s="409" t="s">
        <v>576</v>
      </c>
      <c r="E199" s="392"/>
      <c r="F199" s="402">
        <f t="shared" si="67"/>
        <v>0</v>
      </c>
    </row>
    <row r="200" spans="2:6" x14ac:dyDescent="0.25">
      <c r="B200" s="408" t="s">
        <v>583</v>
      </c>
      <c r="C200" s="390"/>
      <c r="D200" s="409" t="s">
        <v>126</v>
      </c>
      <c r="E200" s="392"/>
      <c r="F200" s="402">
        <f t="shared" si="67"/>
        <v>0</v>
      </c>
    </row>
    <row r="201" spans="2:6" x14ac:dyDescent="0.25">
      <c r="B201" s="730" t="s">
        <v>577</v>
      </c>
      <c r="C201" s="737">
        <v>0.22500000000000001</v>
      </c>
      <c r="D201" s="409"/>
      <c r="E201" s="410"/>
      <c r="F201" s="732">
        <f>ROUND(SUM(F197:F200)*C201,2)</f>
        <v>0</v>
      </c>
    </row>
    <row r="202" spans="2:6" ht="15.75" thickBot="1" x14ac:dyDescent="0.3">
      <c r="B202" s="738" t="s">
        <v>590</v>
      </c>
      <c r="C202" s="739"/>
      <c r="D202" s="403"/>
      <c r="E202" s="404"/>
      <c r="F202" s="740">
        <f>ROUND(SUM(F197:F201),2)</f>
        <v>0</v>
      </c>
    </row>
    <row r="203" spans="2:6" ht="15.75" thickBot="1" x14ac:dyDescent="0.3">
      <c r="B203" s="279"/>
      <c r="C203" s="279"/>
      <c r="D203" s="279"/>
      <c r="E203" s="279"/>
      <c r="F203" s="279"/>
    </row>
    <row r="204" spans="2:6" x14ac:dyDescent="0.25">
      <c r="B204" s="405" t="s">
        <v>636</v>
      </c>
      <c r="C204" s="1145" t="s">
        <v>567</v>
      </c>
      <c r="D204" s="1145"/>
      <c r="E204" s="728" t="s">
        <v>568</v>
      </c>
      <c r="F204" s="729">
        <f>ROUND(F209+F217+F226,2)</f>
        <v>0</v>
      </c>
    </row>
    <row r="205" spans="2:6" ht="30" x14ac:dyDescent="0.25">
      <c r="B205" s="406" t="s">
        <v>569</v>
      </c>
      <c r="C205" s="284" t="s">
        <v>570</v>
      </c>
      <c r="D205" s="284" t="s">
        <v>216</v>
      </c>
      <c r="E205" s="407" t="s">
        <v>571</v>
      </c>
      <c r="F205" s="401" t="s">
        <v>572</v>
      </c>
    </row>
    <row r="206" spans="2:6" x14ac:dyDescent="0.25">
      <c r="B206" s="408" t="s">
        <v>575</v>
      </c>
      <c r="C206" s="390"/>
      <c r="D206" s="409" t="s">
        <v>576</v>
      </c>
      <c r="E206" s="392"/>
      <c r="F206" s="402">
        <f t="shared" ref="F206" si="68">ROUND(C206*E206,2)</f>
        <v>0</v>
      </c>
    </row>
    <row r="207" spans="2:6" x14ac:dyDescent="0.25">
      <c r="B207" s="730" t="s">
        <v>591</v>
      </c>
      <c r="C207" s="731">
        <v>1.3295999999999999</v>
      </c>
      <c r="D207" s="409"/>
      <c r="E207" s="410"/>
      <c r="F207" s="732">
        <f>ROUND(SUM(F206:F206)*C207,2)</f>
        <v>0</v>
      </c>
    </row>
    <row r="208" spans="2:6" x14ac:dyDescent="0.25">
      <c r="B208" s="730" t="s">
        <v>577</v>
      </c>
      <c r="C208" s="731">
        <v>0.22500000000000001</v>
      </c>
      <c r="D208" s="411"/>
      <c r="E208" s="410"/>
      <c r="F208" s="732">
        <f>ROUND(SUM(F206:F207)*C208,2)</f>
        <v>0</v>
      </c>
    </row>
    <row r="209" spans="2:6" x14ac:dyDescent="0.25">
      <c r="B209" s="733" t="s">
        <v>578</v>
      </c>
      <c r="C209" s="412"/>
      <c r="D209" s="734"/>
      <c r="E209" s="735"/>
      <c r="F209" s="736">
        <f>ROUND(SUM(F206:F208),2)</f>
        <v>0</v>
      </c>
    </row>
    <row r="210" spans="2:6" ht="30" x14ac:dyDescent="0.25">
      <c r="B210" s="406" t="s">
        <v>579</v>
      </c>
      <c r="C210" s="284" t="s">
        <v>570</v>
      </c>
      <c r="D210" s="284" t="s">
        <v>216</v>
      </c>
      <c r="E210" s="407" t="s">
        <v>571</v>
      </c>
      <c r="F210" s="401" t="s">
        <v>572</v>
      </c>
    </row>
    <row r="211" spans="2:6" x14ac:dyDescent="0.25">
      <c r="B211" s="408" t="s">
        <v>582</v>
      </c>
      <c r="C211" s="390"/>
      <c r="D211" s="409" t="s">
        <v>581</v>
      </c>
      <c r="E211" s="392"/>
      <c r="F211" s="402">
        <f t="shared" ref="F211:F215" si="69">ROUND(C211*E211,2)</f>
        <v>0</v>
      </c>
    </row>
    <row r="212" spans="2:6" ht="30" x14ac:dyDescent="0.25">
      <c r="B212" s="408" t="s">
        <v>604</v>
      </c>
      <c r="C212" s="390"/>
      <c r="D212" s="409" t="s">
        <v>576</v>
      </c>
      <c r="E212" s="392"/>
      <c r="F212" s="402">
        <f t="shared" si="69"/>
        <v>0</v>
      </c>
    </row>
    <row r="213" spans="2:6" x14ac:dyDescent="0.25">
      <c r="B213" s="408" t="s">
        <v>575</v>
      </c>
      <c r="C213" s="390"/>
      <c r="D213" s="409" t="s">
        <v>576</v>
      </c>
      <c r="E213" s="392"/>
      <c r="F213" s="402">
        <f t="shared" si="69"/>
        <v>0</v>
      </c>
    </row>
    <row r="214" spans="2:6" x14ac:dyDescent="0.25">
      <c r="B214" s="408" t="s">
        <v>609</v>
      </c>
      <c r="C214" s="390"/>
      <c r="D214" s="409" t="s">
        <v>576</v>
      </c>
      <c r="E214" s="392"/>
      <c r="F214" s="402">
        <f t="shared" si="69"/>
        <v>0</v>
      </c>
    </row>
    <row r="215" spans="2:6" x14ac:dyDescent="0.25">
      <c r="B215" s="408" t="s">
        <v>583</v>
      </c>
      <c r="C215" s="390"/>
      <c r="D215" s="409" t="s">
        <v>126</v>
      </c>
      <c r="E215" s="392"/>
      <c r="F215" s="402">
        <f t="shared" si="69"/>
        <v>0</v>
      </c>
    </row>
    <row r="216" spans="2:6" x14ac:dyDescent="0.25">
      <c r="B216" s="730" t="s">
        <v>577</v>
      </c>
      <c r="C216" s="731">
        <v>0.22500000000000001</v>
      </c>
      <c r="D216" s="409"/>
      <c r="E216" s="410"/>
      <c r="F216" s="732">
        <f>ROUND(SUM(F211:F215)*C216,2)</f>
        <v>0</v>
      </c>
    </row>
    <row r="217" spans="2:6" x14ac:dyDescent="0.25">
      <c r="B217" s="733" t="s">
        <v>584</v>
      </c>
      <c r="C217" s="413"/>
      <c r="D217" s="414"/>
      <c r="E217" s="415"/>
      <c r="F217" s="736">
        <f>ROUND(SUM(F211:F216),2)</f>
        <v>0</v>
      </c>
    </row>
    <row r="218" spans="2:6" ht="30" x14ac:dyDescent="0.25">
      <c r="B218" s="406" t="s">
        <v>585</v>
      </c>
      <c r="C218" s="284" t="s">
        <v>570</v>
      </c>
      <c r="D218" s="284" t="s">
        <v>216</v>
      </c>
      <c r="E218" s="407" t="s">
        <v>571</v>
      </c>
      <c r="F218" s="401" t="s">
        <v>572</v>
      </c>
    </row>
    <row r="219" spans="2:6" x14ac:dyDescent="0.25">
      <c r="B219" s="408" t="s">
        <v>605</v>
      </c>
      <c r="C219" s="390"/>
      <c r="D219" s="409" t="s">
        <v>576</v>
      </c>
      <c r="E219" s="392"/>
      <c r="F219" s="402">
        <f t="shared" ref="F219:F221" si="70">ROUND(C219*E219,2)</f>
        <v>0</v>
      </c>
    </row>
    <row r="220" spans="2:6" x14ac:dyDescent="0.25">
      <c r="B220" s="408" t="s">
        <v>583</v>
      </c>
      <c r="C220" s="390"/>
      <c r="D220" s="409" t="s">
        <v>126</v>
      </c>
      <c r="E220" s="392"/>
      <c r="F220" s="402">
        <f t="shared" si="70"/>
        <v>0</v>
      </c>
    </row>
    <row r="221" spans="2:6" ht="30" x14ac:dyDescent="0.25">
      <c r="B221" s="408" t="s">
        <v>624</v>
      </c>
      <c r="C221" s="390"/>
      <c r="D221" s="409" t="s">
        <v>568</v>
      </c>
      <c r="E221" s="392"/>
      <c r="F221" s="402">
        <f t="shared" si="70"/>
        <v>0</v>
      </c>
    </row>
    <row r="222" spans="2:6" ht="30" x14ac:dyDescent="0.25">
      <c r="B222" s="408" t="s">
        <v>625</v>
      </c>
      <c r="C222" s="390"/>
      <c r="D222" s="409" t="s">
        <v>126</v>
      </c>
      <c r="E222" s="392"/>
      <c r="F222" s="402">
        <f>ROUND(C222*E222,2)</f>
        <v>0</v>
      </c>
    </row>
    <row r="223" spans="2:6" ht="30" x14ac:dyDescent="0.25">
      <c r="B223" s="408" t="s">
        <v>634</v>
      </c>
      <c r="C223" s="390"/>
      <c r="D223" s="409" t="s">
        <v>568</v>
      </c>
      <c r="E223" s="392"/>
      <c r="F223" s="402">
        <f t="shared" ref="F223" si="71">ROUND(C223*E223,2)</f>
        <v>0</v>
      </c>
    </row>
    <row r="224" spans="2:6" ht="30" x14ac:dyDescent="0.25">
      <c r="B224" s="408" t="s">
        <v>635</v>
      </c>
      <c r="C224" s="390"/>
      <c r="D224" s="409" t="s">
        <v>126</v>
      </c>
      <c r="E224" s="392"/>
      <c r="F224" s="402">
        <f>ROUND(C224*E224,2)</f>
        <v>0</v>
      </c>
    </row>
    <row r="225" spans="2:6" x14ac:dyDescent="0.25">
      <c r="B225" s="730" t="s">
        <v>577</v>
      </c>
      <c r="C225" s="737">
        <v>0.22500000000000001</v>
      </c>
      <c r="D225" s="409"/>
      <c r="E225" s="410"/>
      <c r="F225" s="732">
        <f>ROUND(SUM(F219:F222)*C225,2)</f>
        <v>0</v>
      </c>
    </row>
    <row r="226" spans="2:6" ht="15.75" thickBot="1" x14ac:dyDescent="0.3">
      <c r="B226" s="738" t="s">
        <v>590</v>
      </c>
      <c r="C226" s="739"/>
      <c r="D226" s="403"/>
      <c r="E226" s="404"/>
      <c r="F226" s="740">
        <f>ROUND(SUM(F219:F225),2)</f>
        <v>0</v>
      </c>
    </row>
    <row r="227" spans="2:6" ht="15.75" thickBot="1" x14ac:dyDescent="0.3">
      <c r="B227" s="279"/>
      <c r="C227" s="279"/>
      <c r="D227" s="279"/>
      <c r="E227" s="279"/>
      <c r="F227" s="279"/>
    </row>
    <row r="228" spans="2:6" x14ac:dyDescent="0.25">
      <c r="B228" s="405" t="s">
        <v>633</v>
      </c>
      <c r="C228" s="1145" t="s">
        <v>567</v>
      </c>
      <c r="D228" s="1145"/>
      <c r="E228" s="728" t="s">
        <v>126</v>
      </c>
      <c r="F228" s="729">
        <f>ROUND(F233+F241+F250,2)</f>
        <v>0</v>
      </c>
    </row>
    <row r="229" spans="2:6" ht="30" x14ac:dyDescent="0.25">
      <c r="B229" s="406" t="s">
        <v>569</v>
      </c>
      <c r="C229" s="284" t="s">
        <v>570</v>
      </c>
      <c r="D229" s="284" t="s">
        <v>216</v>
      </c>
      <c r="E229" s="407" t="s">
        <v>571</v>
      </c>
      <c r="F229" s="401" t="s">
        <v>572</v>
      </c>
    </row>
    <row r="230" spans="2:6" x14ac:dyDescent="0.25">
      <c r="B230" s="408" t="s">
        <v>575</v>
      </c>
      <c r="C230" s="390"/>
      <c r="D230" s="409" t="s">
        <v>576</v>
      </c>
      <c r="E230" s="392"/>
      <c r="F230" s="402">
        <f t="shared" ref="F230" si="72">ROUND(C230*E230,2)</f>
        <v>0</v>
      </c>
    </row>
    <row r="231" spans="2:6" x14ac:dyDescent="0.25">
      <c r="B231" s="730" t="s">
        <v>591</v>
      </c>
      <c r="C231" s="731">
        <v>1.3295999999999999</v>
      </c>
      <c r="D231" s="409"/>
      <c r="E231" s="410"/>
      <c r="F231" s="732">
        <f>ROUND(SUM(F230:F230)*C231,2)</f>
        <v>0</v>
      </c>
    </row>
    <row r="232" spans="2:6" x14ac:dyDescent="0.25">
      <c r="B232" s="730" t="s">
        <v>577</v>
      </c>
      <c r="C232" s="731">
        <v>0.22500000000000001</v>
      </c>
      <c r="D232" s="411"/>
      <c r="E232" s="410"/>
      <c r="F232" s="732">
        <f>ROUND(SUM(F230:F231)*C232,2)</f>
        <v>0</v>
      </c>
    </row>
    <row r="233" spans="2:6" x14ac:dyDescent="0.25">
      <c r="B233" s="733" t="s">
        <v>578</v>
      </c>
      <c r="C233" s="412"/>
      <c r="D233" s="734"/>
      <c r="E233" s="735"/>
      <c r="F233" s="736">
        <f>ROUND(SUM(F230:F232),2)</f>
        <v>0</v>
      </c>
    </row>
    <row r="234" spans="2:6" ht="30" x14ac:dyDescent="0.25">
      <c r="B234" s="406" t="s">
        <v>579</v>
      </c>
      <c r="C234" s="284" t="s">
        <v>570</v>
      </c>
      <c r="D234" s="284" t="s">
        <v>216</v>
      </c>
      <c r="E234" s="407" t="s">
        <v>571</v>
      </c>
      <c r="F234" s="401" t="s">
        <v>572</v>
      </c>
    </row>
    <row r="235" spans="2:6" x14ac:dyDescent="0.25">
      <c r="B235" s="408" t="s">
        <v>582</v>
      </c>
      <c r="C235" s="390"/>
      <c r="D235" s="409" t="s">
        <v>581</v>
      </c>
      <c r="E235" s="392"/>
      <c r="F235" s="402">
        <f t="shared" ref="F235:F239" si="73">ROUND(C235*E235,2)</f>
        <v>0</v>
      </c>
    </row>
    <row r="236" spans="2:6" ht="30" x14ac:dyDescent="0.25">
      <c r="B236" s="408" t="s">
        <v>604</v>
      </c>
      <c r="C236" s="390"/>
      <c r="D236" s="409" t="s">
        <v>576</v>
      </c>
      <c r="E236" s="392"/>
      <c r="F236" s="402">
        <f t="shared" si="73"/>
        <v>0</v>
      </c>
    </row>
    <row r="237" spans="2:6" x14ac:dyDescent="0.25">
      <c r="B237" s="408" t="s">
        <v>575</v>
      </c>
      <c r="C237" s="390"/>
      <c r="D237" s="409" t="s">
        <v>576</v>
      </c>
      <c r="E237" s="392"/>
      <c r="F237" s="402">
        <f t="shared" si="73"/>
        <v>0</v>
      </c>
    </row>
    <row r="238" spans="2:6" x14ac:dyDescent="0.25">
      <c r="B238" s="408" t="s">
        <v>605</v>
      </c>
      <c r="C238" s="390"/>
      <c r="D238" s="409" t="s">
        <v>576</v>
      </c>
      <c r="E238" s="392"/>
      <c r="F238" s="402">
        <f t="shared" si="73"/>
        <v>0</v>
      </c>
    </row>
    <row r="239" spans="2:6" x14ac:dyDescent="0.25">
      <c r="B239" s="408" t="s">
        <v>583</v>
      </c>
      <c r="C239" s="390"/>
      <c r="D239" s="409" t="s">
        <v>126</v>
      </c>
      <c r="E239" s="392"/>
      <c r="F239" s="402">
        <f t="shared" si="73"/>
        <v>0</v>
      </c>
    </row>
    <row r="240" spans="2:6" x14ac:dyDescent="0.25">
      <c r="B240" s="730" t="s">
        <v>577</v>
      </c>
      <c r="C240" s="731">
        <v>0.22500000000000001</v>
      </c>
      <c r="D240" s="409"/>
      <c r="E240" s="410"/>
      <c r="F240" s="732">
        <f>ROUND(SUM(F235:F239)*C240,2)</f>
        <v>0</v>
      </c>
    </row>
    <row r="241" spans="2:6" x14ac:dyDescent="0.25">
      <c r="B241" s="733" t="s">
        <v>584</v>
      </c>
      <c r="C241" s="413"/>
      <c r="D241" s="414"/>
      <c r="E241" s="415"/>
      <c r="F241" s="736">
        <f>ROUND(SUM(F235:F240),2)</f>
        <v>0</v>
      </c>
    </row>
    <row r="242" spans="2:6" ht="30" x14ac:dyDescent="0.25">
      <c r="B242" s="406" t="s">
        <v>585</v>
      </c>
      <c r="C242" s="284" t="s">
        <v>570</v>
      </c>
      <c r="D242" s="284" t="s">
        <v>216</v>
      </c>
      <c r="E242" s="407" t="s">
        <v>571</v>
      </c>
      <c r="F242" s="401" t="s">
        <v>572</v>
      </c>
    </row>
    <row r="243" spans="2:6" x14ac:dyDescent="0.25">
      <c r="B243" s="408" t="s">
        <v>605</v>
      </c>
      <c r="C243" s="390"/>
      <c r="D243" s="409" t="s">
        <v>576</v>
      </c>
      <c r="E243" s="392"/>
      <c r="F243" s="402">
        <f t="shared" ref="F243:F245" si="74">ROUND(C243*E243,2)</f>
        <v>0</v>
      </c>
    </row>
    <row r="244" spans="2:6" x14ac:dyDescent="0.25">
      <c r="B244" s="408" t="s">
        <v>583</v>
      </c>
      <c r="C244" s="390"/>
      <c r="D244" s="409" t="s">
        <v>126</v>
      </c>
      <c r="E244" s="392"/>
      <c r="F244" s="402">
        <f t="shared" si="74"/>
        <v>0</v>
      </c>
    </row>
    <row r="245" spans="2:6" ht="30" x14ac:dyDescent="0.25">
      <c r="B245" s="408" t="s">
        <v>624</v>
      </c>
      <c r="C245" s="390"/>
      <c r="D245" s="409" t="s">
        <v>568</v>
      </c>
      <c r="E245" s="392"/>
      <c r="F245" s="402">
        <f t="shared" si="74"/>
        <v>0</v>
      </c>
    </row>
    <row r="246" spans="2:6" ht="30" x14ac:dyDescent="0.25">
      <c r="B246" s="408" t="s">
        <v>625</v>
      </c>
      <c r="C246" s="390"/>
      <c r="D246" s="409" t="s">
        <v>126</v>
      </c>
      <c r="E246" s="392"/>
      <c r="F246" s="402">
        <f>ROUND(C246*E246,2)</f>
        <v>0</v>
      </c>
    </row>
    <row r="247" spans="2:6" ht="30" x14ac:dyDescent="0.25">
      <c r="B247" s="408" t="s">
        <v>634</v>
      </c>
      <c r="C247" s="390"/>
      <c r="D247" s="409" t="s">
        <v>568</v>
      </c>
      <c r="E247" s="392"/>
      <c r="F247" s="402">
        <f t="shared" ref="F247" si="75">ROUND(C247*E247,2)</f>
        <v>0</v>
      </c>
    </row>
    <row r="248" spans="2:6" ht="30" x14ac:dyDescent="0.25">
      <c r="B248" s="408" t="s">
        <v>635</v>
      </c>
      <c r="C248" s="390"/>
      <c r="D248" s="409" t="s">
        <v>126</v>
      </c>
      <c r="E248" s="392"/>
      <c r="F248" s="402">
        <f>ROUND(C248*E248,2)</f>
        <v>0</v>
      </c>
    </row>
    <row r="249" spans="2:6" x14ac:dyDescent="0.25">
      <c r="B249" s="730" t="s">
        <v>577</v>
      </c>
      <c r="C249" s="737">
        <v>0.22500000000000001</v>
      </c>
      <c r="D249" s="409"/>
      <c r="E249" s="410"/>
      <c r="F249" s="732">
        <f>ROUND(SUM(F243:F246)*C249,2)</f>
        <v>0</v>
      </c>
    </row>
    <row r="250" spans="2:6" ht="15.75" thickBot="1" x14ac:dyDescent="0.3">
      <c r="B250" s="738" t="s">
        <v>590</v>
      </c>
      <c r="C250" s="739"/>
      <c r="D250" s="403"/>
      <c r="E250" s="404"/>
      <c r="F250" s="740">
        <f>ROUND(SUM(F243:F249),2)</f>
        <v>0</v>
      </c>
    </row>
    <row r="251" spans="2:6" ht="15.75" thickBot="1" x14ac:dyDescent="0.3">
      <c r="B251" s="279"/>
      <c r="C251" s="279"/>
      <c r="D251" s="279"/>
      <c r="E251" s="279"/>
      <c r="F251" s="279"/>
    </row>
    <row r="252" spans="2:6" x14ac:dyDescent="0.25">
      <c r="B252" s="405" t="s">
        <v>637</v>
      </c>
      <c r="C252" s="1145" t="s">
        <v>567</v>
      </c>
      <c r="D252" s="1145"/>
      <c r="E252" s="728" t="s">
        <v>568</v>
      </c>
      <c r="F252" s="729">
        <f>ROUND(F257+F265+F272,2)</f>
        <v>0</v>
      </c>
    </row>
    <row r="253" spans="2:6" ht="30" x14ac:dyDescent="0.25">
      <c r="B253" s="406" t="s">
        <v>569</v>
      </c>
      <c r="C253" s="284" t="s">
        <v>570</v>
      </c>
      <c r="D253" s="284" t="s">
        <v>216</v>
      </c>
      <c r="E253" s="407" t="s">
        <v>571</v>
      </c>
      <c r="F253" s="401" t="s">
        <v>572</v>
      </c>
    </row>
    <row r="254" spans="2:6" x14ac:dyDescent="0.25">
      <c r="B254" s="408" t="s">
        <v>575</v>
      </c>
      <c r="C254" s="390"/>
      <c r="D254" s="409" t="s">
        <v>576</v>
      </c>
      <c r="E254" s="392"/>
      <c r="F254" s="402">
        <f t="shared" ref="F254" si="76">ROUND(C254*E254,2)</f>
        <v>0</v>
      </c>
    </row>
    <row r="255" spans="2:6" x14ac:dyDescent="0.25">
      <c r="B255" s="730" t="s">
        <v>591</v>
      </c>
      <c r="C255" s="731">
        <v>1.3295999999999999</v>
      </c>
      <c r="D255" s="409"/>
      <c r="E255" s="410"/>
      <c r="F255" s="732">
        <f>ROUND(SUM(F254:F254)*C255,2)</f>
        <v>0</v>
      </c>
    </row>
    <row r="256" spans="2:6" x14ac:dyDescent="0.25">
      <c r="B256" s="730" t="s">
        <v>577</v>
      </c>
      <c r="C256" s="731">
        <v>0.22500000000000001</v>
      </c>
      <c r="D256" s="411"/>
      <c r="E256" s="410"/>
      <c r="F256" s="732">
        <f>ROUND(SUM(F254:F255)*C256,2)</f>
        <v>0</v>
      </c>
    </row>
    <row r="257" spans="2:6" x14ac:dyDescent="0.25">
      <c r="B257" s="733" t="s">
        <v>578</v>
      </c>
      <c r="C257" s="412"/>
      <c r="D257" s="734"/>
      <c r="E257" s="735"/>
      <c r="F257" s="736">
        <f>ROUND(SUM(F254:F256),2)</f>
        <v>0</v>
      </c>
    </row>
    <row r="258" spans="2:6" ht="30" x14ac:dyDescent="0.25">
      <c r="B258" s="406" t="s">
        <v>579</v>
      </c>
      <c r="C258" s="284" t="s">
        <v>570</v>
      </c>
      <c r="D258" s="284" t="s">
        <v>216</v>
      </c>
      <c r="E258" s="407" t="s">
        <v>571</v>
      </c>
      <c r="F258" s="401" t="s">
        <v>572</v>
      </c>
    </row>
    <row r="259" spans="2:6" x14ac:dyDescent="0.25">
      <c r="B259" s="408" t="s">
        <v>582</v>
      </c>
      <c r="C259" s="390"/>
      <c r="D259" s="409" t="s">
        <v>581</v>
      </c>
      <c r="E259" s="392"/>
      <c r="F259" s="402">
        <f t="shared" ref="F259:F263" si="77">ROUND(C259*E259,2)</f>
        <v>0</v>
      </c>
    </row>
    <row r="260" spans="2:6" ht="30" x14ac:dyDescent="0.25">
      <c r="B260" s="408" t="s">
        <v>604</v>
      </c>
      <c r="C260" s="390"/>
      <c r="D260" s="409" t="s">
        <v>576</v>
      </c>
      <c r="E260" s="392"/>
      <c r="F260" s="402">
        <f t="shared" si="77"/>
        <v>0</v>
      </c>
    </row>
    <row r="261" spans="2:6" x14ac:dyDescent="0.25">
      <c r="B261" s="408" t="s">
        <v>575</v>
      </c>
      <c r="C261" s="390"/>
      <c r="D261" s="409" t="s">
        <v>576</v>
      </c>
      <c r="E261" s="392"/>
      <c r="F261" s="402">
        <f t="shared" si="77"/>
        <v>0</v>
      </c>
    </row>
    <row r="262" spans="2:6" x14ac:dyDescent="0.25">
      <c r="B262" s="408" t="s">
        <v>609</v>
      </c>
      <c r="C262" s="390"/>
      <c r="D262" s="409" t="s">
        <v>576</v>
      </c>
      <c r="E262" s="392"/>
      <c r="F262" s="402">
        <f t="shared" si="77"/>
        <v>0</v>
      </c>
    </row>
    <row r="263" spans="2:6" x14ac:dyDescent="0.25">
      <c r="B263" s="408" t="s">
        <v>583</v>
      </c>
      <c r="C263" s="417"/>
      <c r="D263" s="409" t="s">
        <v>126</v>
      </c>
      <c r="E263" s="392"/>
      <c r="F263" s="402">
        <f t="shared" si="77"/>
        <v>0</v>
      </c>
    </row>
    <row r="264" spans="2:6" x14ac:dyDescent="0.25">
      <c r="B264" s="730" t="s">
        <v>577</v>
      </c>
      <c r="C264" s="731">
        <v>0.22500000000000001</v>
      </c>
      <c r="D264" s="409"/>
      <c r="E264" s="410"/>
      <c r="F264" s="732">
        <f>ROUND(SUM(F259:F263)*C264,2)</f>
        <v>0</v>
      </c>
    </row>
    <row r="265" spans="2:6" x14ac:dyDescent="0.25">
      <c r="B265" s="733" t="s">
        <v>584</v>
      </c>
      <c r="C265" s="413"/>
      <c r="D265" s="414"/>
      <c r="E265" s="415"/>
      <c r="F265" s="736">
        <f>ROUND(SUM(F259:F264),2)</f>
        <v>0</v>
      </c>
    </row>
    <row r="266" spans="2:6" ht="30" x14ac:dyDescent="0.25">
      <c r="B266" s="406" t="s">
        <v>585</v>
      </c>
      <c r="C266" s="284" t="s">
        <v>570</v>
      </c>
      <c r="D266" s="284" t="s">
        <v>216</v>
      </c>
      <c r="E266" s="407" t="s">
        <v>571</v>
      </c>
      <c r="F266" s="401" t="s">
        <v>572</v>
      </c>
    </row>
    <row r="267" spans="2:6" x14ac:dyDescent="0.25">
      <c r="B267" s="408" t="s">
        <v>605</v>
      </c>
      <c r="C267" s="390"/>
      <c r="D267" s="409" t="s">
        <v>576</v>
      </c>
      <c r="E267" s="392"/>
      <c r="F267" s="402">
        <f t="shared" ref="F267:F269" si="78">ROUND(C267*E267,2)</f>
        <v>0</v>
      </c>
    </row>
    <row r="268" spans="2:6" x14ac:dyDescent="0.25">
      <c r="B268" s="408" t="s">
        <v>583</v>
      </c>
      <c r="C268" s="417"/>
      <c r="D268" s="409" t="s">
        <v>126</v>
      </c>
      <c r="E268" s="392"/>
      <c r="F268" s="402">
        <f t="shared" si="78"/>
        <v>0</v>
      </c>
    </row>
    <row r="269" spans="2:6" ht="30" x14ac:dyDescent="0.25">
      <c r="B269" s="408" t="s">
        <v>624</v>
      </c>
      <c r="C269" s="390"/>
      <c r="D269" s="409" t="s">
        <v>568</v>
      </c>
      <c r="E269" s="392"/>
      <c r="F269" s="402">
        <f t="shared" si="78"/>
        <v>0</v>
      </c>
    </row>
    <row r="270" spans="2:6" ht="30" x14ac:dyDescent="0.25">
      <c r="B270" s="408" t="s">
        <v>622</v>
      </c>
      <c r="C270" s="390"/>
      <c r="D270" s="409" t="s">
        <v>126</v>
      </c>
      <c r="E270" s="392"/>
      <c r="F270" s="402">
        <f>ROUND(C270*E270,2)</f>
        <v>0</v>
      </c>
    </row>
    <row r="271" spans="2:6" x14ac:dyDescent="0.25">
      <c r="B271" s="730" t="s">
        <v>577</v>
      </c>
      <c r="C271" s="737">
        <v>0.22500000000000001</v>
      </c>
      <c r="D271" s="409"/>
      <c r="E271" s="410"/>
      <c r="F271" s="732">
        <f>ROUND(SUM(F267:F270)*C271,2)</f>
        <v>0</v>
      </c>
    </row>
    <row r="272" spans="2:6" ht="15.75" thickBot="1" x14ac:dyDescent="0.3">
      <c r="B272" s="738" t="s">
        <v>590</v>
      </c>
      <c r="C272" s="739"/>
      <c r="D272" s="403"/>
      <c r="E272" s="404"/>
      <c r="F272" s="740">
        <f>ROUND(SUM(F267:F271),2)</f>
        <v>0</v>
      </c>
    </row>
    <row r="273" spans="2:6" ht="15.75" thickBot="1" x14ac:dyDescent="0.3">
      <c r="B273" s="279"/>
      <c r="C273" s="279"/>
      <c r="D273" s="279"/>
      <c r="E273" s="279"/>
      <c r="F273" s="279"/>
    </row>
    <row r="274" spans="2:6" ht="30" x14ac:dyDescent="0.25">
      <c r="B274" s="405" t="s">
        <v>626</v>
      </c>
      <c r="C274" s="1145" t="s">
        <v>567</v>
      </c>
      <c r="D274" s="1145"/>
      <c r="E274" s="728" t="s">
        <v>568</v>
      </c>
      <c r="F274" s="729">
        <f>ROUND(F281+F287+F295,2)</f>
        <v>0</v>
      </c>
    </row>
    <row r="275" spans="2:6" ht="30" x14ac:dyDescent="0.25">
      <c r="B275" s="406" t="s">
        <v>569</v>
      </c>
      <c r="C275" s="284" t="s">
        <v>570</v>
      </c>
      <c r="D275" s="284" t="s">
        <v>216</v>
      </c>
      <c r="E275" s="407" t="s">
        <v>571</v>
      </c>
      <c r="F275" s="401" t="s">
        <v>572</v>
      </c>
    </row>
    <row r="276" spans="2:6" x14ac:dyDescent="0.25">
      <c r="B276" s="408" t="s">
        <v>627</v>
      </c>
      <c r="C276" s="390"/>
      <c r="D276" s="409" t="s">
        <v>607</v>
      </c>
      <c r="E276" s="392"/>
      <c r="F276" s="402">
        <f>ROUND(C276*E276,2)</f>
        <v>0</v>
      </c>
    </row>
    <row r="277" spans="2:6" x14ac:dyDescent="0.25">
      <c r="B277" s="408" t="s">
        <v>628</v>
      </c>
      <c r="C277" s="390"/>
      <c r="D277" s="409" t="s">
        <v>607</v>
      </c>
      <c r="E277" s="392"/>
      <c r="F277" s="402">
        <f>ROUND(C277*E277,2)</f>
        <v>0</v>
      </c>
    </row>
    <row r="278" spans="2:6" x14ac:dyDescent="0.25">
      <c r="B278" s="408" t="s">
        <v>575</v>
      </c>
      <c r="C278" s="390"/>
      <c r="D278" s="409" t="s">
        <v>576</v>
      </c>
      <c r="E278" s="392"/>
      <c r="F278" s="402">
        <f t="shared" ref="F278" si="79">ROUND(C278*E278,2)</f>
        <v>0</v>
      </c>
    </row>
    <row r="279" spans="2:6" x14ac:dyDescent="0.25">
      <c r="B279" s="730" t="s">
        <v>591</v>
      </c>
      <c r="C279" s="731">
        <v>1.3295999999999999</v>
      </c>
      <c r="D279" s="409"/>
      <c r="E279" s="410"/>
      <c r="F279" s="732">
        <f>ROUND(SUM(F276:F278)*C279,2)</f>
        <v>0</v>
      </c>
    </row>
    <row r="280" spans="2:6" x14ac:dyDescent="0.25">
      <c r="B280" s="730" t="s">
        <v>577</v>
      </c>
      <c r="C280" s="731">
        <v>0.22500000000000001</v>
      </c>
      <c r="D280" s="411"/>
      <c r="E280" s="410"/>
      <c r="F280" s="732">
        <f>ROUND(SUM(F276:F279)*C280,2)</f>
        <v>0</v>
      </c>
    </row>
    <row r="281" spans="2:6" x14ac:dyDescent="0.25">
      <c r="B281" s="733" t="s">
        <v>578</v>
      </c>
      <c r="C281" s="412"/>
      <c r="D281" s="734"/>
      <c r="E281" s="735"/>
      <c r="F281" s="736">
        <f>ROUND(SUM(F276:F280),2)</f>
        <v>0</v>
      </c>
    </row>
    <row r="282" spans="2:6" ht="30" x14ac:dyDescent="0.25">
      <c r="B282" s="406" t="s">
        <v>579</v>
      </c>
      <c r="C282" s="284" t="s">
        <v>570</v>
      </c>
      <c r="D282" s="284" t="s">
        <v>216</v>
      </c>
      <c r="E282" s="407" t="s">
        <v>571</v>
      </c>
      <c r="F282" s="401" t="s">
        <v>572</v>
      </c>
    </row>
    <row r="283" spans="2:6" ht="30" x14ac:dyDescent="0.25">
      <c r="B283" s="408" t="s">
        <v>604</v>
      </c>
      <c r="C283" s="390"/>
      <c r="D283" s="409" t="s">
        <v>576</v>
      </c>
      <c r="E283" s="392"/>
      <c r="F283" s="402">
        <f t="shared" ref="F283:F285" si="80">ROUND(C283*E283,2)</f>
        <v>0</v>
      </c>
    </row>
    <row r="284" spans="2:6" x14ac:dyDescent="0.25">
      <c r="B284" s="408" t="s">
        <v>575</v>
      </c>
      <c r="C284" s="390"/>
      <c r="D284" s="409" t="s">
        <v>576</v>
      </c>
      <c r="E284" s="392"/>
      <c r="F284" s="402">
        <f t="shared" si="80"/>
        <v>0</v>
      </c>
    </row>
    <row r="285" spans="2:6" x14ac:dyDescent="0.25">
      <c r="B285" s="408" t="s">
        <v>605</v>
      </c>
      <c r="C285" s="390"/>
      <c r="D285" s="409" t="s">
        <v>576</v>
      </c>
      <c r="E285" s="392"/>
      <c r="F285" s="402">
        <f t="shared" si="80"/>
        <v>0</v>
      </c>
    </row>
    <row r="286" spans="2:6" x14ac:dyDescent="0.25">
      <c r="B286" s="730" t="s">
        <v>577</v>
      </c>
      <c r="C286" s="731">
        <v>0.22500000000000001</v>
      </c>
      <c r="D286" s="409"/>
      <c r="E286" s="410"/>
      <c r="F286" s="732">
        <f>ROUND(SUM(F283:F285)*C286,2)</f>
        <v>0</v>
      </c>
    </row>
    <row r="287" spans="2:6" x14ac:dyDescent="0.25">
      <c r="B287" s="733" t="s">
        <v>584</v>
      </c>
      <c r="C287" s="413"/>
      <c r="D287" s="414"/>
      <c r="E287" s="415"/>
      <c r="F287" s="736">
        <f>ROUND(SUM(F283:F286),2)</f>
        <v>0</v>
      </c>
    </row>
    <row r="288" spans="2:6" ht="30" x14ac:dyDescent="0.25">
      <c r="B288" s="406" t="s">
        <v>585</v>
      </c>
      <c r="C288" s="284" t="s">
        <v>570</v>
      </c>
      <c r="D288" s="284" t="s">
        <v>216</v>
      </c>
      <c r="E288" s="407" t="s">
        <v>571</v>
      </c>
      <c r="F288" s="401" t="s">
        <v>572</v>
      </c>
    </row>
    <row r="289" spans="2:8" x14ac:dyDescent="0.25">
      <c r="B289" s="408" t="s">
        <v>605</v>
      </c>
      <c r="C289" s="390"/>
      <c r="D289" s="409" t="s">
        <v>576</v>
      </c>
      <c r="E289" s="392"/>
      <c r="F289" s="402">
        <f t="shared" ref="F289:F293" si="81">ROUND(C289*E289,2)</f>
        <v>0</v>
      </c>
    </row>
    <row r="290" spans="2:8" x14ac:dyDescent="0.25">
      <c r="B290" s="408" t="s">
        <v>629</v>
      </c>
      <c r="C290" s="390"/>
      <c r="D290" s="409" t="s">
        <v>546</v>
      </c>
      <c r="E290" s="392"/>
      <c r="F290" s="402">
        <f t="shared" si="81"/>
        <v>0</v>
      </c>
    </row>
    <row r="291" spans="2:8" x14ac:dyDescent="0.25">
      <c r="B291" s="408" t="s">
        <v>630</v>
      </c>
      <c r="C291" s="390"/>
      <c r="D291" s="409" t="s">
        <v>576</v>
      </c>
      <c r="E291" s="392"/>
      <c r="F291" s="402">
        <f t="shared" si="81"/>
        <v>0</v>
      </c>
    </row>
    <row r="292" spans="2:8" x14ac:dyDescent="0.25">
      <c r="B292" s="408" t="s">
        <v>631</v>
      </c>
      <c r="C292" s="418"/>
      <c r="D292" s="409" t="s">
        <v>546</v>
      </c>
      <c r="E292" s="392"/>
      <c r="F292" s="402">
        <f t="shared" si="81"/>
        <v>0</v>
      </c>
    </row>
    <row r="293" spans="2:8" x14ac:dyDescent="0.25">
      <c r="B293" s="408" t="s">
        <v>632</v>
      </c>
      <c r="C293" s="418"/>
      <c r="D293" s="409" t="s">
        <v>568</v>
      </c>
      <c r="E293" s="392"/>
      <c r="F293" s="402">
        <f t="shared" si="81"/>
        <v>0</v>
      </c>
    </row>
    <row r="294" spans="2:8" x14ac:dyDescent="0.25">
      <c r="B294" s="730" t="s">
        <v>577</v>
      </c>
      <c r="C294" s="737">
        <v>0.22500000000000001</v>
      </c>
      <c r="D294" s="409"/>
      <c r="E294" s="410"/>
      <c r="F294" s="732">
        <f>ROUND(SUM(F289:F293)*C294,2)</f>
        <v>0</v>
      </c>
    </row>
    <row r="295" spans="2:8" ht="15.75" thickBot="1" x14ac:dyDescent="0.3">
      <c r="B295" s="738" t="s">
        <v>590</v>
      </c>
      <c r="C295" s="739"/>
      <c r="D295" s="403"/>
      <c r="E295" s="404"/>
      <c r="F295" s="740">
        <f>ROUND(SUM(F289:F294),2)</f>
        <v>0</v>
      </c>
      <c r="G295" s="416"/>
      <c r="H295" s="416"/>
    </row>
    <row r="296" spans="2:8" x14ac:dyDescent="0.25">
      <c r="G296" s="416"/>
    </row>
  </sheetData>
  <mergeCells count="11">
    <mergeCell ref="C204:D204"/>
    <mergeCell ref="C274:D274"/>
    <mergeCell ref="C228:D228"/>
    <mergeCell ref="C252:D252"/>
    <mergeCell ref="C152:D152"/>
    <mergeCell ref="C179:D179"/>
    <mergeCell ref="C124:D124"/>
    <mergeCell ref="B3:B4"/>
    <mergeCell ref="C3:C4"/>
    <mergeCell ref="C68:D68"/>
    <mergeCell ref="C98:D98"/>
  </mergeCells>
  <pageMargins left="0.511811024" right="0.511811024" top="0.78740157499999996" bottom="0.78740157499999996" header="0.31496062000000002" footer="0.31496062000000002"/>
  <pageSetup paperSize="8" scale="33"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066438-41A4-4866-A116-99D7B720D82F}">
  <dimension ref="A1:AM98"/>
  <sheetViews>
    <sheetView workbookViewId="0">
      <selection activeCell="H89" sqref="H89"/>
    </sheetView>
  </sheetViews>
  <sheetFormatPr defaultRowHeight="15" x14ac:dyDescent="0.25"/>
  <cols>
    <col min="1" max="1" width="14.85546875" bestFit="1" customWidth="1"/>
    <col min="2" max="2" width="53" customWidth="1"/>
    <col min="3" max="3" width="8" customWidth="1"/>
    <col min="4" max="4" width="17.7109375" customWidth="1"/>
    <col min="5" max="38" width="16.7109375" customWidth="1"/>
    <col min="39" max="39" width="15.85546875" bestFit="1" customWidth="1"/>
  </cols>
  <sheetData>
    <row r="1" spans="1:39" x14ac:dyDescent="0.25">
      <c r="A1" s="309" t="s">
        <v>520</v>
      </c>
    </row>
    <row r="2" spans="1:39" x14ac:dyDescent="0.25">
      <c r="A2" s="145" t="s">
        <v>526</v>
      </c>
    </row>
    <row r="3" spans="1:39" x14ac:dyDescent="0.25">
      <c r="A3" s="213" t="s">
        <v>522</v>
      </c>
      <c r="B3" s="1141" t="s">
        <v>535</v>
      </c>
      <c r="C3" s="1141" t="s">
        <v>216</v>
      </c>
      <c r="D3" s="136">
        <f>'FCD PROJETO'!F23</f>
        <v>1</v>
      </c>
      <c r="E3" s="136">
        <f>'FCD PROJETO'!G23</f>
        <v>2</v>
      </c>
      <c r="F3" s="136">
        <f>'FCD PROJETO'!H23</f>
        <v>3</v>
      </c>
      <c r="G3" s="136">
        <f>'FCD PROJETO'!I23</f>
        <v>4</v>
      </c>
      <c r="H3" s="136">
        <f>'FCD PROJETO'!J23</f>
        <v>5</v>
      </c>
      <c r="I3" s="136">
        <f>'FCD PROJETO'!K23</f>
        <v>6</v>
      </c>
      <c r="J3" s="136">
        <f>'FCD PROJETO'!L23</f>
        <v>7</v>
      </c>
      <c r="K3" s="136">
        <f>'FCD PROJETO'!M23</f>
        <v>8</v>
      </c>
      <c r="L3" s="136">
        <f>'FCD PROJETO'!N23</f>
        <v>9</v>
      </c>
      <c r="M3" s="136">
        <f>'FCD PROJETO'!O23</f>
        <v>10</v>
      </c>
      <c r="N3" s="136">
        <f>'FCD PROJETO'!P23</f>
        <v>11</v>
      </c>
      <c r="O3" s="136">
        <f>'FCD PROJETO'!Q23</f>
        <v>12</v>
      </c>
      <c r="P3" s="136">
        <f>'FCD PROJETO'!R23</f>
        <v>13</v>
      </c>
      <c r="Q3" s="136">
        <f>'FCD PROJETO'!S23</f>
        <v>14</v>
      </c>
      <c r="R3" s="136">
        <f>'FCD PROJETO'!T23</f>
        <v>15</v>
      </c>
      <c r="S3" s="136">
        <f>'FCD PROJETO'!U23</f>
        <v>16</v>
      </c>
      <c r="T3" s="136">
        <f>'FCD PROJETO'!V23</f>
        <v>17</v>
      </c>
      <c r="U3" s="136">
        <f>'FCD PROJETO'!W23</f>
        <v>18</v>
      </c>
      <c r="V3" s="136">
        <f>'FCD PROJETO'!X23</f>
        <v>19</v>
      </c>
      <c r="W3" s="136">
        <f>'FCD PROJETO'!Y23</f>
        <v>20</v>
      </c>
      <c r="X3" s="136">
        <f>'FCD PROJETO'!Z23</f>
        <v>21</v>
      </c>
      <c r="Y3" s="136">
        <f>'FCD PROJETO'!AA23</f>
        <v>22</v>
      </c>
      <c r="Z3" s="136">
        <f>'FCD PROJETO'!AB23</f>
        <v>23</v>
      </c>
      <c r="AA3" s="136">
        <f>'FCD PROJETO'!AC23</f>
        <v>24</v>
      </c>
      <c r="AB3" s="136">
        <f>'FCD PROJETO'!AD23</f>
        <v>25</v>
      </c>
      <c r="AC3" s="136">
        <f>'FCD PROJETO'!AE23</f>
        <v>26</v>
      </c>
      <c r="AD3" s="136">
        <f>'FCD PROJETO'!AF23</f>
        <v>27</v>
      </c>
      <c r="AE3" s="136">
        <f>'FCD PROJETO'!AG23</f>
        <v>28</v>
      </c>
      <c r="AF3" s="136">
        <f>'FCD PROJETO'!AH23</f>
        <v>29</v>
      </c>
      <c r="AG3" s="136">
        <f>'FCD PROJETO'!AI23</f>
        <v>30</v>
      </c>
      <c r="AH3" s="136">
        <f>'FCD PROJETO'!AJ23</f>
        <v>31</v>
      </c>
      <c r="AI3" s="136">
        <f>'FCD PROJETO'!AK23</f>
        <v>32</v>
      </c>
      <c r="AJ3" s="136">
        <f>'FCD PROJETO'!AL23</f>
        <v>33</v>
      </c>
      <c r="AK3" s="136">
        <f>'FCD PROJETO'!AM23</f>
        <v>34</v>
      </c>
      <c r="AL3" s="136">
        <f>'FCD PROJETO'!AN23</f>
        <v>35</v>
      </c>
    </row>
    <row r="4" spans="1:39" x14ac:dyDescent="0.25">
      <c r="B4" s="1141"/>
      <c r="C4" s="1141"/>
      <c r="D4" s="136">
        <f>Cronograma!C4</f>
        <v>2027</v>
      </c>
      <c r="E4" s="136">
        <f>Cronograma!D4</f>
        <v>2028</v>
      </c>
      <c r="F4" s="136">
        <f>Cronograma!E4</f>
        <v>2029</v>
      </c>
      <c r="G4" s="136">
        <f>Cronograma!F4</f>
        <v>2030</v>
      </c>
      <c r="H4" s="136">
        <f>Cronograma!G4</f>
        <v>2031</v>
      </c>
      <c r="I4" s="136">
        <f>Cronograma!H4</f>
        <v>2032</v>
      </c>
      <c r="J4" s="136">
        <f>Cronograma!I4</f>
        <v>2033</v>
      </c>
      <c r="K4" s="136">
        <f>Cronograma!J4</f>
        <v>2034</v>
      </c>
      <c r="L4" s="136">
        <f>Cronograma!K4</f>
        <v>2035</v>
      </c>
      <c r="M4" s="136">
        <f>Cronograma!L4</f>
        <v>2036</v>
      </c>
      <c r="N4" s="136">
        <f>Cronograma!M4</f>
        <v>2037</v>
      </c>
      <c r="O4" s="136">
        <f>Cronograma!N4</f>
        <v>2038</v>
      </c>
      <c r="P4" s="136">
        <f>Cronograma!O4</f>
        <v>2039</v>
      </c>
      <c r="Q4" s="136">
        <f>Cronograma!P4</f>
        <v>2040</v>
      </c>
      <c r="R4" s="136">
        <f>Cronograma!Q4</f>
        <v>2041</v>
      </c>
      <c r="S4" s="136">
        <f>Cronograma!R4</f>
        <v>2042</v>
      </c>
      <c r="T4" s="136">
        <f>Cronograma!S4</f>
        <v>2043</v>
      </c>
      <c r="U4" s="136">
        <f>Cronograma!T4</f>
        <v>2044</v>
      </c>
      <c r="V4" s="136">
        <f>Cronograma!U4</f>
        <v>2045</v>
      </c>
      <c r="W4" s="136">
        <f>Cronograma!V4</f>
        <v>2046</v>
      </c>
      <c r="X4" s="136">
        <f>Cronograma!W4</f>
        <v>2047</v>
      </c>
      <c r="Y4" s="136">
        <f>Cronograma!X4</f>
        <v>2048</v>
      </c>
      <c r="Z4" s="136">
        <f>Cronograma!Y4</f>
        <v>2049</v>
      </c>
      <c r="AA4" s="136">
        <f>Cronograma!Z4</f>
        <v>2050</v>
      </c>
      <c r="AB4" s="136">
        <f>Cronograma!AA4</f>
        <v>2051</v>
      </c>
      <c r="AC4" s="136">
        <f>Cronograma!AB4</f>
        <v>2052</v>
      </c>
      <c r="AD4" s="136">
        <f>Cronograma!AC4</f>
        <v>2053</v>
      </c>
      <c r="AE4" s="136">
        <f>Cronograma!AD4</f>
        <v>2054</v>
      </c>
      <c r="AF4" s="136">
        <f>Cronograma!AE4</f>
        <v>2055</v>
      </c>
      <c r="AG4" s="136">
        <f>Cronograma!AF4</f>
        <v>2056</v>
      </c>
      <c r="AH4" s="136">
        <f>Cronograma!AG4</f>
        <v>2057</v>
      </c>
      <c r="AI4" s="136">
        <f>Cronograma!AH4</f>
        <v>2058</v>
      </c>
      <c r="AJ4" s="136">
        <f>Cronograma!AI4</f>
        <v>2059</v>
      </c>
      <c r="AK4" s="136">
        <f>Cronograma!AJ4</f>
        <v>2060</v>
      </c>
      <c r="AL4" s="136">
        <f>Cronograma!AK4</f>
        <v>2061</v>
      </c>
    </row>
    <row r="5" spans="1:39" x14ac:dyDescent="0.25">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row>
    <row r="6" spans="1:39" x14ac:dyDescent="0.25">
      <c r="B6" s="376" t="s">
        <v>538</v>
      </c>
      <c r="C6" s="377" t="s">
        <v>216</v>
      </c>
      <c r="D6" s="244">
        <f>'Manut Rede'!D46</f>
        <v>0</v>
      </c>
      <c r="E6" s="244">
        <f>'Manut Rede'!E46</f>
        <v>0</v>
      </c>
      <c r="F6" s="244">
        <f>'Manut Rede'!F46</f>
        <v>0</v>
      </c>
      <c r="G6" s="244">
        <f>'Manut Rede'!G46</f>
        <v>0</v>
      </c>
      <c r="H6" s="244">
        <f>'Manut Rede'!H46</f>
        <v>0</v>
      </c>
      <c r="I6" s="244">
        <f>'Manut Rede'!I46</f>
        <v>0</v>
      </c>
      <c r="J6" s="244">
        <f>'Manut Rede'!J46</f>
        <v>0</v>
      </c>
      <c r="K6" s="244">
        <f>'Manut Rede'!K46</f>
        <v>0</v>
      </c>
      <c r="L6" s="244">
        <f>'Manut Rede'!L46</f>
        <v>0</v>
      </c>
      <c r="M6" s="244">
        <f>'Manut Rede'!M46</f>
        <v>0</v>
      </c>
      <c r="N6" s="244">
        <f>'Manut Rede'!N46</f>
        <v>0</v>
      </c>
      <c r="O6" s="244">
        <f>'Manut Rede'!O46</f>
        <v>0</v>
      </c>
      <c r="P6" s="244">
        <f>'Manut Rede'!P46</f>
        <v>0</v>
      </c>
      <c r="Q6" s="244">
        <f>'Manut Rede'!Q46</f>
        <v>0</v>
      </c>
      <c r="R6" s="244">
        <f>'Manut Rede'!R46</f>
        <v>0</v>
      </c>
      <c r="S6" s="244">
        <f>'Manut Rede'!S46</f>
        <v>0</v>
      </c>
      <c r="T6" s="244">
        <f>'Manut Rede'!T46</f>
        <v>0</v>
      </c>
      <c r="U6" s="244">
        <f>'Manut Rede'!U46</f>
        <v>0</v>
      </c>
      <c r="V6" s="244">
        <f>'Manut Rede'!V46</f>
        <v>0</v>
      </c>
      <c r="W6" s="244">
        <f>'Manut Rede'!W46</f>
        <v>0</v>
      </c>
      <c r="X6" s="244">
        <f>'Manut Rede'!X46</f>
        <v>0</v>
      </c>
      <c r="Y6" s="244">
        <f>'Manut Rede'!Y46</f>
        <v>0</v>
      </c>
      <c r="Z6" s="244">
        <f>'Manut Rede'!Z46</f>
        <v>0</v>
      </c>
      <c r="AA6" s="244">
        <f>'Manut Rede'!AA46</f>
        <v>0</v>
      </c>
      <c r="AB6" s="244">
        <f>'Manut Rede'!AB46</f>
        <v>0</v>
      </c>
      <c r="AC6" s="244">
        <f>'Manut Rede'!AC46</f>
        <v>0</v>
      </c>
      <c r="AD6" s="244">
        <f>'Manut Rede'!AD46</f>
        <v>0</v>
      </c>
      <c r="AE6" s="244">
        <f>'Manut Rede'!AE46</f>
        <v>0</v>
      </c>
      <c r="AF6" s="244">
        <f>'Manut Rede'!AF46</f>
        <v>0</v>
      </c>
      <c r="AG6" s="244">
        <f>'Manut Rede'!AG46</f>
        <v>0</v>
      </c>
      <c r="AH6" s="244">
        <f>'Manut Rede'!AH46</f>
        <v>0</v>
      </c>
      <c r="AI6" s="244">
        <f>'Manut Rede'!AI46</f>
        <v>0</v>
      </c>
      <c r="AJ6" s="244">
        <f>'Manut Rede'!AJ46</f>
        <v>0</v>
      </c>
      <c r="AK6" s="244">
        <f>'Manut Rede'!AK46</f>
        <v>0</v>
      </c>
      <c r="AL6" s="244">
        <f>'Manut Rede'!AL46</f>
        <v>0</v>
      </c>
    </row>
    <row r="7" spans="1:39" x14ac:dyDescent="0.25">
      <c r="A7" s="86"/>
      <c r="B7" s="376" t="s">
        <v>441</v>
      </c>
      <c r="C7" s="377" t="s">
        <v>216</v>
      </c>
      <c r="D7" s="244">
        <f>'Manut Rede'!D47</f>
        <v>0</v>
      </c>
      <c r="E7" s="244">
        <f>'Manut Rede'!E47</f>
        <v>0</v>
      </c>
      <c r="F7" s="244">
        <f>'Manut Rede'!F47</f>
        <v>0</v>
      </c>
      <c r="G7" s="244">
        <f>'Manut Rede'!G47</f>
        <v>0</v>
      </c>
      <c r="H7" s="244">
        <f>'Manut Rede'!H47</f>
        <v>0</v>
      </c>
      <c r="I7" s="244">
        <f>'Manut Rede'!I47</f>
        <v>0</v>
      </c>
      <c r="J7" s="244">
        <f>'Manut Rede'!J47</f>
        <v>0</v>
      </c>
      <c r="K7" s="244">
        <f>'Manut Rede'!K47</f>
        <v>0</v>
      </c>
      <c r="L7" s="244">
        <f>'Manut Rede'!L47</f>
        <v>0</v>
      </c>
      <c r="M7" s="244">
        <f>'Manut Rede'!M47</f>
        <v>0</v>
      </c>
      <c r="N7" s="244">
        <f>'Manut Rede'!N47</f>
        <v>0</v>
      </c>
      <c r="O7" s="244">
        <f>'Manut Rede'!O47</f>
        <v>0</v>
      </c>
      <c r="P7" s="244">
        <f>'Manut Rede'!P47</f>
        <v>0</v>
      </c>
      <c r="Q7" s="244">
        <f>'Manut Rede'!Q47</f>
        <v>0</v>
      </c>
      <c r="R7" s="244">
        <f>'Manut Rede'!R47</f>
        <v>0</v>
      </c>
      <c r="S7" s="244">
        <f>'Manut Rede'!S47</f>
        <v>0</v>
      </c>
      <c r="T7" s="244">
        <f>'Manut Rede'!T47</f>
        <v>0</v>
      </c>
      <c r="U7" s="244">
        <f>'Manut Rede'!U47</f>
        <v>0</v>
      </c>
      <c r="V7" s="244">
        <f>'Manut Rede'!V47</f>
        <v>0</v>
      </c>
      <c r="W7" s="244">
        <f>'Manut Rede'!W47</f>
        <v>0</v>
      </c>
      <c r="X7" s="244">
        <f>'Manut Rede'!X47</f>
        <v>0</v>
      </c>
      <c r="Y7" s="244">
        <f>'Manut Rede'!Y47</f>
        <v>0</v>
      </c>
      <c r="Z7" s="244">
        <f>'Manut Rede'!Z47</f>
        <v>0</v>
      </c>
      <c r="AA7" s="244">
        <f>'Manut Rede'!AA47</f>
        <v>0</v>
      </c>
      <c r="AB7" s="244">
        <f>'Manut Rede'!AB47</f>
        <v>0</v>
      </c>
      <c r="AC7" s="244">
        <f>'Manut Rede'!AC47</f>
        <v>0</v>
      </c>
      <c r="AD7" s="244">
        <f>'Manut Rede'!AD47</f>
        <v>0</v>
      </c>
      <c r="AE7" s="244">
        <f>'Manut Rede'!AE47</f>
        <v>0</v>
      </c>
      <c r="AF7" s="244">
        <f>'Manut Rede'!AF47</f>
        <v>0</v>
      </c>
      <c r="AG7" s="244">
        <f>'Manut Rede'!AG47</f>
        <v>0</v>
      </c>
      <c r="AH7" s="244">
        <f>'Manut Rede'!AH47</f>
        <v>0</v>
      </c>
      <c r="AI7" s="244">
        <f>'Manut Rede'!AI47</f>
        <v>0</v>
      </c>
      <c r="AJ7" s="244">
        <f>'Manut Rede'!AJ47</f>
        <v>0</v>
      </c>
      <c r="AK7" s="244">
        <f>'Manut Rede'!AK47</f>
        <v>0</v>
      </c>
      <c r="AL7" s="244">
        <f>'Manut Rede'!AL47</f>
        <v>0</v>
      </c>
    </row>
    <row r="8" spans="1:39" x14ac:dyDescent="0.25">
      <c r="A8" s="86"/>
      <c r="B8" s="376" t="s">
        <v>440</v>
      </c>
      <c r="C8" s="377" t="s">
        <v>216</v>
      </c>
      <c r="D8" s="244">
        <f>'Manut Rede'!D48</f>
        <v>0</v>
      </c>
      <c r="E8" s="244">
        <f>'Manut Rede'!E48</f>
        <v>0</v>
      </c>
      <c r="F8" s="244">
        <f>'Manut Rede'!F48</f>
        <v>0</v>
      </c>
      <c r="G8" s="244">
        <f>'Manut Rede'!G48</f>
        <v>0</v>
      </c>
      <c r="H8" s="244">
        <f>'Manut Rede'!H48</f>
        <v>0</v>
      </c>
      <c r="I8" s="244">
        <f>'Manut Rede'!I48</f>
        <v>0</v>
      </c>
      <c r="J8" s="244">
        <f>'Manut Rede'!J48</f>
        <v>0</v>
      </c>
      <c r="K8" s="244">
        <f>'Manut Rede'!K48</f>
        <v>0</v>
      </c>
      <c r="L8" s="244">
        <f>'Manut Rede'!L48</f>
        <v>0</v>
      </c>
      <c r="M8" s="244">
        <f>'Manut Rede'!M48</f>
        <v>0</v>
      </c>
      <c r="N8" s="244">
        <f>'Manut Rede'!N48</f>
        <v>0</v>
      </c>
      <c r="O8" s="244">
        <f>'Manut Rede'!O48</f>
        <v>0</v>
      </c>
      <c r="P8" s="244">
        <f>'Manut Rede'!P48</f>
        <v>0</v>
      </c>
      <c r="Q8" s="244">
        <f>'Manut Rede'!Q48</f>
        <v>0</v>
      </c>
      <c r="R8" s="244">
        <f>'Manut Rede'!R48</f>
        <v>0</v>
      </c>
      <c r="S8" s="244">
        <f>'Manut Rede'!S48</f>
        <v>0</v>
      </c>
      <c r="T8" s="244">
        <f>'Manut Rede'!T48</f>
        <v>0</v>
      </c>
      <c r="U8" s="244">
        <f>'Manut Rede'!U48</f>
        <v>0</v>
      </c>
      <c r="V8" s="244">
        <f>'Manut Rede'!V48</f>
        <v>0</v>
      </c>
      <c r="W8" s="244">
        <f>'Manut Rede'!W48</f>
        <v>0</v>
      </c>
      <c r="X8" s="244">
        <f>'Manut Rede'!X48</f>
        <v>0</v>
      </c>
      <c r="Y8" s="244">
        <f>'Manut Rede'!Y48</f>
        <v>0</v>
      </c>
      <c r="Z8" s="244">
        <f>'Manut Rede'!Z48</f>
        <v>0</v>
      </c>
      <c r="AA8" s="244">
        <f>'Manut Rede'!AA48</f>
        <v>0</v>
      </c>
      <c r="AB8" s="244">
        <f>'Manut Rede'!AB48</f>
        <v>0</v>
      </c>
      <c r="AC8" s="244">
        <f>'Manut Rede'!AC48</f>
        <v>0</v>
      </c>
      <c r="AD8" s="244">
        <f>'Manut Rede'!AD48</f>
        <v>0</v>
      </c>
      <c r="AE8" s="244">
        <f>'Manut Rede'!AE48</f>
        <v>0</v>
      </c>
      <c r="AF8" s="244">
        <f>'Manut Rede'!AF48</f>
        <v>0</v>
      </c>
      <c r="AG8" s="244">
        <f>'Manut Rede'!AG48</f>
        <v>0</v>
      </c>
      <c r="AH8" s="244">
        <f>'Manut Rede'!AH48</f>
        <v>0</v>
      </c>
      <c r="AI8" s="244">
        <f>'Manut Rede'!AI48</f>
        <v>0</v>
      </c>
      <c r="AJ8" s="244">
        <f>'Manut Rede'!AJ48</f>
        <v>0</v>
      </c>
      <c r="AK8" s="244">
        <f>'Manut Rede'!AK48</f>
        <v>0</v>
      </c>
      <c r="AL8" s="244">
        <f>'Manut Rede'!AL48</f>
        <v>0</v>
      </c>
    </row>
    <row r="9" spans="1:39" x14ac:dyDescent="0.25">
      <c r="A9" s="86"/>
      <c r="B9" s="376" t="s">
        <v>438</v>
      </c>
      <c r="C9" s="377" t="s">
        <v>216</v>
      </c>
      <c r="D9" s="244">
        <f>'Manut Rede'!D49</f>
        <v>0</v>
      </c>
      <c r="E9" s="244">
        <f>'Manut Rede'!E49</f>
        <v>0</v>
      </c>
      <c r="F9" s="244">
        <f>'Manut Rede'!F49</f>
        <v>0</v>
      </c>
      <c r="G9" s="244">
        <f>'Manut Rede'!G49</f>
        <v>0</v>
      </c>
      <c r="H9" s="244">
        <f>'Manut Rede'!H49</f>
        <v>0</v>
      </c>
      <c r="I9" s="244">
        <f>'Manut Rede'!I49</f>
        <v>0</v>
      </c>
      <c r="J9" s="244">
        <f>'Manut Rede'!J49</f>
        <v>0</v>
      </c>
      <c r="K9" s="244">
        <f>'Manut Rede'!K49</f>
        <v>0</v>
      </c>
      <c r="L9" s="244">
        <f>'Manut Rede'!L49</f>
        <v>0</v>
      </c>
      <c r="M9" s="244">
        <f>'Manut Rede'!M49</f>
        <v>0</v>
      </c>
      <c r="N9" s="244">
        <f>'Manut Rede'!N49</f>
        <v>0</v>
      </c>
      <c r="O9" s="244">
        <f>'Manut Rede'!O49</f>
        <v>0</v>
      </c>
      <c r="P9" s="244">
        <f>'Manut Rede'!P49</f>
        <v>0</v>
      </c>
      <c r="Q9" s="244">
        <f>'Manut Rede'!Q49</f>
        <v>0</v>
      </c>
      <c r="R9" s="244">
        <f>'Manut Rede'!R49</f>
        <v>0</v>
      </c>
      <c r="S9" s="244">
        <f>'Manut Rede'!S49</f>
        <v>0</v>
      </c>
      <c r="T9" s="244">
        <f>'Manut Rede'!T49</f>
        <v>0</v>
      </c>
      <c r="U9" s="244">
        <f>'Manut Rede'!U49</f>
        <v>0</v>
      </c>
      <c r="V9" s="244">
        <f>'Manut Rede'!V49</f>
        <v>0</v>
      </c>
      <c r="W9" s="244">
        <f>'Manut Rede'!W49</f>
        <v>0</v>
      </c>
      <c r="X9" s="244">
        <f>'Manut Rede'!X49</f>
        <v>0</v>
      </c>
      <c r="Y9" s="244">
        <f>'Manut Rede'!Y49</f>
        <v>0</v>
      </c>
      <c r="Z9" s="244">
        <f>'Manut Rede'!Z49</f>
        <v>0</v>
      </c>
      <c r="AA9" s="244">
        <f>'Manut Rede'!AA49</f>
        <v>0</v>
      </c>
      <c r="AB9" s="244">
        <f>'Manut Rede'!AB49</f>
        <v>0</v>
      </c>
      <c r="AC9" s="244">
        <f>'Manut Rede'!AC49</f>
        <v>0</v>
      </c>
      <c r="AD9" s="244">
        <f>'Manut Rede'!AD49</f>
        <v>0</v>
      </c>
      <c r="AE9" s="244">
        <f>'Manut Rede'!AE49</f>
        <v>0</v>
      </c>
      <c r="AF9" s="244">
        <f>'Manut Rede'!AF49</f>
        <v>0</v>
      </c>
      <c r="AG9" s="244">
        <f>'Manut Rede'!AG49</f>
        <v>0</v>
      </c>
      <c r="AH9" s="244">
        <f>'Manut Rede'!AH49</f>
        <v>0</v>
      </c>
      <c r="AI9" s="244">
        <f>'Manut Rede'!AI49</f>
        <v>0</v>
      </c>
      <c r="AJ9" s="244">
        <f>'Manut Rede'!AJ49</f>
        <v>0</v>
      </c>
      <c r="AK9" s="244">
        <f>'Manut Rede'!AK49</f>
        <v>0</v>
      </c>
      <c r="AL9" s="244">
        <f>'Manut Rede'!AL49</f>
        <v>0</v>
      </c>
    </row>
    <row r="10" spans="1:39" x14ac:dyDescent="0.25">
      <c r="A10" s="86"/>
      <c r="B10" s="376" t="s">
        <v>439</v>
      </c>
      <c r="C10" s="377" t="s">
        <v>216</v>
      </c>
      <c r="D10" s="244">
        <f>'Manut Rede'!D50</f>
        <v>0</v>
      </c>
      <c r="E10" s="244">
        <f>'Manut Rede'!E50</f>
        <v>0</v>
      </c>
      <c r="F10" s="244">
        <f>'Manut Rede'!F50</f>
        <v>0</v>
      </c>
      <c r="G10" s="244">
        <f>'Manut Rede'!G50</f>
        <v>0</v>
      </c>
      <c r="H10" s="244">
        <f>'Manut Rede'!H50</f>
        <v>0</v>
      </c>
      <c r="I10" s="244">
        <f>'Manut Rede'!I50</f>
        <v>0</v>
      </c>
      <c r="J10" s="244">
        <f>'Manut Rede'!J50</f>
        <v>0</v>
      </c>
      <c r="K10" s="244">
        <f>'Manut Rede'!K50</f>
        <v>0</v>
      </c>
      <c r="L10" s="244">
        <f>'Manut Rede'!L50</f>
        <v>0</v>
      </c>
      <c r="M10" s="244">
        <f>'Manut Rede'!M50</f>
        <v>0</v>
      </c>
      <c r="N10" s="244">
        <f>'Manut Rede'!N50</f>
        <v>0</v>
      </c>
      <c r="O10" s="244">
        <f>'Manut Rede'!O50</f>
        <v>0</v>
      </c>
      <c r="P10" s="244">
        <f>'Manut Rede'!P50</f>
        <v>0</v>
      </c>
      <c r="Q10" s="244">
        <f>'Manut Rede'!Q50</f>
        <v>0</v>
      </c>
      <c r="R10" s="244">
        <f>'Manut Rede'!R50</f>
        <v>0</v>
      </c>
      <c r="S10" s="244">
        <f>'Manut Rede'!S50</f>
        <v>0</v>
      </c>
      <c r="T10" s="244">
        <f>'Manut Rede'!T50</f>
        <v>0</v>
      </c>
      <c r="U10" s="244">
        <f>'Manut Rede'!U50</f>
        <v>0</v>
      </c>
      <c r="V10" s="244">
        <f>'Manut Rede'!V50</f>
        <v>0</v>
      </c>
      <c r="W10" s="244">
        <f>'Manut Rede'!W50</f>
        <v>0</v>
      </c>
      <c r="X10" s="244">
        <f>'Manut Rede'!X50</f>
        <v>0</v>
      </c>
      <c r="Y10" s="244">
        <f>'Manut Rede'!Y50</f>
        <v>0</v>
      </c>
      <c r="Z10" s="244">
        <f>'Manut Rede'!Z50</f>
        <v>0</v>
      </c>
      <c r="AA10" s="244">
        <f>'Manut Rede'!AA50</f>
        <v>0</v>
      </c>
      <c r="AB10" s="244">
        <f>'Manut Rede'!AB50</f>
        <v>0</v>
      </c>
      <c r="AC10" s="244">
        <f>'Manut Rede'!AC50</f>
        <v>0</v>
      </c>
      <c r="AD10" s="244">
        <f>'Manut Rede'!AD50</f>
        <v>0</v>
      </c>
      <c r="AE10" s="244">
        <f>'Manut Rede'!AE50</f>
        <v>0</v>
      </c>
      <c r="AF10" s="244">
        <f>'Manut Rede'!AF50</f>
        <v>0</v>
      </c>
      <c r="AG10" s="244">
        <f>'Manut Rede'!AG50</f>
        <v>0</v>
      </c>
      <c r="AH10" s="244">
        <f>'Manut Rede'!AH50</f>
        <v>0</v>
      </c>
      <c r="AI10" s="244">
        <f>'Manut Rede'!AI50</f>
        <v>0</v>
      </c>
      <c r="AJ10" s="244">
        <f>'Manut Rede'!AJ50</f>
        <v>0</v>
      </c>
      <c r="AK10" s="244">
        <f>'Manut Rede'!AK50</f>
        <v>0</v>
      </c>
      <c r="AL10" s="244">
        <f>'Manut Rede'!AL50</f>
        <v>0</v>
      </c>
    </row>
    <row r="11" spans="1:39" x14ac:dyDescent="0.25">
      <c r="A11" s="86"/>
      <c r="B11" s="376" t="s">
        <v>437</v>
      </c>
      <c r="C11" s="377" t="s">
        <v>216</v>
      </c>
      <c r="D11" s="244">
        <f>'Manut Rede'!D51</f>
        <v>0</v>
      </c>
      <c r="E11" s="244">
        <f>'Manut Rede'!E51</f>
        <v>0</v>
      </c>
      <c r="F11" s="244">
        <f>'Manut Rede'!F51</f>
        <v>0</v>
      </c>
      <c r="G11" s="244">
        <f>'Manut Rede'!G51</f>
        <v>0</v>
      </c>
      <c r="H11" s="244">
        <f>'Manut Rede'!H51</f>
        <v>0</v>
      </c>
      <c r="I11" s="244">
        <f>'Manut Rede'!I51</f>
        <v>0</v>
      </c>
      <c r="J11" s="244">
        <f>'Manut Rede'!J51</f>
        <v>0</v>
      </c>
      <c r="K11" s="244">
        <f>'Manut Rede'!K51</f>
        <v>0</v>
      </c>
      <c r="L11" s="244">
        <f>'Manut Rede'!L51</f>
        <v>0</v>
      </c>
      <c r="M11" s="244">
        <f>'Manut Rede'!M51</f>
        <v>0</v>
      </c>
      <c r="N11" s="244">
        <f>'Manut Rede'!N51</f>
        <v>0</v>
      </c>
      <c r="O11" s="244">
        <f>'Manut Rede'!O51</f>
        <v>0</v>
      </c>
      <c r="P11" s="244">
        <f>'Manut Rede'!P51</f>
        <v>0</v>
      </c>
      <c r="Q11" s="244">
        <f>'Manut Rede'!Q51</f>
        <v>0</v>
      </c>
      <c r="R11" s="244">
        <f>'Manut Rede'!R51</f>
        <v>0</v>
      </c>
      <c r="S11" s="244">
        <f>'Manut Rede'!S51</f>
        <v>0</v>
      </c>
      <c r="T11" s="244">
        <f>'Manut Rede'!T51</f>
        <v>0</v>
      </c>
      <c r="U11" s="244">
        <f>'Manut Rede'!U51</f>
        <v>0</v>
      </c>
      <c r="V11" s="244">
        <f>'Manut Rede'!V51</f>
        <v>0</v>
      </c>
      <c r="W11" s="244">
        <f>'Manut Rede'!W51</f>
        <v>0</v>
      </c>
      <c r="X11" s="244">
        <f>'Manut Rede'!X51</f>
        <v>0</v>
      </c>
      <c r="Y11" s="244">
        <f>'Manut Rede'!Y51</f>
        <v>0</v>
      </c>
      <c r="Z11" s="244">
        <f>'Manut Rede'!Z51</f>
        <v>0</v>
      </c>
      <c r="AA11" s="244">
        <f>'Manut Rede'!AA51</f>
        <v>0</v>
      </c>
      <c r="AB11" s="244">
        <f>'Manut Rede'!AB51</f>
        <v>0</v>
      </c>
      <c r="AC11" s="244">
        <f>'Manut Rede'!AC51</f>
        <v>0</v>
      </c>
      <c r="AD11" s="244">
        <f>'Manut Rede'!AD51</f>
        <v>0</v>
      </c>
      <c r="AE11" s="244">
        <f>'Manut Rede'!AE51</f>
        <v>0</v>
      </c>
      <c r="AF11" s="244">
        <f>'Manut Rede'!AF51</f>
        <v>0</v>
      </c>
      <c r="AG11" s="244">
        <f>'Manut Rede'!AG51</f>
        <v>0</v>
      </c>
      <c r="AH11" s="244">
        <f>'Manut Rede'!AH51</f>
        <v>0</v>
      </c>
      <c r="AI11" s="244">
        <f>'Manut Rede'!AI51</f>
        <v>0</v>
      </c>
      <c r="AJ11" s="244">
        <f>'Manut Rede'!AJ51</f>
        <v>0</v>
      </c>
      <c r="AK11" s="244">
        <f>'Manut Rede'!AK51</f>
        <v>0</v>
      </c>
      <c r="AL11" s="244">
        <f>'Manut Rede'!AL51</f>
        <v>0</v>
      </c>
    </row>
    <row r="12" spans="1:39" x14ac:dyDescent="0.25">
      <c r="A12" s="86"/>
      <c r="B12" s="376" t="s">
        <v>539</v>
      </c>
      <c r="C12" s="377" t="s">
        <v>216</v>
      </c>
      <c r="D12" s="244">
        <f>D6</f>
        <v>0</v>
      </c>
      <c r="E12" s="244">
        <f t="shared" ref="E12:AL12" si="0">E6</f>
        <v>0</v>
      </c>
      <c r="F12" s="244">
        <f t="shared" si="0"/>
        <v>0</v>
      </c>
      <c r="G12" s="244">
        <f t="shared" si="0"/>
        <v>0</v>
      </c>
      <c r="H12" s="244">
        <f t="shared" si="0"/>
        <v>0</v>
      </c>
      <c r="I12" s="244">
        <f t="shared" si="0"/>
        <v>0</v>
      </c>
      <c r="J12" s="244">
        <f t="shared" si="0"/>
        <v>0</v>
      </c>
      <c r="K12" s="244">
        <f t="shared" si="0"/>
        <v>0</v>
      </c>
      <c r="L12" s="244">
        <f t="shared" si="0"/>
        <v>0</v>
      </c>
      <c r="M12" s="244">
        <f t="shared" si="0"/>
        <v>0</v>
      </c>
      <c r="N12" s="244">
        <f t="shared" si="0"/>
        <v>0</v>
      </c>
      <c r="O12" s="244">
        <f t="shared" si="0"/>
        <v>0</v>
      </c>
      <c r="P12" s="244">
        <f t="shared" si="0"/>
        <v>0</v>
      </c>
      <c r="Q12" s="244">
        <f t="shared" si="0"/>
        <v>0</v>
      </c>
      <c r="R12" s="244">
        <f t="shared" si="0"/>
        <v>0</v>
      </c>
      <c r="S12" s="244">
        <f t="shared" si="0"/>
        <v>0</v>
      </c>
      <c r="T12" s="244">
        <f t="shared" si="0"/>
        <v>0</v>
      </c>
      <c r="U12" s="244">
        <f t="shared" si="0"/>
        <v>0</v>
      </c>
      <c r="V12" s="244">
        <f t="shared" si="0"/>
        <v>0</v>
      </c>
      <c r="W12" s="244">
        <f t="shared" si="0"/>
        <v>0</v>
      </c>
      <c r="X12" s="244">
        <f t="shared" si="0"/>
        <v>0</v>
      </c>
      <c r="Y12" s="244">
        <f t="shared" si="0"/>
        <v>0</v>
      </c>
      <c r="Z12" s="244">
        <f t="shared" si="0"/>
        <v>0</v>
      </c>
      <c r="AA12" s="244">
        <f t="shared" si="0"/>
        <v>0</v>
      </c>
      <c r="AB12" s="244">
        <f t="shared" si="0"/>
        <v>0</v>
      </c>
      <c r="AC12" s="244">
        <f t="shared" si="0"/>
        <v>0</v>
      </c>
      <c r="AD12" s="244">
        <f t="shared" si="0"/>
        <v>0</v>
      </c>
      <c r="AE12" s="244">
        <f t="shared" si="0"/>
        <v>0</v>
      </c>
      <c r="AF12" s="244">
        <f t="shared" si="0"/>
        <v>0</v>
      </c>
      <c r="AG12" s="244">
        <f t="shared" si="0"/>
        <v>0</v>
      </c>
      <c r="AH12" s="244">
        <f t="shared" si="0"/>
        <v>0</v>
      </c>
      <c r="AI12" s="244">
        <f t="shared" si="0"/>
        <v>0</v>
      </c>
      <c r="AJ12" s="244">
        <f t="shared" si="0"/>
        <v>0</v>
      </c>
      <c r="AK12" s="244">
        <f t="shared" si="0"/>
        <v>0</v>
      </c>
      <c r="AL12" s="244">
        <f t="shared" si="0"/>
        <v>0</v>
      </c>
    </row>
    <row r="13" spans="1:39" x14ac:dyDescent="0.25">
      <c r="A13" s="86"/>
      <c r="B13" s="376" t="s">
        <v>536</v>
      </c>
      <c r="C13" s="377" t="s">
        <v>216</v>
      </c>
      <c r="D13" s="244">
        <f>D6</f>
        <v>0</v>
      </c>
      <c r="E13" s="244">
        <f t="shared" ref="E13:AL13" si="1">E6</f>
        <v>0</v>
      </c>
      <c r="F13" s="244">
        <f t="shared" si="1"/>
        <v>0</v>
      </c>
      <c r="G13" s="244">
        <f t="shared" si="1"/>
        <v>0</v>
      </c>
      <c r="H13" s="244">
        <f t="shared" si="1"/>
        <v>0</v>
      </c>
      <c r="I13" s="244">
        <f t="shared" si="1"/>
        <v>0</v>
      </c>
      <c r="J13" s="244">
        <f t="shared" si="1"/>
        <v>0</v>
      </c>
      <c r="K13" s="244">
        <f t="shared" si="1"/>
        <v>0</v>
      </c>
      <c r="L13" s="244">
        <f t="shared" si="1"/>
        <v>0</v>
      </c>
      <c r="M13" s="244">
        <f t="shared" si="1"/>
        <v>0</v>
      </c>
      <c r="N13" s="244">
        <f t="shared" si="1"/>
        <v>0</v>
      </c>
      <c r="O13" s="244">
        <f t="shared" si="1"/>
        <v>0</v>
      </c>
      <c r="P13" s="244">
        <f t="shared" si="1"/>
        <v>0</v>
      </c>
      <c r="Q13" s="244">
        <f t="shared" si="1"/>
        <v>0</v>
      </c>
      <c r="R13" s="244">
        <f t="shared" si="1"/>
        <v>0</v>
      </c>
      <c r="S13" s="244">
        <f t="shared" si="1"/>
        <v>0</v>
      </c>
      <c r="T13" s="244">
        <f t="shared" si="1"/>
        <v>0</v>
      </c>
      <c r="U13" s="244">
        <f t="shared" si="1"/>
        <v>0</v>
      </c>
      <c r="V13" s="244">
        <f t="shared" si="1"/>
        <v>0</v>
      </c>
      <c r="W13" s="244">
        <f t="shared" si="1"/>
        <v>0</v>
      </c>
      <c r="X13" s="244">
        <f t="shared" si="1"/>
        <v>0</v>
      </c>
      <c r="Y13" s="244">
        <f t="shared" si="1"/>
        <v>0</v>
      </c>
      <c r="Z13" s="244">
        <f t="shared" si="1"/>
        <v>0</v>
      </c>
      <c r="AA13" s="244">
        <f t="shared" si="1"/>
        <v>0</v>
      </c>
      <c r="AB13" s="244">
        <f t="shared" si="1"/>
        <v>0</v>
      </c>
      <c r="AC13" s="244">
        <f t="shared" si="1"/>
        <v>0</v>
      </c>
      <c r="AD13" s="244">
        <f t="shared" si="1"/>
        <v>0</v>
      </c>
      <c r="AE13" s="244">
        <f t="shared" si="1"/>
        <v>0</v>
      </c>
      <c r="AF13" s="244">
        <f t="shared" si="1"/>
        <v>0</v>
      </c>
      <c r="AG13" s="244">
        <f t="shared" si="1"/>
        <v>0</v>
      </c>
      <c r="AH13" s="244">
        <f t="shared" si="1"/>
        <v>0</v>
      </c>
      <c r="AI13" s="244">
        <f t="shared" si="1"/>
        <v>0</v>
      </c>
      <c r="AJ13" s="244">
        <f t="shared" si="1"/>
        <v>0</v>
      </c>
      <c r="AK13" s="244">
        <f t="shared" si="1"/>
        <v>0</v>
      </c>
      <c r="AL13" s="244">
        <f t="shared" si="1"/>
        <v>0</v>
      </c>
    </row>
    <row r="14" spans="1:39" x14ac:dyDescent="0.25">
      <c r="A14" s="86"/>
      <c r="B14" s="376" t="s">
        <v>537</v>
      </c>
      <c r="C14" s="377" t="s">
        <v>216</v>
      </c>
      <c r="D14" s="244">
        <f>D6</f>
        <v>0</v>
      </c>
      <c r="E14" s="244">
        <f t="shared" ref="E14:AL14" si="2">E6</f>
        <v>0</v>
      </c>
      <c r="F14" s="244">
        <f t="shared" si="2"/>
        <v>0</v>
      </c>
      <c r="G14" s="244">
        <f t="shared" si="2"/>
        <v>0</v>
      </c>
      <c r="H14" s="244">
        <f t="shared" si="2"/>
        <v>0</v>
      </c>
      <c r="I14" s="244">
        <f t="shared" si="2"/>
        <v>0</v>
      </c>
      <c r="J14" s="244">
        <f t="shared" si="2"/>
        <v>0</v>
      </c>
      <c r="K14" s="244">
        <f t="shared" si="2"/>
        <v>0</v>
      </c>
      <c r="L14" s="244">
        <f t="shared" si="2"/>
        <v>0</v>
      </c>
      <c r="M14" s="244">
        <f t="shared" si="2"/>
        <v>0</v>
      </c>
      <c r="N14" s="244">
        <f t="shared" si="2"/>
        <v>0</v>
      </c>
      <c r="O14" s="244">
        <f t="shared" si="2"/>
        <v>0</v>
      </c>
      <c r="P14" s="244">
        <f t="shared" si="2"/>
        <v>0</v>
      </c>
      <c r="Q14" s="244">
        <f t="shared" si="2"/>
        <v>0</v>
      </c>
      <c r="R14" s="244">
        <f t="shared" si="2"/>
        <v>0</v>
      </c>
      <c r="S14" s="244">
        <f t="shared" si="2"/>
        <v>0</v>
      </c>
      <c r="T14" s="244">
        <f t="shared" si="2"/>
        <v>0</v>
      </c>
      <c r="U14" s="244">
        <f t="shared" si="2"/>
        <v>0</v>
      </c>
      <c r="V14" s="244">
        <f t="shared" si="2"/>
        <v>0</v>
      </c>
      <c r="W14" s="244">
        <f t="shared" si="2"/>
        <v>0</v>
      </c>
      <c r="X14" s="244">
        <f t="shared" si="2"/>
        <v>0</v>
      </c>
      <c r="Y14" s="244">
        <f t="shared" si="2"/>
        <v>0</v>
      </c>
      <c r="Z14" s="244">
        <f t="shared" si="2"/>
        <v>0</v>
      </c>
      <c r="AA14" s="244">
        <f t="shared" si="2"/>
        <v>0</v>
      </c>
      <c r="AB14" s="244">
        <f t="shared" si="2"/>
        <v>0</v>
      </c>
      <c r="AC14" s="244">
        <f t="shared" si="2"/>
        <v>0</v>
      </c>
      <c r="AD14" s="244">
        <f t="shared" si="2"/>
        <v>0</v>
      </c>
      <c r="AE14" s="244">
        <f t="shared" si="2"/>
        <v>0</v>
      </c>
      <c r="AF14" s="244">
        <f t="shared" si="2"/>
        <v>0</v>
      </c>
      <c r="AG14" s="244">
        <f t="shared" si="2"/>
        <v>0</v>
      </c>
      <c r="AH14" s="244">
        <f t="shared" si="2"/>
        <v>0</v>
      </c>
      <c r="AI14" s="244">
        <f t="shared" si="2"/>
        <v>0</v>
      </c>
      <c r="AJ14" s="244">
        <f t="shared" si="2"/>
        <v>0</v>
      </c>
      <c r="AK14" s="244">
        <f t="shared" si="2"/>
        <v>0</v>
      </c>
      <c r="AL14" s="244">
        <f t="shared" si="2"/>
        <v>0</v>
      </c>
    </row>
    <row r="15" spans="1:39" x14ac:dyDescent="0.25">
      <c r="A15" s="86"/>
      <c r="B15" s="376" t="s">
        <v>558</v>
      </c>
      <c r="C15" s="377" t="s">
        <v>216</v>
      </c>
      <c r="D15" s="244">
        <v>2</v>
      </c>
      <c r="E15" s="244">
        <v>2</v>
      </c>
      <c r="F15" s="244">
        <v>2</v>
      </c>
      <c r="G15" s="244">
        <v>2</v>
      </c>
      <c r="H15" s="244">
        <v>2</v>
      </c>
      <c r="I15" s="244">
        <v>2</v>
      </c>
      <c r="J15" s="244">
        <v>2</v>
      </c>
      <c r="K15" s="244">
        <v>2</v>
      </c>
      <c r="L15" s="244">
        <v>2</v>
      </c>
      <c r="M15" s="244">
        <v>2</v>
      </c>
      <c r="N15" s="244">
        <v>2</v>
      </c>
      <c r="O15" s="244">
        <v>2</v>
      </c>
      <c r="P15" s="244">
        <v>2</v>
      </c>
      <c r="Q15" s="244">
        <v>2</v>
      </c>
      <c r="R15" s="244">
        <v>2</v>
      </c>
      <c r="S15" s="244">
        <v>2</v>
      </c>
      <c r="T15" s="244">
        <v>2</v>
      </c>
      <c r="U15" s="244">
        <v>2</v>
      </c>
      <c r="V15" s="244">
        <v>2</v>
      </c>
      <c r="W15" s="244">
        <v>2</v>
      </c>
      <c r="X15" s="244">
        <v>2</v>
      </c>
      <c r="Y15" s="244">
        <v>2</v>
      </c>
      <c r="Z15" s="244">
        <v>2</v>
      </c>
      <c r="AA15" s="244">
        <v>2</v>
      </c>
      <c r="AB15" s="244">
        <v>2</v>
      </c>
      <c r="AC15" s="244">
        <v>2</v>
      </c>
      <c r="AD15" s="244">
        <v>2</v>
      </c>
      <c r="AE15" s="244">
        <v>2</v>
      </c>
      <c r="AF15" s="244">
        <v>2</v>
      </c>
      <c r="AG15" s="244">
        <v>2</v>
      </c>
      <c r="AH15" s="244">
        <v>2</v>
      </c>
      <c r="AI15" s="244">
        <v>2</v>
      </c>
      <c r="AJ15" s="244">
        <v>2</v>
      </c>
      <c r="AK15" s="244">
        <v>2</v>
      </c>
      <c r="AL15" s="244">
        <v>2</v>
      </c>
    </row>
    <row r="16" spans="1:39" x14ac:dyDescent="0.25">
      <c r="A16" s="46"/>
      <c r="B16" s="239" t="s">
        <v>559</v>
      </c>
      <c r="C16" s="240"/>
      <c r="D16" s="246">
        <f t="shared" ref="D16:AL16" si="3">(D6*$H$31+D7*$H$42+D8*$H$53+D9*$H$64+D10*$H$75+D11*$H$86+D12*$H$31+D13*$H$31+D14*$H$31+D15*$H$97)*12</f>
        <v>0</v>
      </c>
      <c r="E16" s="246">
        <f t="shared" si="3"/>
        <v>0</v>
      </c>
      <c r="F16" s="246">
        <f t="shared" si="3"/>
        <v>0</v>
      </c>
      <c r="G16" s="246">
        <f t="shared" si="3"/>
        <v>0</v>
      </c>
      <c r="H16" s="246">
        <f t="shared" si="3"/>
        <v>0</v>
      </c>
      <c r="I16" s="246">
        <f t="shared" si="3"/>
        <v>0</v>
      </c>
      <c r="J16" s="246">
        <f t="shared" si="3"/>
        <v>0</v>
      </c>
      <c r="K16" s="246">
        <f t="shared" si="3"/>
        <v>0</v>
      </c>
      <c r="L16" s="246">
        <f t="shared" si="3"/>
        <v>0</v>
      </c>
      <c r="M16" s="246">
        <f t="shared" si="3"/>
        <v>0</v>
      </c>
      <c r="N16" s="246">
        <f t="shared" si="3"/>
        <v>0</v>
      </c>
      <c r="O16" s="246">
        <f t="shared" si="3"/>
        <v>0</v>
      </c>
      <c r="P16" s="246">
        <f t="shared" si="3"/>
        <v>0</v>
      </c>
      <c r="Q16" s="246">
        <f t="shared" si="3"/>
        <v>0</v>
      </c>
      <c r="R16" s="246">
        <f t="shared" si="3"/>
        <v>0</v>
      </c>
      <c r="S16" s="246">
        <f t="shared" si="3"/>
        <v>0</v>
      </c>
      <c r="T16" s="246">
        <f t="shared" si="3"/>
        <v>0</v>
      </c>
      <c r="U16" s="246">
        <f t="shared" si="3"/>
        <v>0</v>
      </c>
      <c r="V16" s="246">
        <f t="shared" si="3"/>
        <v>0</v>
      </c>
      <c r="W16" s="246">
        <f t="shared" si="3"/>
        <v>0</v>
      </c>
      <c r="X16" s="246">
        <f t="shared" si="3"/>
        <v>0</v>
      </c>
      <c r="Y16" s="246">
        <f t="shared" si="3"/>
        <v>0</v>
      </c>
      <c r="Z16" s="246">
        <f t="shared" si="3"/>
        <v>0</v>
      </c>
      <c r="AA16" s="246">
        <f t="shared" si="3"/>
        <v>0</v>
      </c>
      <c r="AB16" s="246">
        <f t="shared" si="3"/>
        <v>0</v>
      </c>
      <c r="AC16" s="246">
        <f t="shared" si="3"/>
        <v>0</v>
      </c>
      <c r="AD16" s="246">
        <f t="shared" si="3"/>
        <v>0</v>
      </c>
      <c r="AE16" s="246">
        <f t="shared" si="3"/>
        <v>0</v>
      </c>
      <c r="AF16" s="246">
        <f t="shared" si="3"/>
        <v>0</v>
      </c>
      <c r="AG16" s="246">
        <f t="shared" si="3"/>
        <v>0</v>
      </c>
      <c r="AH16" s="246">
        <f t="shared" si="3"/>
        <v>0</v>
      </c>
      <c r="AI16" s="246">
        <f t="shared" si="3"/>
        <v>0</v>
      </c>
      <c r="AJ16" s="246">
        <f t="shared" si="3"/>
        <v>0</v>
      </c>
      <c r="AK16" s="246">
        <f t="shared" si="3"/>
        <v>0</v>
      </c>
      <c r="AL16" s="246">
        <f t="shared" si="3"/>
        <v>0</v>
      </c>
      <c r="AM16" s="71">
        <f t="shared" ref="AM16:AM17" si="4">SUM(D16:AL16)</f>
        <v>0</v>
      </c>
    </row>
    <row r="17" spans="1:39" x14ac:dyDescent="0.25">
      <c r="A17" s="46"/>
      <c r="B17" s="239" t="s">
        <v>560</v>
      </c>
      <c r="C17" s="240"/>
      <c r="D17" s="246">
        <f t="shared" ref="D17:AL17" si="5">(D6*$I$31+D7*$I$42+D8*$I$53+D9*$I$64+D10*$I$75+D11*$I$86+D12*$I$31+D13*$I$31+D14*$I$31+D15*$I$97)*12</f>
        <v>0</v>
      </c>
      <c r="E17" s="246">
        <f t="shared" si="5"/>
        <v>0</v>
      </c>
      <c r="F17" s="246">
        <f t="shared" si="5"/>
        <v>0</v>
      </c>
      <c r="G17" s="246">
        <f t="shared" si="5"/>
        <v>0</v>
      </c>
      <c r="H17" s="246">
        <f t="shared" si="5"/>
        <v>0</v>
      </c>
      <c r="I17" s="246">
        <f t="shared" si="5"/>
        <v>0</v>
      </c>
      <c r="J17" s="246">
        <f t="shared" si="5"/>
        <v>0</v>
      </c>
      <c r="K17" s="246">
        <f t="shared" si="5"/>
        <v>0</v>
      </c>
      <c r="L17" s="246">
        <f t="shared" si="5"/>
        <v>0</v>
      </c>
      <c r="M17" s="246">
        <f t="shared" si="5"/>
        <v>0</v>
      </c>
      <c r="N17" s="246">
        <f t="shared" si="5"/>
        <v>0</v>
      </c>
      <c r="O17" s="246">
        <f t="shared" si="5"/>
        <v>0</v>
      </c>
      <c r="P17" s="246">
        <f t="shared" si="5"/>
        <v>0</v>
      </c>
      <c r="Q17" s="246">
        <f t="shared" si="5"/>
        <v>0</v>
      </c>
      <c r="R17" s="246">
        <f t="shared" si="5"/>
        <v>0</v>
      </c>
      <c r="S17" s="246">
        <f t="shared" si="5"/>
        <v>0</v>
      </c>
      <c r="T17" s="246">
        <f t="shared" si="5"/>
        <v>0</v>
      </c>
      <c r="U17" s="246">
        <f t="shared" si="5"/>
        <v>0</v>
      </c>
      <c r="V17" s="246">
        <f t="shared" si="5"/>
        <v>0</v>
      </c>
      <c r="W17" s="246">
        <f t="shared" si="5"/>
        <v>0</v>
      </c>
      <c r="X17" s="246">
        <f t="shared" si="5"/>
        <v>0</v>
      </c>
      <c r="Y17" s="246">
        <f t="shared" si="5"/>
        <v>0</v>
      </c>
      <c r="Z17" s="246">
        <f t="shared" si="5"/>
        <v>0</v>
      </c>
      <c r="AA17" s="246">
        <f t="shared" si="5"/>
        <v>0</v>
      </c>
      <c r="AB17" s="246">
        <f t="shared" si="5"/>
        <v>0</v>
      </c>
      <c r="AC17" s="246">
        <f t="shared" si="5"/>
        <v>0</v>
      </c>
      <c r="AD17" s="246">
        <f t="shared" si="5"/>
        <v>0</v>
      </c>
      <c r="AE17" s="246">
        <f t="shared" si="5"/>
        <v>0</v>
      </c>
      <c r="AF17" s="246">
        <f t="shared" si="5"/>
        <v>0</v>
      </c>
      <c r="AG17" s="246">
        <f t="shared" si="5"/>
        <v>0</v>
      </c>
      <c r="AH17" s="246">
        <f t="shared" si="5"/>
        <v>0</v>
      </c>
      <c r="AI17" s="246">
        <f t="shared" si="5"/>
        <v>0</v>
      </c>
      <c r="AJ17" s="246">
        <f t="shared" si="5"/>
        <v>0</v>
      </c>
      <c r="AK17" s="246">
        <f t="shared" si="5"/>
        <v>0</v>
      </c>
      <c r="AL17" s="246">
        <f t="shared" si="5"/>
        <v>0</v>
      </c>
      <c r="AM17" s="71">
        <f t="shared" si="4"/>
        <v>0</v>
      </c>
    </row>
    <row r="18" spans="1:39" x14ac:dyDescent="0.25">
      <c r="A18" s="46"/>
      <c r="B18" s="303"/>
      <c r="C18" s="303"/>
      <c r="D18" s="303"/>
      <c r="E18" s="303"/>
      <c r="F18" s="303"/>
      <c r="G18" s="303"/>
      <c r="H18" s="303"/>
      <c r="I18" s="303"/>
      <c r="J18" s="303"/>
      <c r="K18" s="303"/>
      <c r="L18" s="303"/>
      <c r="M18" s="303"/>
      <c r="N18" s="303"/>
      <c r="O18" s="303"/>
      <c r="P18" s="303"/>
      <c r="Q18" s="303"/>
      <c r="R18" s="303"/>
      <c r="S18" s="303"/>
      <c r="T18" s="303"/>
      <c r="U18" s="303"/>
      <c r="V18" s="303"/>
      <c r="W18" s="303"/>
      <c r="X18" s="303"/>
      <c r="Y18" s="303"/>
      <c r="Z18" s="303"/>
      <c r="AA18" s="303"/>
      <c r="AB18" s="303"/>
      <c r="AC18" s="303"/>
      <c r="AD18" s="303"/>
      <c r="AE18" s="303"/>
      <c r="AF18" s="303"/>
      <c r="AG18" s="303"/>
      <c r="AH18" s="303"/>
      <c r="AI18" s="303"/>
      <c r="AJ18" s="303"/>
      <c r="AK18" s="303"/>
      <c r="AL18" s="303"/>
      <c r="AM18" s="71"/>
    </row>
    <row r="19" spans="1:39" x14ac:dyDescent="0.25">
      <c r="B19" s="756" t="s">
        <v>1380</v>
      </c>
      <c r="D19" s="132"/>
      <c r="E19" s="132"/>
      <c r="F19" s="132"/>
      <c r="G19" s="132"/>
      <c r="H19" s="132"/>
      <c r="I19" s="132"/>
      <c r="J19" s="132"/>
      <c r="K19" s="132"/>
      <c r="L19" s="132"/>
      <c r="M19" s="132"/>
      <c r="N19" s="132"/>
      <c r="O19" s="132"/>
      <c r="P19" s="132"/>
      <c r="Q19" s="132"/>
      <c r="R19" s="132"/>
      <c r="S19" s="132"/>
      <c r="T19" s="132"/>
      <c r="U19" s="132"/>
      <c r="V19" s="132"/>
      <c r="W19" s="132"/>
      <c r="X19" s="132"/>
      <c r="Y19" s="132"/>
      <c r="Z19" s="132"/>
      <c r="AA19" s="132"/>
      <c r="AB19" s="132"/>
      <c r="AC19" s="132"/>
      <c r="AD19" s="132"/>
      <c r="AE19" s="132"/>
      <c r="AF19" s="132"/>
      <c r="AG19" s="132"/>
      <c r="AH19" s="132"/>
      <c r="AI19" s="132"/>
      <c r="AJ19" s="132"/>
      <c r="AK19" s="132"/>
      <c r="AL19" s="132"/>
    </row>
    <row r="20" spans="1:39" x14ac:dyDescent="0.25">
      <c r="B20" s="756" t="s">
        <v>1381</v>
      </c>
      <c r="D20" s="132"/>
      <c r="E20" s="132"/>
      <c r="F20" s="132"/>
      <c r="G20" s="132"/>
      <c r="H20" s="132"/>
      <c r="I20" s="132"/>
      <c r="J20" s="132"/>
      <c r="K20" s="132"/>
      <c r="L20" s="132"/>
      <c r="M20" s="132"/>
      <c r="N20" s="132"/>
      <c r="O20" s="132"/>
      <c r="P20" s="132"/>
      <c r="Q20" s="132"/>
      <c r="R20" s="132"/>
      <c r="S20" s="132"/>
      <c r="T20" s="132"/>
      <c r="U20" s="132"/>
      <c r="V20" s="132"/>
      <c r="W20" s="132"/>
      <c r="X20" s="132"/>
      <c r="Y20" s="132"/>
      <c r="Z20" s="132"/>
      <c r="AA20" s="132"/>
      <c r="AB20" s="132"/>
      <c r="AC20" s="132"/>
      <c r="AD20" s="132"/>
      <c r="AE20" s="132"/>
      <c r="AF20" s="132"/>
      <c r="AG20" s="132"/>
      <c r="AH20" s="132"/>
      <c r="AI20" s="132"/>
      <c r="AJ20" s="132"/>
      <c r="AK20" s="132"/>
      <c r="AL20" s="132"/>
    </row>
    <row r="21" spans="1:39" x14ac:dyDescent="0.25">
      <c r="B21" s="756" t="s">
        <v>1382</v>
      </c>
      <c r="D21" s="132"/>
      <c r="E21" s="132"/>
      <c r="F21" s="132"/>
      <c r="G21" s="132"/>
      <c r="H21" s="132"/>
      <c r="I21" s="132"/>
      <c r="J21" s="132"/>
      <c r="K21" s="132"/>
      <c r="L21" s="132"/>
      <c r="M21" s="132"/>
      <c r="N21" s="132"/>
      <c r="O21" s="132"/>
      <c r="P21" s="132"/>
      <c r="Q21" s="132"/>
      <c r="R21" s="132"/>
      <c r="S21" s="132"/>
      <c r="T21" s="132"/>
      <c r="U21" s="132"/>
      <c r="V21" s="132"/>
      <c r="W21" s="132"/>
      <c r="X21" s="132"/>
      <c r="Y21" s="132"/>
      <c r="Z21" s="132"/>
      <c r="AA21" s="132"/>
      <c r="AB21" s="132"/>
      <c r="AC21" s="132"/>
      <c r="AD21" s="132"/>
      <c r="AE21" s="132"/>
      <c r="AF21" s="132"/>
      <c r="AG21" s="132"/>
      <c r="AH21" s="132"/>
      <c r="AI21" s="132"/>
      <c r="AJ21" s="132"/>
      <c r="AK21" s="132"/>
      <c r="AL21" s="132"/>
    </row>
    <row r="22" spans="1:39" x14ac:dyDescent="0.25">
      <c r="B22" s="1147" t="s">
        <v>436</v>
      </c>
      <c r="C22" s="1148"/>
      <c r="D22" s="374" t="s">
        <v>562</v>
      </c>
      <c r="E22" s="370" t="s">
        <v>621</v>
      </c>
      <c r="F22" s="370" t="s">
        <v>563</v>
      </c>
      <c r="G22" s="375" t="s">
        <v>564</v>
      </c>
      <c r="H22" s="375" t="s">
        <v>561</v>
      </c>
      <c r="I22" s="370" t="s">
        <v>553</v>
      </c>
      <c r="J22" s="132"/>
      <c r="K22" s="132"/>
      <c r="L22" s="132"/>
      <c r="M22" s="132"/>
      <c r="N22" s="132"/>
      <c r="O22" s="132"/>
      <c r="P22" s="132"/>
      <c r="Q22" s="132"/>
      <c r="R22" s="132"/>
      <c r="S22" s="132"/>
      <c r="T22" s="132"/>
      <c r="U22" s="132"/>
      <c r="V22" s="132"/>
      <c r="W22" s="132"/>
      <c r="X22" s="132"/>
      <c r="Y22" s="132"/>
      <c r="Z22" s="132"/>
      <c r="AA22" s="132"/>
      <c r="AB22" s="132"/>
      <c r="AC22" s="132"/>
      <c r="AD22" s="132"/>
      <c r="AE22" s="132"/>
      <c r="AF22" s="132"/>
      <c r="AG22" s="132"/>
      <c r="AH22" s="132"/>
      <c r="AI22" s="132"/>
      <c r="AJ22" s="132"/>
      <c r="AK22" s="132"/>
      <c r="AL22" s="132"/>
    </row>
    <row r="23" spans="1:39" x14ac:dyDescent="0.25">
      <c r="B23" s="1149"/>
      <c r="C23" s="1150"/>
      <c r="D23" s="758">
        <f>365/12</f>
        <v>30.416666666666668</v>
      </c>
      <c r="E23" s="758">
        <f>4.33*2</f>
        <v>8.66</v>
      </c>
      <c r="F23" s="758">
        <f>D23-E23</f>
        <v>21.756666666666668</v>
      </c>
      <c r="G23" s="758">
        <f>F23*8</f>
        <v>174.05333333333334</v>
      </c>
      <c r="H23" s="373"/>
      <c r="I23" s="759">
        <f>G23*H23</f>
        <v>0</v>
      </c>
      <c r="K23" s="132"/>
      <c r="L23" s="132"/>
    </row>
    <row r="24" spans="1:39" x14ac:dyDescent="0.25">
      <c r="B24" s="369" t="s">
        <v>89</v>
      </c>
      <c r="C24" s="369" t="s">
        <v>293</v>
      </c>
      <c r="D24" s="369" t="s">
        <v>549</v>
      </c>
      <c r="E24" s="369" t="s">
        <v>550</v>
      </c>
      <c r="F24" s="369" t="s">
        <v>551</v>
      </c>
      <c r="G24" s="369" t="s">
        <v>552</v>
      </c>
      <c r="H24" s="369" t="s">
        <v>556</v>
      </c>
      <c r="I24" s="369" t="s">
        <v>557</v>
      </c>
      <c r="K24" s="132"/>
      <c r="L24" s="132"/>
    </row>
    <row r="25" spans="1:39" x14ac:dyDescent="0.25">
      <c r="B25" s="378" t="s">
        <v>544</v>
      </c>
      <c r="C25" s="379" t="s">
        <v>545</v>
      </c>
      <c r="D25" s="378">
        <v>13.7</v>
      </c>
      <c r="E25" s="372"/>
      <c r="F25" s="263">
        <f t="shared" ref="F25:F30" si="6">D25*E25</f>
        <v>0</v>
      </c>
      <c r="G25" s="263">
        <f t="shared" ref="G25:G30" si="7">$I$23*F25</f>
        <v>0</v>
      </c>
      <c r="H25" s="4"/>
      <c r="I25" s="263">
        <f>G25</f>
        <v>0</v>
      </c>
      <c r="K25" s="132"/>
      <c r="L25" s="132"/>
    </row>
    <row r="26" spans="1:39" x14ac:dyDescent="0.25">
      <c r="B26" s="378" t="s">
        <v>541</v>
      </c>
      <c r="C26" s="379" t="s">
        <v>545</v>
      </c>
      <c r="D26" s="378">
        <v>0.16</v>
      </c>
      <c r="E26" s="372"/>
      <c r="F26" s="263">
        <f t="shared" si="6"/>
        <v>0</v>
      </c>
      <c r="G26" s="263">
        <f t="shared" si="7"/>
        <v>0</v>
      </c>
      <c r="H26" s="4"/>
      <c r="I26" s="263">
        <f>G26</f>
        <v>0</v>
      </c>
      <c r="K26" s="132"/>
      <c r="L26" s="132"/>
    </row>
    <row r="27" spans="1:39" x14ac:dyDescent="0.25">
      <c r="B27" s="378" t="s">
        <v>542</v>
      </c>
      <c r="C27" s="379" t="s">
        <v>546</v>
      </c>
      <c r="D27" s="378">
        <v>8.5000000000000006E-2</v>
      </c>
      <c r="E27" s="372"/>
      <c r="F27" s="263">
        <f t="shared" si="6"/>
        <v>0</v>
      </c>
      <c r="G27" s="263">
        <f t="shared" si="7"/>
        <v>0</v>
      </c>
      <c r="H27" s="4"/>
      <c r="I27" s="263">
        <f>G27</f>
        <v>0</v>
      </c>
      <c r="K27" s="132"/>
      <c r="L27" s="132"/>
    </row>
    <row r="28" spans="1:39" x14ac:dyDescent="0.25">
      <c r="B28" s="378" t="s">
        <v>543</v>
      </c>
      <c r="C28" s="379" t="s">
        <v>547</v>
      </c>
      <c r="D28" s="378">
        <v>0.02</v>
      </c>
      <c r="E28" s="372"/>
      <c r="F28" s="263">
        <f t="shared" si="6"/>
        <v>0</v>
      </c>
      <c r="G28" s="263">
        <f t="shared" si="7"/>
        <v>0</v>
      </c>
      <c r="H28" s="263">
        <f>G28</f>
        <v>0</v>
      </c>
      <c r="I28" s="4"/>
      <c r="K28" s="132"/>
      <c r="L28" s="132"/>
    </row>
    <row r="29" spans="1:39" x14ac:dyDescent="0.25">
      <c r="B29" s="378" t="s">
        <v>548</v>
      </c>
      <c r="C29" s="379" t="s">
        <v>547</v>
      </c>
      <c r="D29" s="378">
        <v>1.6000000000000001E-3</v>
      </c>
      <c r="E29" s="372"/>
      <c r="F29" s="263">
        <f t="shared" si="6"/>
        <v>0</v>
      </c>
      <c r="G29" s="263">
        <f t="shared" si="7"/>
        <v>0</v>
      </c>
      <c r="H29" s="263">
        <f t="shared" ref="H29:H30" si="8">G29</f>
        <v>0</v>
      </c>
      <c r="I29" s="4"/>
      <c r="K29" s="132"/>
      <c r="L29" s="132"/>
    </row>
    <row r="30" spans="1:39" x14ac:dyDescent="0.25">
      <c r="B30" s="378" t="s">
        <v>874</v>
      </c>
      <c r="C30" s="379" t="s">
        <v>554</v>
      </c>
      <c r="D30" s="757">
        <v>7.4999999999999993E-5</v>
      </c>
      <c r="E30" s="372"/>
      <c r="F30" s="263">
        <f t="shared" si="6"/>
        <v>0</v>
      </c>
      <c r="G30" s="263">
        <f t="shared" si="7"/>
        <v>0</v>
      </c>
      <c r="H30" s="263">
        <f t="shared" si="8"/>
        <v>0</v>
      </c>
      <c r="I30" s="4"/>
      <c r="K30" s="132"/>
      <c r="L30" s="132"/>
    </row>
    <row r="31" spans="1:39" x14ac:dyDescent="0.25">
      <c r="B31" s="1146" t="s">
        <v>5</v>
      </c>
      <c r="C31" s="1146"/>
      <c r="D31" s="1146"/>
      <c r="E31" s="1146"/>
      <c r="F31" s="1146"/>
      <c r="G31" s="263">
        <f>SUM(G25:G30)</f>
        <v>0</v>
      </c>
      <c r="H31" s="263">
        <f>SUM(H25:H30)</f>
        <v>0</v>
      </c>
      <c r="I31" s="263">
        <f>SUM(I25:I30)</f>
        <v>0</v>
      </c>
      <c r="K31" s="132"/>
      <c r="L31" s="132"/>
    </row>
    <row r="32" spans="1:39" x14ac:dyDescent="0.25">
      <c r="G32" s="3"/>
      <c r="K32" s="132"/>
      <c r="L32" s="132"/>
    </row>
    <row r="33" spans="2:12" x14ac:dyDescent="0.25">
      <c r="B33" s="1147" t="s">
        <v>441</v>
      </c>
      <c r="C33" s="1148"/>
      <c r="D33" s="374" t="s">
        <v>562</v>
      </c>
      <c r="E33" s="370" t="s">
        <v>621</v>
      </c>
      <c r="F33" s="370" t="s">
        <v>563</v>
      </c>
      <c r="G33" s="375" t="s">
        <v>564</v>
      </c>
      <c r="H33" s="375" t="s">
        <v>561</v>
      </c>
      <c r="I33" s="370" t="s">
        <v>553</v>
      </c>
      <c r="K33" s="132"/>
      <c r="L33" s="132"/>
    </row>
    <row r="34" spans="2:12" x14ac:dyDescent="0.25">
      <c r="B34" s="1149"/>
      <c r="C34" s="1150"/>
      <c r="D34" s="758">
        <f>365/12</f>
        <v>30.416666666666668</v>
      </c>
      <c r="E34" s="758">
        <f>4.33*2</f>
        <v>8.66</v>
      </c>
      <c r="F34" s="758">
        <f>D34-E34</f>
        <v>21.756666666666668</v>
      </c>
      <c r="G34" s="758">
        <f>F34*8</f>
        <v>174.05333333333334</v>
      </c>
      <c r="H34" s="373"/>
      <c r="I34" s="759">
        <f>G34*H34</f>
        <v>0</v>
      </c>
      <c r="K34" s="132"/>
      <c r="L34" s="132"/>
    </row>
    <row r="35" spans="2:12" x14ac:dyDescent="0.25">
      <c r="B35" s="369" t="s">
        <v>89</v>
      </c>
      <c r="C35" s="369" t="s">
        <v>293</v>
      </c>
      <c r="D35" s="369" t="s">
        <v>549</v>
      </c>
      <c r="E35" s="369" t="s">
        <v>550</v>
      </c>
      <c r="F35" s="369" t="s">
        <v>551</v>
      </c>
      <c r="G35" s="369" t="s">
        <v>552</v>
      </c>
      <c r="H35" s="369" t="s">
        <v>556</v>
      </c>
      <c r="I35" s="369" t="s">
        <v>557</v>
      </c>
      <c r="K35" s="132"/>
      <c r="L35" s="132"/>
    </row>
    <row r="36" spans="2:12" x14ac:dyDescent="0.25">
      <c r="B36" s="378" t="s">
        <v>544</v>
      </c>
      <c r="C36" s="379" t="s">
        <v>545</v>
      </c>
      <c r="D36" s="378">
        <v>13.7</v>
      </c>
      <c r="E36" s="372"/>
      <c r="F36" s="263">
        <f t="shared" ref="F36:F41" si="9">D36*E36</f>
        <v>0</v>
      </c>
      <c r="G36" s="263">
        <f t="shared" ref="G36:G41" si="10">$I$34*F36</f>
        <v>0</v>
      </c>
      <c r="H36" s="4"/>
      <c r="I36" s="263">
        <f>G36</f>
        <v>0</v>
      </c>
      <c r="K36" s="132"/>
      <c r="L36" s="132"/>
    </row>
    <row r="37" spans="2:12" x14ac:dyDescent="0.25">
      <c r="B37" s="378" t="s">
        <v>541</v>
      </c>
      <c r="C37" s="379" t="s">
        <v>545</v>
      </c>
      <c r="D37" s="378">
        <v>0.16</v>
      </c>
      <c r="E37" s="372"/>
      <c r="F37" s="263">
        <f t="shared" si="9"/>
        <v>0</v>
      </c>
      <c r="G37" s="263">
        <f t="shared" si="10"/>
        <v>0</v>
      </c>
      <c r="H37" s="4"/>
      <c r="I37" s="263">
        <f>G37</f>
        <v>0</v>
      </c>
      <c r="K37" s="132"/>
      <c r="L37" s="132"/>
    </row>
    <row r="38" spans="2:12" x14ac:dyDescent="0.25">
      <c r="B38" s="378" t="s">
        <v>542</v>
      </c>
      <c r="C38" s="379" t="s">
        <v>546</v>
      </c>
      <c r="D38" s="378">
        <v>0.08</v>
      </c>
      <c r="E38" s="372"/>
      <c r="F38" s="263">
        <f t="shared" si="9"/>
        <v>0</v>
      </c>
      <c r="G38" s="263">
        <f t="shared" si="10"/>
        <v>0</v>
      </c>
      <c r="H38" s="4"/>
      <c r="I38" s="263">
        <f>G38</f>
        <v>0</v>
      </c>
      <c r="K38" s="132"/>
      <c r="L38" s="132"/>
    </row>
    <row r="39" spans="2:12" x14ac:dyDescent="0.25">
      <c r="B39" s="378" t="s">
        <v>543</v>
      </c>
      <c r="C39" s="379" t="s">
        <v>547</v>
      </c>
      <c r="D39" s="378">
        <v>0.02</v>
      </c>
      <c r="E39" s="372"/>
      <c r="F39" s="263">
        <f t="shared" si="9"/>
        <v>0</v>
      </c>
      <c r="G39" s="263">
        <f t="shared" si="10"/>
        <v>0</v>
      </c>
      <c r="H39" s="263">
        <f>G39</f>
        <v>0</v>
      </c>
      <c r="I39" s="4"/>
      <c r="K39" s="132"/>
      <c r="L39" s="132"/>
    </row>
    <row r="40" spans="2:12" x14ac:dyDescent="0.25">
      <c r="B40" s="378" t="s">
        <v>548</v>
      </c>
      <c r="C40" s="379" t="s">
        <v>547</v>
      </c>
      <c r="D40" s="378">
        <v>1.6000000000000001E-3</v>
      </c>
      <c r="E40" s="372"/>
      <c r="F40" s="263">
        <f t="shared" si="9"/>
        <v>0</v>
      </c>
      <c r="G40" s="263">
        <f t="shared" si="10"/>
        <v>0</v>
      </c>
      <c r="H40" s="263">
        <f t="shared" ref="H40:H41" si="11">G40</f>
        <v>0</v>
      </c>
      <c r="I40" s="4"/>
      <c r="K40" s="132"/>
      <c r="L40" s="132"/>
    </row>
    <row r="41" spans="2:12" x14ac:dyDescent="0.25">
      <c r="B41" s="378" t="s">
        <v>874</v>
      </c>
      <c r="C41" s="379" t="s">
        <v>554</v>
      </c>
      <c r="D41" s="757">
        <v>7.4999999999999993E-5</v>
      </c>
      <c r="E41" s="372"/>
      <c r="F41" s="263">
        <f t="shared" si="9"/>
        <v>0</v>
      </c>
      <c r="G41" s="263">
        <f t="shared" si="10"/>
        <v>0</v>
      </c>
      <c r="H41" s="263">
        <f t="shared" si="11"/>
        <v>0</v>
      </c>
      <c r="I41" s="4"/>
      <c r="K41" s="132"/>
      <c r="L41" s="132"/>
    </row>
    <row r="42" spans="2:12" x14ac:dyDescent="0.25">
      <c r="B42" s="1146" t="s">
        <v>5</v>
      </c>
      <c r="C42" s="1146"/>
      <c r="D42" s="1146"/>
      <c r="E42" s="1146"/>
      <c r="F42" s="1146"/>
      <c r="G42" s="263">
        <f>SUM(G36:G41)</f>
        <v>0</v>
      </c>
      <c r="H42" s="263">
        <f>SUM(H36:H41)</f>
        <v>0</v>
      </c>
      <c r="I42" s="263">
        <f>SUM(I36:I41)</f>
        <v>0</v>
      </c>
      <c r="K42" s="132"/>
      <c r="L42" s="132"/>
    </row>
    <row r="43" spans="2:12" x14ac:dyDescent="0.25">
      <c r="B43" s="66"/>
      <c r="C43" s="66"/>
      <c r="D43" s="66"/>
      <c r="E43" s="66"/>
      <c r="F43" s="66"/>
      <c r="G43" s="3"/>
      <c r="H43" s="3"/>
      <c r="I43" s="3"/>
      <c r="K43" s="132"/>
      <c r="L43" s="132"/>
    </row>
    <row r="44" spans="2:12" x14ac:dyDescent="0.25">
      <c r="B44" s="1147" t="s">
        <v>440</v>
      </c>
      <c r="C44" s="1148"/>
      <c r="D44" s="370" t="s">
        <v>562</v>
      </c>
      <c r="E44" s="370" t="s">
        <v>621</v>
      </c>
      <c r="F44" s="370" t="s">
        <v>563</v>
      </c>
      <c r="G44" s="370" t="s">
        <v>564</v>
      </c>
      <c r="H44" s="370" t="s">
        <v>561</v>
      </c>
      <c r="I44" s="370" t="s">
        <v>553</v>
      </c>
      <c r="K44" s="132"/>
      <c r="L44" s="132"/>
    </row>
    <row r="45" spans="2:12" x14ac:dyDescent="0.25">
      <c r="B45" s="1149"/>
      <c r="C45" s="1150"/>
      <c r="D45" s="758">
        <f>365/12</f>
        <v>30.416666666666668</v>
      </c>
      <c r="E45" s="758">
        <f>4.33*2</f>
        <v>8.66</v>
      </c>
      <c r="F45" s="758">
        <f>D45-E45</f>
        <v>21.756666666666668</v>
      </c>
      <c r="G45" s="758">
        <f>F45*8</f>
        <v>174.05333333333334</v>
      </c>
      <c r="H45" s="373"/>
      <c r="I45" s="759">
        <f>G45*H45</f>
        <v>0</v>
      </c>
      <c r="K45" s="132"/>
      <c r="L45" s="132"/>
    </row>
    <row r="46" spans="2:12" x14ac:dyDescent="0.25">
      <c r="B46" s="369" t="s">
        <v>89</v>
      </c>
      <c r="C46" s="369" t="s">
        <v>293</v>
      </c>
      <c r="D46" s="369" t="s">
        <v>549</v>
      </c>
      <c r="E46" s="369" t="s">
        <v>550</v>
      </c>
      <c r="F46" s="369" t="s">
        <v>551</v>
      </c>
      <c r="G46" s="369" t="s">
        <v>552</v>
      </c>
      <c r="H46" s="369" t="s">
        <v>556</v>
      </c>
      <c r="I46" s="369" t="s">
        <v>557</v>
      </c>
      <c r="K46" s="132"/>
      <c r="L46" s="132"/>
    </row>
    <row r="47" spans="2:12" x14ac:dyDescent="0.25">
      <c r="B47" s="378" t="s">
        <v>540</v>
      </c>
      <c r="C47" s="379" t="s">
        <v>545</v>
      </c>
      <c r="D47" s="378">
        <v>13.8</v>
      </c>
      <c r="E47" s="372"/>
      <c r="F47" s="263">
        <f t="shared" ref="F47:F52" si="12">D47*E47</f>
        <v>0</v>
      </c>
      <c r="G47" s="263">
        <f t="shared" ref="G47:G52" si="13">$I$34*F47</f>
        <v>0</v>
      </c>
      <c r="H47" s="4"/>
      <c r="I47" s="263">
        <f>G47</f>
        <v>0</v>
      </c>
      <c r="K47" s="132"/>
      <c r="L47" s="132"/>
    </row>
    <row r="48" spans="2:12" x14ac:dyDescent="0.25">
      <c r="B48" s="378" t="s">
        <v>541</v>
      </c>
      <c r="C48" s="379" t="s">
        <v>545</v>
      </c>
      <c r="D48" s="378">
        <v>0.24</v>
      </c>
      <c r="E48" s="372"/>
      <c r="F48" s="263">
        <f t="shared" si="12"/>
        <v>0</v>
      </c>
      <c r="G48" s="263">
        <f t="shared" si="13"/>
        <v>0</v>
      </c>
      <c r="H48" s="4"/>
      <c r="I48" s="263">
        <f>G48</f>
        <v>0</v>
      </c>
      <c r="K48" s="132"/>
      <c r="L48" s="132"/>
    </row>
    <row r="49" spans="2:12" x14ac:dyDescent="0.25">
      <c r="B49" s="378" t="s">
        <v>542</v>
      </c>
      <c r="C49" s="379" t="s">
        <v>546</v>
      </c>
      <c r="D49" s="378">
        <v>0.12</v>
      </c>
      <c r="E49" s="372"/>
      <c r="F49" s="263">
        <f t="shared" si="12"/>
        <v>0</v>
      </c>
      <c r="G49" s="263">
        <f t="shared" si="13"/>
        <v>0</v>
      </c>
      <c r="H49" s="4"/>
      <c r="I49" s="263">
        <f>G49</f>
        <v>0</v>
      </c>
      <c r="K49" s="132"/>
      <c r="L49" s="132"/>
    </row>
    <row r="50" spans="2:12" x14ac:dyDescent="0.25">
      <c r="B50" s="378" t="s">
        <v>543</v>
      </c>
      <c r="C50" s="379" t="s">
        <v>547</v>
      </c>
      <c r="D50" s="378">
        <v>2.4E-2</v>
      </c>
      <c r="E50" s="372"/>
      <c r="F50" s="263">
        <f t="shared" si="12"/>
        <v>0</v>
      </c>
      <c r="G50" s="263">
        <f t="shared" si="13"/>
        <v>0</v>
      </c>
      <c r="H50" s="263">
        <f>G50</f>
        <v>0</v>
      </c>
      <c r="I50" s="4"/>
      <c r="K50" s="132"/>
      <c r="L50" s="132"/>
    </row>
    <row r="51" spans="2:12" x14ac:dyDescent="0.25">
      <c r="B51" s="378" t="s">
        <v>548</v>
      </c>
      <c r="C51" s="379" t="s">
        <v>547</v>
      </c>
      <c r="D51" s="378">
        <v>2.3999999999999998E-3</v>
      </c>
      <c r="E51" s="372"/>
      <c r="F51" s="263">
        <f t="shared" si="12"/>
        <v>0</v>
      </c>
      <c r="G51" s="263">
        <f t="shared" si="13"/>
        <v>0</v>
      </c>
      <c r="H51" s="263">
        <f t="shared" ref="H51:H52" si="14">G51</f>
        <v>0</v>
      </c>
      <c r="I51" s="4"/>
      <c r="K51" s="132"/>
      <c r="L51" s="132"/>
    </row>
    <row r="52" spans="2:12" x14ac:dyDescent="0.25">
      <c r="B52" s="378" t="s">
        <v>874</v>
      </c>
      <c r="C52" s="379" t="s">
        <v>554</v>
      </c>
      <c r="D52" s="757">
        <v>7.4999999999999993E-5</v>
      </c>
      <c r="E52" s="372"/>
      <c r="F52" s="263">
        <f t="shared" si="12"/>
        <v>0</v>
      </c>
      <c r="G52" s="263">
        <f t="shared" si="13"/>
        <v>0</v>
      </c>
      <c r="H52" s="263">
        <f t="shared" si="14"/>
        <v>0</v>
      </c>
      <c r="I52" s="4"/>
      <c r="K52" s="132"/>
      <c r="L52" s="132"/>
    </row>
    <row r="53" spans="2:12" x14ac:dyDescent="0.25">
      <c r="B53" s="1146" t="s">
        <v>5</v>
      </c>
      <c r="C53" s="1146"/>
      <c r="D53" s="1146"/>
      <c r="E53" s="1146"/>
      <c r="F53" s="1146"/>
      <c r="G53" s="263">
        <f>SUM(G47:G52)</f>
        <v>0</v>
      </c>
      <c r="H53" s="263">
        <f>SUM(H47:H52)</f>
        <v>0</v>
      </c>
      <c r="I53" s="263">
        <f>SUM(I47:I52)</f>
        <v>0</v>
      </c>
      <c r="K53" s="132"/>
      <c r="L53" s="132"/>
    </row>
    <row r="54" spans="2:12" x14ac:dyDescent="0.25">
      <c r="B54" s="66"/>
      <c r="C54" s="66"/>
      <c r="D54" s="66"/>
      <c r="E54" s="66"/>
      <c r="F54" s="66"/>
      <c r="G54" s="3"/>
      <c r="H54" s="3"/>
      <c r="I54" s="3"/>
      <c r="K54" s="132"/>
      <c r="L54" s="132"/>
    </row>
    <row r="55" spans="2:12" x14ac:dyDescent="0.25">
      <c r="B55" s="1147" t="s">
        <v>438</v>
      </c>
      <c r="C55" s="1148"/>
      <c r="D55" s="374" t="s">
        <v>562</v>
      </c>
      <c r="E55" s="370" t="s">
        <v>621</v>
      </c>
      <c r="F55" s="370" t="s">
        <v>563</v>
      </c>
      <c r="G55" s="375" t="s">
        <v>564</v>
      </c>
      <c r="H55" s="375" t="s">
        <v>561</v>
      </c>
      <c r="I55" s="370" t="s">
        <v>553</v>
      </c>
      <c r="K55" s="132"/>
      <c r="L55" s="132"/>
    </row>
    <row r="56" spans="2:12" x14ac:dyDescent="0.25">
      <c r="B56" s="1149"/>
      <c r="C56" s="1150"/>
      <c r="D56" s="758">
        <f>365/12</f>
        <v>30.416666666666668</v>
      </c>
      <c r="E56" s="758">
        <f>4.33*2</f>
        <v>8.66</v>
      </c>
      <c r="F56" s="758">
        <f>D56-E56</f>
        <v>21.756666666666668</v>
      </c>
      <c r="G56" s="758">
        <f>F56*8</f>
        <v>174.05333333333334</v>
      </c>
      <c r="H56" s="373"/>
      <c r="I56" s="759">
        <f>G56*H56</f>
        <v>0</v>
      </c>
      <c r="K56" s="132"/>
      <c r="L56" s="132"/>
    </row>
    <row r="57" spans="2:12" x14ac:dyDescent="0.25">
      <c r="B57" s="369" t="s">
        <v>89</v>
      </c>
      <c r="C57" s="369" t="s">
        <v>293</v>
      </c>
      <c r="D57" s="369" t="s">
        <v>549</v>
      </c>
      <c r="E57" s="369" t="s">
        <v>550</v>
      </c>
      <c r="F57" s="369" t="s">
        <v>551</v>
      </c>
      <c r="G57" s="369" t="s">
        <v>552</v>
      </c>
      <c r="H57" s="369" t="s">
        <v>556</v>
      </c>
      <c r="I57" s="369" t="s">
        <v>557</v>
      </c>
      <c r="K57" s="132"/>
      <c r="L57" s="132"/>
    </row>
    <row r="58" spans="2:12" x14ac:dyDescent="0.25">
      <c r="B58" s="378" t="s">
        <v>540</v>
      </c>
      <c r="C58" s="379" t="s">
        <v>545</v>
      </c>
      <c r="D58" s="378">
        <v>22.1</v>
      </c>
      <c r="E58" s="372"/>
      <c r="F58" s="263">
        <f t="shared" ref="F58:F63" si="15">D58*E58</f>
        <v>0</v>
      </c>
      <c r="G58" s="263">
        <f t="shared" ref="G58:G63" si="16">$I$34*F58</f>
        <v>0</v>
      </c>
      <c r="H58" s="4"/>
      <c r="I58" s="263">
        <f>G58</f>
        <v>0</v>
      </c>
      <c r="K58" s="132"/>
      <c r="L58" s="132"/>
    </row>
    <row r="59" spans="2:12" x14ac:dyDescent="0.25">
      <c r="B59" s="378" t="s">
        <v>541</v>
      </c>
      <c r="C59" s="379" t="s">
        <v>545</v>
      </c>
      <c r="D59" s="378">
        <v>0.39</v>
      </c>
      <c r="E59" s="372"/>
      <c r="F59" s="263">
        <f t="shared" si="15"/>
        <v>0</v>
      </c>
      <c r="G59" s="263">
        <f t="shared" si="16"/>
        <v>0</v>
      </c>
      <c r="H59" s="4"/>
      <c r="I59" s="263">
        <f>G59</f>
        <v>0</v>
      </c>
      <c r="K59" s="132"/>
      <c r="L59" s="132"/>
    </row>
    <row r="60" spans="2:12" x14ac:dyDescent="0.25">
      <c r="B60" s="378" t="s">
        <v>542</v>
      </c>
      <c r="C60" s="379" t="s">
        <v>546</v>
      </c>
      <c r="D60" s="378">
        <v>0.189</v>
      </c>
      <c r="E60" s="372"/>
      <c r="F60" s="263">
        <f t="shared" si="15"/>
        <v>0</v>
      </c>
      <c r="G60" s="263">
        <f t="shared" si="16"/>
        <v>0</v>
      </c>
      <c r="H60" s="4"/>
      <c r="I60" s="263">
        <f>G60</f>
        <v>0</v>
      </c>
      <c r="K60" s="132"/>
      <c r="L60" s="132"/>
    </row>
    <row r="61" spans="2:12" x14ac:dyDescent="0.25">
      <c r="B61" s="378" t="s">
        <v>543</v>
      </c>
      <c r="C61" s="379" t="s">
        <v>547</v>
      </c>
      <c r="D61" s="378">
        <v>3.6999999999999998E-2</v>
      </c>
      <c r="E61" s="372"/>
      <c r="F61" s="263">
        <f t="shared" si="15"/>
        <v>0</v>
      </c>
      <c r="G61" s="263">
        <f t="shared" si="16"/>
        <v>0</v>
      </c>
      <c r="H61" s="263">
        <f>G61</f>
        <v>0</v>
      </c>
      <c r="I61" s="4"/>
      <c r="K61" s="132"/>
      <c r="L61" s="132"/>
    </row>
    <row r="62" spans="2:12" x14ac:dyDescent="0.25">
      <c r="B62" s="378" t="s">
        <v>548</v>
      </c>
      <c r="C62" s="379" t="s">
        <v>547</v>
      </c>
      <c r="D62" s="378">
        <v>2.3999999999999998E-3</v>
      </c>
      <c r="E62" s="372"/>
      <c r="F62" s="263">
        <f t="shared" si="15"/>
        <v>0</v>
      </c>
      <c r="G62" s="263">
        <f t="shared" si="16"/>
        <v>0</v>
      </c>
      <c r="H62" s="263">
        <f t="shared" ref="H62:H63" si="17">G62</f>
        <v>0</v>
      </c>
      <c r="I62" s="4"/>
      <c r="K62" s="132"/>
      <c r="L62" s="132"/>
    </row>
    <row r="63" spans="2:12" x14ac:dyDescent="0.25">
      <c r="B63" s="378" t="s">
        <v>874</v>
      </c>
      <c r="C63" s="379" t="s">
        <v>554</v>
      </c>
      <c r="D63" s="757">
        <v>7.4999999999999993E-5</v>
      </c>
      <c r="E63" s="372"/>
      <c r="F63" s="263">
        <f t="shared" si="15"/>
        <v>0</v>
      </c>
      <c r="G63" s="263">
        <f t="shared" si="16"/>
        <v>0</v>
      </c>
      <c r="H63" s="263">
        <f t="shared" si="17"/>
        <v>0</v>
      </c>
      <c r="I63" s="4"/>
      <c r="K63" s="132"/>
      <c r="L63" s="132"/>
    </row>
    <row r="64" spans="2:12" x14ac:dyDescent="0.25">
      <c r="B64" s="1146" t="s">
        <v>5</v>
      </c>
      <c r="C64" s="1146"/>
      <c r="D64" s="1146"/>
      <c r="E64" s="1146"/>
      <c r="F64" s="1146"/>
      <c r="G64" s="263">
        <f>SUM(G58:G63)</f>
        <v>0</v>
      </c>
      <c r="H64" s="263">
        <f>SUM(H58:H63)</f>
        <v>0</v>
      </c>
      <c r="I64" s="263">
        <f>SUM(I58:I63)</f>
        <v>0</v>
      </c>
      <c r="K64" s="132"/>
      <c r="L64" s="132"/>
    </row>
    <row r="65" spans="2:12" x14ac:dyDescent="0.25">
      <c r="B65" s="66"/>
      <c r="C65" s="66"/>
      <c r="D65" s="66"/>
      <c r="E65" s="66"/>
      <c r="F65" s="66"/>
      <c r="G65" s="3"/>
      <c r="H65" s="3"/>
      <c r="I65" s="3"/>
      <c r="K65" s="132"/>
      <c r="L65" s="132"/>
    </row>
    <row r="66" spans="2:12" x14ac:dyDescent="0.25">
      <c r="B66" s="1147" t="s">
        <v>439</v>
      </c>
      <c r="C66" s="1148"/>
      <c r="D66" s="374" t="s">
        <v>562</v>
      </c>
      <c r="E66" s="370" t="s">
        <v>621</v>
      </c>
      <c r="F66" s="370" t="s">
        <v>563</v>
      </c>
      <c r="G66" s="375" t="s">
        <v>564</v>
      </c>
      <c r="H66" s="375" t="s">
        <v>561</v>
      </c>
      <c r="I66" s="370" t="s">
        <v>553</v>
      </c>
      <c r="K66" s="132"/>
      <c r="L66" s="132"/>
    </row>
    <row r="67" spans="2:12" x14ac:dyDescent="0.25">
      <c r="B67" s="1149"/>
      <c r="C67" s="1150"/>
      <c r="D67" s="758">
        <f>365/12</f>
        <v>30.416666666666668</v>
      </c>
      <c r="E67" s="758">
        <f>4.33*2</f>
        <v>8.66</v>
      </c>
      <c r="F67" s="758">
        <f>D67-E67</f>
        <v>21.756666666666668</v>
      </c>
      <c r="G67" s="758">
        <f>F67*8</f>
        <v>174.05333333333334</v>
      </c>
      <c r="H67" s="373"/>
      <c r="I67" s="759">
        <f>G67*H67</f>
        <v>0</v>
      </c>
      <c r="K67" s="132"/>
      <c r="L67" s="132"/>
    </row>
    <row r="68" spans="2:12" x14ac:dyDescent="0.25">
      <c r="B68" s="369" t="s">
        <v>89</v>
      </c>
      <c r="C68" s="369" t="s">
        <v>293</v>
      </c>
      <c r="D68" s="369" t="s">
        <v>549</v>
      </c>
      <c r="E68" s="369" t="s">
        <v>550</v>
      </c>
      <c r="F68" s="369" t="s">
        <v>551</v>
      </c>
      <c r="G68" s="369" t="s">
        <v>552</v>
      </c>
      <c r="H68" s="369" t="s">
        <v>556</v>
      </c>
      <c r="I68" s="369" t="s">
        <v>557</v>
      </c>
      <c r="K68" s="132"/>
      <c r="L68" s="132"/>
    </row>
    <row r="69" spans="2:12" x14ac:dyDescent="0.25">
      <c r="B69" s="378" t="s">
        <v>540</v>
      </c>
      <c r="C69" s="379" t="s">
        <v>545</v>
      </c>
      <c r="D69" s="378">
        <v>21.4</v>
      </c>
      <c r="E69" s="372"/>
      <c r="F69" s="263">
        <f t="shared" ref="F69:F74" si="18">D69*E69</f>
        <v>0</v>
      </c>
      <c r="G69" s="263">
        <f t="shared" ref="G69:G74" si="19">$I$34*F69</f>
        <v>0</v>
      </c>
      <c r="H69" s="4"/>
      <c r="I69" s="263">
        <f>G69</f>
        <v>0</v>
      </c>
      <c r="K69" s="132"/>
      <c r="L69" s="132"/>
    </row>
    <row r="70" spans="2:12" x14ac:dyDescent="0.25">
      <c r="B70" s="378" t="s">
        <v>541</v>
      </c>
      <c r="C70" s="379" t="s">
        <v>545</v>
      </c>
      <c r="D70" s="378">
        <v>0.35</v>
      </c>
      <c r="E70" s="372"/>
      <c r="F70" s="263">
        <f t="shared" si="18"/>
        <v>0</v>
      </c>
      <c r="G70" s="263">
        <f t="shared" si="19"/>
        <v>0</v>
      </c>
      <c r="H70" s="4"/>
      <c r="I70" s="263">
        <f>G70</f>
        <v>0</v>
      </c>
      <c r="K70" s="132"/>
      <c r="L70" s="132"/>
    </row>
    <row r="71" spans="2:12" x14ac:dyDescent="0.25">
      <c r="B71" s="378" t="s">
        <v>542</v>
      </c>
      <c r="C71" s="379" t="s">
        <v>546</v>
      </c>
      <c r="D71" s="378">
        <v>0.189</v>
      </c>
      <c r="E71" s="372"/>
      <c r="F71" s="263">
        <f t="shared" si="18"/>
        <v>0</v>
      </c>
      <c r="G71" s="263">
        <f t="shared" si="19"/>
        <v>0</v>
      </c>
      <c r="H71" s="4"/>
      <c r="I71" s="263">
        <f>G71</f>
        <v>0</v>
      </c>
      <c r="K71" s="132"/>
      <c r="L71" s="132"/>
    </row>
    <row r="72" spans="2:12" x14ac:dyDescent="0.25">
      <c r="B72" s="378" t="s">
        <v>543</v>
      </c>
      <c r="C72" s="379" t="s">
        <v>547</v>
      </c>
      <c r="D72" s="378">
        <v>0.37</v>
      </c>
      <c r="E72" s="372"/>
      <c r="F72" s="263">
        <f t="shared" si="18"/>
        <v>0</v>
      </c>
      <c r="G72" s="263">
        <f t="shared" si="19"/>
        <v>0</v>
      </c>
      <c r="H72" s="263">
        <f>G72</f>
        <v>0</v>
      </c>
      <c r="I72" s="4"/>
      <c r="K72" s="132"/>
      <c r="L72" s="132"/>
    </row>
    <row r="73" spans="2:12" x14ac:dyDescent="0.25">
      <c r="B73" s="378" t="s">
        <v>548</v>
      </c>
      <c r="C73" s="379" t="s">
        <v>547</v>
      </c>
      <c r="D73" s="378">
        <v>2.3999999999999998E-3</v>
      </c>
      <c r="E73" s="372"/>
      <c r="F73" s="263">
        <f t="shared" si="18"/>
        <v>0</v>
      </c>
      <c r="G73" s="263">
        <f t="shared" si="19"/>
        <v>0</v>
      </c>
      <c r="H73" s="263">
        <f t="shared" ref="H73:H74" si="20">G73</f>
        <v>0</v>
      </c>
      <c r="I73" s="4"/>
      <c r="K73" s="132"/>
      <c r="L73" s="132"/>
    </row>
    <row r="74" spans="2:12" x14ac:dyDescent="0.25">
      <c r="B74" s="378" t="s">
        <v>874</v>
      </c>
      <c r="C74" s="379" t="s">
        <v>554</v>
      </c>
      <c r="D74" s="757">
        <v>7.4999999999999993E-5</v>
      </c>
      <c r="E74" s="372"/>
      <c r="F74" s="263">
        <f t="shared" si="18"/>
        <v>0</v>
      </c>
      <c r="G74" s="263">
        <f t="shared" si="19"/>
        <v>0</v>
      </c>
      <c r="H74" s="263">
        <f t="shared" si="20"/>
        <v>0</v>
      </c>
      <c r="I74" s="4"/>
      <c r="K74" s="132"/>
      <c r="L74" s="132"/>
    </row>
    <row r="75" spans="2:12" x14ac:dyDescent="0.25">
      <c r="B75" s="1146" t="s">
        <v>5</v>
      </c>
      <c r="C75" s="1146"/>
      <c r="D75" s="1146"/>
      <c r="E75" s="1146"/>
      <c r="F75" s="1146"/>
      <c r="G75" s="263">
        <f>SUM(G69:G74)</f>
        <v>0</v>
      </c>
      <c r="H75" s="263">
        <f>SUM(H69:H74)</f>
        <v>0</v>
      </c>
      <c r="I75" s="263">
        <f>SUM(I69:I74)</f>
        <v>0</v>
      </c>
      <c r="K75" s="132"/>
      <c r="L75" s="132"/>
    </row>
    <row r="76" spans="2:12" x14ac:dyDescent="0.25">
      <c r="B76" s="66"/>
      <c r="C76" s="66"/>
      <c r="D76" s="66"/>
      <c r="E76" s="66"/>
      <c r="F76" s="66"/>
      <c r="G76" s="3"/>
      <c r="H76" s="3"/>
      <c r="I76" s="3"/>
      <c r="K76" s="132"/>
      <c r="L76" s="132"/>
    </row>
    <row r="77" spans="2:12" x14ac:dyDescent="0.25">
      <c r="B77" s="1147" t="s">
        <v>437</v>
      </c>
      <c r="C77" s="1148"/>
      <c r="D77" s="374" t="s">
        <v>562</v>
      </c>
      <c r="E77" s="370" t="s">
        <v>621</v>
      </c>
      <c r="F77" s="370" t="s">
        <v>563</v>
      </c>
      <c r="G77" s="375" t="s">
        <v>564</v>
      </c>
      <c r="H77" s="375" t="s">
        <v>561</v>
      </c>
      <c r="I77" s="370" t="s">
        <v>553</v>
      </c>
      <c r="K77" s="132"/>
      <c r="L77" s="132"/>
    </row>
    <row r="78" spans="2:12" x14ac:dyDescent="0.25">
      <c r="B78" s="1149"/>
      <c r="C78" s="1150"/>
      <c r="D78" s="758">
        <f>365/12</f>
        <v>30.416666666666668</v>
      </c>
      <c r="E78" s="758">
        <f>4.33*2</f>
        <v>8.66</v>
      </c>
      <c r="F78" s="758">
        <f>D78-E78</f>
        <v>21.756666666666668</v>
      </c>
      <c r="G78" s="758">
        <f>F78*8</f>
        <v>174.05333333333334</v>
      </c>
      <c r="H78" s="373"/>
      <c r="I78" s="759">
        <f>G78*H78</f>
        <v>0</v>
      </c>
      <c r="K78" s="132"/>
      <c r="L78" s="132"/>
    </row>
    <row r="79" spans="2:12" x14ac:dyDescent="0.25">
      <c r="B79" s="369" t="s">
        <v>89</v>
      </c>
      <c r="C79" s="369" t="s">
        <v>293</v>
      </c>
      <c r="D79" s="369" t="s">
        <v>549</v>
      </c>
      <c r="E79" s="369" t="s">
        <v>550</v>
      </c>
      <c r="F79" s="369" t="s">
        <v>551</v>
      </c>
      <c r="G79" s="369" t="s">
        <v>552</v>
      </c>
      <c r="H79" s="369" t="s">
        <v>556</v>
      </c>
      <c r="I79" s="369" t="s">
        <v>557</v>
      </c>
      <c r="K79" s="132"/>
      <c r="L79" s="132"/>
    </row>
    <row r="80" spans="2:12" x14ac:dyDescent="0.25">
      <c r="B80" s="378" t="s">
        <v>540</v>
      </c>
      <c r="C80" s="379" t="s">
        <v>545</v>
      </c>
      <c r="D80" s="378">
        <v>16.600000000000001</v>
      </c>
      <c r="E80" s="372"/>
      <c r="F80" s="263">
        <f t="shared" ref="F80:F85" si="21">D80*E80</f>
        <v>0</v>
      </c>
      <c r="G80" s="263">
        <f t="shared" ref="G80:G85" si="22">$I$34*F80</f>
        <v>0</v>
      </c>
      <c r="H80" s="4"/>
      <c r="I80" s="263">
        <f>G80</f>
        <v>0</v>
      </c>
      <c r="K80" s="132"/>
      <c r="L80" s="132"/>
    </row>
    <row r="81" spans="2:12" x14ac:dyDescent="0.25">
      <c r="B81" s="378" t="s">
        <v>541</v>
      </c>
      <c r="C81" s="379" t="s">
        <v>545</v>
      </c>
      <c r="D81" s="378">
        <v>0.32</v>
      </c>
      <c r="E81" s="372"/>
      <c r="F81" s="263">
        <f t="shared" si="21"/>
        <v>0</v>
      </c>
      <c r="G81" s="263">
        <f t="shared" si="22"/>
        <v>0</v>
      </c>
      <c r="H81" s="4"/>
      <c r="I81" s="263">
        <f>G81</f>
        <v>0</v>
      </c>
      <c r="K81" s="132"/>
      <c r="L81" s="132"/>
    </row>
    <row r="82" spans="2:12" x14ac:dyDescent="0.25">
      <c r="B82" s="378" t="s">
        <v>542</v>
      </c>
      <c r="C82" s="379" t="s">
        <v>546</v>
      </c>
      <c r="D82" s="378">
        <v>0.16</v>
      </c>
      <c r="E82" s="372"/>
      <c r="F82" s="263">
        <f t="shared" si="21"/>
        <v>0</v>
      </c>
      <c r="G82" s="263">
        <f t="shared" si="22"/>
        <v>0</v>
      </c>
      <c r="H82" s="4"/>
      <c r="I82" s="263">
        <f>G82</f>
        <v>0</v>
      </c>
      <c r="K82" s="132"/>
      <c r="L82" s="132"/>
    </row>
    <row r="83" spans="2:12" x14ac:dyDescent="0.25">
      <c r="B83" s="378" t="s">
        <v>543</v>
      </c>
      <c r="C83" s="379" t="s">
        <v>547</v>
      </c>
      <c r="D83" s="378">
        <v>0.03</v>
      </c>
      <c r="E83" s="372"/>
      <c r="F83" s="263">
        <f t="shared" si="21"/>
        <v>0</v>
      </c>
      <c r="G83" s="263">
        <f t="shared" si="22"/>
        <v>0</v>
      </c>
      <c r="H83" s="263">
        <f>G83</f>
        <v>0</v>
      </c>
      <c r="I83" s="4"/>
      <c r="K83" s="132"/>
      <c r="L83" s="132"/>
    </row>
    <row r="84" spans="2:12" x14ac:dyDescent="0.25">
      <c r="B84" s="378" t="s">
        <v>548</v>
      </c>
      <c r="C84" s="379" t="s">
        <v>547</v>
      </c>
      <c r="D84" s="378">
        <v>1.6000000000000001E-3</v>
      </c>
      <c r="E84" s="372"/>
      <c r="F84" s="263">
        <f t="shared" si="21"/>
        <v>0</v>
      </c>
      <c r="G84" s="263">
        <f t="shared" si="22"/>
        <v>0</v>
      </c>
      <c r="H84" s="263">
        <f t="shared" ref="H84:H85" si="23">G84</f>
        <v>0</v>
      </c>
      <c r="I84" s="4"/>
      <c r="K84" s="132"/>
      <c r="L84" s="132"/>
    </row>
    <row r="85" spans="2:12" x14ac:dyDescent="0.25">
      <c r="B85" s="378" t="s">
        <v>874</v>
      </c>
      <c r="C85" s="379" t="s">
        <v>554</v>
      </c>
      <c r="D85" s="757">
        <v>7.4999999999999993E-5</v>
      </c>
      <c r="E85" s="372"/>
      <c r="F85" s="263">
        <f t="shared" si="21"/>
        <v>0</v>
      </c>
      <c r="G85" s="263">
        <f t="shared" si="22"/>
        <v>0</v>
      </c>
      <c r="H85" s="263">
        <f t="shared" si="23"/>
        <v>0</v>
      </c>
      <c r="I85" s="4"/>
      <c r="K85" s="132"/>
      <c r="L85" s="132"/>
    </row>
    <row r="86" spans="2:12" x14ac:dyDescent="0.25">
      <c r="B86" s="1146" t="s">
        <v>5</v>
      </c>
      <c r="C86" s="1146"/>
      <c r="D86" s="1146"/>
      <c r="E86" s="1146"/>
      <c r="F86" s="1146"/>
      <c r="G86" s="263">
        <f>SUM(G80:G85)</f>
        <v>0</v>
      </c>
      <c r="H86" s="263">
        <f>SUM(H80:H85)</f>
        <v>0</v>
      </c>
      <c r="I86" s="263">
        <f>SUM(I80:I85)</f>
        <v>0</v>
      </c>
      <c r="K86" s="132"/>
      <c r="L86" s="132"/>
    </row>
    <row r="87" spans="2:12" x14ac:dyDescent="0.25">
      <c r="B87" s="66"/>
      <c r="C87" s="66"/>
      <c r="D87" s="66"/>
      <c r="E87" s="66"/>
      <c r="F87" s="66"/>
      <c r="G87" s="3"/>
      <c r="H87" s="3"/>
      <c r="I87" s="3"/>
      <c r="K87" s="132"/>
      <c r="L87" s="132"/>
    </row>
    <row r="88" spans="2:12" x14ac:dyDescent="0.25">
      <c r="B88" s="1147" t="s">
        <v>555</v>
      </c>
      <c r="C88" s="1148"/>
      <c r="D88" s="374" t="s">
        <v>562</v>
      </c>
      <c r="E88" s="370" t="s">
        <v>621</v>
      </c>
      <c r="F88" s="370" t="s">
        <v>563</v>
      </c>
      <c r="G88" s="375" t="s">
        <v>564</v>
      </c>
      <c r="H88" s="375" t="s">
        <v>561</v>
      </c>
      <c r="I88" s="370" t="s">
        <v>553</v>
      </c>
      <c r="K88" s="132"/>
      <c r="L88" s="132"/>
    </row>
    <row r="89" spans="2:12" x14ac:dyDescent="0.25">
      <c r="B89" s="1149"/>
      <c r="C89" s="1150"/>
      <c r="D89" s="758">
        <f>365/12</f>
        <v>30.416666666666668</v>
      </c>
      <c r="E89" s="758">
        <f>4.33*2</f>
        <v>8.66</v>
      </c>
      <c r="F89" s="758">
        <f>D89-E89</f>
        <v>21.756666666666668</v>
      </c>
      <c r="G89" s="758">
        <f>F89*8</f>
        <v>174.05333333333334</v>
      </c>
      <c r="H89" s="373"/>
      <c r="I89" s="759">
        <f>G89*H89</f>
        <v>0</v>
      </c>
      <c r="K89" s="132"/>
      <c r="L89" s="132"/>
    </row>
    <row r="90" spans="2:12" x14ac:dyDescent="0.25">
      <c r="B90" s="369" t="s">
        <v>89</v>
      </c>
      <c r="C90" s="369" t="s">
        <v>293</v>
      </c>
      <c r="D90" s="369" t="s">
        <v>549</v>
      </c>
      <c r="E90" s="369" t="s">
        <v>550</v>
      </c>
      <c r="F90" s="369" t="s">
        <v>551</v>
      </c>
      <c r="G90" s="369" t="s">
        <v>552</v>
      </c>
      <c r="H90" s="369" t="s">
        <v>556</v>
      </c>
      <c r="I90" s="369" t="s">
        <v>557</v>
      </c>
      <c r="K90" s="132"/>
      <c r="L90" s="132"/>
    </row>
    <row r="91" spans="2:12" x14ac:dyDescent="0.25">
      <c r="B91" s="378" t="s">
        <v>565</v>
      </c>
      <c r="C91" s="379" t="s">
        <v>545</v>
      </c>
      <c r="D91" s="378">
        <v>4.2</v>
      </c>
      <c r="E91" s="372"/>
      <c r="F91" s="263">
        <f t="shared" ref="F91:F96" si="24">D91*E91</f>
        <v>0</v>
      </c>
      <c r="G91" s="263">
        <f t="shared" ref="G91:G96" si="25">$I$34*F91</f>
        <v>0</v>
      </c>
      <c r="H91" s="4"/>
      <c r="I91" s="263">
        <f>G91</f>
        <v>0</v>
      </c>
      <c r="K91" s="132"/>
      <c r="L91" s="132"/>
    </row>
    <row r="92" spans="2:12" x14ac:dyDescent="0.25">
      <c r="B92" s="378" t="s">
        <v>541</v>
      </c>
      <c r="C92" s="379" t="s">
        <v>545</v>
      </c>
      <c r="D92" s="378">
        <v>0.16</v>
      </c>
      <c r="E92" s="372"/>
      <c r="F92" s="263">
        <f t="shared" si="24"/>
        <v>0</v>
      </c>
      <c r="G92" s="263">
        <f t="shared" si="25"/>
        <v>0</v>
      </c>
      <c r="H92" s="4"/>
      <c r="I92" s="263">
        <f>G92</f>
        <v>0</v>
      </c>
      <c r="K92" s="132"/>
      <c r="L92" s="132"/>
    </row>
    <row r="93" spans="2:12" x14ac:dyDescent="0.25">
      <c r="B93" s="378" t="s">
        <v>542</v>
      </c>
      <c r="C93" s="379" t="s">
        <v>546</v>
      </c>
      <c r="D93" s="378">
        <v>8.5000000000000006E-2</v>
      </c>
      <c r="E93" s="372"/>
      <c r="F93" s="263">
        <f t="shared" si="24"/>
        <v>0</v>
      </c>
      <c r="G93" s="263">
        <f t="shared" si="25"/>
        <v>0</v>
      </c>
      <c r="H93" s="4"/>
      <c r="I93" s="263">
        <f>G93</f>
        <v>0</v>
      </c>
      <c r="K93" s="132"/>
      <c r="L93" s="132"/>
    </row>
    <row r="94" spans="2:12" x14ac:dyDescent="0.25">
      <c r="B94" s="378" t="s">
        <v>543</v>
      </c>
      <c r="C94" s="379" t="s">
        <v>547</v>
      </c>
      <c r="D94" s="378">
        <v>0.02</v>
      </c>
      <c r="E94" s="372"/>
      <c r="F94" s="263">
        <f t="shared" si="24"/>
        <v>0</v>
      </c>
      <c r="G94" s="263">
        <f t="shared" si="25"/>
        <v>0</v>
      </c>
      <c r="H94" s="263">
        <f>G94</f>
        <v>0</v>
      </c>
      <c r="I94" s="4"/>
      <c r="K94" s="132"/>
      <c r="L94" s="132"/>
    </row>
    <row r="95" spans="2:12" x14ac:dyDescent="0.25">
      <c r="B95" s="378" t="s">
        <v>548</v>
      </c>
      <c r="C95" s="379" t="s">
        <v>547</v>
      </c>
      <c r="D95" s="378">
        <v>1.6000000000000001E-3</v>
      </c>
      <c r="E95" s="372"/>
      <c r="F95" s="263">
        <f t="shared" si="24"/>
        <v>0</v>
      </c>
      <c r="G95" s="263">
        <f t="shared" si="25"/>
        <v>0</v>
      </c>
      <c r="H95" s="263">
        <f t="shared" ref="H95:H96" si="26">G95</f>
        <v>0</v>
      </c>
      <c r="I95" s="4"/>
      <c r="K95" s="132"/>
      <c r="L95" s="132"/>
    </row>
    <row r="96" spans="2:12" x14ac:dyDescent="0.25">
      <c r="B96" s="378" t="s">
        <v>874</v>
      </c>
      <c r="C96" s="379" t="s">
        <v>554</v>
      </c>
      <c r="D96" s="757">
        <v>7.4999999999999993E-5</v>
      </c>
      <c r="E96" s="372"/>
      <c r="F96" s="263">
        <f t="shared" si="24"/>
        <v>0</v>
      </c>
      <c r="G96" s="263">
        <f t="shared" si="25"/>
        <v>0</v>
      </c>
      <c r="H96" s="263">
        <f t="shared" si="26"/>
        <v>0</v>
      </c>
      <c r="I96" s="4"/>
      <c r="K96" s="132"/>
      <c r="L96" s="132"/>
    </row>
    <row r="97" spans="2:12" x14ac:dyDescent="0.25">
      <c r="B97" s="1146" t="s">
        <v>5</v>
      </c>
      <c r="C97" s="1146"/>
      <c r="D97" s="1146"/>
      <c r="E97" s="1146"/>
      <c r="F97" s="1146"/>
      <c r="G97" s="263">
        <f>SUM(G91:G96)</f>
        <v>0</v>
      </c>
      <c r="H97" s="263">
        <f>SUM(H91:H96)</f>
        <v>0</v>
      </c>
      <c r="I97" s="263">
        <f>SUM(I91:I96)</f>
        <v>0</v>
      </c>
      <c r="K97" s="132"/>
      <c r="L97" s="132"/>
    </row>
    <row r="98" spans="2:12" x14ac:dyDescent="0.25">
      <c r="K98" s="132"/>
      <c r="L98" s="132"/>
    </row>
  </sheetData>
  <mergeCells count="16">
    <mergeCell ref="B97:F97"/>
    <mergeCell ref="B3:B4"/>
    <mergeCell ref="C3:C4"/>
    <mergeCell ref="B31:F31"/>
    <mergeCell ref="B42:F42"/>
    <mergeCell ref="B22:C23"/>
    <mergeCell ref="B33:C34"/>
    <mergeCell ref="B44:C45"/>
    <mergeCell ref="B55:C56"/>
    <mergeCell ref="B66:C67"/>
    <mergeCell ref="B77:C78"/>
    <mergeCell ref="B88:C89"/>
    <mergeCell ref="B53:F53"/>
    <mergeCell ref="B64:F64"/>
    <mergeCell ref="B75:F75"/>
    <mergeCell ref="B86:F86"/>
  </mergeCells>
  <phoneticPr fontId="2" type="noConversion"/>
  <pageMargins left="0.511811024" right="0.511811024" top="0.78740157499999996" bottom="0.78740157499999996" header="0.31496062000000002" footer="0.3149606200000000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AM33"/>
  <sheetViews>
    <sheetView showGridLines="0" zoomScaleNormal="100" workbookViewId="0">
      <pane xSplit="2" ySplit="2" topLeftCell="AC3" activePane="bottomRight" state="frozen"/>
      <selection pane="topRight" activeCell="C1" sqref="C1"/>
      <selection pane="bottomLeft" activeCell="A3" sqref="A3"/>
      <selection pane="bottomRight" activeCell="D2" sqref="D2:AL2"/>
    </sheetView>
  </sheetViews>
  <sheetFormatPr defaultRowHeight="15" x14ac:dyDescent="0.25"/>
  <cols>
    <col min="1" max="1" width="14.85546875" bestFit="1" customWidth="1"/>
    <col min="2" max="2" width="53" customWidth="1"/>
    <col min="3" max="3" width="8" customWidth="1"/>
    <col min="4" max="38" width="16.7109375" customWidth="1"/>
    <col min="39" max="39" width="17" bestFit="1" customWidth="1"/>
  </cols>
  <sheetData>
    <row r="1" spans="1:39" x14ac:dyDescent="0.25">
      <c r="A1" s="309" t="s">
        <v>520</v>
      </c>
      <c r="B1" s="136" t="s">
        <v>417</v>
      </c>
      <c r="C1" s="136" t="s">
        <v>222</v>
      </c>
      <c r="D1" s="781" t="e">
        <f>ROUND((CAPEX!F51/'Base Física'!AN52+CAPEX!F52/'Base Física'!AN53)*A18*0.435909424454581,2)</f>
        <v>#DIV/0!</v>
      </c>
    </row>
    <row r="2" spans="1:39" x14ac:dyDescent="0.25">
      <c r="A2" s="145" t="s">
        <v>526</v>
      </c>
      <c r="B2" s="136" t="s">
        <v>418</v>
      </c>
      <c r="C2" s="136" t="s">
        <v>15</v>
      </c>
      <c r="D2" s="345"/>
      <c r="E2" s="345"/>
      <c r="F2" s="345"/>
      <c r="G2" s="345"/>
      <c r="H2" s="345"/>
      <c r="I2" s="345"/>
      <c r="J2" s="345"/>
      <c r="K2" s="345"/>
      <c r="L2" s="345"/>
      <c r="M2" s="345"/>
      <c r="N2" s="345"/>
      <c r="O2" s="345"/>
      <c r="P2" s="345"/>
      <c r="Q2" s="345"/>
      <c r="R2" s="345"/>
      <c r="S2" s="345"/>
      <c r="T2" s="345"/>
      <c r="U2" s="345"/>
      <c r="V2" s="345"/>
      <c r="W2" s="345"/>
      <c r="X2" s="345"/>
      <c r="Y2" s="345"/>
      <c r="Z2" s="345"/>
      <c r="AA2" s="345"/>
      <c r="AB2" s="345"/>
      <c r="AC2" s="345"/>
      <c r="AD2" s="345"/>
      <c r="AE2" s="345"/>
      <c r="AF2" s="345"/>
      <c r="AG2" s="345"/>
      <c r="AH2" s="345"/>
      <c r="AI2" s="345"/>
      <c r="AJ2" s="345"/>
      <c r="AK2" s="345"/>
      <c r="AL2" s="345"/>
      <c r="AM2" s="156">
        <f>SUM(D2:AG2)</f>
        <v>0</v>
      </c>
    </row>
    <row r="3" spans="1:39" x14ac:dyDescent="0.25">
      <c r="A3" s="213" t="s">
        <v>522</v>
      </c>
    </row>
    <row r="4" spans="1:39" x14ac:dyDescent="0.25">
      <c r="B4" s="1141" t="s">
        <v>419</v>
      </c>
      <c r="C4" s="1141" t="s">
        <v>216</v>
      </c>
      <c r="D4" s="136">
        <f>'FCD PROJETO'!F23</f>
        <v>1</v>
      </c>
      <c r="E4" s="136">
        <f>'FCD PROJETO'!G23</f>
        <v>2</v>
      </c>
      <c r="F4" s="136">
        <f>'FCD PROJETO'!H23</f>
        <v>3</v>
      </c>
      <c r="G4" s="136">
        <f>'FCD PROJETO'!I23</f>
        <v>4</v>
      </c>
      <c r="H4" s="136">
        <f>'FCD PROJETO'!J23</f>
        <v>5</v>
      </c>
      <c r="I4" s="136">
        <f>'FCD PROJETO'!K23</f>
        <v>6</v>
      </c>
      <c r="J4" s="136">
        <f>'FCD PROJETO'!L23</f>
        <v>7</v>
      </c>
      <c r="K4" s="136">
        <f>'FCD PROJETO'!M23</f>
        <v>8</v>
      </c>
      <c r="L4" s="136">
        <f>'FCD PROJETO'!N23</f>
        <v>9</v>
      </c>
      <c r="M4" s="136">
        <f>'FCD PROJETO'!O23</f>
        <v>10</v>
      </c>
      <c r="N4" s="136">
        <f>'FCD PROJETO'!P23</f>
        <v>11</v>
      </c>
      <c r="O4" s="136">
        <f>'FCD PROJETO'!Q23</f>
        <v>12</v>
      </c>
      <c r="P4" s="136">
        <f>'FCD PROJETO'!R23</f>
        <v>13</v>
      </c>
      <c r="Q4" s="136">
        <f>'FCD PROJETO'!S23</f>
        <v>14</v>
      </c>
      <c r="R4" s="136">
        <f>'FCD PROJETO'!T23</f>
        <v>15</v>
      </c>
      <c r="S4" s="136">
        <f>'FCD PROJETO'!U23</f>
        <v>16</v>
      </c>
      <c r="T4" s="136">
        <f>'FCD PROJETO'!V23</f>
        <v>17</v>
      </c>
      <c r="U4" s="136">
        <f>'FCD PROJETO'!W23</f>
        <v>18</v>
      </c>
      <c r="V4" s="136">
        <f>'FCD PROJETO'!X23</f>
        <v>19</v>
      </c>
      <c r="W4" s="136">
        <f>'FCD PROJETO'!Y23</f>
        <v>20</v>
      </c>
      <c r="X4" s="136">
        <f>'FCD PROJETO'!Z23</f>
        <v>21</v>
      </c>
      <c r="Y4" s="136">
        <f>'FCD PROJETO'!AA23</f>
        <v>22</v>
      </c>
      <c r="Z4" s="136">
        <f>'FCD PROJETO'!AB23</f>
        <v>23</v>
      </c>
      <c r="AA4" s="136">
        <f>'FCD PROJETO'!AC23</f>
        <v>24</v>
      </c>
      <c r="AB4" s="136">
        <f>'FCD PROJETO'!AD23</f>
        <v>25</v>
      </c>
      <c r="AC4" s="136">
        <f>'FCD PROJETO'!AE23</f>
        <v>26</v>
      </c>
      <c r="AD4" s="136">
        <f>'FCD PROJETO'!AF23</f>
        <v>27</v>
      </c>
      <c r="AE4" s="136">
        <f>'FCD PROJETO'!AG23</f>
        <v>28</v>
      </c>
      <c r="AF4" s="136">
        <f>'FCD PROJETO'!AH23</f>
        <v>29</v>
      </c>
      <c r="AG4" s="136">
        <f>'FCD PROJETO'!AI23</f>
        <v>30</v>
      </c>
      <c r="AH4" s="136">
        <f>'FCD PROJETO'!AJ23</f>
        <v>31</v>
      </c>
      <c r="AI4" s="136">
        <f>'FCD PROJETO'!AK23</f>
        <v>32</v>
      </c>
      <c r="AJ4" s="136">
        <f>'FCD PROJETO'!AL23</f>
        <v>33</v>
      </c>
      <c r="AK4" s="136">
        <f>'FCD PROJETO'!AM23</f>
        <v>34</v>
      </c>
      <c r="AL4" s="136">
        <f>'FCD PROJETO'!AN23</f>
        <v>35</v>
      </c>
      <c r="AM4" s="1141" t="s">
        <v>427</v>
      </c>
    </row>
    <row r="5" spans="1:39" x14ac:dyDescent="0.25">
      <c r="B5" s="1141"/>
      <c r="C5" s="1141"/>
      <c r="D5" s="136">
        <f>Cronograma!C4</f>
        <v>2027</v>
      </c>
      <c r="E5" s="136">
        <f>Cronograma!D4</f>
        <v>2028</v>
      </c>
      <c r="F5" s="136">
        <f>Cronograma!E4</f>
        <v>2029</v>
      </c>
      <c r="G5" s="136">
        <f>Cronograma!F4</f>
        <v>2030</v>
      </c>
      <c r="H5" s="136">
        <f>Cronograma!G4</f>
        <v>2031</v>
      </c>
      <c r="I5" s="136">
        <f>Cronograma!H4</f>
        <v>2032</v>
      </c>
      <c r="J5" s="136">
        <f>Cronograma!I4</f>
        <v>2033</v>
      </c>
      <c r="K5" s="136">
        <f>Cronograma!J4</f>
        <v>2034</v>
      </c>
      <c r="L5" s="136">
        <f>Cronograma!K4</f>
        <v>2035</v>
      </c>
      <c r="M5" s="136">
        <f>Cronograma!L4</f>
        <v>2036</v>
      </c>
      <c r="N5" s="136">
        <f>Cronograma!M4</f>
        <v>2037</v>
      </c>
      <c r="O5" s="136">
        <f>Cronograma!N4</f>
        <v>2038</v>
      </c>
      <c r="P5" s="136">
        <f>Cronograma!O4</f>
        <v>2039</v>
      </c>
      <c r="Q5" s="136">
        <f>Cronograma!P4</f>
        <v>2040</v>
      </c>
      <c r="R5" s="136">
        <f>Cronograma!Q4</f>
        <v>2041</v>
      </c>
      <c r="S5" s="136">
        <f>Cronograma!R4</f>
        <v>2042</v>
      </c>
      <c r="T5" s="136">
        <f>Cronograma!S4</f>
        <v>2043</v>
      </c>
      <c r="U5" s="136">
        <f>Cronograma!T4</f>
        <v>2044</v>
      </c>
      <c r="V5" s="136">
        <f>Cronograma!U4</f>
        <v>2045</v>
      </c>
      <c r="W5" s="136">
        <f>Cronograma!V4</f>
        <v>2046</v>
      </c>
      <c r="X5" s="136">
        <f>Cronograma!W4</f>
        <v>2047</v>
      </c>
      <c r="Y5" s="136">
        <f>Cronograma!X4</f>
        <v>2048</v>
      </c>
      <c r="Z5" s="136">
        <f>Cronograma!Y4</f>
        <v>2049</v>
      </c>
      <c r="AA5" s="136">
        <f>Cronograma!Z4</f>
        <v>2050</v>
      </c>
      <c r="AB5" s="136">
        <f>Cronograma!AA4</f>
        <v>2051</v>
      </c>
      <c r="AC5" s="136">
        <f>Cronograma!AB4</f>
        <v>2052</v>
      </c>
      <c r="AD5" s="136">
        <f>Cronograma!AC4</f>
        <v>2053</v>
      </c>
      <c r="AE5" s="136">
        <f>Cronograma!AD4</f>
        <v>2054</v>
      </c>
      <c r="AF5" s="136">
        <f>Cronograma!AE4</f>
        <v>2055</v>
      </c>
      <c r="AG5" s="136">
        <f>Cronograma!AF4</f>
        <v>2056</v>
      </c>
      <c r="AH5" s="136">
        <f>Cronograma!AG4</f>
        <v>2057</v>
      </c>
      <c r="AI5" s="136">
        <f>Cronograma!AH4</f>
        <v>2058</v>
      </c>
      <c r="AJ5" s="136">
        <f>Cronograma!AI4</f>
        <v>2059</v>
      </c>
      <c r="AK5" s="136">
        <f>Cronograma!AJ4</f>
        <v>2060</v>
      </c>
      <c r="AL5" s="136">
        <f>Cronograma!AK4</f>
        <v>2061</v>
      </c>
      <c r="AM5" s="1141"/>
    </row>
    <row r="6" spans="1:39" x14ac:dyDescent="0.25">
      <c r="B6" s="234" t="s">
        <v>389</v>
      </c>
      <c r="C6" s="235" t="s">
        <v>126</v>
      </c>
      <c r="D6" s="241">
        <f>'Base Física'!F10</f>
        <v>0</v>
      </c>
      <c r="E6" s="241">
        <f>'Base Física'!G10</f>
        <v>0</v>
      </c>
      <c r="F6" s="241">
        <f>'Base Física'!H10</f>
        <v>0</v>
      </c>
      <c r="G6" s="241">
        <f>'Base Física'!I10</f>
        <v>0</v>
      </c>
      <c r="H6" s="241">
        <f>'Base Física'!J10</f>
        <v>0</v>
      </c>
      <c r="I6" s="241">
        <f>'Base Física'!K10</f>
        <v>0</v>
      </c>
      <c r="J6" s="241">
        <f>'Base Física'!L10</f>
        <v>0</v>
      </c>
      <c r="K6" s="241">
        <f>'Base Física'!M10</f>
        <v>0</v>
      </c>
      <c r="L6" s="241">
        <f>'Base Física'!N10</f>
        <v>0</v>
      </c>
      <c r="M6" s="241">
        <f>'Base Física'!O10</f>
        <v>0</v>
      </c>
      <c r="N6" s="241">
        <f>'Base Física'!P10</f>
        <v>0</v>
      </c>
      <c r="O6" s="241">
        <f>'Base Física'!Q10</f>
        <v>0</v>
      </c>
      <c r="P6" s="241">
        <f>'Base Física'!R10</f>
        <v>0</v>
      </c>
      <c r="Q6" s="241">
        <f>'Base Física'!S10</f>
        <v>0</v>
      </c>
      <c r="R6" s="241">
        <f>'Base Física'!T10</f>
        <v>0</v>
      </c>
      <c r="S6" s="241">
        <f>'Base Física'!U10</f>
        <v>0</v>
      </c>
      <c r="T6" s="241">
        <f>'Base Física'!V10</f>
        <v>0</v>
      </c>
      <c r="U6" s="241">
        <f>'Base Física'!W10</f>
        <v>0</v>
      </c>
      <c r="V6" s="241">
        <f>'Base Física'!X10</f>
        <v>0</v>
      </c>
      <c r="W6" s="241">
        <f>'Base Física'!Y10</f>
        <v>0</v>
      </c>
      <c r="X6" s="241">
        <f>'Base Física'!Z10</f>
        <v>0</v>
      </c>
      <c r="Y6" s="241">
        <f>'Base Física'!AA10</f>
        <v>0</v>
      </c>
      <c r="Z6" s="241">
        <f>'Base Física'!AB10</f>
        <v>0</v>
      </c>
      <c r="AA6" s="241">
        <f>'Base Física'!AC10</f>
        <v>0</v>
      </c>
      <c r="AB6" s="241">
        <f>'Base Física'!AD10</f>
        <v>0</v>
      </c>
      <c r="AC6" s="241">
        <f>'Base Física'!AE10</f>
        <v>0</v>
      </c>
      <c r="AD6" s="241">
        <f>'Base Física'!AF10</f>
        <v>0</v>
      </c>
      <c r="AE6" s="241">
        <f>'Base Física'!AG10</f>
        <v>0</v>
      </c>
      <c r="AF6" s="241">
        <f>'Base Física'!AH10</f>
        <v>0</v>
      </c>
      <c r="AG6" s="241">
        <f>'Base Física'!AI10</f>
        <v>0</v>
      </c>
      <c r="AH6" s="241">
        <f>'Base Física'!AJ10</f>
        <v>0</v>
      </c>
      <c r="AI6" s="241">
        <f>'Base Física'!AK10</f>
        <v>0</v>
      </c>
      <c r="AJ6" s="241">
        <f>'Base Física'!AL10</f>
        <v>0</v>
      </c>
      <c r="AK6" s="241">
        <f>'Base Física'!AM10</f>
        <v>0</v>
      </c>
      <c r="AL6" s="241">
        <f>'Base Física'!AN10</f>
        <v>0</v>
      </c>
      <c r="AM6" s="1141"/>
    </row>
    <row r="7" spans="1:39" x14ac:dyDescent="0.25">
      <c r="B7" s="234" t="s">
        <v>390</v>
      </c>
      <c r="C7" s="235" t="s">
        <v>293</v>
      </c>
      <c r="D7" s="242">
        <f>'Base Física'!F52</f>
        <v>0</v>
      </c>
      <c r="E7" s="242">
        <f>'Base Física'!G52</f>
        <v>0</v>
      </c>
      <c r="F7" s="242">
        <f>'Base Física'!H52</f>
        <v>0</v>
      </c>
      <c r="G7" s="242">
        <f>'Base Física'!I52</f>
        <v>0</v>
      </c>
      <c r="H7" s="242">
        <f>'Base Física'!J52</f>
        <v>0</v>
      </c>
      <c r="I7" s="242">
        <f>'Base Física'!K52</f>
        <v>0</v>
      </c>
      <c r="J7" s="242">
        <f>'Base Física'!L52</f>
        <v>0</v>
      </c>
      <c r="K7" s="242">
        <f>'Base Física'!M52</f>
        <v>0</v>
      </c>
      <c r="L7" s="242">
        <f>'Base Física'!N52</f>
        <v>0</v>
      </c>
      <c r="M7" s="242">
        <f>'Base Física'!O52</f>
        <v>0</v>
      </c>
      <c r="N7" s="242">
        <f>'Base Física'!P52</f>
        <v>0</v>
      </c>
      <c r="O7" s="242">
        <f>'Base Física'!Q52</f>
        <v>0</v>
      </c>
      <c r="P7" s="242">
        <f>'Base Física'!R52</f>
        <v>0</v>
      </c>
      <c r="Q7" s="242">
        <f>'Base Física'!S52</f>
        <v>0</v>
      </c>
      <c r="R7" s="242">
        <f>'Base Física'!T52</f>
        <v>0</v>
      </c>
      <c r="S7" s="242">
        <f>'Base Física'!U52</f>
        <v>0</v>
      </c>
      <c r="T7" s="242">
        <f>'Base Física'!V52</f>
        <v>0</v>
      </c>
      <c r="U7" s="242">
        <f>'Base Física'!W52</f>
        <v>0</v>
      </c>
      <c r="V7" s="242">
        <f>'Base Física'!X52</f>
        <v>0</v>
      </c>
      <c r="W7" s="242">
        <f>'Base Física'!Y52</f>
        <v>0</v>
      </c>
      <c r="X7" s="242">
        <f>'Base Física'!Z52</f>
        <v>0</v>
      </c>
      <c r="Y7" s="242">
        <f>'Base Física'!AA52</f>
        <v>0</v>
      </c>
      <c r="Z7" s="242">
        <f>'Base Física'!AB52</f>
        <v>0</v>
      </c>
      <c r="AA7" s="242">
        <f>'Base Física'!AC52</f>
        <v>0</v>
      </c>
      <c r="AB7" s="242">
        <f>'Base Física'!AD52</f>
        <v>0</v>
      </c>
      <c r="AC7" s="242">
        <f>'Base Física'!AE52</f>
        <v>0</v>
      </c>
      <c r="AD7" s="242">
        <f>'Base Física'!AF52</f>
        <v>0</v>
      </c>
      <c r="AE7" s="242">
        <f>'Base Física'!AG52</f>
        <v>0</v>
      </c>
      <c r="AF7" s="242">
        <f>'Base Física'!AH52</f>
        <v>0</v>
      </c>
      <c r="AG7" s="242">
        <f>'Base Física'!AI52</f>
        <v>0</v>
      </c>
      <c r="AH7" s="242">
        <f>'Base Física'!AJ52</f>
        <v>0</v>
      </c>
      <c r="AI7" s="242">
        <f>'Base Física'!AK52</f>
        <v>0</v>
      </c>
      <c r="AJ7" s="242">
        <f>'Base Física'!AL52</f>
        <v>0</v>
      </c>
      <c r="AK7" s="242">
        <f>'Base Física'!AM52</f>
        <v>0</v>
      </c>
      <c r="AL7" s="242">
        <f>'Base Física'!AN52</f>
        <v>0</v>
      </c>
      <c r="AM7" s="1141"/>
    </row>
    <row r="8" spans="1:39" x14ac:dyDescent="0.25">
      <c r="B8" s="234" t="s">
        <v>391</v>
      </c>
      <c r="C8" s="235" t="s">
        <v>126</v>
      </c>
      <c r="D8" s="241">
        <f>'Base Física'!F13</f>
        <v>0</v>
      </c>
      <c r="E8" s="241">
        <f>'Base Física'!G13</f>
        <v>0</v>
      </c>
      <c r="F8" s="241">
        <f>'Base Física'!H13</f>
        <v>0</v>
      </c>
      <c r="G8" s="241">
        <f>'Base Física'!I13</f>
        <v>0</v>
      </c>
      <c r="H8" s="241">
        <f>'Base Física'!J13</f>
        <v>0</v>
      </c>
      <c r="I8" s="241">
        <f>'Base Física'!K13</f>
        <v>0</v>
      </c>
      <c r="J8" s="241">
        <f>'Base Física'!L13</f>
        <v>0</v>
      </c>
      <c r="K8" s="241">
        <f>'Base Física'!M13</f>
        <v>0</v>
      </c>
      <c r="L8" s="241">
        <f>'Base Física'!N13</f>
        <v>0</v>
      </c>
      <c r="M8" s="241">
        <f>'Base Física'!O13</f>
        <v>0</v>
      </c>
      <c r="N8" s="241">
        <f>'Base Física'!P13</f>
        <v>0</v>
      </c>
      <c r="O8" s="241">
        <f>'Base Física'!Q13</f>
        <v>0</v>
      </c>
      <c r="P8" s="241">
        <f>'Base Física'!R13</f>
        <v>0</v>
      </c>
      <c r="Q8" s="241">
        <f>'Base Física'!S13</f>
        <v>0</v>
      </c>
      <c r="R8" s="241">
        <f>'Base Física'!T13</f>
        <v>0</v>
      </c>
      <c r="S8" s="241">
        <f>'Base Física'!U13</f>
        <v>0</v>
      </c>
      <c r="T8" s="241">
        <f>'Base Física'!V13</f>
        <v>0</v>
      </c>
      <c r="U8" s="241">
        <f>'Base Física'!W13</f>
        <v>0</v>
      </c>
      <c r="V8" s="241">
        <f>'Base Física'!X13</f>
        <v>0</v>
      </c>
      <c r="W8" s="241">
        <f>'Base Física'!Y13</f>
        <v>0</v>
      </c>
      <c r="X8" s="241">
        <f>'Base Física'!Z13</f>
        <v>0</v>
      </c>
      <c r="Y8" s="241">
        <f>'Base Física'!AA13</f>
        <v>0</v>
      </c>
      <c r="Z8" s="241">
        <f>'Base Física'!AB13</f>
        <v>0</v>
      </c>
      <c r="AA8" s="241">
        <f>'Base Física'!AC13</f>
        <v>0</v>
      </c>
      <c r="AB8" s="241">
        <f>'Base Física'!AD13</f>
        <v>0</v>
      </c>
      <c r="AC8" s="241">
        <f>'Base Física'!AE13</f>
        <v>0</v>
      </c>
      <c r="AD8" s="241">
        <f>'Base Física'!AF13</f>
        <v>0</v>
      </c>
      <c r="AE8" s="241">
        <f>'Base Física'!AG13</f>
        <v>0</v>
      </c>
      <c r="AF8" s="241">
        <f>'Base Física'!AH13</f>
        <v>0</v>
      </c>
      <c r="AG8" s="241">
        <f>'Base Física'!AI13</f>
        <v>0</v>
      </c>
      <c r="AH8" s="241">
        <f>'Base Física'!AJ13</f>
        <v>0</v>
      </c>
      <c r="AI8" s="241">
        <f>'Base Física'!AK13</f>
        <v>0</v>
      </c>
      <c r="AJ8" s="241">
        <f>'Base Física'!AL13</f>
        <v>0</v>
      </c>
      <c r="AK8" s="241">
        <f>'Base Física'!AM13</f>
        <v>0</v>
      </c>
      <c r="AL8" s="241">
        <f>'Base Física'!AN13</f>
        <v>0</v>
      </c>
      <c r="AM8" s="1141"/>
    </row>
    <row r="9" spans="1:39" x14ac:dyDescent="0.25">
      <c r="B9" s="234" t="s">
        <v>392</v>
      </c>
      <c r="C9" s="235" t="s">
        <v>293</v>
      </c>
      <c r="D9" s="242">
        <f>'Base Física'!F53</f>
        <v>0</v>
      </c>
      <c r="E9" s="242">
        <f>'Base Física'!G53</f>
        <v>0</v>
      </c>
      <c r="F9" s="242">
        <f>'Base Física'!H53</f>
        <v>0</v>
      </c>
      <c r="G9" s="242">
        <f>'Base Física'!I53</f>
        <v>0</v>
      </c>
      <c r="H9" s="242">
        <f>'Base Física'!J53</f>
        <v>0</v>
      </c>
      <c r="I9" s="242">
        <f>'Base Física'!K53</f>
        <v>0</v>
      </c>
      <c r="J9" s="242">
        <f>'Base Física'!L53</f>
        <v>0</v>
      </c>
      <c r="K9" s="242">
        <f>'Base Física'!M53</f>
        <v>0</v>
      </c>
      <c r="L9" s="242">
        <f>'Base Física'!N53</f>
        <v>0</v>
      </c>
      <c r="M9" s="242">
        <f>'Base Física'!O53</f>
        <v>0</v>
      </c>
      <c r="N9" s="242">
        <f>'Base Física'!P53</f>
        <v>0</v>
      </c>
      <c r="O9" s="242">
        <f>'Base Física'!Q53</f>
        <v>0</v>
      </c>
      <c r="P9" s="242">
        <f>'Base Física'!R53</f>
        <v>0</v>
      </c>
      <c r="Q9" s="242">
        <f>'Base Física'!S53</f>
        <v>0</v>
      </c>
      <c r="R9" s="242">
        <f>'Base Física'!T53</f>
        <v>0</v>
      </c>
      <c r="S9" s="242">
        <f>'Base Física'!U53</f>
        <v>0</v>
      </c>
      <c r="T9" s="242">
        <f>'Base Física'!V53</f>
        <v>0</v>
      </c>
      <c r="U9" s="242">
        <f>'Base Física'!W53</f>
        <v>0</v>
      </c>
      <c r="V9" s="242">
        <f>'Base Física'!X53</f>
        <v>0</v>
      </c>
      <c r="W9" s="242">
        <f>'Base Física'!Y53</f>
        <v>0</v>
      </c>
      <c r="X9" s="242">
        <f>'Base Física'!Z53</f>
        <v>0</v>
      </c>
      <c r="Y9" s="242">
        <f>'Base Física'!AA53</f>
        <v>0</v>
      </c>
      <c r="Z9" s="242">
        <f>'Base Física'!AB53</f>
        <v>0</v>
      </c>
      <c r="AA9" s="242">
        <f>'Base Física'!AC53</f>
        <v>0</v>
      </c>
      <c r="AB9" s="242">
        <f>'Base Física'!AD53</f>
        <v>0</v>
      </c>
      <c r="AC9" s="242">
        <f>'Base Física'!AE53</f>
        <v>0</v>
      </c>
      <c r="AD9" s="242">
        <f>'Base Física'!AF53</f>
        <v>0</v>
      </c>
      <c r="AE9" s="242">
        <f>'Base Física'!AG53</f>
        <v>0</v>
      </c>
      <c r="AF9" s="242">
        <f>'Base Física'!AH53</f>
        <v>0</v>
      </c>
      <c r="AG9" s="242">
        <f>'Base Física'!AI53</f>
        <v>0</v>
      </c>
      <c r="AH9" s="242">
        <f>'Base Física'!AJ53</f>
        <v>0</v>
      </c>
      <c r="AI9" s="242">
        <f>'Base Física'!AK53</f>
        <v>0</v>
      </c>
      <c r="AJ9" s="242">
        <f>'Base Física'!AL53</f>
        <v>0</v>
      </c>
      <c r="AK9" s="242">
        <f>'Base Física'!AM53</f>
        <v>0</v>
      </c>
      <c r="AL9" s="242">
        <f>'Base Física'!AN53</f>
        <v>0</v>
      </c>
      <c r="AM9" s="1141"/>
    </row>
    <row r="11" spans="1:39" x14ac:dyDescent="0.25">
      <c r="A11" s="76" t="s">
        <v>428</v>
      </c>
    </row>
    <row r="12" spans="1:39" x14ac:dyDescent="0.25">
      <c r="A12" s="345"/>
      <c r="B12" s="234" t="s">
        <v>412</v>
      </c>
      <c r="C12" s="235" t="s">
        <v>222</v>
      </c>
      <c r="D12" s="241" t="e">
        <f t="shared" ref="D12:AL12" si="0">$A$12*$D$1*(D$7+D$9)*D$2</f>
        <v>#DIV/0!</v>
      </c>
      <c r="E12" s="241" t="e">
        <f t="shared" si="0"/>
        <v>#DIV/0!</v>
      </c>
      <c r="F12" s="241" t="e">
        <f t="shared" si="0"/>
        <v>#DIV/0!</v>
      </c>
      <c r="G12" s="241" t="e">
        <f t="shared" si="0"/>
        <v>#DIV/0!</v>
      </c>
      <c r="H12" s="241" t="e">
        <f t="shared" si="0"/>
        <v>#DIV/0!</v>
      </c>
      <c r="I12" s="241" t="e">
        <f t="shared" si="0"/>
        <v>#DIV/0!</v>
      </c>
      <c r="J12" s="241" t="e">
        <f t="shared" si="0"/>
        <v>#DIV/0!</v>
      </c>
      <c r="K12" s="241" t="e">
        <f t="shared" si="0"/>
        <v>#DIV/0!</v>
      </c>
      <c r="L12" s="241" t="e">
        <f t="shared" si="0"/>
        <v>#DIV/0!</v>
      </c>
      <c r="M12" s="241" t="e">
        <f t="shared" si="0"/>
        <v>#DIV/0!</v>
      </c>
      <c r="N12" s="241" t="e">
        <f t="shared" si="0"/>
        <v>#DIV/0!</v>
      </c>
      <c r="O12" s="241" t="e">
        <f t="shared" si="0"/>
        <v>#DIV/0!</v>
      </c>
      <c r="P12" s="241" t="e">
        <f t="shared" si="0"/>
        <v>#DIV/0!</v>
      </c>
      <c r="Q12" s="241" t="e">
        <f t="shared" si="0"/>
        <v>#DIV/0!</v>
      </c>
      <c r="R12" s="241" t="e">
        <f t="shared" si="0"/>
        <v>#DIV/0!</v>
      </c>
      <c r="S12" s="241" t="e">
        <f t="shared" si="0"/>
        <v>#DIV/0!</v>
      </c>
      <c r="T12" s="241" t="e">
        <f t="shared" si="0"/>
        <v>#DIV/0!</v>
      </c>
      <c r="U12" s="241" t="e">
        <f t="shared" si="0"/>
        <v>#DIV/0!</v>
      </c>
      <c r="V12" s="241" t="e">
        <f t="shared" si="0"/>
        <v>#DIV/0!</v>
      </c>
      <c r="W12" s="241" t="e">
        <f t="shared" si="0"/>
        <v>#DIV/0!</v>
      </c>
      <c r="X12" s="241" t="e">
        <f t="shared" si="0"/>
        <v>#DIV/0!</v>
      </c>
      <c r="Y12" s="241" t="e">
        <f t="shared" si="0"/>
        <v>#DIV/0!</v>
      </c>
      <c r="Z12" s="241" t="e">
        <f t="shared" si="0"/>
        <v>#DIV/0!</v>
      </c>
      <c r="AA12" s="241" t="e">
        <f t="shared" si="0"/>
        <v>#DIV/0!</v>
      </c>
      <c r="AB12" s="241" t="e">
        <f t="shared" si="0"/>
        <v>#DIV/0!</v>
      </c>
      <c r="AC12" s="241" t="e">
        <f t="shared" si="0"/>
        <v>#DIV/0!</v>
      </c>
      <c r="AD12" s="241" t="e">
        <f t="shared" si="0"/>
        <v>#DIV/0!</v>
      </c>
      <c r="AE12" s="241" t="e">
        <f t="shared" si="0"/>
        <v>#DIV/0!</v>
      </c>
      <c r="AF12" s="241" t="e">
        <f t="shared" si="0"/>
        <v>#DIV/0!</v>
      </c>
      <c r="AG12" s="241" t="e">
        <f t="shared" si="0"/>
        <v>#DIV/0!</v>
      </c>
      <c r="AH12" s="241" t="e">
        <f t="shared" si="0"/>
        <v>#DIV/0!</v>
      </c>
      <c r="AI12" s="241" t="e">
        <f t="shared" si="0"/>
        <v>#DIV/0!</v>
      </c>
      <c r="AJ12" s="241" t="e">
        <f t="shared" si="0"/>
        <v>#DIV/0!</v>
      </c>
      <c r="AK12" s="241" t="e">
        <f t="shared" si="0"/>
        <v>#DIV/0!</v>
      </c>
      <c r="AL12" s="241" t="e">
        <f t="shared" si="0"/>
        <v>#DIV/0!</v>
      </c>
      <c r="AM12" s="241" t="e">
        <f t="shared" ref="AM12:AM17" si="1">SUM(D12:AL12)</f>
        <v>#DIV/0!</v>
      </c>
    </row>
    <row r="13" spans="1:39" x14ac:dyDescent="0.25">
      <c r="A13" s="345"/>
      <c r="B13" s="234" t="s">
        <v>413</v>
      </c>
      <c r="C13" s="235" t="s">
        <v>222</v>
      </c>
      <c r="D13" s="241" t="e">
        <f t="shared" ref="D13:AL13" si="2">$A$13*$D$1*(D$7+D$9)*D$2</f>
        <v>#DIV/0!</v>
      </c>
      <c r="E13" s="241" t="e">
        <f t="shared" si="2"/>
        <v>#DIV/0!</v>
      </c>
      <c r="F13" s="241" t="e">
        <f t="shared" si="2"/>
        <v>#DIV/0!</v>
      </c>
      <c r="G13" s="241" t="e">
        <f t="shared" si="2"/>
        <v>#DIV/0!</v>
      </c>
      <c r="H13" s="241" t="e">
        <f t="shared" si="2"/>
        <v>#DIV/0!</v>
      </c>
      <c r="I13" s="241" t="e">
        <f t="shared" si="2"/>
        <v>#DIV/0!</v>
      </c>
      <c r="J13" s="241" t="e">
        <f t="shared" si="2"/>
        <v>#DIV/0!</v>
      </c>
      <c r="K13" s="241" t="e">
        <f t="shared" si="2"/>
        <v>#DIV/0!</v>
      </c>
      <c r="L13" s="241" t="e">
        <f t="shared" si="2"/>
        <v>#DIV/0!</v>
      </c>
      <c r="M13" s="241" t="e">
        <f t="shared" si="2"/>
        <v>#DIV/0!</v>
      </c>
      <c r="N13" s="241" t="e">
        <f t="shared" si="2"/>
        <v>#DIV/0!</v>
      </c>
      <c r="O13" s="241" t="e">
        <f t="shared" si="2"/>
        <v>#DIV/0!</v>
      </c>
      <c r="P13" s="241" t="e">
        <f t="shared" si="2"/>
        <v>#DIV/0!</v>
      </c>
      <c r="Q13" s="241" t="e">
        <f t="shared" si="2"/>
        <v>#DIV/0!</v>
      </c>
      <c r="R13" s="241" t="e">
        <f t="shared" si="2"/>
        <v>#DIV/0!</v>
      </c>
      <c r="S13" s="241" t="e">
        <f t="shared" si="2"/>
        <v>#DIV/0!</v>
      </c>
      <c r="T13" s="241" t="e">
        <f t="shared" si="2"/>
        <v>#DIV/0!</v>
      </c>
      <c r="U13" s="241" t="e">
        <f t="shared" si="2"/>
        <v>#DIV/0!</v>
      </c>
      <c r="V13" s="241" t="e">
        <f t="shared" si="2"/>
        <v>#DIV/0!</v>
      </c>
      <c r="W13" s="241" t="e">
        <f t="shared" si="2"/>
        <v>#DIV/0!</v>
      </c>
      <c r="X13" s="241" t="e">
        <f t="shared" si="2"/>
        <v>#DIV/0!</v>
      </c>
      <c r="Y13" s="241" t="e">
        <f t="shared" si="2"/>
        <v>#DIV/0!</v>
      </c>
      <c r="Z13" s="241" t="e">
        <f t="shared" si="2"/>
        <v>#DIV/0!</v>
      </c>
      <c r="AA13" s="241" t="e">
        <f t="shared" si="2"/>
        <v>#DIV/0!</v>
      </c>
      <c r="AB13" s="241" t="e">
        <f t="shared" si="2"/>
        <v>#DIV/0!</v>
      </c>
      <c r="AC13" s="241" t="e">
        <f t="shared" si="2"/>
        <v>#DIV/0!</v>
      </c>
      <c r="AD13" s="241" t="e">
        <f t="shared" si="2"/>
        <v>#DIV/0!</v>
      </c>
      <c r="AE13" s="241" t="e">
        <f t="shared" si="2"/>
        <v>#DIV/0!</v>
      </c>
      <c r="AF13" s="241" t="e">
        <f t="shared" si="2"/>
        <v>#DIV/0!</v>
      </c>
      <c r="AG13" s="241" t="e">
        <f t="shared" si="2"/>
        <v>#DIV/0!</v>
      </c>
      <c r="AH13" s="241" t="e">
        <f t="shared" si="2"/>
        <v>#DIV/0!</v>
      </c>
      <c r="AI13" s="241" t="e">
        <f t="shared" si="2"/>
        <v>#DIV/0!</v>
      </c>
      <c r="AJ13" s="241" t="e">
        <f t="shared" si="2"/>
        <v>#DIV/0!</v>
      </c>
      <c r="AK13" s="241" t="e">
        <f t="shared" si="2"/>
        <v>#DIV/0!</v>
      </c>
      <c r="AL13" s="241" t="e">
        <f t="shared" si="2"/>
        <v>#DIV/0!</v>
      </c>
      <c r="AM13" s="241" t="e">
        <f t="shared" si="1"/>
        <v>#DIV/0!</v>
      </c>
    </row>
    <row r="14" spans="1:39" x14ac:dyDescent="0.25">
      <c r="A14" s="345"/>
      <c r="B14" s="234" t="s">
        <v>414</v>
      </c>
      <c r="C14" s="235" t="s">
        <v>222</v>
      </c>
      <c r="D14" s="241" t="e">
        <f t="shared" ref="D14:AL14" si="3">$A$14*$D$1*(D$7+D$9)*D$2</f>
        <v>#DIV/0!</v>
      </c>
      <c r="E14" s="241" t="e">
        <f t="shared" si="3"/>
        <v>#DIV/0!</v>
      </c>
      <c r="F14" s="241" t="e">
        <f t="shared" si="3"/>
        <v>#DIV/0!</v>
      </c>
      <c r="G14" s="241" t="e">
        <f t="shared" si="3"/>
        <v>#DIV/0!</v>
      </c>
      <c r="H14" s="241" t="e">
        <f t="shared" si="3"/>
        <v>#DIV/0!</v>
      </c>
      <c r="I14" s="241" t="e">
        <f t="shared" si="3"/>
        <v>#DIV/0!</v>
      </c>
      <c r="J14" s="241" t="e">
        <f t="shared" si="3"/>
        <v>#DIV/0!</v>
      </c>
      <c r="K14" s="241" t="e">
        <f t="shared" si="3"/>
        <v>#DIV/0!</v>
      </c>
      <c r="L14" s="241" t="e">
        <f t="shared" si="3"/>
        <v>#DIV/0!</v>
      </c>
      <c r="M14" s="241" t="e">
        <f t="shared" si="3"/>
        <v>#DIV/0!</v>
      </c>
      <c r="N14" s="241" t="e">
        <f t="shared" si="3"/>
        <v>#DIV/0!</v>
      </c>
      <c r="O14" s="241" t="e">
        <f t="shared" si="3"/>
        <v>#DIV/0!</v>
      </c>
      <c r="P14" s="241" t="e">
        <f t="shared" si="3"/>
        <v>#DIV/0!</v>
      </c>
      <c r="Q14" s="241" t="e">
        <f t="shared" si="3"/>
        <v>#DIV/0!</v>
      </c>
      <c r="R14" s="241" t="e">
        <f t="shared" si="3"/>
        <v>#DIV/0!</v>
      </c>
      <c r="S14" s="241" t="e">
        <f t="shared" si="3"/>
        <v>#DIV/0!</v>
      </c>
      <c r="T14" s="241" t="e">
        <f t="shared" si="3"/>
        <v>#DIV/0!</v>
      </c>
      <c r="U14" s="241" t="e">
        <f t="shared" si="3"/>
        <v>#DIV/0!</v>
      </c>
      <c r="V14" s="241" t="e">
        <f t="shared" si="3"/>
        <v>#DIV/0!</v>
      </c>
      <c r="W14" s="241" t="e">
        <f t="shared" si="3"/>
        <v>#DIV/0!</v>
      </c>
      <c r="X14" s="241" t="e">
        <f t="shared" si="3"/>
        <v>#DIV/0!</v>
      </c>
      <c r="Y14" s="241" t="e">
        <f t="shared" si="3"/>
        <v>#DIV/0!</v>
      </c>
      <c r="Z14" s="241" t="e">
        <f t="shared" si="3"/>
        <v>#DIV/0!</v>
      </c>
      <c r="AA14" s="241" t="e">
        <f t="shared" si="3"/>
        <v>#DIV/0!</v>
      </c>
      <c r="AB14" s="241" t="e">
        <f t="shared" si="3"/>
        <v>#DIV/0!</v>
      </c>
      <c r="AC14" s="241" t="e">
        <f t="shared" si="3"/>
        <v>#DIV/0!</v>
      </c>
      <c r="AD14" s="241" t="e">
        <f t="shared" si="3"/>
        <v>#DIV/0!</v>
      </c>
      <c r="AE14" s="241" t="e">
        <f t="shared" si="3"/>
        <v>#DIV/0!</v>
      </c>
      <c r="AF14" s="241" t="e">
        <f t="shared" si="3"/>
        <v>#DIV/0!</v>
      </c>
      <c r="AG14" s="241" t="e">
        <f t="shared" si="3"/>
        <v>#DIV/0!</v>
      </c>
      <c r="AH14" s="241" t="e">
        <f t="shared" si="3"/>
        <v>#DIV/0!</v>
      </c>
      <c r="AI14" s="241" t="e">
        <f t="shared" si="3"/>
        <v>#DIV/0!</v>
      </c>
      <c r="AJ14" s="241" t="e">
        <f t="shared" si="3"/>
        <v>#DIV/0!</v>
      </c>
      <c r="AK14" s="241" t="e">
        <f t="shared" si="3"/>
        <v>#DIV/0!</v>
      </c>
      <c r="AL14" s="241" t="e">
        <f t="shared" si="3"/>
        <v>#DIV/0!</v>
      </c>
      <c r="AM14" s="241" t="e">
        <f t="shared" si="1"/>
        <v>#DIV/0!</v>
      </c>
    </row>
    <row r="15" spans="1:39" x14ac:dyDescent="0.25">
      <c r="A15" s="345"/>
      <c r="B15" s="234" t="s">
        <v>415</v>
      </c>
      <c r="C15" s="235" t="s">
        <v>222</v>
      </c>
      <c r="D15" s="241" t="e">
        <f t="shared" ref="D15:AL15" si="4">$A$15*$D$1*(D$7+D$9)*D$2</f>
        <v>#DIV/0!</v>
      </c>
      <c r="E15" s="241" t="e">
        <f t="shared" si="4"/>
        <v>#DIV/0!</v>
      </c>
      <c r="F15" s="241" t="e">
        <f t="shared" si="4"/>
        <v>#DIV/0!</v>
      </c>
      <c r="G15" s="241" t="e">
        <f t="shared" si="4"/>
        <v>#DIV/0!</v>
      </c>
      <c r="H15" s="241" t="e">
        <f t="shared" si="4"/>
        <v>#DIV/0!</v>
      </c>
      <c r="I15" s="241" t="e">
        <f t="shared" si="4"/>
        <v>#DIV/0!</v>
      </c>
      <c r="J15" s="241" t="e">
        <f t="shared" si="4"/>
        <v>#DIV/0!</v>
      </c>
      <c r="K15" s="241" t="e">
        <f t="shared" si="4"/>
        <v>#DIV/0!</v>
      </c>
      <c r="L15" s="241" t="e">
        <f t="shared" si="4"/>
        <v>#DIV/0!</v>
      </c>
      <c r="M15" s="241" t="e">
        <f t="shared" si="4"/>
        <v>#DIV/0!</v>
      </c>
      <c r="N15" s="241" t="e">
        <f t="shared" si="4"/>
        <v>#DIV/0!</v>
      </c>
      <c r="O15" s="241" t="e">
        <f t="shared" si="4"/>
        <v>#DIV/0!</v>
      </c>
      <c r="P15" s="241" t="e">
        <f t="shared" si="4"/>
        <v>#DIV/0!</v>
      </c>
      <c r="Q15" s="241" t="e">
        <f t="shared" si="4"/>
        <v>#DIV/0!</v>
      </c>
      <c r="R15" s="241" t="e">
        <f t="shared" si="4"/>
        <v>#DIV/0!</v>
      </c>
      <c r="S15" s="241" t="e">
        <f t="shared" si="4"/>
        <v>#DIV/0!</v>
      </c>
      <c r="T15" s="241" t="e">
        <f t="shared" si="4"/>
        <v>#DIV/0!</v>
      </c>
      <c r="U15" s="241" t="e">
        <f t="shared" si="4"/>
        <v>#DIV/0!</v>
      </c>
      <c r="V15" s="241" t="e">
        <f t="shared" si="4"/>
        <v>#DIV/0!</v>
      </c>
      <c r="W15" s="241" t="e">
        <f t="shared" si="4"/>
        <v>#DIV/0!</v>
      </c>
      <c r="X15" s="241" t="e">
        <f t="shared" si="4"/>
        <v>#DIV/0!</v>
      </c>
      <c r="Y15" s="241" t="e">
        <f t="shared" si="4"/>
        <v>#DIV/0!</v>
      </c>
      <c r="Z15" s="241" t="e">
        <f t="shared" si="4"/>
        <v>#DIV/0!</v>
      </c>
      <c r="AA15" s="241" t="e">
        <f t="shared" si="4"/>
        <v>#DIV/0!</v>
      </c>
      <c r="AB15" s="241" t="e">
        <f t="shared" si="4"/>
        <v>#DIV/0!</v>
      </c>
      <c r="AC15" s="241" t="e">
        <f t="shared" si="4"/>
        <v>#DIV/0!</v>
      </c>
      <c r="AD15" s="241" t="e">
        <f t="shared" si="4"/>
        <v>#DIV/0!</v>
      </c>
      <c r="AE15" s="241" t="e">
        <f t="shared" si="4"/>
        <v>#DIV/0!</v>
      </c>
      <c r="AF15" s="241" t="e">
        <f t="shared" si="4"/>
        <v>#DIV/0!</v>
      </c>
      <c r="AG15" s="241" t="e">
        <f t="shared" si="4"/>
        <v>#DIV/0!</v>
      </c>
      <c r="AH15" s="241" t="e">
        <f t="shared" si="4"/>
        <v>#DIV/0!</v>
      </c>
      <c r="AI15" s="241" t="e">
        <f t="shared" si="4"/>
        <v>#DIV/0!</v>
      </c>
      <c r="AJ15" s="241" t="e">
        <f t="shared" si="4"/>
        <v>#DIV/0!</v>
      </c>
      <c r="AK15" s="241" t="e">
        <f t="shared" si="4"/>
        <v>#DIV/0!</v>
      </c>
      <c r="AL15" s="241" t="e">
        <f t="shared" si="4"/>
        <v>#DIV/0!</v>
      </c>
      <c r="AM15" s="241" t="e">
        <f t="shared" si="1"/>
        <v>#DIV/0!</v>
      </c>
    </row>
    <row r="16" spans="1:39" x14ac:dyDescent="0.25">
      <c r="A16" s="345"/>
      <c r="B16" s="234" t="s">
        <v>416</v>
      </c>
      <c r="C16" s="235" t="s">
        <v>222</v>
      </c>
      <c r="D16" s="241" t="e">
        <f t="shared" ref="D16:AL16" si="5">$A$16*$D$1*(D$7+D$9)*D$2</f>
        <v>#DIV/0!</v>
      </c>
      <c r="E16" s="241" t="e">
        <f t="shared" si="5"/>
        <v>#DIV/0!</v>
      </c>
      <c r="F16" s="241" t="e">
        <f t="shared" si="5"/>
        <v>#DIV/0!</v>
      </c>
      <c r="G16" s="241" t="e">
        <f t="shared" si="5"/>
        <v>#DIV/0!</v>
      </c>
      <c r="H16" s="241" t="e">
        <f t="shared" si="5"/>
        <v>#DIV/0!</v>
      </c>
      <c r="I16" s="241" t="e">
        <f t="shared" si="5"/>
        <v>#DIV/0!</v>
      </c>
      <c r="J16" s="241" t="e">
        <f t="shared" si="5"/>
        <v>#DIV/0!</v>
      </c>
      <c r="K16" s="241" t="e">
        <f t="shared" si="5"/>
        <v>#DIV/0!</v>
      </c>
      <c r="L16" s="241" t="e">
        <f t="shared" si="5"/>
        <v>#DIV/0!</v>
      </c>
      <c r="M16" s="241" t="e">
        <f t="shared" si="5"/>
        <v>#DIV/0!</v>
      </c>
      <c r="N16" s="241" t="e">
        <f t="shared" si="5"/>
        <v>#DIV/0!</v>
      </c>
      <c r="O16" s="241" t="e">
        <f t="shared" si="5"/>
        <v>#DIV/0!</v>
      </c>
      <c r="P16" s="241" t="e">
        <f t="shared" si="5"/>
        <v>#DIV/0!</v>
      </c>
      <c r="Q16" s="241" t="e">
        <f t="shared" si="5"/>
        <v>#DIV/0!</v>
      </c>
      <c r="R16" s="241" t="e">
        <f t="shared" si="5"/>
        <v>#DIV/0!</v>
      </c>
      <c r="S16" s="241" t="e">
        <f t="shared" si="5"/>
        <v>#DIV/0!</v>
      </c>
      <c r="T16" s="241" t="e">
        <f t="shared" si="5"/>
        <v>#DIV/0!</v>
      </c>
      <c r="U16" s="241" t="e">
        <f t="shared" si="5"/>
        <v>#DIV/0!</v>
      </c>
      <c r="V16" s="241" t="e">
        <f t="shared" si="5"/>
        <v>#DIV/0!</v>
      </c>
      <c r="W16" s="241" t="e">
        <f t="shared" si="5"/>
        <v>#DIV/0!</v>
      </c>
      <c r="X16" s="241" t="e">
        <f t="shared" si="5"/>
        <v>#DIV/0!</v>
      </c>
      <c r="Y16" s="241" t="e">
        <f t="shared" si="5"/>
        <v>#DIV/0!</v>
      </c>
      <c r="Z16" s="241" t="e">
        <f t="shared" si="5"/>
        <v>#DIV/0!</v>
      </c>
      <c r="AA16" s="241" t="e">
        <f t="shared" si="5"/>
        <v>#DIV/0!</v>
      </c>
      <c r="AB16" s="241" t="e">
        <f t="shared" si="5"/>
        <v>#DIV/0!</v>
      </c>
      <c r="AC16" s="241" t="e">
        <f t="shared" si="5"/>
        <v>#DIV/0!</v>
      </c>
      <c r="AD16" s="241" t="e">
        <f t="shared" si="5"/>
        <v>#DIV/0!</v>
      </c>
      <c r="AE16" s="241" t="e">
        <f t="shared" si="5"/>
        <v>#DIV/0!</v>
      </c>
      <c r="AF16" s="241" t="e">
        <f t="shared" si="5"/>
        <v>#DIV/0!</v>
      </c>
      <c r="AG16" s="241" t="e">
        <f t="shared" si="5"/>
        <v>#DIV/0!</v>
      </c>
      <c r="AH16" s="241" t="e">
        <f t="shared" si="5"/>
        <v>#DIV/0!</v>
      </c>
      <c r="AI16" s="241" t="e">
        <f t="shared" si="5"/>
        <v>#DIV/0!</v>
      </c>
      <c r="AJ16" s="241" t="e">
        <f t="shared" si="5"/>
        <v>#DIV/0!</v>
      </c>
      <c r="AK16" s="241" t="e">
        <f t="shared" si="5"/>
        <v>#DIV/0!</v>
      </c>
      <c r="AL16" s="241" t="e">
        <f t="shared" si="5"/>
        <v>#DIV/0!</v>
      </c>
      <c r="AM16" s="241" t="e">
        <f t="shared" si="1"/>
        <v>#DIV/0!</v>
      </c>
    </row>
    <row r="17" spans="1:39" x14ac:dyDescent="0.25">
      <c r="A17" s="1195">
        <f>SUM(A12:A16)</f>
        <v>0</v>
      </c>
      <c r="B17" s="234" t="s">
        <v>5</v>
      </c>
      <c r="C17" s="235" t="s">
        <v>222</v>
      </c>
      <c r="D17" s="241" t="e">
        <f t="shared" ref="D17:AL17" si="6">SUM(D12:D16)</f>
        <v>#DIV/0!</v>
      </c>
      <c r="E17" s="241" t="e">
        <f t="shared" si="6"/>
        <v>#DIV/0!</v>
      </c>
      <c r="F17" s="241" t="e">
        <f t="shared" si="6"/>
        <v>#DIV/0!</v>
      </c>
      <c r="G17" s="241" t="e">
        <f t="shared" si="6"/>
        <v>#DIV/0!</v>
      </c>
      <c r="H17" s="241" t="e">
        <f t="shared" si="6"/>
        <v>#DIV/0!</v>
      </c>
      <c r="I17" s="241" t="e">
        <f t="shared" si="6"/>
        <v>#DIV/0!</v>
      </c>
      <c r="J17" s="241" t="e">
        <f t="shared" si="6"/>
        <v>#DIV/0!</v>
      </c>
      <c r="K17" s="241" t="e">
        <f t="shared" si="6"/>
        <v>#DIV/0!</v>
      </c>
      <c r="L17" s="241" t="e">
        <f t="shared" si="6"/>
        <v>#DIV/0!</v>
      </c>
      <c r="M17" s="241" t="e">
        <f t="shared" si="6"/>
        <v>#DIV/0!</v>
      </c>
      <c r="N17" s="241" t="e">
        <f t="shared" si="6"/>
        <v>#DIV/0!</v>
      </c>
      <c r="O17" s="241" t="e">
        <f t="shared" si="6"/>
        <v>#DIV/0!</v>
      </c>
      <c r="P17" s="241" t="e">
        <f t="shared" si="6"/>
        <v>#DIV/0!</v>
      </c>
      <c r="Q17" s="241" t="e">
        <f t="shared" si="6"/>
        <v>#DIV/0!</v>
      </c>
      <c r="R17" s="241" t="e">
        <f t="shared" si="6"/>
        <v>#DIV/0!</v>
      </c>
      <c r="S17" s="241" t="e">
        <f t="shared" si="6"/>
        <v>#DIV/0!</v>
      </c>
      <c r="T17" s="241" t="e">
        <f t="shared" si="6"/>
        <v>#DIV/0!</v>
      </c>
      <c r="U17" s="241" t="e">
        <f t="shared" si="6"/>
        <v>#DIV/0!</v>
      </c>
      <c r="V17" s="241" t="e">
        <f t="shared" si="6"/>
        <v>#DIV/0!</v>
      </c>
      <c r="W17" s="241" t="e">
        <f t="shared" si="6"/>
        <v>#DIV/0!</v>
      </c>
      <c r="X17" s="241" t="e">
        <f t="shared" si="6"/>
        <v>#DIV/0!</v>
      </c>
      <c r="Y17" s="241" t="e">
        <f t="shared" si="6"/>
        <v>#DIV/0!</v>
      </c>
      <c r="Z17" s="241" t="e">
        <f t="shared" si="6"/>
        <v>#DIV/0!</v>
      </c>
      <c r="AA17" s="241" t="e">
        <f t="shared" si="6"/>
        <v>#DIV/0!</v>
      </c>
      <c r="AB17" s="241" t="e">
        <f t="shared" si="6"/>
        <v>#DIV/0!</v>
      </c>
      <c r="AC17" s="241" t="e">
        <f t="shared" si="6"/>
        <v>#DIV/0!</v>
      </c>
      <c r="AD17" s="241" t="e">
        <f t="shared" si="6"/>
        <v>#DIV/0!</v>
      </c>
      <c r="AE17" s="241" t="e">
        <f t="shared" si="6"/>
        <v>#DIV/0!</v>
      </c>
      <c r="AF17" s="241" t="e">
        <f t="shared" si="6"/>
        <v>#DIV/0!</v>
      </c>
      <c r="AG17" s="241" t="e">
        <f t="shared" si="6"/>
        <v>#DIV/0!</v>
      </c>
      <c r="AH17" s="241" t="e">
        <f t="shared" si="6"/>
        <v>#DIV/0!</v>
      </c>
      <c r="AI17" s="241" t="e">
        <f t="shared" si="6"/>
        <v>#DIV/0!</v>
      </c>
      <c r="AJ17" s="241" t="e">
        <f t="shared" si="6"/>
        <v>#DIV/0!</v>
      </c>
      <c r="AK17" s="241" t="e">
        <f t="shared" si="6"/>
        <v>#DIV/0!</v>
      </c>
      <c r="AL17" s="241" t="e">
        <f t="shared" si="6"/>
        <v>#DIV/0!</v>
      </c>
      <c r="AM17" s="241" t="e">
        <f t="shared" si="1"/>
        <v>#DIV/0!</v>
      </c>
    </row>
    <row r="18" spans="1:39" x14ac:dyDescent="0.25">
      <c r="A18" s="779">
        <f>(A12*5+A13*10+A14*15+A15*25+A16*30)/35</f>
        <v>0</v>
      </c>
      <c r="AM18" s="67"/>
    </row>
    <row r="19" spans="1:39" x14ac:dyDescent="0.25">
      <c r="A19" s="18" t="s">
        <v>1387</v>
      </c>
      <c r="B19" s="18"/>
      <c r="C19" s="18"/>
      <c r="D19" s="42"/>
      <c r="E19" s="87"/>
      <c r="F19" s="87"/>
      <c r="G19" s="87"/>
      <c r="H19" s="87"/>
      <c r="I19" s="87"/>
      <c r="J19" s="87"/>
      <c r="K19" s="87"/>
      <c r="L19" s="87"/>
      <c r="M19" s="87"/>
      <c r="N19" s="87"/>
      <c r="O19" s="87"/>
      <c r="P19" s="87"/>
      <c r="Q19" s="87"/>
      <c r="R19" s="87"/>
      <c r="S19" s="87"/>
      <c r="T19" s="87"/>
      <c r="U19" s="87"/>
      <c r="V19" s="87"/>
      <c r="W19" s="87"/>
      <c r="X19" s="87"/>
      <c r="Y19" s="87"/>
      <c r="Z19" s="87"/>
      <c r="AA19" s="87"/>
      <c r="AB19" s="87"/>
      <c r="AC19" s="87"/>
      <c r="AD19" s="87"/>
      <c r="AE19" s="87"/>
      <c r="AF19" s="87"/>
      <c r="AG19" s="87"/>
      <c r="AH19" s="87"/>
      <c r="AI19" s="87"/>
      <c r="AJ19" s="87"/>
      <c r="AK19" s="87"/>
      <c r="AL19" s="87"/>
      <c r="AM19" s="87"/>
    </row>
    <row r="20" spans="1:39" s="18" customFormat="1" x14ac:dyDescent="0.25">
      <c r="E20" s="42"/>
      <c r="F20" s="42"/>
      <c r="G20" s="42"/>
      <c r="H20" s="42"/>
      <c r="I20" s="42"/>
      <c r="J20" s="42"/>
      <c r="K20" s="42"/>
      <c r="L20" s="42"/>
      <c r="M20" s="42"/>
      <c r="N20" s="42"/>
      <c r="O20" s="42"/>
      <c r="P20" s="42"/>
      <c r="Q20" s="42"/>
      <c r="R20" s="42"/>
      <c r="S20" s="42"/>
      <c r="T20" s="42"/>
      <c r="U20" s="42"/>
      <c r="V20" s="42"/>
      <c r="W20" s="42"/>
      <c r="X20" s="42"/>
      <c r="Y20" s="42"/>
      <c r="Z20" s="42"/>
      <c r="AA20" s="42"/>
      <c r="AB20" s="42"/>
      <c r="AC20" s="42"/>
      <c r="AD20" s="42"/>
      <c r="AE20" s="42"/>
      <c r="AF20" s="42"/>
      <c r="AG20" s="42"/>
      <c r="AH20" s="42"/>
      <c r="AI20" s="42"/>
      <c r="AJ20" s="42"/>
      <c r="AK20" s="42"/>
      <c r="AL20" s="42"/>
      <c r="AM20" s="87"/>
    </row>
    <row r="21" spans="1:39" s="46" customFormat="1" x14ac:dyDescent="0.25">
      <c r="A21" s="578" t="s">
        <v>672</v>
      </c>
      <c r="B21" s="94" t="str">
        <f>B12</f>
        <v>Ativos com depreciação de 5 Anos</v>
      </c>
      <c r="C21" s="94"/>
      <c r="D21" s="148" t="e">
        <f t="shared" ref="D21:AL21" si="7">D22+D26+D28+D30+D32</f>
        <v>#DIV/0!</v>
      </c>
      <c r="E21" s="148" t="e">
        <f t="shared" si="7"/>
        <v>#DIV/0!</v>
      </c>
      <c r="F21" s="148" t="e">
        <f t="shared" si="7"/>
        <v>#DIV/0!</v>
      </c>
      <c r="G21" s="148" t="e">
        <f t="shared" si="7"/>
        <v>#DIV/0!</v>
      </c>
      <c r="H21" s="148" t="e">
        <f t="shared" si="7"/>
        <v>#DIV/0!</v>
      </c>
      <c r="I21" s="148" t="e">
        <f t="shared" si="7"/>
        <v>#DIV/0!</v>
      </c>
      <c r="J21" s="148" t="e">
        <f t="shared" si="7"/>
        <v>#DIV/0!</v>
      </c>
      <c r="K21" s="148" t="e">
        <f t="shared" si="7"/>
        <v>#DIV/0!</v>
      </c>
      <c r="L21" s="148" t="e">
        <f t="shared" si="7"/>
        <v>#DIV/0!</v>
      </c>
      <c r="M21" s="148" t="e">
        <f t="shared" si="7"/>
        <v>#DIV/0!</v>
      </c>
      <c r="N21" s="148" t="e">
        <f t="shared" si="7"/>
        <v>#DIV/0!</v>
      </c>
      <c r="O21" s="148" t="e">
        <f t="shared" si="7"/>
        <v>#DIV/0!</v>
      </c>
      <c r="P21" s="148" t="e">
        <f t="shared" si="7"/>
        <v>#DIV/0!</v>
      </c>
      <c r="Q21" s="148" t="e">
        <f t="shared" si="7"/>
        <v>#DIV/0!</v>
      </c>
      <c r="R21" s="148" t="e">
        <f t="shared" si="7"/>
        <v>#DIV/0!</v>
      </c>
      <c r="S21" s="148" t="e">
        <f t="shared" si="7"/>
        <v>#DIV/0!</v>
      </c>
      <c r="T21" s="148" t="e">
        <f t="shared" si="7"/>
        <v>#DIV/0!</v>
      </c>
      <c r="U21" s="148" t="e">
        <f t="shared" si="7"/>
        <v>#DIV/0!</v>
      </c>
      <c r="V21" s="148" t="e">
        <f t="shared" si="7"/>
        <v>#DIV/0!</v>
      </c>
      <c r="W21" s="148" t="e">
        <f t="shared" si="7"/>
        <v>#DIV/0!</v>
      </c>
      <c r="X21" s="148" t="e">
        <f t="shared" si="7"/>
        <v>#DIV/0!</v>
      </c>
      <c r="Y21" s="148" t="e">
        <f t="shared" si="7"/>
        <v>#DIV/0!</v>
      </c>
      <c r="Z21" s="148" t="e">
        <f t="shared" si="7"/>
        <v>#DIV/0!</v>
      </c>
      <c r="AA21" s="148" t="e">
        <f t="shared" si="7"/>
        <v>#DIV/0!</v>
      </c>
      <c r="AB21" s="148" t="e">
        <f t="shared" si="7"/>
        <v>#DIV/0!</v>
      </c>
      <c r="AC21" s="148" t="e">
        <f t="shared" si="7"/>
        <v>#DIV/0!</v>
      </c>
      <c r="AD21" s="148" t="e">
        <f t="shared" si="7"/>
        <v>#DIV/0!</v>
      </c>
      <c r="AE21" s="148" t="e">
        <f t="shared" si="7"/>
        <v>#DIV/0!</v>
      </c>
      <c r="AF21" s="148" t="e">
        <f t="shared" si="7"/>
        <v>#DIV/0!</v>
      </c>
      <c r="AG21" s="148" t="e">
        <f t="shared" si="7"/>
        <v>#DIV/0!</v>
      </c>
      <c r="AH21" s="148" t="e">
        <f t="shared" si="7"/>
        <v>#DIV/0!</v>
      </c>
      <c r="AI21" s="148" t="e">
        <f t="shared" si="7"/>
        <v>#DIV/0!</v>
      </c>
      <c r="AJ21" s="148" t="e">
        <f t="shared" si="7"/>
        <v>#DIV/0!</v>
      </c>
      <c r="AK21" s="148" t="e">
        <f t="shared" si="7"/>
        <v>#DIV/0!</v>
      </c>
      <c r="AL21" s="148" t="e">
        <f t="shared" si="7"/>
        <v>#DIV/0!</v>
      </c>
      <c r="AM21" s="148" t="e">
        <f>SUM(D21:AL21)</f>
        <v>#DIV/0!</v>
      </c>
    </row>
    <row r="22" spans="1:39" x14ac:dyDescent="0.25">
      <c r="A22" s="357"/>
      <c r="B22" s="1151" t="s">
        <v>420</v>
      </c>
      <c r="C22" s="238" t="s">
        <v>63</v>
      </c>
      <c r="D22" s="146">
        <f>D24*0.45*$A$22</f>
        <v>0</v>
      </c>
      <c r="E22" s="146">
        <f t="shared" ref="E22:AG22" si="8">E24*0.45*$A$22</f>
        <v>0</v>
      </c>
      <c r="F22" s="146">
        <f t="shared" si="8"/>
        <v>0</v>
      </c>
      <c r="G22" s="146">
        <f t="shared" si="8"/>
        <v>0</v>
      </c>
      <c r="H22" s="146">
        <f t="shared" si="8"/>
        <v>0</v>
      </c>
      <c r="I22" s="146">
        <f t="shared" si="8"/>
        <v>0</v>
      </c>
      <c r="J22" s="146">
        <f t="shared" si="8"/>
        <v>0</v>
      </c>
      <c r="K22" s="146">
        <f t="shared" si="8"/>
        <v>0</v>
      </c>
      <c r="L22" s="146">
        <f t="shared" si="8"/>
        <v>0</v>
      </c>
      <c r="M22" s="146">
        <f t="shared" si="8"/>
        <v>0</v>
      </c>
      <c r="N22" s="146">
        <f t="shared" si="8"/>
        <v>0</v>
      </c>
      <c r="O22" s="146">
        <f t="shared" si="8"/>
        <v>0</v>
      </c>
      <c r="P22" s="146">
        <f t="shared" si="8"/>
        <v>0</v>
      </c>
      <c r="Q22" s="146">
        <f t="shared" si="8"/>
        <v>0</v>
      </c>
      <c r="R22" s="146">
        <f t="shared" si="8"/>
        <v>0</v>
      </c>
      <c r="S22" s="146">
        <f t="shared" si="8"/>
        <v>0</v>
      </c>
      <c r="T22" s="146">
        <f t="shared" si="8"/>
        <v>0</v>
      </c>
      <c r="U22" s="146">
        <f t="shared" si="8"/>
        <v>0</v>
      </c>
      <c r="V22" s="146">
        <f t="shared" si="8"/>
        <v>0</v>
      </c>
      <c r="W22" s="146">
        <f t="shared" si="8"/>
        <v>0</v>
      </c>
      <c r="X22" s="146">
        <f t="shared" si="8"/>
        <v>0</v>
      </c>
      <c r="Y22" s="146">
        <f t="shared" si="8"/>
        <v>0</v>
      </c>
      <c r="Z22" s="146">
        <f t="shared" si="8"/>
        <v>0</v>
      </c>
      <c r="AA22" s="146">
        <f t="shared" si="8"/>
        <v>0</v>
      </c>
      <c r="AB22" s="146">
        <f t="shared" si="8"/>
        <v>0</v>
      </c>
      <c r="AC22" s="146">
        <f t="shared" si="8"/>
        <v>0</v>
      </c>
      <c r="AD22" s="146">
        <f t="shared" si="8"/>
        <v>0</v>
      </c>
      <c r="AE22" s="146">
        <f t="shared" si="8"/>
        <v>0</v>
      </c>
      <c r="AF22" s="146">
        <f t="shared" si="8"/>
        <v>0</v>
      </c>
      <c r="AG22" s="146">
        <f t="shared" si="8"/>
        <v>0</v>
      </c>
      <c r="AH22" s="146">
        <f t="shared" ref="AH22:AL22" si="9">AH24*0.45*$A$22</f>
        <v>0</v>
      </c>
      <c r="AI22" s="146">
        <f t="shared" si="9"/>
        <v>0</v>
      </c>
      <c r="AJ22" s="146">
        <f t="shared" si="9"/>
        <v>0</v>
      </c>
      <c r="AK22" s="146">
        <f t="shared" si="9"/>
        <v>0</v>
      </c>
      <c r="AL22" s="146">
        <f t="shared" si="9"/>
        <v>0</v>
      </c>
      <c r="AM22" s="146">
        <f>SUM(D22:AL22)</f>
        <v>0</v>
      </c>
    </row>
    <row r="23" spans="1:39" x14ac:dyDescent="0.25">
      <c r="B23" s="1152"/>
      <c r="C23" s="238" t="s">
        <v>422</v>
      </c>
      <c r="D23" s="146">
        <f>D22</f>
        <v>0</v>
      </c>
      <c r="E23" s="146">
        <f>D23+E22</f>
        <v>0</v>
      </c>
      <c r="F23" s="146">
        <f t="shared" ref="F23:H23" si="10">E23+F22</f>
        <v>0</v>
      </c>
      <c r="G23" s="146">
        <f t="shared" si="10"/>
        <v>0</v>
      </c>
      <c r="H23" s="146">
        <f t="shared" si="10"/>
        <v>0</v>
      </c>
      <c r="I23" s="146">
        <f>I22</f>
        <v>0</v>
      </c>
      <c r="J23" s="146">
        <f>I23+J22</f>
        <v>0</v>
      </c>
      <c r="K23" s="146">
        <f t="shared" ref="K23" si="11">J23+K22</f>
        <v>0</v>
      </c>
      <c r="L23" s="146">
        <f t="shared" ref="L23" si="12">K23+L22</f>
        <v>0</v>
      </c>
      <c r="M23" s="247">
        <f t="shared" ref="M23" si="13">L23+M22</f>
        <v>0</v>
      </c>
      <c r="N23" s="146">
        <f>N22</f>
        <v>0</v>
      </c>
      <c r="O23" s="146">
        <f>N23+O22</f>
        <v>0</v>
      </c>
      <c r="P23" s="146">
        <f t="shared" ref="P23" si="14">O23+P22</f>
        <v>0</v>
      </c>
      <c r="Q23" s="146">
        <f t="shared" ref="Q23" si="15">P23+Q22</f>
        <v>0</v>
      </c>
      <c r="R23" s="247">
        <f t="shared" ref="R23" si="16">Q23+R22</f>
        <v>0</v>
      </c>
      <c r="S23" s="146">
        <f>S22</f>
        <v>0</v>
      </c>
      <c r="T23" s="146">
        <f>S23+T22</f>
        <v>0</v>
      </c>
      <c r="U23" s="146">
        <f t="shared" ref="U23" si="17">T23+U22</f>
        <v>0</v>
      </c>
      <c r="V23" s="146">
        <f t="shared" ref="V23" si="18">U23+V22</f>
        <v>0</v>
      </c>
      <c r="W23" s="247">
        <f t="shared" ref="W23" si="19">V23+W22</f>
        <v>0</v>
      </c>
      <c r="X23" s="146">
        <f>X22</f>
        <v>0</v>
      </c>
      <c r="Y23" s="146">
        <f>X23+Y22</f>
        <v>0</v>
      </c>
      <c r="Z23" s="146">
        <f t="shared" ref="Z23" si="20">Y23+Z22</f>
        <v>0</v>
      </c>
      <c r="AA23" s="146">
        <f t="shared" ref="AA23" si="21">Z23+AA22</f>
        <v>0</v>
      </c>
      <c r="AB23" s="247">
        <f t="shared" ref="AB23" si="22">AA23+AB22</f>
        <v>0</v>
      </c>
      <c r="AC23" s="146">
        <f>AC22</f>
        <v>0</v>
      </c>
      <c r="AD23" s="146">
        <f>AC23+AD22</f>
        <v>0</v>
      </c>
      <c r="AE23" s="146">
        <f t="shared" ref="AE23" si="23">AD23+AE22</f>
        <v>0</v>
      </c>
      <c r="AF23" s="146">
        <f t="shared" ref="AF23" si="24">AE23+AF22</f>
        <v>0</v>
      </c>
      <c r="AG23" s="247">
        <f t="shared" ref="AG23" si="25">AF23+AG22</f>
        <v>0</v>
      </c>
      <c r="AH23" s="146">
        <f>AH22</f>
        <v>0</v>
      </c>
      <c r="AI23" s="146">
        <f>AH23+AI22</f>
        <v>0</v>
      </c>
      <c r="AJ23" s="146">
        <f t="shared" ref="AJ23" si="26">AI23+AJ22</f>
        <v>0</v>
      </c>
      <c r="AK23" s="146">
        <f t="shared" ref="AK23" si="27">AJ23+AK22</f>
        <v>0</v>
      </c>
      <c r="AL23" s="247">
        <f t="shared" ref="AL23" si="28">AK23+AL22</f>
        <v>0</v>
      </c>
      <c r="AM23" s="146">
        <f>H23+M23+R23+W23+AB23+AG23+AL23</f>
        <v>0</v>
      </c>
    </row>
    <row r="24" spans="1:39" x14ac:dyDescent="0.25">
      <c r="B24" s="1152"/>
      <c r="C24" s="238" t="s">
        <v>421</v>
      </c>
      <c r="D24" s="149">
        <f>ROUND($H$7/5,0)</f>
        <v>0</v>
      </c>
      <c r="E24" s="149">
        <f t="shared" ref="E24:H24" si="29">ROUND($H$7/5,0)</f>
        <v>0</v>
      </c>
      <c r="F24" s="149">
        <f t="shared" si="29"/>
        <v>0</v>
      </c>
      <c r="G24" s="149">
        <f t="shared" si="29"/>
        <v>0</v>
      </c>
      <c r="H24" s="149">
        <f t="shared" si="29"/>
        <v>0</v>
      </c>
      <c r="I24" s="149">
        <f>ROUND($M$7/5,0)</f>
        <v>0</v>
      </c>
      <c r="J24" s="149">
        <f t="shared" ref="J24:M24" si="30">ROUND($M$7/5,0)</f>
        <v>0</v>
      </c>
      <c r="K24" s="149">
        <f t="shared" si="30"/>
        <v>0</v>
      </c>
      <c r="L24" s="149">
        <f t="shared" si="30"/>
        <v>0</v>
      </c>
      <c r="M24" s="149">
        <f t="shared" si="30"/>
        <v>0</v>
      </c>
      <c r="N24" s="149">
        <f>ROUND($R$7/5,0)</f>
        <v>0</v>
      </c>
      <c r="O24" s="149">
        <f t="shared" ref="O24:R24" si="31">ROUND($R$7/5,0)</f>
        <v>0</v>
      </c>
      <c r="P24" s="149">
        <f t="shared" si="31"/>
        <v>0</v>
      </c>
      <c r="Q24" s="149">
        <f t="shared" si="31"/>
        <v>0</v>
      </c>
      <c r="R24" s="149">
        <f t="shared" si="31"/>
        <v>0</v>
      </c>
      <c r="S24" s="149">
        <f>ROUND($W$7/5,0)</f>
        <v>0</v>
      </c>
      <c r="T24" s="149">
        <f t="shared" ref="T24:W24" si="32">ROUND($W$7/5,0)</f>
        <v>0</v>
      </c>
      <c r="U24" s="149">
        <f t="shared" si="32"/>
        <v>0</v>
      </c>
      <c r="V24" s="149">
        <f t="shared" si="32"/>
        <v>0</v>
      </c>
      <c r="W24" s="149">
        <f t="shared" si="32"/>
        <v>0</v>
      </c>
      <c r="X24" s="149">
        <f>ROUND($AB$7/5,0)</f>
        <v>0</v>
      </c>
      <c r="Y24" s="149">
        <f t="shared" ref="Y24:AB24" si="33">ROUND($AB$7/5,0)</f>
        <v>0</v>
      </c>
      <c r="Z24" s="149">
        <f t="shared" si="33"/>
        <v>0</v>
      </c>
      <c r="AA24" s="149">
        <f t="shared" si="33"/>
        <v>0</v>
      </c>
      <c r="AB24" s="149">
        <f t="shared" si="33"/>
        <v>0</v>
      </c>
      <c r="AC24" s="149">
        <f>ROUND($AG$7/5,0)</f>
        <v>0</v>
      </c>
      <c r="AD24" s="149">
        <f t="shared" ref="AD24:AL24" si="34">ROUND($AG$7/5,0)</f>
        <v>0</v>
      </c>
      <c r="AE24" s="149">
        <f t="shared" si="34"/>
        <v>0</v>
      </c>
      <c r="AF24" s="149">
        <f t="shared" si="34"/>
        <v>0</v>
      </c>
      <c r="AG24" s="149">
        <f t="shared" si="34"/>
        <v>0</v>
      </c>
      <c r="AH24" s="149">
        <f t="shared" si="34"/>
        <v>0</v>
      </c>
      <c r="AI24" s="149">
        <f t="shared" si="34"/>
        <v>0</v>
      </c>
      <c r="AJ24" s="149">
        <f t="shared" si="34"/>
        <v>0</v>
      </c>
      <c r="AK24" s="149">
        <f t="shared" si="34"/>
        <v>0</v>
      </c>
      <c r="AL24" s="149">
        <f t="shared" si="34"/>
        <v>0</v>
      </c>
      <c r="AM24" s="244">
        <f>SUM(D24:AL24)</f>
        <v>0</v>
      </c>
    </row>
    <row r="25" spans="1:39" x14ac:dyDescent="0.25">
      <c r="B25" s="1153"/>
      <c r="C25" s="238" t="s">
        <v>422</v>
      </c>
      <c r="D25" s="149">
        <f>D24</f>
        <v>0</v>
      </c>
      <c r="E25" s="149">
        <f>D25+E24</f>
        <v>0</v>
      </c>
      <c r="F25" s="149">
        <f t="shared" ref="F25:H25" si="35">E25+F24</f>
        <v>0</v>
      </c>
      <c r="G25" s="149">
        <f t="shared" si="35"/>
        <v>0</v>
      </c>
      <c r="H25" s="149">
        <f t="shared" si="35"/>
        <v>0</v>
      </c>
      <c r="I25" s="149">
        <f>I24</f>
        <v>0</v>
      </c>
      <c r="J25" s="149">
        <f>I25+J24</f>
        <v>0</v>
      </c>
      <c r="K25" s="149">
        <f t="shared" ref="K25" si="36">J25+K24</f>
        <v>0</v>
      </c>
      <c r="L25" s="149">
        <f t="shared" ref="L25" si="37">K25+L24</f>
        <v>0</v>
      </c>
      <c r="M25" s="248">
        <f t="shared" ref="M25" si="38">L25+M24</f>
        <v>0</v>
      </c>
      <c r="N25" s="149">
        <f>N24</f>
        <v>0</v>
      </c>
      <c r="O25" s="149">
        <f>N25+O24</f>
        <v>0</v>
      </c>
      <c r="P25" s="149">
        <f t="shared" ref="P25" si="39">O25+P24</f>
        <v>0</v>
      </c>
      <c r="Q25" s="149">
        <f t="shared" ref="Q25" si="40">P25+Q24</f>
        <v>0</v>
      </c>
      <c r="R25" s="248">
        <f t="shared" ref="R25" si="41">Q25+R24</f>
        <v>0</v>
      </c>
      <c r="S25" s="149">
        <f>S24</f>
        <v>0</v>
      </c>
      <c r="T25" s="149">
        <f>S25+T24</f>
        <v>0</v>
      </c>
      <c r="U25" s="149">
        <f t="shared" ref="U25" si="42">T25+U24</f>
        <v>0</v>
      </c>
      <c r="V25" s="149">
        <f t="shared" ref="V25" si="43">U25+V24</f>
        <v>0</v>
      </c>
      <c r="W25" s="248">
        <f t="shared" ref="W25" si="44">V25+W24</f>
        <v>0</v>
      </c>
      <c r="X25" s="149">
        <f>X24</f>
        <v>0</v>
      </c>
      <c r="Y25" s="149">
        <f>X25+Y24</f>
        <v>0</v>
      </c>
      <c r="Z25" s="149">
        <f t="shared" ref="Z25" si="45">Y25+Z24</f>
        <v>0</v>
      </c>
      <c r="AA25" s="149">
        <f t="shared" ref="AA25" si="46">Z25+AA24</f>
        <v>0</v>
      </c>
      <c r="AB25" s="248">
        <f t="shared" ref="AB25" si="47">AA25+AB24</f>
        <v>0</v>
      </c>
      <c r="AC25" s="149">
        <f>AC24</f>
        <v>0</v>
      </c>
      <c r="AD25" s="149">
        <f>AC25+AD24</f>
        <v>0</v>
      </c>
      <c r="AE25" s="149">
        <f t="shared" ref="AE25" si="48">AD25+AE24</f>
        <v>0</v>
      </c>
      <c r="AF25" s="149">
        <f t="shared" ref="AF25" si="49">AE25+AF24</f>
        <v>0</v>
      </c>
      <c r="AG25" s="248">
        <f t="shared" ref="AG25" si="50">AF25+AG24</f>
        <v>0</v>
      </c>
      <c r="AH25" s="149">
        <f>AH24</f>
        <v>0</v>
      </c>
      <c r="AI25" s="149">
        <f>AH25+AI24</f>
        <v>0</v>
      </c>
      <c r="AJ25" s="149">
        <f t="shared" ref="AJ25" si="51">AI25+AJ24</f>
        <v>0</v>
      </c>
      <c r="AK25" s="149">
        <f t="shared" ref="AK25" si="52">AJ25+AK24</f>
        <v>0</v>
      </c>
      <c r="AL25" s="248">
        <f t="shared" ref="AL25" si="53">AK25+AL24</f>
        <v>0</v>
      </c>
      <c r="AM25" s="244">
        <f>H25+M25+R25+W25+AB25+AG25</f>
        <v>0</v>
      </c>
    </row>
    <row r="26" spans="1:39" x14ac:dyDescent="0.25">
      <c r="B26" s="1154" t="s">
        <v>425</v>
      </c>
      <c r="C26" s="238" t="s">
        <v>222</v>
      </c>
      <c r="D26" s="146" t="e">
        <f t="shared" ref="D26:AL26" si="54">(D12-D22)*0.45</f>
        <v>#DIV/0!</v>
      </c>
      <c r="E26" s="146" t="e">
        <f t="shared" si="54"/>
        <v>#DIV/0!</v>
      </c>
      <c r="F26" s="146" t="e">
        <f t="shared" si="54"/>
        <v>#DIV/0!</v>
      </c>
      <c r="G26" s="146" t="e">
        <f t="shared" si="54"/>
        <v>#DIV/0!</v>
      </c>
      <c r="H26" s="146" t="e">
        <f t="shared" si="54"/>
        <v>#DIV/0!</v>
      </c>
      <c r="I26" s="146" t="e">
        <f t="shared" si="54"/>
        <v>#DIV/0!</v>
      </c>
      <c r="J26" s="146" t="e">
        <f t="shared" si="54"/>
        <v>#DIV/0!</v>
      </c>
      <c r="K26" s="146" t="e">
        <f t="shared" si="54"/>
        <v>#DIV/0!</v>
      </c>
      <c r="L26" s="146" t="e">
        <f t="shared" si="54"/>
        <v>#DIV/0!</v>
      </c>
      <c r="M26" s="146" t="e">
        <f t="shared" si="54"/>
        <v>#DIV/0!</v>
      </c>
      <c r="N26" s="146" t="e">
        <f t="shared" si="54"/>
        <v>#DIV/0!</v>
      </c>
      <c r="O26" s="146" t="e">
        <f t="shared" si="54"/>
        <v>#DIV/0!</v>
      </c>
      <c r="P26" s="146" t="e">
        <f t="shared" si="54"/>
        <v>#DIV/0!</v>
      </c>
      <c r="Q26" s="146" t="e">
        <f t="shared" si="54"/>
        <v>#DIV/0!</v>
      </c>
      <c r="R26" s="146" t="e">
        <f t="shared" si="54"/>
        <v>#DIV/0!</v>
      </c>
      <c r="S26" s="146" t="e">
        <f t="shared" si="54"/>
        <v>#DIV/0!</v>
      </c>
      <c r="T26" s="146" t="e">
        <f t="shared" si="54"/>
        <v>#DIV/0!</v>
      </c>
      <c r="U26" s="146" t="e">
        <f t="shared" si="54"/>
        <v>#DIV/0!</v>
      </c>
      <c r="V26" s="146" t="e">
        <f t="shared" si="54"/>
        <v>#DIV/0!</v>
      </c>
      <c r="W26" s="146" t="e">
        <f t="shared" si="54"/>
        <v>#DIV/0!</v>
      </c>
      <c r="X26" s="146" t="e">
        <f t="shared" si="54"/>
        <v>#DIV/0!</v>
      </c>
      <c r="Y26" s="146" t="e">
        <f t="shared" si="54"/>
        <v>#DIV/0!</v>
      </c>
      <c r="Z26" s="146" t="e">
        <f t="shared" si="54"/>
        <v>#DIV/0!</v>
      </c>
      <c r="AA26" s="146" t="e">
        <f t="shared" si="54"/>
        <v>#DIV/0!</v>
      </c>
      <c r="AB26" s="146" t="e">
        <f t="shared" si="54"/>
        <v>#DIV/0!</v>
      </c>
      <c r="AC26" s="146" t="e">
        <f t="shared" si="54"/>
        <v>#DIV/0!</v>
      </c>
      <c r="AD26" s="146" t="e">
        <f t="shared" si="54"/>
        <v>#DIV/0!</v>
      </c>
      <c r="AE26" s="146" t="e">
        <f t="shared" si="54"/>
        <v>#DIV/0!</v>
      </c>
      <c r="AF26" s="146" t="e">
        <f t="shared" si="54"/>
        <v>#DIV/0!</v>
      </c>
      <c r="AG26" s="146" t="e">
        <f t="shared" si="54"/>
        <v>#DIV/0!</v>
      </c>
      <c r="AH26" s="146" t="e">
        <f t="shared" si="54"/>
        <v>#DIV/0!</v>
      </c>
      <c r="AI26" s="146" t="e">
        <f t="shared" si="54"/>
        <v>#DIV/0!</v>
      </c>
      <c r="AJ26" s="146" t="e">
        <f t="shared" si="54"/>
        <v>#DIV/0!</v>
      </c>
      <c r="AK26" s="146" t="e">
        <f t="shared" si="54"/>
        <v>#DIV/0!</v>
      </c>
      <c r="AL26" s="146" t="e">
        <f t="shared" si="54"/>
        <v>#DIV/0!</v>
      </c>
      <c r="AM26" s="146" t="e">
        <f>SUM(D26:AL26)</f>
        <v>#DIV/0!</v>
      </c>
    </row>
    <row r="27" spans="1:39" x14ac:dyDescent="0.25">
      <c r="B27" s="1154"/>
      <c r="C27" s="238" t="s">
        <v>422</v>
      </c>
      <c r="D27" s="146" t="e">
        <f>D26</f>
        <v>#DIV/0!</v>
      </c>
      <c r="E27" s="146" t="e">
        <f>D27+E26</f>
        <v>#DIV/0!</v>
      </c>
      <c r="F27" s="146" t="e">
        <f t="shared" ref="F27" si="55">E27+F26</f>
        <v>#DIV/0!</v>
      </c>
      <c r="G27" s="146" t="e">
        <f t="shared" ref="G27" si="56">F27+G26</f>
        <v>#DIV/0!</v>
      </c>
      <c r="H27" s="146" t="e">
        <f t="shared" ref="H27" si="57">G27+H26</f>
        <v>#DIV/0!</v>
      </c>
      <c r="I27" s="146" t="e">
        <f>I26</f>
        <v>#DIV/0!</v>
      </c>
      <c r="J27" s="146" t="e">
        <f>I27+J26</f>
        <v>#DIV/0!</v>
      </c>
      <c r="K27" s="146" t="e">
        <f t="shared" ref="K27" si="58">J27+K26</f>
        <v>#DIV/0!</v>
      </c>
      <c r="L27" s="146" t="e">
        <f t="shared" ref="L27" si="59">K27+L26</f>
        <v>#DIV/0!</v>
      </c>
      <c r="M27" s="247" t="e">
        <f t="shared" ref="M27" si="60">L27+M26</f>
        <v>#DIV/0!</v>
      </c>
      <c r="N27" s="146" t="e">
        <f>N26</f>
        <v>#DIV/0!</v>
      </c>
      <c r="O27" s="146" t="e">
        <f>N27+O26</f>
        <v>#DIV/0!</v>
      </c>
      <c r="P27" s="146" t="e">
        <f t="shared" ref="P27" si="61">O27+P26</f>
        <v>#DIV/0!</v>
      </c>
      <c r="Q27" s="146" t="e">
        <f t="shared" ref="Q27" si="62">P27+Q26</f>
        <v>#DIV/0!</v>
      </c>
      <c r="R27" s="247" t="e">
        <f t="shared" ref="R27" si="63">Q27+R26</f>
        <v>#DIV/0!</v>
      </c>
      <c r="S27" s="146" t="e">
        <f>S26</f>
        <v>#DIV/0!</v>
      </c>
      <c r="T27" s="146" t="e">
        <f>S27+T26</f>
        <v>#DIV/0!</v>
      </c>
      <c r="U27" s="146" t="e">
        <f t="shared" ref="U27" si="64">T27+U26</f>
        <v>#DIV/0!</v>
      </c>
      <c r="V27" s="146" t="e">
        <f t="shared" ref="V27" si="65">U27+V26</f>
        <v>#DIV/0!</v>
      </c>
      <c r="W27" s="247" t="e">
        <f t="shared" ref="W27" si="66">V27+W26</f>
        <v>#DIV/0!</v>
      </c>
      <c r="X27" s="146" t="e">
        <f>X26</f>
        <v>#DIV/0!</v>
      </c>
      <c r="Y27" s="146" t="e">
        <f>X27+Y26</f>
        <v>#DIV/0!</v>
      </c>
      <c r="Z27" s="146" t="e">
        <f t="shared" ref="Z27" si="67">Y27+Z26</f>
        <v>#DIV/0!</v>
      </c>
      <c r="AA27" s="146" t="e">
        <f t="shared" ref="AA27" si="68">Z27+AA26</f>
        <v>#DIV/0!</v>
      </c>
      <c r="AB27" s="247" t="e">
        <f t="shared" ref="AB27" si="69">AA27+AB26</f>
        <v>#DIV/0!</v>
      </c>
      <c r="AC27" s="146" t="e">
        <f>AC26</f>
        <v>#DIV/0!</v>
      </c>
      <c r="AD27" s="146" t="e">
        <f>AC27+AD26</f>
        <v>#DIV/0!</v>
      </c>
      <c r="AE27" s="146" t="e">
        <f t="shared" ref="AE27" si="70">AD27+AE26</f>
        <v>#DIV/0!</v>
      </c>
      <c r="AF27" s="146" t="e">
        <f t="shared" ref="AF27" si="71">AE27+AF26</f>
        <v>#DIV/0!</v>
      </c>
      <c r="AG27" s="247" t="e">
        <f t="shared" ref="AG27" si="72">AF27+AG26</f>
        <v>#DIV/0!</v>
      </c>
      <c r="AH27" s="249" t="e">
        <f>AH26</f>
        <v>#DIV/0!</v>
      </c>
      <c r="AI27" s="249" t="e">
        <f>AH27+AI26</f>
        <v>#DIV/0!</v>
      </c>
      <c r="AJ27" s="249" t="e">
        <f t="shared" ref="AJ27" si="73">AI27+AJ26</f>
        <v>#DIV/0!</v>
      </c>
      <c r="AK27" s="249" t="e">
        <f t="shared" ref="AK27" si="74">AJ27+AK26</f>
        <v>#DIV/0!</v>
      </c>
      <c r="AL27" s="247" t="e">
        <f t="shared" ref="AL27" si="75">AK27+AL26</f>
        <v>#DIV/0!</v>
      </c>
      <c r="AM27" s="146" t="e">
        <f>H27+M27+R27+W27+AB27+AG27+AL27</f>
        <v>#DIV/0!</v>
      </c>
    </row>
    <row r="28" spans="1:39" x14ac:dyDescent="0.25">
      <c r="B28" s="1154" t="s">
        <v>423</v>
      </c>
      <c r="C28" s="238" t="s">
        <v>222</v>
      </c>
      <c r="D28" s="146" t="e">
        <f t="shared" ref="D28:AL28" si="76">(D12-D22)*0.15</f>
        <v>#DIV/0!</v>
      </c>
      <c r="E28" s="146" t="e">
        <f t="shared" si="76"/>
        <v>#DIV/0!</v>
      </c>
      <c r="F28" s="146" t="e">
        <f t="shared" si="76"/>
        <v>#DIV/0!</v>
      </c>
      <c r="G28" s="146" t="e">
        <f t="shared" si="76"/>
        <v>#DIV/0!</v>
      </c>
      <c r="H28" s="146" t="e">
        <f t="shared" si="76"/>
        <v>#DIV/0!</v>
      </c>
      <c r="I28" s="146" t="e">
        <f t="shared" si="76"/>
        <v>#DIV/0!</v>
      </c>
      <c r="J28" s="146" t="e">
        <f t="shared" si="76"/>
        <v>#DIV/0!</v>
      </c>
      <c r="K28" s="146" t="e">
        <f t="shared" si="76"/>
        <v>#DIV/0!</v>
      </c>
      <c r="L28" s="146" t="e">
        <f t="shared" si="76"/>
        <v>#DIV/0!</v>
      </c>
      <c r="M28" s="146" t="e">
        <f t="shared" si="76"/>
        <v>#DIV/0!</v>
      </c>
      <c r="N28" s="146" t="e">
        <f t="shared" si="76"/>
        <v>#DIV/0!</v>
      </c>
      <c r="O28" s="146" t="e">
        <f t="shared" si="76"/>
        <v>#DIV/0!</v>
      </c>
      <c r="P28" s="146" t="e">
        <f t="shared" si="76"/>
        <v>#DIV/0!</v>
      </c>
      <c r="Q28" s="146" t="e">
        <f t="shared" si="76"/>
        <v>#DIV/0!</v>
      </c>
      <c r="R28" s="146" t="e">
        <f t="shared" si="76"/>
        <v>#DIV/0!</v>
      </c>
      <c r="S28" s="146" t="e">
        <f t="shared" si="76"/>
        <v>#DIV/0!</v>
      </c>
      <c r="T28" s="146" t="e">
        <f t="shared" si="76"/>
        <v>#DIV/0!</v>
      </c>
      <c r="U28" s="146" t="e">
        <f t="shared" si="76"/>
        <v>#DIV/0!</v>
      </c>
      <c r="V28" s="146" t="e">
        <f t="shared" si="76"/>
        <v>#DIV/0!</v>
      </c>
      <c r="W28" s="146" t="e">
        <f t="shared" si="76"/>
        <v>#DIV/0!</v>
      </c>
      <c r="X28" s="146" t="e">
        <f t="shared" si="76"/>
        <v>#DIV/0!</v>
      </c>
      <c r="Y28" s="146" t="e">
        <f t="shared" si="76"/>
        <v>#DIV/0!</v>
      </c>
      <c r="Z28" s="146" t="e">
        <f t="shared" si="76"/>
        <v>#DIV/0!</v>
      </c>
      <c r="AA28" s="146" t="e">
        <f t="shared" si="76"/>
        <v>#DIV/0!</v>
      </c>
      <c r="AB28" s="146" t="e">
        <f t="shared" si="76"/>
        <v>#DIV/0!</v>
      </c>
      <c r="AC28" s="146" t="e">
        <f t="shared" si="76"/>
        <v>#DIV/0!</v>
      </c>
      <c r="AD28" s="146" t="e">
        <f t="shared" si="76"/>
        <v>#DIV/0!</v>
      </c>
      <c r="AE28" s="146" t="e">
        <f t="shared" si="76"/>
        <v>#DIV/0!</v>
      </c>
      <c r="AF28" s="146" t="e">
        <f t="shared" si="76"/>
        <v>#DIV/0!</v>
      </c>
      <c r="AG28" s="146" t="e">
        <f t="shared" si="76"/>
        <v>#DIV/0!</v>
      </c>
      <c r="AH28" s="146" t="e">
        <f t="shared" si="76"/>
        <v>#DIV/0!</v>
      </c>
      <c r="AI28" s="146" t="e">
        <f t="shared" si="76"/>
        <v>#DIV/0!</v>
      </c>
      <c r="AJ28" s="146" t="e">
        <f t="shared" si="76"/>
        <v>#DIV/0!</v>
      </c>
      <c r="AK28" s="146" t="e">
        <f t="shared" si="76"/>
        <v>#DIV/0!</v>
      </c>
      <c r="AL28" s="146" t="e">
        <f t="shared" si="76"/>
        <v>#DIV/0!</v>
      </c>
      <c r="AM28" s="146" t="e">
        <f>SUM(D28:AL28)</f>
        <v>#DIV/0!</v>
      </c>
    </row>
    <row r="29" spans="1:39" x14ac:dyDescent="0.25">
      <c r="B29" s="1154"/>
      <c r="C29" s="238" t="s">
        <v>422</v>
      </c>
      <c r="D29" s="146" t="e">
        <f>D28</f>
        <v>#DIV/0!</v>
      </c>
      <c r="E29" s="146" t="e">
        <f>D29+E28</f>
        <v>#DIV/0!</v>
      </c>
      <c r="F29" s="146" t="e">
        <f t="shared" ref="F29" si="77">E29+F28</f>
        <v>#DIV/0!</v>
      </c>
      <c r="G29" s="146" t="e">
        <f t="shared" ref="G29" si="78">F29+G28</f>
        <v>#DIV/0!</v>
      </c>
      <c r="H29" s="146" t="e">
        <f t="shared" ref="H29" si="79">G29+H28</f>
        <v>#DIV/0!</v>
      </c>
      <c r="I29" s="146" t="e">
        <f>I28</f>
        <v>#DIV/0!</v>
      </c>
      <c r="J29" s="146" t="e">
        <f>I29+J28</f>
        <v>#DIV/0!</v>
      </c>
      <c r="K29" s="146" t="e">
        <f t="shared" ref="K29" si="80">J29+K28</f>
        <v>#DIV/0!</v>
      </c>
      <c r="L29" s="146" t="e">
        <f t="shared" ref="L29" si="81">K29+L28</f>
        <v>#DIV/0!</v>
      </c>
      <c r="M29" s="247" t="e">
        <f t="shared" ref="M29" si="82">L29+M28</f>
        <v>#DIV/0!</v>
      </c>
      <c r="N29" s="146" t="e">
        <f>N28</f>
        <v>#DIV/0!</v>
      </c>
      <c r="O29" s="146" t="e">
        <f>N29+O28</f>
        <v>#DIV/0!</v>
      </c>
      <c r="P29" s="146" t="e">
        <f t="shared" ref="P29" si="83">O29+P28</f>
        <v>#DIV/0!</v>
      </c>
      <c r="Q29" s="146" t="e">
        <f t="shared" ref="Q29" si="84">P29+Q28</f>
        <v>#DIV/0!</v>
      </c>
      <c r="R29" s="247" t="e">
        <f t="shared" ref="R29" si="85">Q29+R28</f>
        <v>#DIV/0!</v>
      </c>
      <c r="S29" s="146" t="e">
        <f>S28</f>
        <v>#DIV/0!</v>
      </c>
      <c r="T29" s="146" t="e">
        <f>S29+T28</f>
        <v>#DIV/0!</v>
      </c>
      <c r="U29" s="146" t="e">
        <f t="shared" ref="U29" si="86">T29+U28</f>
        <v>#DIV/0!</v>
      </c>
      <c r="V29" s="146" t="e">
        <f t="shared" ref="V29" si="87">U29+V28</f>
        <v>#DIV/0!</v>
      </c>
      <c r="W29" s="247" t="e">
        <f t="shared" ref="W29" si="88">V29+W28</f>
        <v>#DIV/0!</v>
      </c>
      <c r="X29" s="146" t="e">
        <f>X28</f>
        <v>#DIV/0!</v>
      </c>
      <c r="Y29" s="146" t="e">
        <f>X29+Y28</f>
        <v>#DIV/0!</v>
      </c>
      <c r="Z29" s="146" t="e">
        <f t="shared" ref="Z29" si="89">Y29+Z28</f>
        <v>#DIV/0!</v>
      </c>
      <c r="AA29" s="146" t="e">
        <f t="shared" ref="AA29" si="90">Z29+AA28</f>
        <v>#DIV/0!</v>
      </c>
      <c r="AB29" s="247" t="e">
        <f t="shared" ref="AB29" si="91">AA29+AB28</f>
        <v>#DIV/0!</v>
      </c>
      <c r="AC29" s="146" t="e">
        <f>AC28</f>
        <v>#DIV/0!</v>
      </c>
      <c r="AD29" s="146" t="e">
        <f>AC29+AD28</f>
        <v>#DIV/0!</v>
      </c>
      <c r="AE29" s="146" t="e">
        <f t="shared" ref="AE29" si="92">AD29+AE28</f>
        <v>#DIV/0!</v>
      </c>
      <c r="AF29" s="146" t="e">
        <f t="shared" ref="AF29" si="93">AE29+AF28</f>
        <v>#DIV/0!</v>
      </c>
      <c r="AG29" s="247" t="e">
        <f t="shared" ref="AG29" si="94">AF29+AG28</f>
        <v>#DIV/0!</v>
      </c>
      <c r="AH29" s="146" t="e">
        <f>AH28</f>
        <v>#DIV/0!</v>
      </c>
      <c r="AI29" s="146" t="e">
        <f>AH29+AI28</f>
        <v>#DIV/0!</v>
      </c>
      <c r="AJ29" s="146" t="e">
        <f t="shared" ref="AJ29" si="95">AI29+AJ28</f>
        <v>#DIV/0!</v>
      </c>
      <c r="AK29" s="146" t="e">
        <f t="shared" ref="AK29" si="96">AJ29+AK28</f>
        <v>#DIV/0!</v>
      </c>
      <c r="AL29" s="247" t="e">
        <f t="shared" ref="AL29" si="97">AK29+AL28</f>
        <v>#DIV/0!</v>
      </c>
      <c r="AM29" s="146" t="e">
        <f>H29+M29+R29+W29+AB29+AG29+AL29</f>
        <v>#DIV/0!</v>
      </c>
    </row>
    <row r="30" spans="1:39" x14ac:dyDescent="0.25">
      <c r="B30" s="1154" t="s">
        <v>424</v>
      </c>
      <c r="C30" s="238" t="s">
        <v>222</v>
      </c>
      <c r="D30" s="146" t="e">
        <f t="shared" ref="D30:AL30" si="98">(D12-D22)*0.25</f>
        <v>#DIV/0!</v>
      </c>
      <c r="E30" s="146" t="e">
        <f t="shared" si="98"/>
        <v>#DIV/0!</v>
      </c>
      <c r="F30" s="146" t="e">
        <f t="shared" si="98"/>
        <v>#DIV/0!</v>
      </c>
      <c r="G30" s="146" t="e">
        <f t="shared" si="98"/>
        <v>#DIV/0!</v>
      </c>
      <c r="H30" s="146" t="e">
        <f t="shared" si="98"/>
        <v>#DIV/0!</v>
      </c>
      <c r="I30" s="146" t="e">
        <f t="shared" si="98"/>
        <v>#DIV/0!</v>
      </c>
      <c r="J30" s="146" t="e">
        <f t="shared" si="98"/>
        <v>#DIV/0!</v>
      </c>
      <c r="K30" s="146" t="e">
        <f t="shared" si="98"/>
        <v>#DIV/0!</v>
      </c>
      <c r="L30" s="146" t="e">
        <f t="shared" si="98"/>
        <v>#DIV/0!</v>
      </c>
      <c r="M30" s="146" t="e">
        <f t="shared" si="98"/>
        <v>#DIV/0!</v>
      </c>
      <c r="N30" s="146" t="e">
        <f t="shared" si="98"/>
        <v>#DIV/0!</v>
      </c>
      <c r="O30" s="146" t="e">
        <f t="shared" si="98"/>
        <v>#DIV/0!</v>
      </c>
      <c r="P30" s="146" t="e">
        <f t="shared" si="98"/>
        <v>#DIV/0!</v>
      </c>
      <c r="Q30" s="146" t="e">
        <f t="shared" si="98"/>
        <v>#DIV/0!</v>
      </c>
      <c r="R30" s="146" t="e">
        <f t="shared" si="98"/>
        <v>#DIV/0!</v>
      </c>
      <c r="S30" s="146" t="e">
        <f t="shared" si="98"/>
        <v>#DIV/0!</v>
      </c>
      <c r="T30" s="146" t="e">
        <f t="shared" si="98"/>
        <v>#DIV/0!</v>
      </c>
      <c r="U30" s="146" t="e">
        <f t="shared" si="98"/>
        <v>#DIV/0!</v>
      </c>
      <c r="V30" s="146" t="e">
        <f t="shared" si="98"/>
        <v>#DIV/0!</v>
      </c>
      <c r="W30" s="146" t="e">
        <f t="shared" si="98"/>
        <v>#DIV/0!</v>
      </c>
      <c r="X30" s="146" t="e">
        <f t="shared" si="98"/>
        <v>#DIV/0!</v>
      </c>
      <c r="Y30" s="146" t="e">
        <f t="shared" si="98"/>
        <v>#DIV/0!</v>
      </c>
      <c r="Z30" s="146" t="e">
        <f t="shared" si="98"/>
        <v>#DIV/0!</v>
      </c>
      <c r="AA30" s="146" t="e">
        <f t="shared" si="98"/>
        <v>#DIV/0!</v>
      </c>
      <c r="AB30" s="146" t="e">
        <f t="shared" si="98"/>
        <v>#DIV/0!</v>
      </c>
      <c r="AC30" s="146" t="e">
        <f t="shared" si="98"/>
        <v>#DIV/0!</v>
      </c>
      <c r="AD30" s="146" t="e">
        <f t="shared" si="98"/>
        <v>#DIV/0!</v>
      </c>
      <c r="AE30" s="146" t="e">
        <f t="shared" si="98"/>
        <v>#DIV/0!</v>
      </c>
      <c r="AF30" s="146" t="e">
        <f t="shared" si="98"/>
        <v>#DIV/0!</v>
      </c>
      <c r="AG30" s="146" t="e">
        <f t="shared" si="98"/>
        <v>#DIV/0!</v>
      </c>
      <c r="AH30" s="146" t="e">
        <f t="shared" si="98"/>
        <v>#DIV/0!</v>
      </c>
      <c r="AI30" s="146" t="e">
        <f t="shared" si="98"/>
        <v>#DIV/0!</v>
      </c>
      <c r="AJ30" s="146" t="e">
        <f t="shared" si="98"/>
        <v>#DIV/0!</v>
      </c>
      <c r="AK30" s="146" t="e">
        <f t="shared" si="98"/>
        <v>#DIV/0!</v>
      </c>
      <c r="AL30" s="146" t="e">
        <f t="shared" si="98"/>
        <v>#DIV/0!</v>
      </c>
      <c r="AM30" s="146" t="e">
        <f>SUM(D30:AL30)</f>
        <v>#DIV/0!</v>
      </c>
    </row>
    <row r="31" spans="1:39" x14ac:dyDescent="0.25">
      <c r="B31" s="1154"/>
      <c r="C31" s="238" t="s">
        <v>422</v>
      </c>
      <c r="D31" s="146" t="e">
        <f>D30</f>
        <v>#DIV/0!</v>
      </c>
      <c r="E31" s="146" t="e">
        <f>D31+E30</f>
        <v>#DIV/0!</v>
      </c>
      <c r="F31" s="146" t="e">
        <f t="shared" ref="F31" si="99">E31+F30</f>
        <v>#DIV/0!</v>
      </c>
      <c r="G31" s="146" t="e">
        <f t="shared" ref="G31" si="100">F31+G30</f>
        <v>#DIV/0!</v>
      </c>
      <c r="H31" s="146" t="e">
        <f t="shared" ref="H31" si="101">G31+H30</f>
        <v>#DIV/0!</v>
      </c>
      <c r="I31" s="146" t="e">
        <f>I30</f>
        <v>#DIV/0!</v>
      </c>
      <c r="J31" s="146" t="e">
        <f>I31+J30</f>
        <v>#DIV/0!</v>
      </c>
      <c r="K31" s="146" t="e">
        <f t="shared" ref="K31" si="102">J31+K30</f>
        <v>#DIV/0!</v>
      </c>
      <c r="L31" s="146" t="e">
        <f t="shared" ref="L31" si="103">K31+L30</f>
        <v>#DIV/0!</v>
      </c>
      <c r="M31" s="247" t="e">
        <f t="shared" ref="M31" si="104">L31+M30</f>
        <v>#DIV/0!</v>
      </c>
      <c r="N31" s="146" t="e">
        <f>N30</f>
        <v>#DIV/0!</v>
      </c>
      <c r="O31" s="146" t="e">
        <f>N31+O30</f>
        <v>#DIV/0!</v>
      </c>
      <c r="P31" s="146" t="e">
        <f t="shared" ref="P31" si="105">O31+P30</f>
        <v>#DIV/0!</v>
      </c>
      <c r="Q31" s="146" t="e">
        <f t="shared" ref="Q31" si="106">P31+Q30</f>
        <v>#DIV/0!</v>
      </c>
      <c r="R31" s="247" t="e">
        <f t="shared" ref="R31" si="107">Q31+R30</f>
        <v>#DIV/0!</v>
      </c>
      <c r="S31" s="146" t="e">
        <f>S30</f>
        <v>#DIV/0!</v>
      </c>
      <c r="T31" s="146" t="e">
        <f>S31+T30</f>
        <v>#DIV/0!</v>
      </c>
      <c r="U31" s="146" t="e">
        <f t="shared" ref="U31" si="108">T31+U30</f>
        <v>#DIV/0!</v>
      </c>
      <c r="V31" s="146" t="e">
        <f t="shared" ref="V31" si="109">U31+V30</f>
        <v>#DIV/0!</v>
      </c>
      <c r="W31" s="247" t="e">
        <f t="shared" ref="W31" si="110">V31+W30</f>
        <v>#DIV/0!</v>
      </c>
      <c r="X31" s="146" t="e">
        <f>X30</f>
        <v>#DIV/0!</v>
      </c>
      <c r="Y31" s="146" t="e">
        <f>X31+Y30</f>
        <v>#DIV/0!</v>
      </c>
      <c r="Z31" s="146" t="e">
        <f t="shared" ref="Z31" si="111">Y31+Z30</f>
        <v>#DIV/0!</v>
      </c>
      <c r="AA31" s="146" t="e">
        <f t="shared" ref="AA31" si="112">Z31+AA30</f>
        <v>#DIV/0!</v>
      </c>
      <c r="AB31" s="247" t="e">
        <f t="shared" ref="AB31" si="113">AA31+AB30</f>
        <v>#DIV/0!</v>
      </c>
      <c r="AC31" s="146" t="e">
        <f>AC30</f>
        <v>#DIV/0!</v>
      </c>
      <c r="AD31" s="146" t="e">
        <f>AC31+AD30</f>
        <v>#DIV/0!</v>
      </c>
      <c r="AE31" s="146" t="e">
        <f t="shared" ref="AE31" si="114">AD31+AE30</f>
        <v>#DIV/0!</v>
      </c>
      <c r="AF31" s="146" t="e">
        <f t="shared" ref="AF31" si="115">AE31+AF30</f>
        <v>#DIV/0!</v>
      </c>
      <c r="AG31" s="247" t="e">
        <f t="shared" ref="AG31" si="116">AF31+AG30</f>
        <v>#DIV/0!</v>
      </c>
      <c r="AH31" s="146" t="e">
        <f>AH30</f>
        <v>#DIV/0!</v>
      </c>
      <c r="AI31" s="146" t="e">
        <f>AH31+AI30</f>
        <v>#DIV/0!</v>
      </c>
      <c r="AJ31" s="146" t="e">
        <f t="shared" ref="AJ31" si="117">AI31+AJ30</f>
        <v>#DIV/0!</v>
      </c>
      <c r="AK31" s="146" t="e">
        <f t="shared" ref="AK31" si="118">AJ31+AK30</f>
        <v>#DIV/0!</v>
      </c>
      <c r="AL31" s="247" t="e">
        <f t="shared" ref="AL31" si="119">AK31+AL30</f>
        <v>#DIV/0!</v>
      </c>
      <c r="AM31" s="146" t="e">
        <f>H31+M31+R31+W31+AB31+AG31+AL31</f>
        <v>#DIV/0!</v>
      </c>
    </row>
    <row r="32" spans="1:39" x14ac:dyDescent="0.25">
      <c r="B32" s="1154" t="s">
        <v>426</v>
      </c>
      <c r="C32" s="238" t="s">
        <v>222</v>
      </c>
      <c r="D32" s="146" t="e">
        <f t="shared" ref="D32:AL32" si="120">D12-D22-D26-D28-D30</f>
        <v>#DIV/0!</v>
      </c>
      <c r="E32" s="146" t="e">
        <f t="shared" si="120"/>
        <v>#DIV/0!</v>
      </c>
      <c r="F32" s="146" t="e">
        <f t="shared" si="120"/>
        <v>#DIV/0!</v>
      </c>
      <c r="G32" s="146" t="e">
        <f t="shared" si="120"/>
        <v>#DIV/0!</v>
      </c>
      <c r="H32" s="146" t="e">
        <f t="shared" si="120"/>
        <v>#DIV/0!</v>
      </c>
      <c r="I32" s="146" t="e">
        <f t="shared" si="120"/>
        <v>#DIV/0!</v>
      </c>
      <c r="J32" s="146" t="e">
        <f t="shared" si="120"/>
        <v>#DIV/0!</v>
      </c>
      <c r="K32" s="146" t="e">
        <f t="shared" si="120"/>
        <v>#DIV/0!</v>
      </c>
      <c r="L32" s="146" t="e">
        <f t="shared" si="120"/>
        <v>#DIV/0!</v>
      </c>
      <c r="M32" s="146" t="e">
        <f t="shared" si="120"/>
        <v>#DIV/0!</v>
      </c>
      <c r="N32" s="146" t="e">
        <f t="shared" si="120"/>
        <v>#DIV/0!</v>
      </c>
      <c r="O32" s="146" t="e">
        <f t="shared" si="120"/>
        <v>#DIV/0!</v>
      </c>
      <c r="P32" s="146" t="e">
        <f t="shared" si="120"/>
        <v>#DIV/0!</v>
      </c>
      <c r="Q32" s="146" t="e">
        <f t="shared" si="120"/>
        <v>#DIV/0!</v>
      </c>
      <c r="R32" s="146" t="e">
        <f t="shared" si="120"/>
        <v>#DIV/0!</v>
      </c>
      <c r="S32" s="146" t="e">
        <f t="shared" si="120"/>
        <v>#DIV/0!</v>
      </c>
      <c r="T32" s="146" t="e">
        <f t="shared" si="120"/>
        <v>#DIV/0!</v>
      </c>
      <c r="U32" s="146" t="e">
        <f t="shared" si="120"/>
        <v>#DIV/0!</v>
      </c>
      <c r="V32" s="146" t="e">
        <f t="shared" si="120"/>
        <v>#DIV/0!</v>
      </c>
      <c r="W32" s="146" t="e">
        <f t="shared" si="120"/>
        <v>#DIV/0!</v>
      </c>
      <c r="X32" s="146" t="e">
        <f t="shared" si="120"/>
        <v>#DIV/0!</v>
      </c>
      <c r="Y32" s="146" t="e">
        <f t="shared" si="120"/>
        <v>#DIV/0!</v>
      </c>
      <c r="Z32" s="146" t="e">
        <f t="shared" si="120"/>
        <v>#DIV/0!</v>
      </c>
      <c r="AA32" s="146" t="e">
        <f t="shared" si="120"/>
        <v>#DIV/0!</v>
      </c>
      <c r="AB32" s="146" t="e">
        <f t="shared" si="120"/>
        <v>#DIV/0!</v>
      </c>
      <c r="AC32" s="146" t="e">
        <f t="shared" si="120"/>
        <v>#DIV/0!</v>
      </c>
      <c r="AD32" s="146" t="e">
        <f t="shared" si="120"/>
        <v>#DIV/0!</v>
      </c>
      <c r="AE32" s="146" t="e">
        <f t="shared" si="120"/>
        <v>#DIV/0!</v>
      </c>
      <c r="AF32" s="146" t="e">
        <f t="shared" si="120"/>
        <v>#DIV/0!</v>
      </c>
      <c r="AG32" s="146" t="e">
        <f t="shared" si="120"/>
        <v>#DIV/0!</v>
      </c>
      <c r="AH32" s="146" t="e">
        <f t="shared" si="120"/>
        <v>#DIV/0!</v>
      </c>
      <c r="AI32" s="146" t="e">
        <f t="shared" si="120"/>
        <v>#DIV/0!</v>
      </c>
      <c r="AJ32" s="146" t="e">
        <f t="shared" si="120"/>
        <v>#DIV/0!</v>
      </c>
      <c r="AK32" s="146" t="e">
        <f t="shared" si="120"/>
        <v>#DIV/0!</v>
      </c>
      <c r="AL32" s="146" t="e">
        <f t="shared" si="120"/>
        <v>#DIV/0!</v>
      </c>
      <c r="AM32" s="146" t="e">
        <f>SUM(D32:AL32)</f>
        <v>#DIV/0!</v>
      </c>
    </row>
    <row r="33" spans="2:39" x14ac:dyDescent="0.25">
      <c r="B33" s="1154"/>
      <c r="C33" s="238" t="s">
        <v>422</v>
      </c>
      <c r="D33" s="146" t="e">
        <f>D32</f>
        <v>#DIV/0!</v>
      </c>
      <c r="E33" s="146" t="e">
        <f>D33+E32</f>
        <v>#DIV/0!</v>
      </c>
      <c r="F33" s="146" t="e">
        <f t="shared" ref="F33" si="121">E33+F32</f>
        <v>#DIV/0!</v>
      </c>
      <c r="G33" s="146" t="e">
        <f t="shared" ref="G33" si="122">F33+G32</f>
        <v>#DIV/0!</v>
      </c>
      <c r="H33" s="146" t="e">
        <f t="shared" ref="H33" si="123">G33+H32</f>
        <v>#DIV/0!</v>
      </c>
      <c r="I33" s="146" t="e">
        <f>I32</f>
        <v>#DIV/0!</v>
      </c>
      <c r="J33" s="146" t="e">
        <f>I33+J32</f>
        <v>#DIV/0!</v>
      </c>
      <c r="K33" s="146" t="e">
        <f t="shared" ref="K33" si="124">J33+K32</f>
        <v>#DIV/0!</v>
      </c>
      <c r="L33" s="146" t="e">
        <f t="shared" ref="L33" si="125">K33+L32</f>
        <v>#DIV/0!</v>
      </c>
      <c r="M33" s="247" t="e">
        <f t="shared" ref="M33" si="126">L33+M32</f>
        <v>#DIV/0!</v>
      </c>
      <c r="N33" s="146" t="e">
        <f>N32</f>
        <v>#DIV/0!</v>
      </c>
      <c r="O33" s="146" t="e">
        <f>N33+O32</f>
        <v>#DIV/0!</v>
      </c>
      <c r="P33" s="146" t="e">
        <f t="shared" ref="P33" si="127">O33+P32</f>
        <v>#DIV/0!</v>
      </c>
      <c r="Q33" s="146" t="e">
        <f t="shared" ref="Q33" si="128">P33+Q32</f>
        <v>#DIV/0!</v>
      </c>
      <c r="R33" s="247" t="e">
        <f t="shared" ref="R33" si="129">Q33+R32</f>
        <v>#DIV/0!</v>
      </c>
      <c r="S33" s="146" t="e">
        <f>S32</f>
        <v>#DIV/0!</v>
      </c>
      <c r="T33" s="146" t="e">
        <f>S33+T32</f>
        <v>#DIV/0!</v>
      </c>
      <c r="U33" s="146" t="e">
        <f t="shared" ref="U33" si="130">T33+U32</f>
        <v>#DIV/0!</v>
      </c>
      <c r="V33" s="146" t="e">
        <f t="shared" ref="V33" si="131">U33+V32</f>
        <v>#DIV/0!</v>
      </c>
      <c r="W33" s="247" t="e">
        <f t="shared" ref="W33" si="132">V33+W32</f>
        <v>#DIV/0!</v>
      </c>
      <c r="X33" s="146" t="e">
        <f>X32</f>
        <v>#DIV/0!</v>
      </c>
      <c r="Y33" s="146" t="e">
        <f>X33+Y32</f>
        <v>#DIV/0!</v>
      </c>
      <c r="Z33" s="146" t="e">
        <f t="shared" ref="Z33" si="133">Y33+Z32</f>
        <v>#DIV/0!</v>
      </c>
      <c r="AA33" s="146" t="e">
        <f t="shared" ref="AA33" si="134">Z33+AA32</f>
        <v>#DIV/0!</v>
      </c>
      <c r="AB33" s="247" t="e">
        <f t="shared" ref="AB33" si="135">AA33+AB32</f>
        <v>#DIV/0!</v>
      </c>
      <c r="AC33" s="146" t="e">
        <f>AC32</f>
        <v>#DIV/0!</v>
      </c>
      <c r="AD33" s="146" t="e">
        <f>AC33+AD32</f>
        <v>#DIV/0!</v>
      </c>
      <c r="AE33" s="146" t="e">
        <f t="shared" ref="AE33" si="136">AD33+AE32</f>
        <v>#DIV/0!</v>
      </c>
      <c r="AF33" s="146" t="e">
        <f t="shared" ref="AF33" si="137">AE33+AF32</f>
        <v>#DIV/0!</v>
      </c>
      <c r="AG33" s="247" t="e">
        <f t="shared" ref="AG33" si="138">AF33+AG32</f>
        <v>#DIV/0!</v>
      </c>
      <c r="AH33" s="146" t="e">
        <f>AH32</f>
        <v>#DIV/0!</v>
      </c>
      <c r="AI33" s="146" t="e">
        <f>AH33+AI32</f>
        <v>#DIV/0!</v>
      </c>
      <c r="AJ33" s="146" t="e">
        <f t="shared" ref="AJ33" si="139">AI33+AJ32</f>
        <v>#DIV/0!</v>
      </c>
      <c r="AK33" s="146" t="e">
        <f t="shared" ref="AK33" si="140">AJ33+AK32</f>
        <v>#DIV/0!</v>
      </c>
      <c r="AL33" s="247" t="e">
        <f t="shared" ref="AL33" si="141">AK33+AL32</f>
        <v>#DIV/0!</v>
      </c>
      <c r="AM33" s="146" t="e">
        <f>H33+M33+R33+W33+AB33+AG33+AL33</f>
        <v>#DIV/0!</v>
      </c>
    </row>
  </sheetData>
  <mergeCells count="8">
    <mergeCell ref="B4:B5"/>
    <mergeCell ref="C4:C5"/>
    <mergeCell ref="AM4:AM9"/>
    <mergeCell ref="B22:B25"/>
    <mergeCell ref="B32:B33"/>
    <mergeCell ref="B30:B31"/>
    <mergeCell ref="B28:B29"/>
    <mergeCell ref="B26:B27"/>
  </mergeCells>
  <pageMargins left="0.511811024" right="0.511811024" top="0.78740157499999996" bottom="0.78740157499999996" header="0.31496062000000002" footer="0.31496062000000002"/>
  <pageSetup paperSize="8" scale="70" fitToWidth="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AO42"/>
  <sheetViews>
    <sheetView showGridLines="0" topLeftCell="A22" workbookViewId="0">
      <selection activeCell="E41" sqref="E41"/>
    </sheetView>
  </sheetViews>
  <sheetFormatPr defaultRowHeight="15" x14ac:dyDescent="0.25"/>
  <cols>
    <col min="1" max="1" width="14.85546875" bestFit="1" customWidth="1"/>
    <col min="3" max="3" width="21.5703125" customWidth="1"/>
    <col min="4" max="4" width="12.140625" customWidth="1"/>
    <col min="5" max="34" width="15.7109375" customWidth="1"/>
    <col min="35" max="35" width="14.7109375" customWidth="1"/>
    <col min="36" max="39" width="14.42578125" bestFit="1" customWidth="1"/>
    <col min="40" max="40" width="16.7109375" bestFit="1" customWidth="1"/>
    <col min="41" max="41" width="15.42578125" bestFit="1" customWidth="1"/>
  </cols>
  <sheetData>
    <row r="1" spans="1:39" x14ac:dyDescent="0.25">
      <c r="A1" s="309" t="s">
        <v>520</v>
      </c>
      <c r="B1" s="1155" t="s">
        <v>368</v>
      </c>
      <c r="C1" s="1156"/>
      <c r="D1" s="1156"/>
      <c r="E1" s="1156"/>
      <c r="F1" s="1157"/>
      <c r="G1" s="136" t="s">
        <v>491</v>
      </c>
      <c r="H1" s="136" t="s">
        <v>312</v>
      </c>
      <c r="I1" s="136" t="s">
        <v>313</v>
      </c>
      <c r="J1" s="136" t="s">
        <v>314</v>
      </c>
      <c r="K1" s="136" t="s">
        <v>489</v>
      </c>
      <c r="L1" s="136" t="s">
        <v>484</v>
      </c>
      <c r="M1" s="136" t="s">
        <v>485</v>
      </c>
      <c r="N1" s="136" t="s">
        <v>315</v>
      </c>
      <c r="O1" s="136" t="s">
        <v>514</v>
      </c>
      <c r="P1" s="348"/>
      <c r="Q1" s="20"/>
      <c r="R1" s="18"/>
      <c r="S1" s="18"/>
      <c r="T1" s="18"/>
      <c r="U1" s="18"/>
      <c r="V1" s="18"/>
      <c r="W1" s="18"/>
      <c r="X1" s="18"/>
      <c r="Y1" s="18"/>
      <c r="Z1" s="18"/>
      <c r="AA1" s="18"/>
      <c r="AB1" s="18"/>
      <c r="AC1" s="18"/>
      <c r="AD1" s="18"/>
      <c r="AE1" s="18"/>
      <c r="AF1" s="18"/>
      <c r="AG1" s="18"/>
      <c r="AH1" s="18"/>
    </row>
    <row r="2" spans="1:39" x14ac:dyDescent="0.25">
      <c r="A2" s="145" t="s">
        <v>526</v>
      </c>
      <c r="B2" s="579" t="s">
        <v>319</v>
      </c>
      <c r="C2" s="580"/>
      <c r="D2" s="580"/>
      <c r="E2" s="580"/>
      <c r="F2" s="581"/>
      <c r="G2" s="346"/>
      <c r="H2" s="4"/>
      <c r="I2" s="4"/>
      <c r="J2" s="4"/>
      <c r="K2" s="347"/>
      <c r="L2" s="347"/>
      <c r="M2" s="347"/>
      <c r="N2" s="250">
        <f>G2*(1+K2+L2+M2)</f>
        <v>0</v>
      </c>
      <c r="O2" s="20" t="s">
        <v>490</v>
      </c>
      <c r="P2" s="250">
        <f>N2*(1-P1)</f>
        <v>0</v>
      </c>
      <c r="Q2" s="20" t="s">
        <v>490</v>
      </c>
      <c r="R2" s="18"/>
      <c r="S2" s="18"/>
      <c r="T2" s="18"/>
      <c r="U2" s="18"/>
      <c r="V2" s="18"/>
      <c r="W2" s="18"/>
      <c r="X2" s="18"/>
      <c r="Y2" s="18"/>
      <c r="Z2" s="18"/>
      <c r="AA2" s="18"/>
      <c r="AB2" s="18"/>
      <c r="AC2" s="18"/>
      <c r="AD2" s="18"/>
      <c r="AE2" s="18"/>
      <c r="AF2" s="18"/>
      <c r="AG2" s="18"/>
      <c r="AH2" s="18"/>
    </row>
    <row r="3" spans="1:39" x14ac:dyDescent="0.25">
      <c r="A3" s="213" t="s">
        <v>522</v>
      </c>
      <c r="B3" s="582" t="s">
        <v>318</v>
      </c>
      <c r="C3" s="583"/>
      <c r="D3" s="583"/>
      <c r="E3" s="583"/>
      <c r="F3" s="584"/>
      <c r="G3" s="20"/>
      <c r="H3" s="346"/>
      <c r="I3" s="346"/>
      <c r="J3" s="346"/>
      <c r="K3" s="347"/>
      <c r="L3" s="347"/>
      <c r="M3" s="347"/>
      <c r="N3" s="250">
        <f>(H3*4+I3*8+J3*12)/24*(1+K2+L2+M2)</f>
        <v>0</v>
      </c>
      <c r="O3" s="20" t="s">
        <v>490</v>
      </c>
      <c r="P3" s="250">
        <f>N3*(1-P1)</f>
        <v>0</v>
      </c>
      <c r="Q3" s="20" t="s">
        <v>490</v>
      </c>
      <c r="R3" s="18"/>
      <c r="S3" s="18"/>
      <c r="T3" s="18"/>
      <c r="U3" s="18"/>
      <c r="V3" s="18"/>
      <c r="W3" s="18"/>
      <c r="X3" s="18"/>
      <c r="Y3" s="18"/>
      <c r="Z3" s="18"/>
      <c r="AA3" s="18"/>
      <c r="AB3" s="18"/>
      <c r="AC3" s="18"/>
      <c r="AD3" s="18"/>
      <c r="AE3" s="18"/>
      <c r="AF3" s="18"/>
      <c r="AG3" s="18"/>
      <c r="AH3" s="18"/>
    </row>
    <row r="4" spans="1:39" x14ac:dyDescent="0.25">
      <c r="A4" s="18"/>
      <c r="B4" s="18" t="s">
        <v>875</v>
      </c>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row>
    <row r="5" spans="1:39" x14ac:dyDescent="0.25">
      <c r="A5" s="18"/>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row>
    <row r="6" spans="1:39" x14ac:dyDescent="0.25">
      <c r="A6" s="18"/>
      <c r="B6" s="1160" t="s">
        <v>215</v>
      </c>
      <c r="C6" s="1160"/>
      <c r="D6" s="1160" t="s">
        <v>216</v>
      </c>
      <c r="E6" s="136">
        <f>Cronograma!C3</f>
        <v>1</v>
      </c>
      <c r="F6" s="136">
        <f>Cronograma!D3</f>
        <v>2</v>
      </c>
      <c r="G6" s="136">
        <f>Cronograma!E3</f>
        <v>3</v>
      </c>
      <c r="H6" s="136">
        <f>Cronograma!F3</f>
        <v>4</v>
      </c>
      <c r="I6" s="136">
        <f>Cronograma!G3</f>
        <v>5</v>
      </c>
      <c r="J6" s="136">
        <f>Cronograma!H3</f>
        <v>6</v>
      </c>
      <c r="K6" s="136">
        <f>Cronograma!I3</f>
        <v>7</v>
      </c>
      <c r="L6" s="136">
        <f>Cronograma!J3</f>
        <v>8</v>
      </c>
      <c r="M6" s="136">
        <f>Cronograma!K3</f>
        <v>9</v>
      </c>
      <c r="N6" s="136">
        <f>Cronograma!L3</f>
        <v>10</v>
      </c>
      <c r="O6" s="136">
        <f>Cronograma!M3</f>
        <v>11</v>
      </c>
      <c r="P6" s="136">
        <f>Cronograma!N3</f>
        <v>12</v>
      </c>
      <c r="Q6" s="136">
        <f>Cronograma!O3</f>
        <v>13</v>
      </c>
      <c r="R6" s="136">
        <f>Cronograma!P3</f>
        <v>14</v>
      </c>
      <c r="S6" s="136">
        <f>Cronograma!Q3</f>
        <v>15</v>
      </c>
      <c r="T6" s="136">
        <f>Cronograma!R3</f>
        <v>16</v>
      </c>
      <c r="U6" s="136">
        <f>Cronograma!S3</f>
        <v>17</v>
      </c>
      <c r="V6" s="136">
        <f>Cronograma!T3</f>
        <v>18</v>
      </c>
      <c r="W6" s="136">
        <f>Cronograma!U3</f>
        <v>19</v>
      </c>
      <c r="X6" s="136">
        <f>Cronograma!V3</f>
        <v>20</v>
      </c>
      <c r="Y6" s="136">
        <f>Cronograma!W3</f>
        <v>21</v>
      </c>
      <c r="Z6" s="136">
        <f>Cronograma!X3</f>
        <v>22</v>
      </c>
      <c r="AA6" s="136">
        <f>Cronograma!Y3</f>
        <v>23</v>
      </c>
      <c r="AB6" s="136">
        <f>Cronograma!Z3</f>
        <v>24</v>
      </c>
      <c r="AC6" s="136">
        <f>Cronograma!AA3</f>
        <v>25</v>
      </c>
      <c r="AD6" s="136">
        <f>Cronograma!AB3</f>
        <v>26</v>
      </c>
      <c r="AE6" s="136">
        <f>Cronograma!AC3</f>
        <v>27</v>
      </c>
      <c r="AF6" s="136">
        <f>Cronograma!AD3</f>
        <v>28</v>
      </c>
      <c r="AG6" s="136">
        <f>Cronograma!AE3</f>
        <v>29</v>
      </c>
      <c r="AH6" s="136">
        <f>Cronograma!AF3</f>
        <v>30</v>
      </c>
      <c r="AI6" s="136">
        <f>Cronograma!AG3</f>
        <v>31</v>
      </c>
      <c r="AJ6" s="136">
        <f>Cronograma!AH3</f>
        <v>32</v>
      </c>
      <c r="AK6" s="136">
        <f>Cronograma!AI3</f>
        <v>33</v>
      </c>
      <c r="AL6" s="136">
        <f>Cronograma!AJ3</f>
        <v>34</v>
      </c>
      <c r="AM6" s="136">
        <f>Cronograma!AK3</f>
        <v>35</v>
      </c>
    </row>
    <row r="7" spans="1:39" x14ac:dyDescent="0.25">
      <c r="A7" s="18"/>
      <c r="B7" s="1160"/>
      <c r="C7" s="1160"/>
      <c r="D7" s="1160"/>
      <c r="E7" s="136">
        <f>Cronograma!C4</f>
        <v>2027</v>
      </c>
      <c r="F7" s="136">
        <f>Cronograma!D4</f>
        <v>2028</v>
      </c>
      <c r="G7" s="136">
        <f>Cronograma!E4</f>
        <v>2029</v>
      </c>
      <c r="H7" s="136">
        <f>Cronograma!F4</f>
        <v>2030</v>
      </c>
      <c r="I7" s="136">
        <f>Cronograma!G4</f>
        <v>2031</v>
      </c>
      <c r="J7" s="136">
        <f>Cronograma!H4</f>
        <v>2032</v>
      </c>
      <c r="K7" s="136">
        <f>Cronograma!I4</f>
        <v>2033</v>
      </c>
      <c r="L7" s="136">
        <f>Cronograma!J4</f>
        <v>2034</v>
      </c>
      <c r="M7" s="136">
        <f>Cronograma!K4</f>
        <v>2035</v>
      </c>
      <c r="N7" s="136">
        <f>Cronograma!L4</f>
        <v>2036</v>
      </c>
      <c r="O7" s="136">
        <f>Cronograma!M4</f>
        <v>2037</v>
      </c>
      <c r="P7" s="136">
        <f>Cronograma!N4</f>
        <v>2038</v>
      </c>
      <c r="Q7" s="136">
        <f>Cronograma!O4</f>
        <v>2039</v>
      </c>
      <c r="R7" s="136">
        <f>Cronograma!P4</f>
        <v>2040</v>
      </c>
      <c r="S7" s="136">
        <f>Cronograma!Q4</f>
        <v>2041</v>
      </c>
      <c r="T7" s="136">
        <f>Cronograma!R4</f>
        <v>2042</v>
      </c>
      <c r="U7" s="136">
        <f>Cronograma!S4</f>
        <v>2043</v>
      </c>
      <c r="V7" s="136">
        <f>Cronograma!T4</f>
        <v>2044</v>
      </c>
      <c r="W7" s="136">
        <f>Cronograma!U4</f>
        <v>2045</v>
      </c>
      <c r="X7" s="136">
        <f>Cronograma!V4</f>
        <v>2046</v>
      </c>
      <c r="Y7" s="136">
        <f>Cronograma!W4</f>
        <v>2047</v>
      </c>
      <c r="Z7" s="136">
        <f>Cronograma!X4</f>
        <v>2048</v>
      </c>
      <c r="AA7" s="136">
        <f>Cronograma!Y4</f>
        <v>2049</v>
      </c>
      <c r="AB7" s="136">
        <f>Cronograma!Z4</f>
        <v>2050</v>
      </c>
      <c r="AC7" s="136">
        <f>Cronograma!AA4</f>
        <v>2051</v>
      </c>
      <c r="AD7" s="136">
        <f>Cronograma!AB4</f>
        <v>2052</v>
      </c>
      <c r="AE7" s="136">
        <f>Cronograma!AC4</f>
        <v>2053</v>
      </c>
      <c r="AF7" s="136">
        <f>Cronograma!AD4</f>
        <v>2054</v>
      </c>
      <c r="AG7" s="136">
        <f>Cronograma!AE4</f>
        <v>2055</v>
      </c>
      <c r="AH7" s="136">
        <f>Cronograma!AF4</f>
        <v>2056</v>
      </c>
      <c r="AI7" s="136">
        <f>Cronograma!AG4</f>
        <v>2057</v>
      </c>
      <c r="AJ7" s="136">
        <f>Cronograma!AH4</f>
        <v>2058</v>
      </c>
      <c r="AK7" s="136">
        <f>Cronograma!AI4</f>
        <v>2059</v>
      </c>
      <c r="AL7" s="136">
        <f>Cronograma!AJ4</f>
        <v>2060</v>
      </c>
      <c r="AM7" s="136">
        <f>Cronograma!AK4</f>
        <v>2061</v>
      </c>
    </row>
    <row r="8" spans="1:39" ht="15" customHeight="1" x14ac:dyDescent="0.25">
      <c r="A8" s="18"/>
      <c r="B8" s="1158" t="s">
        <v>3</v>
      </c>
      <c r="C8" s="20" t="s">
        <v>332</v>
      </c>
      <c r="D8" s="20" t="s">
        <v>307</v>
      </c>
      <c r="E8" s="251">
        <f>'Base Física'!F59</f>
        <v>0</v>
      </c>
      <c r="F8" s="251">
        <f>'Base Física'!G59</f>
        <v>0</v>
      </c>
      <c r="G8" s="251">
        <f>'Base Física'!H59</f>
        <v>0</v>
      </c>
      <c r="H8" s="251">
        <f>'Base Física'!I59</f>
        <v>0</v>
      </c>
      <c r="I8" s="251">
        <f>'Base Física'!J59</f>
        <v>0</v>
      </c>
      <c r="J8" s="251">
        <f>'Base Física'!K59</f>
        <v>0</v>
      </c>
      <c r="K8" s="251">
        <f>'Base Física'!L59</f>
        <v>0</v>
      </c>
      <c r="L8" s="251">
        <f>'Base Física'!M59</f>
        <v>0</v>
      </c>
      <c r="M8" s="251">
        <f>'Base Física'!N59</f>
        <v>0</v>
      </c>
      <c r="N8" s="251">
        <f>'Base Física'!O59</f>
        <v>0</v>
      </c>
      <c r="O8" s="251">
        <f>'Base Física'!P59</f>
        <v>0</v>
      </c>
      <c r="P8" s="251">
        <f>'Base Física'!Q59</f>
        <v>0</v>
      </c>
      <c r="Q8" s="251">
        <f>'Base Física'!R59</f>
        <v>0</v>
      </c>
      <c r="R8" s="251">
        <f>'Base Física'!S59</f>
        <v>0</v>
      </c>
      <c r="S8" s="251">
        <f>'Base Física'!T59</f>
        <v>0</v>
      </c>
      <c r="T8" s="251">
        <f>'Base Física'!U59</f>
        <v>0</v>
      </c>
      <c r="U8" s="251">
        <f>'Base Física'!V59</f>
        <v>0</v>
      </c>
      <c r="V8" s="251">
        <f>'Base Física'!W59</f>
        <v>0</v>
      </c>
      <c r="W8" s="251">
        <f>'Base Física'!X59</f>
        <v>0</v>
      </c>
      <c r="X8" s="251">
        <f>'Base Física'!Y59</f>
        <v>0</v>
      </c>
      <c r="Y8" s="251">
        <f>'Base Física'!Z59</f>
        <v>0</v>
      </c>
      <c r="Z8" s="251">
        <f>'Base Física'!AA59</f>
        <v>0</v>
      </c>
      <c r="AA8" s="251">
        <f>'Base Física'!AB59</f>
        <v>0</v>
      </c>
      <c r="AB8" s="251">
        <f>'Base Física'!AC59</f>
        <v>0</v>
      </c>
      <c r="AC8" s="251">
        <f>'Base Física'!AD59</f>
        <v>0</v>
      </c>
      <c r="AD8" s="251">
        <f>'Base Física'!AE59</f>
        <v>0</v>
      </c>
      <c r="AE8" s="251">
        <f>'Base Física'!AF59</f>
        <v>0</v>
      </c>
      <c r="AF8" s="251">
        <f>'Base Física'!AG59</f>
        <v>0</v>
      </c>
      <c r="AG8" s="251">
        <f>'Base Física'!AH59</f>
        <v>0</v>
      </c>
      <c r="AH8" s="251">
        <f>'Base Física'!AI59</f>
        <v>0</v>
      </c>
      <c r="AI8" s="251">
        <f>'Base Física'!AJ59</f>
        <v>0</v>
      </c>
      <c r="AJ8" s="251">
        <f>'Base Física'!AK59</f>
        <v>0</v>
      </c>
      <c r="AK8" s="251">
        <f>'Base Física'!AL59</f>
        <v>0</v>
      </c>
      <c r="AL8" s="251">
        <f>'Base Física'!AM59</f>
        <v>0</v>
      </c>
      <c r="AM8" s="251">
        <f>'Base Física'!AN59</f>
        <v>0</v>
      </c>
    </row>
    <row r="9" spans="1:39" x14ac:dyDescent="0.25">
      <c r="A9" s="18"/>
      <c r="B9" s="1158"/>
      <c r="C9" s="20" t="s">
        <v>334</v>
      </c>
      <c r="D9" s="20" t="s">
        <v>309</v>
      </c>
      <c r="E9" s="349"/>
      <c r="F9" s="349"/>
      <c r="G9" s="349"/>
      <c r="H9" s="349"/>
      <c r="I9" s="349"/>
      <c r="J9" s="349"/>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49"/>
    </row>
    <row r="10" spans="1:39" x14ac:dyDescent="0.25">
      <c r="A10" s="18"/>
      <c r="B10" s="1158"/>
      <c r="C10" s="20" t="s">
        <v>333</v>
      </c>
      <c r="D10" s="20" t="s">
        <v>308</v>
      </c>
      <c r="E10" s="251">
        <f>E8*E9</f>
        <v>0</v>
      </c>
      <c r="F10" s="251">
        <f t="shared" ref="F10:AH10" si="0">F8*F9</f>
        <v>0</v>
      </c>
      <c r="G10" s="251">
        <f t="shared" si="0"/>
        <v>0</v>
      </c>
      <c r="H10" s="251">
        <f t="shared" si="0"/>
        <v>0</v>
      </c>
      <c r="I10" s="251">
        <f t="shared" si="0"/>
        <v>0</v>
      </c>
      <c r="J10" s="251">
        <f t="shared" si="0"/>
        <v>0</v>
      </c>
      <c r="K10" s="251">
        <f t="shared" si="0"/>
        <v>0</v>
      </c>
      <c r="L10" s="251">
        <f t="shared" si="0"/>
        <v>0</v>
      </c>
      <c r="M10" s="251">
        <f t="shared" si="0"/>
        <v>0</v>
      </c>
      <c r="N10" s="251">
        <f t="shared" si="0"/>
        <v>0</v>
      </c>
      <c r="O10" s="251">
        <f t="shared" si="0"/>
        <v>0</v>
      </c>
      <c r="P10" s="251">
        <f t="shared" si="0"/>
        <v>0</v>
      </c>
      <c r="Q10" s="251">
        <f t="shared" si="0"/>
        <v>0</v>
      </c>
      <c r="R10" s="251">
        <f t="shared" si="0"/>
        <v>0</v>
      </c>
      <c r="S10" s="251">
        <f t="shared" si="0"/>
        <v>0</v>
      </c>
      <c r="T10" s="251">
        <f t="shared" si="0"/>
        <v>0</v>
      </c>
      <c r="U10" s="251">
        <f t="shared" si="0"/>
        <v>0</v>
      </c>
      <c r="V10" s="251">
        <f t="shared" si="0"/>
        <v>0</v>
      </c>
      <c r="W10" s="251">
        <f t="shared" si="0"/>
        <v>0</v>
      </c>
      <c r="X10" s="251">
        <f t="shared" si="0"/>
        <v>0</v>
      </c>
      <c r="Y10" s="251">
        <f t="shared" si="0"/>
        <v>0</v>
      </c>
      <c r="Z10" s="251">
        <f t="shared" si="0"/>
        <v>0</v>
      </c>
      <c r="AA10" s="251">
        <f t="shared" si="0"/>
        <v>0</v>
      </c>
      <c r="AB10" s="251">
        <f t="shared" si="0"/>
        <v>0</v>
      </c>
      <c r="AC10" s="251">
        <f t="shared" si="0"/>
        <v>0</v>
      </c>
      <c r="AD10" s="251">
        <f t="shared" si="0"/>
        <v>0</v>
      </c>
      <c r="AE10" s="251">
        <f t="shared" si="0"/>
        <v>0</v>
      </c>
      <c r="AF10" s="251">
        <f t="shared" si="0"/>
        <v>0</v>
      </c>
      <c r="AG10" s="251">
        <f t="shared" si="0"/>
        <v>0</v>
      </c>
      <c r="AH10" s="251">
        <f t="shared" si="0"/>
        <v>0</v>
      </c>
      <c r="AI10" s="251">
        <f t="shared" ref="AI10:AM10" si="1">AI8*AI9</f>
        <v>0</v>
      </c>
      <c r="AJ10" s="251">
        <f t="shared" si="1"/>
        <v>0</v>
      </c>
      <c r="AK10" s="251">
        <f t="shared" si="1"/>
        <v>0</v>
      </c>
      <c r="AL10" s="251">
        <f t="shared" si="1"/>
        <v>0</v>
      </c>
      <c r="AM10" s="251">
        <f t="shared" si="1"/>
        <v>0</v>
      </c>
    </row>
    <row r="11" spans="1:39" x14ac:dyDescent="0.25">
      <c r="A11" s="18"/>
      <c r="B11" s="1158"/>
      <c r="C11" s="20"/>
      <c r="D11" s="20" t="s">
        <v>316</v>
      </c>
      <c r="E11" s="350"/>
      <c r="F11" s="350"/>
      <c r="G11" s="350"/>
      <c r="H11" s="350"/>
      <c r="I11" s="350"/>
      <c r="J11" s="350"/>
      <c r="K11" s="350"/>
      <c r="L11" s="350"/>
      <c r="M11" s="350"/>
      <c r="N11" s="350"/>
      <c r="O11" s="350"/>
      <c r="P11" s="350"/>
      <c r="Q11" s="350"/>
      <c r="R11" s="350"/>
      <c r="S11" s="350"/>
      <c r="T11" s="350"/>
      <c r="U11" s="350"/>
      <c r="V11" s="350"/>
      <c r="W11" s="350"/>
      <c r="X11" s="350"/>
      <c r="Y11" s="350"/>
      <c r="Z11" s="350"/>
      <c r="AA11" s="350"/>
      <c r="AB11" s="350"/>
      <c r="AC11" s="350"/>
      <c r="AD11" s="350"/>
      <c r="AE11" s="350"/>
      <c r="AF11" s="350"/>
      <c r="AG11" s="350"/>
      <c r="AH11" s="350"/>
      <c r="AI11" s="350"/>
      <c r="AJ11" s="350"/>
      <c r="AK11" s="350"/>
      <c r="AL11" s="350"/>
      <c r="AM11" s="350"/>
    </row>
    <row r="12" spans="1:39" x14ac:dyDescent="0.25">
      <c r="A12" s="18"/>
      <c r="B12" s="1158"/>
      <c r="C12" s="20"/>
      <c r="D12" s="20" t="s">
        <v>310</v>
      </c>
      <c r="E12" s="350"/>
      <c r="F12" s="350"/>
      <c r="G12" s="350"/>
      <c r="H12" s="350"/>
      <c r="I12" s="350"/>
      <c r="J12" s="350"/>
      <c r="K12" s="350"/>
      <c r="L12" s="350"/>
      <c r="M12" s="350"/>
      <c r="N12" s="350"/>
      <c r="O12" s="350"/>
      <c r="P12" s="350"/>
      <c r="Q12" s="350"/>
      <c r="R12" s="350"/>
      <c r="S12" s="350"/>
      <c r="T12" s="350"/>
      <c r="U12" s="350"/>
      <c r="V12" s="350"/>
      <c r="W12" s="350"/>
      <c r="X12" s="350"/>
      <c r="Y12" s="350"/>
      <c r="Z12" s="350"/>
      <c r="AA12" s="350"/>
      <c r="AB12" s="350"/>
      <c r="AC12" s="350"/>
      <c r="AD12" s="350"/>
      <c r="AE12" s="350"/>
      <c r="AF12" s="350"/>
      <c r="AG12" s="350"/>
      <c r="AH12" s="350"/>
      <c r="AI12" s="350"/>
      <c r="AJ12" s="350"/>
      <c r="AK12" s="350"/>
      <c r="AL12" s="350"/>
      <c r="AM12" s="350"/>
    </row>
    <row r="13" spans="1:39" x14ac:dyDescent="0.25">
      <c r="A13" s="18"/>
      <c r="B13" s="1158"/>
      <c r="C13" s="20"/>
      <c r="D13" s="20" t="s">
        <v>311</v>
      </c>
      <c r="E13" s="253">
        <f>((1-$P$1)*E$10*(E$11*$N$2+E$12*$N$3))</f>
        <v>0</v>
      </c>
      <c r="F13" s="253">
        <f>((1-$P$1)*F$10*(F$11*$N$2+F$12*$N$3))</f>
        <v>0</v>
      </c>
      <c r="G13" s="253">
        <f t="shared" ref="G13:AM13" si="2">((1-$P$1)*G$10*(G$11*$N$2+G$12*$N$3))</f>
        <v>0</v>
      </c>
      <c r="H13" s="253">
        <f t="shared" si="2"/>
        <v>0</v>
      </c>
      <c r="I13" s="253">
        <f t="shared" si="2"/>
        <v>0</v>
      </c>
      <c r="J13" s="253">
        <f t="shared" si="2"/>
        <v>0</v>
      </c>
      <c r="K13" s="253">
        <f t="shared" si="2"/>
        <v>0</v>
      </c>
      <c r="L13" s="253">
        <f t="shared" si="2"/>
        <v>0</v>
      </c>
      <c r="M13" s="253">
        <f t="shared" si="2"/>
        <v>0</v>
      </c>
      <c r="N13" s="253">
        <f t="shared" si="2"/>
        <v>0</v>
      </c>
      <c r="O13" s="253">
        <f t="shared" si="2"/>
        <v>0</v>
      </c>
      <c r="P13" s="253">
        <f t="shared" si="2"/>
        <v>0</v>
      </c>
      <c r="Q13" s="253">
        <f t="shared" si="2"/>
        <v>0</v>
      </c>
      <c r="R13" s="253">
        <f t="shared" si="2"/>
        <v>0</v>
      </c>
      <c r="S13" s="253">
        <f t="shared" si="2"/>
        <v>0</v>
      </c>
      <c r="T13" s="253">
        <f t="shared" si="2"/>
        <v>0</v>
      </c>
      <c r="U13" s="253">
        <f t="shared" si="2"/>
        <v>0</v>
      </c>
      <c r="V13" s="253">
        <f t="shared" si="2"/>
        <v>0</v>
      </c>
      <c r="W13" s="253">
        <f t="shared" si="2"/>
        <v>0</v>
      </c>
      <c r="X13" s="253">
        <f t="shared" si="2"/>
        <v>0</v>
      </c>
      <c r="Y13" s="253">
        <f t="shared" si="2"/>
        <v>0</v>
      </c>
      <c r="Z13" s="253">
        <f t="shared" si="2"/>
        <v>0</v>
      </c>
      <c r="AA13" s="253">
        <f t="shared" si="2"/>
        <v>0</v>
      </c>
      <c r="AB13" s="253">
        <f t="shared" si="2"/>
        <v>0</v>
      </c>
      <c r="AC13" s="253">
        <f t="shared" si="2"/>
        <v>0</v>
      </c>
      <c r="AD13" s="253">
        <f t="shared" si="2"/>
        <v>0</v>
      </c>
      <c r="AE13" s="253">
        <f t="shared" si="2"/>
        <v>0</v>
      </c>
      <c r="AF13" s="253">
        <f t="shared" si="2"/>
        <v>0</v>
      </c>
      <c r="AG13" s="253">
        <f t="shared" si="2"/>
        <v>0</v>
      </c>
      <c r="AH13" s="253">
        <f t="shared" si="2"/>
        <v>0</v>
      </c>
      <c r="AI13" s="253">
        <f t="shared" si="2"/>
        <v>0</v>
      </c>
      <c r="AJ13" s="253">
        <f t="shared" si="2"/>
        <v>0</v>
      </c>
      <c r="AK13" s="253">
        <f t="shared" si="2"/>
        <v>0</v>
      </c>
      <c r="AL13" s="253">
        <f t="shared" si="2"/>
        <v>0</v>
      </c>
      <c r="AM13" s="253">
        <f t="shared" si="2"/>
        <v>0</v>
      </c>
    </row>
    <row r="14" spans="1:39" ht="15" customHeight="1" x14ac:dyDescent="0.25">
      <c r="A14" s="18"/>
      <c r="B14" s="1158" t="s">
        <v>4</v>
      </c>
      <c r="C14" s="20" t="s">
        <v>328</v>
      </c>
      <c r="D14" s="20" t="s">
        <v>307</v>
      </c>
      <c r="E14" s="251">
        <f>'Base Física'!F68</f>
        <v>0</v>
      </c>
      <c r="F14" s="251">
        <f>'Base Física'!G68</f>
        <v>0</v>
      </c>
      <c r="G14" s="251">
        <f>'Base Física'!H68</f>
        <v>0</v>
      </c>
      <c r="H14" s="251">
        <f>'Base Física'!I68</f>
        <v>0</v>
      </c>
      <c r="I14" s="251">
        <f>'Base Física'!J68</f>
        <v>0</v>
      </c>
      <c r="J14" s="251">
        <f>'Base Física'!K68</f>
        <v>0</v>
      </c>
      <c r="K14" s="251">
        <f>'Base Física'!L68</f>
        <v>0</v>
      </c>
      <c r="L14" s="251">
        <f>'Base Física'!M68</f>
        <v>0</v>
      </c>
      <c r="M14" s="251">
        <f>'Base Física'!N68</f>
        <v>0</v>
      </c>
      <c r="N14" s="251">
        <f>'Base Física'!O68</f>
        <v>0</v>
      </c>
      <c r="O14" s="251">
        <f>'Base Física'!P68</f>
        <v>0</v>
      </c>
      <c r="P14" s="251">
        <f>'Base Física'!Q68</f>
        <v>0</v>
      </c>
      <c r="Q14" s="251">
        <f>'Base Física'!R68</f>
        <v>0</v>
      </c>
      <c r="R14" s="251">
        <f>'Base Física'!S68</f>
        <v>0</v>
      </c>
      <c r="S14" s="251">
        <f>'Base Física'!T68</f>
        <v>0</v>
      </c>
      <c r="T14" s="251">
        <f>'Base Física'!U68</f>
        <v>0</v>
      </c>
      <c r="U14" s="251">
        <f>'Base Física'!V68</f>
        <v>0</v>
      </c>
      <c r="V14" s="251">
        <f>'Base Física'!W68</f>
        <v>0</v>
      </c>
      <c r="W14" s="251">
        <f>'Base Física'!X68</f>
        <v>0</v>
      </c>
      <c r="X14" s="251">
        <f>'Base Física'!Y68</f>
        <v>0</v>
      </c>
      <c r="Y14" s="251">
        <f>'Base Física'!Z68</f>
        <v>0</v>
      </c>
      <c r="Z14" s="251">
        <f>'Base Física'!AA68</f>
        <v>0</v>
      </c>
      <c r="AA14" s="251">
        <f>'Base Física'!AB68</f>
        <v>0</v>
      </c>
      <c r="AB14" s="251">
        <f>'Base Física'!AC68</f>
        <v>0</v>
      </c>
      <c r="AC14" s="251">
        <f>'Base Física'!AD68</f>
        <v>0</v>
      </c>
      <c r="AD14" s="251">
        <f>'Base Física'!AE68</f>
        <v>0</v>
      </c>
      <c r="AE14" s="251">
        <f>'Base Física'!AF68</f>
        <v>0</v>
      </c>
      <c r="AF14" s="251">
        <f>'Base Física'!AG68</f>
        <v>0</v>
      </c>
      <c r="AG14" s="251">
        <f>'Base Física'!AH68</f>
        <v>0</v>
      </c>
      <c r="AH14" s="251">
        <f>'Base Física'!AI68</f>
        <v>0</v>
      </c>
      <c r="AI14" s="251">
        <f>'Base Física'!AJ68</f>
        <v>0</v>
      </c>
      <c r="AJ14" s="251">
        <f>'Base Física'!AK68</f>
        <v>0</v>
      </c>
      <c r="AK14" s="251">
        <f>'Base Física'!AL68</f>
        <v>0</v>
      </c>
      <c r="AL14" s="251">
        <f>'Base Física'!AM68</f>
        <v>0</v>
      </c>
      <c r="AM14" s="251">
        <f>'Base Física'!AN68</f>
        <v>0</v>
      </c>
    </row>
    <row r="15" spans="1:39" x14ac:dyDescent="0.25">
      <c r="A15" s="18"/>
      <c r="B15" s="1158"/>
      <c r="C15" s="20" t="s">
        <v>334</v>
      </c>
      <c r="D15" s="20" t="s">
        <v>309</v>
      </c>
      <c r="E15" s="349"/>
      <c r="F15" s="349"/>
      <c r="G15" s="349"/>
      <c r="H15" s="349"/>
      <c r="I15" s="349"/>
      <c r="J15" s="349"/>
      <c r="K15" s="349"/>
      <c r="L15" s="349"/>
      <c r="M15" s="349"/>
      <c r="N15" s="349"/>
      <c r="O15" s="349"/>
      <c r="P15" s="349"/>
      <c r="Q15" s="349"/>
      <c r="R15" s="349"/>
      <c r="S15" s="349"/>
      <c r="T15" s="349"/>
      <c r="U15" s="349"/>
      <c r="V15" s="349"/>
      <c r="W15" s="349"/>
      <c r="X15" s="349"/>
      <c r="Y15" s="349"/>
      <c r="Z15" s="349"/>
      <c r="AA15" s="349"/>
      <c r="AB15" s="349"/>
      <c r="AC15" s="349"/>
      <c r="AD15" s="349"/>
      <c r="AE15" s="349"/>
      <c r="AF15" s="349"/>
      <c r="AG15" s="349"/>
      <c r="AH15" s="349"/>
      <c r="AI15" s="349"/>
      <c r="AJ15" s="349"/>
      <c r="AK15" s="349"/>
      <c r="AL15" s="349"/>
      <c r="AM15" s="349"/>
    </row>
    <row r="16" spans="1:39" x14ac:dyDescent="0.25">
      <c r="A16" s="18"/>
      <c r="B16" s="1158"/>
      <c r="C16" s="20" t="s">
        <v>333</v>
      </c>
      <c r="D16" s="20" t="s">
        <v>308</v>
      </c>
      <c r="E16" s="251">
        <f>E14*E15</f>
        <v>0</v>
      </c>
      <c r="F16" s="251">
        <f t="shared" ref="F16:AH16" si="3">F14*F15</f>
        <v>0</v>
      </c>
      <c r="G16" s="251">
        <f t="shared" si="3"/>
        <v>0</v>
      </c>
      <c r="H16" s="251">
        <f t="shared" si="3"/>
        <v>0</v>
      </c>
      <c r="I16" s="251">
        <f t="shared" si="3"/>
        <v>0</v>
      </c>
      <c r="J16" s="251">
        <f t="shared" si="3"/>
        <v>0</v>
      </c>
      <c r="K16" s="251">
        <f t="shared" si="3"/>
        <v>0</v>
      </c>
      <c r="L16" s="251">
        <f t="shared" si="3"/>
        <v>0</v>
      </c>
      <c r="M16" s="251">
        <f t="shared" si="3"/>
        <v>0</v>
      </c>
      <c r="N16" s="251">
        <f t="shared" si="3"/>
        <v>0</v>
      </c>
      <c r="O16" s="251">
        <f t="shared" si="3"/>
        <v>0</v>
      </c>
      <c r="P16" s="251">
        <f t="shared" si="3"/>
        <v>0</v>
      </c>
      <c r="Q16" s="251">
        <f t="shared" si="3"/>
        <v>0</v>
      </c>
      <c r="R16" s="251">
        <f t="shared" si="3"/>
        <v>0</v>
      </c>
      <c r="S16" s="251">
        <f t="shared" si="3"/>
        <v>0</v>
      </c>
      <c r="T16" s="251">
        <f t="shared" si="3"/>
        <v>0</v>
      </c>
      <c r="U16" s="251">
        <f t="shared" si="3"/>
        <v>0</v>
      </c>
      <c r="V16" s="251">
        <f t="shared" si="3"/>
        <v>0</v>
      </c>
      <c r="W16" s="251">
        <f t="shared" si="3"/>
        <v>0</v>
      </c>
      <c r="X16" s="251">
        <f t="shared" si="3"/>
        <v>0</v>
      </c>
      <c r="Y16" s="251">
        <f t="shared" si="3"/>
        <v>0</v>
      </c>
      <c r="Z16" s="251">
        <f t="shared" si="3"/>
        <v>0</v>
      </c>
      <c r="AA16" s="251">
        <f t="shared" si="3"/>
        <v>0</v>
      </c>
      <c r="AB16" s="251">
        <f t="shared" si="3"/>
        <v>0</v>
      </c>
      <c r="AC16" s="251">
        <f t="shared" si="3"/>
        <v>0</v>
      </c>
      <c r="AD16" s="251">
        <f t="shared" si="3"/>
        <v>0</v>
      </c>
      <c r="AE16" s="251">
        <f t="shared" si="3"/>
        <v>0</v>
      </c>
      <c r="AF16" s="251">
        <f t="shared" si="3"/>
        <v>0</v>
      </c>
      <c r="AG16" s="251">
        <f t="shared" si="3"/>
        <v>0</v>
      </c>
      <c r="AH16" s="251">
        <f t="shared" si="3"/>
        <v>0</v>
      </c>
      <c r="AI16" s="251">
        <f t="shared" ref="AI16:AM16" si="4">AI14*AI15</f>
        <v>0</v>
      </c>
      <c r="AJ16" s="251">
        <f t="shared" si="4"/>
        <v>0</v>
      </c>
      <c r="AK16" s="251">
        <f t="shared" si="4"/>
        <v>0</v>
      </c>
      <c r="AL16" s="251">
        <f t="shared" si="4"/>
        <v>0</v>
      </c>
      <c r="AM16" s="251">
        <f t="shared" si="4"/>
        <v>0</v>
      </c>
    </row>
    <row r="17" spans="1:41" x14ac:dyDescent="0.25">
      <c r="A17" s="18"/>
      <c r="B17" s="1158"/>
      <c r="C17" s="20"/>
      <c r="D17" s="20" t="s">
        <v>316</v>
      </c>
      <c r="E17" s="350"/>
      <c r="F17" s="350"/>
      <c r="G17" s="350"/>
      <c r="H17" s="350"/>
      <c r="I17" s="350"/>
      <c r="J17" s="350"/>
      <c r="K17" s="350"/>
      <c r="L17" s="350"/>
      <c r="M17" s="350"/>
      <c r="N17" s="350"/>
      <c r="O17" s="350"/>
      <c r="P17" s="350"/>
      <c r="Q17" s="350"/>
      <c r="R17" s="350"/>
      <c r="S17" s="350"/>
      <c r="T17" s="350"/>
      <c r="U17" s="350"/>
      <c r="V17" s="350"/>
      <c r="W17" s="350"/>
      <c r="X17" s="350"/>
      <c r="Y17" s="350"/>
      <c r="Z17" s="350"/>
      <c r="AA17" s="350"/>
      <c r="AB17" s="350"/>
      <c r="AC17" s="350"/>
      <c r="AD17" s="350"/>
      <c r="AE17" s="350"/>
      <c r="AF17" s="350"/>
      <c r="AG17" s="350"/>
      <c r="AH17" s="350"/>
      <c r="AI17" s="350"/>
      <c r="AJ17" s="350"/>
      <c r="AK17" s="350"/>
      <c r="AL17" s="350"/>
      <c r="AM17" s="350"/>
    </row>
    <row r="18" spans="1:41" x14ac:dyDescent="0.25">
      <c r="A18" s="18"/>
      <c r="B18" s="1158"/>
      <c r="C18" s="20"/>
      <c r="D18" s="20" t="s">
        <v>310</v>
      </c>
      <c r="E18" s="350"/>
      <c r="F18" s="350"/>
      <c r="G18" s="350"/>
      <c r="H18" s="350"/>
      <c r="I18" s="350"/>
      <c r="J18" s="350"/>
      <c r="K18" s="350"/>
      <c r="L18" s="350"/>
      <c r="M18" s="350"/>
      <c r="N18" s="350"/>
      <c r="O18" s="350"/>
      <c r="P18" s="350"/>
      <c r="Q18" s="350"/>
      <c r="R18" s="350"/>
      <c r="S18" s="350"/>
      <c r="T18" s="350"/>
      <c r="U18" s="350"/>
      <c r="V18" s="350"/>
      <c r="W18" s="350"/>
      <c r="X18" s="350"/>
      <c r="Y18" s="350"/>
      <c r="Z18" s="350"/>
      <c r="AA18" s="350"/>
      <c r="AB18" s="350"/>
      <c r="AC18" s="350"/>
      <c r="AD18" s="350"/>
      <c r="AE18" s="350"/>
      <c r="AF18" s="350"/>
      <c r="AG18" s="350"/>
      <c r="AH18" s="350"/>
      <c r="AI18" s="350"/>
      <c r="AJ18" s="350"/>
      <c r="AK18" s="350"/>
      <c r="AL18" s="350"/>
      <c r="AM18" s="350"/>
    </row>
    <row r="19" spans="1:41" x14ac:dyDescent="0.25">
      <c r="A19" s="18"/>
      <c r="B19" s="1158"/>
      <c r="C19" s="20"/>
      <c r="D19" s="20" t="s">
        <v>311</v>
      </c>
      <c r="E19" s="253">
        <f>(1-$P$1)*E$16*(E$17*$N$2+E$18*$N$3)</f>
        <v>0</v>
      </c>
      <c r="F19" s="253">
        <f t="shared" ref="F19:AM19" si="5">(1-$P$1)*F$16*(F$17*$N$2+F$18*$N$3)</f>
        <v>0</v>
      </c>
      <c r="G19" s="253">
        <f t="shared" si="5"/>
        <v>0</v>
      </c>
      <c r="H19" s="253">
        <f t="shared" si="5"/>
        <v>0</v>
      </c>
      <c r="I19" s="253">
        <f t="shared" si="5"/>
        <v>0</v>
      </c>
      <c r="J19" s="253">
        <f t="shared" si="5"/>
        <v>0</v>
      </c>
      <c r="K19" s="253">
        <f t="shared" si="5"/>
        <v>0</v>
      </c>
      <c r="L19" s="253">
        <f t="shared" si="5"/>
        <v>0</v>
      </c>
      <c r="M19" s="253">
        <f t="shared" si="5"/>
        <v>0</v>
      </c>
      <c r="N19" s="253">
        <f t="shared" si="5"/>
        <v>0</v>
      </c>
      <c r="O19" s="253">
        <f t="shared" si="5"/>
        <v>0</v>
      </c>
      <c r="P19" s="253">
        <f t="shared" si="5"/>
        <v>0</v>
      </c>
      <c r="Q19" s="253">
        <f t="shared" si="5"/>
        <v>0</v>
      </c>
      <c r="R19" s="253">
        <f t="shared" si="5"/>
        <v>0</v>
      </c>
      <c r="S19" s="253">
        <f t="shared" si="5"/>
        <v>0</v>
      </c>
      <c r="T19" s="253">
        <f t="shared" si="5"/>
        <v>0</v>
      </c>
      <c r="U19" s="253">
        <f t="shared" si="5"/>
        <v>0</v>
      </c>
      <c r="V19" s="253">
        <f t="shared" si="5"/>
        <v>0</v>
      </c>
      <c r="W19" s="253">
        <f t="shared" si="5"/>
        <v>0</v>
      </c>
      <c r="X19" s="253">
        <f t="shared" si="5"/>
        <v>0</v>
      </c>
      <c r="Y19" s="253">
        <f t="shared" si="5"/>
        <v>0</v>
      </c>
      <c r="Z19" s="253">
        <f t="shared" si="5"/>
        <v>0</v>
      </c>
      <c r="AA19" s="253">
        <f t="shared" si="5"/>
        <v>0</v>
      </c>
      <c r="AB19" s="253">
        <f t="shared" si="5"/>
        <v>0</v>
      </c>
      <c r="AC19" s="253">
        <f t="shared" si="5"/>
        <v>0</v>
      </c>
      <c r="AD19" s="253">
        <f t="shared" si="5"/>
        <v>0</v>
      </c>
      <c r="AE19" s="253">
        <f t="shared" si="5"/>
        <v>0</v>
      </c>
      <c r="AF19" s="253">
        <f t="shared" si="5"/>
        <v>0</v>
      </c>
      <c r="AG19" s="253">
        <f t="shared" si="5"/>
        <v>0</v>
      </c>
      <c r="AH19" s="253">
        <f t="shared" si="5"/>
        <v>0</v>
      </c>
      <c r="AI19" s="253">
        <f t="shared" si="5"/>
        <v>0</v>
      </c>
      <c r="AJ19" s="253">
        <f t="shared" si="5"/>
        <v>0</v>
      </c>
      <c r="AK19" s="253">
        <f t="shared" si="5"/>
        <v>0</v>
      </c>
      <c r="AL19" s="253">
        <f t="shared" si="5"/>
        <v>0</v>
      </c>
      <c r="AM19" s="253">
        <f t="shared" si="5"/>
        <v>0</v>
      </c>
    </row>
    <row r="20" spans="1:41" x14ac:dyDescent="0.25">
      <c r="A20" s="18"/>
      <c r="B20" s="1159" t="s">
        <v>335</v>
      </c>
      <c r="C20" s="1159"/>
      <c r="D20" s="1159"/>
      <c r="E20" s="254" t="e">
        <f>(E10+E16)/(E8+E14)</f>
        <v>#DIV/0!</v>
      </c>
      <c r="F20" s="254" t="e">
        <f t="shared" ref="F20:AH20" si="6">(F10+F16)/(F8+F14)</f>
        <v>#DIV/0!</v>
      </c>
      <c r="G20" s="254" t="e">
        <f t="shared" si="6"/>
        <v>#DIV/0!</v>
      </c>
      <c r="H20" s="254" t="e">
        <f t="shared" si="6"/>
        <v>#DIV/0!</v>
      </c>
      <c r="I20" s="254" t="e">
        <f t="shared" si="6"/>
        <v>#DIV/0!</v>
      </c>
      <c r="J20" s="254" t="e">
        <f t="shared" si="6"/>
        <v>#DIV/0!</v>
      </c>
      <c r="K20" s="254" t="e">
        <f t="shared" si="6"/>
        <v>#DIV/0!</v>
      </c>
      <c r="L20" s="254" t="e">
        <f t="shared" si="6"/>
        <v>#DIV/0!</v>
      </c>
      <c r="M20" s="254" t="e">
        <f t="shared" si="6"/>
        <v>#DIV/0!</v>
      </c>
      <c r="N20" s="254" t="e">
        <f t="shared" si="6"/>
        <v>#DIV/0!</v>
      </c>
      <c r="O20" s="254" t="e">
        <f t="shared" si="6"/>
        <v>#DIV/0!</v>
      </c>
      <c r="P20" s="254" t="e">
        <f t="shared" si="6"/>
        <v>#DIV/0!</v>
      </c>
      <c r="Q20" s="254" t="e">
        <f t="shared" si="6"/>
        <v>#DIV/0!</v>
      </c>
      <c r="R20" s="254" t="e">
        <f t="shared" si="6"/>
        <v>#DIV/0!</v>
      </c>
      <c r="S20" s="254" t="e">
        <f t="shared" si="6"/>
        <v>#DIV/0!</v>
      </c>
      <c r="T20" s="254" t="e">
        <f t="shared" si="6"/>
        <v>#DIV/0!</v>
      </c>
      <c r="U20" s="254" t="e">
        <f t="shared" si="6"/>
        <v>#DIV/0!</v>
      </c>
      <c r="V20" s="254" t="e">
        <f t="shared" si="6"/>
        <v>#DIV/0!</v>
      </c>
      <c r="W20" s="254" t="e">
        <f t="shared" si="6"/>
        <v>#DIV/0!</v>
      </c>
      <c r="X20" s="254" t="e">
        <f t="shared" si="6"/>
        <v>#DIV/0!</v>
      </c>
      <c r="Y20" s="254" t="e">
        <f t="shared" si="6"/>
        <v>#DIV/0!</v>
      </c>
      <c r="Z20" s="254" t="e">
        <f t="shared" si="6"/>
        <v>#DIV/0!</v>
      </c>
      <c r="AA20" s="254" t="e">
        <f t="shared" si="6"/>
        <v>#DIV/0!</v>
      </c>
      <c r="AB20" s="254" t="e">
        <f t="shared" si="6"/>
        <v>#DIV/0!</v>
      </c>
      <c r="AC20" s="254" t="e">
        <f t="shared" si="6"/>
        <v>#DIV/0!</v>
      </c>
      <c r="AD20" s="254" t="e">
        <f t="shared" si="6"/>
        <v>#DIV/0!</v>
      </c>
      <c r="AE20" s="254" t="e">
        <f t="shared" si="6"/>
        <v>#DIV/0!</v>
      </c>
      <c r="AF20" s="254" t="e">
        <f t="shared" si="6"/>
        <v>#DIV/0!</v>
      </c>
      <c r="AG20" s="254" t="e">
        <f t="shared" si="6"/>
        <v>#DIV/0!</v>
      </c>
      <c r="AH20" s="254" t="e">
        <f t="shared" si="6"/>
        <v>#DIV/0!</v>
      </c>
      <c r="AI20" s="254" t="e">
        <f t="shared" ref="AI20:AM20" si="7">(AI10+AI16)/(AI8+AI14)</f>
        <v>#DIV/0!</v>
      </c>
      <c r="AJ20" s="254" t="e">
        <f t="shared" si="7"/>
        <v>#DIV/0!</v>
      </c>
      <c r="AK20" s="254" t="e">
        <f t="shared" si="7"/>
        <v>#DIV/0!</v>
      </c>
      <c r="AL20" s="254" t="e">
        <f t="shared" si="7"/>
        <v>#DIV/0!</v>
      </c>
      <c r="AM20" s="254" t="e">
        <f t="shared" si="7"/>
        <v>#DIV/0!</v>
      </c>
    </row>
    <row r="21" spans="1:41" x14ac:dyDescent="0.25">
      <c r="A21" s="18"/>
      <c r="B21" s="1159" t="s">
        <v>373</v>
      </c>
      <c r="C21" s="1159"/>
      <c r="D21" s="1159"/>
      <c r="E21" s="254">
        <f>E9+E15</f>
        <v>0</v>
      </c>
      <c r="F21" s="254">
        <f t="shared" ref="F21:AH21" si="8">F9+F15</f>
        <v>0</v>
      </c>
      <c r="G21" s="254">
        <f t="shared" si="8"/>
        <v>0</v>
      </c>
      <c r="H21" s="254">
        <f t="shared" si="8"/>
        <v>0</v>
      </c>
      <c r="I21" s="254">
        <f t="shared" si="8"/>
        <v>0</v>
      </c>
      <c r="J21" s="254">
        <f t="shared" si="8"/>
        <v>0</v>
      </c>
      <c r="K21" s="254">
        <f t="shared" si="8"/>
        <v>0</v>
      </c>
      <c r="L21" s="254">
        <f t="shared" si="8"/>
        <v>0</v>
      </c>
      <c r="M21" s="254">
        <f t="shared" si="8"/>
        <v>0</v>
      </c>
      <c r="N21" s="254">
        <f t="shared" si="8"/>
        <v>0</v>
      </c>
      <c r="O21" s="254">
        <f t="shared" si="8"/>
        <v>0</v>
      </c>
      <c r="P21" s="254">
        <f t="shared" si="8"/>
        <v>0</v>
      </c>
      <c r="Q21" s="254">
        <f t="shared" si="8"/>
        <v>0</v>
      </c>
      <c r="R21" s="254">
        <f t="shared" si="8"/>
        <v>0</v>
      </c>
      <c r="S21" s="254">
        <f t="shared" si="8"/>
        <v>0</v>
      </c>
      <c r="T21" s="254">
        <f t="shared" si="8"/>
        <v>0</v>
      </c>
      <c r="U21" s="254">
        <f t="shared" si="8"/>
        <v>0</v>
      </c>
      <c r="V21" s="254">
        <f t="shared" si="8"/>
        <v>0</v>
      </c>
      <c r="W21" s="254">
        <f t="shared" si="8"/>
        <v>0</v>
      </c>
      <c r="X21" s="254">
        <f t="shared" si="8"/>
        <v>0</v>
      </c>
      <c r="Y21" s="254">
        <f t="shared" si="8"/>
        <v>0</v>
      </c>
      <c r="Z21" s="254">
        <f t="shared" si="8"/>
        <v>0</v>
      </c>
      <c r="AA21" s="254">
        <f t="shared" si="8"/>
        <v>0</v>
      </c>
      <c r="AB21" s="254">
        <f t="shared" si="8"/>
        <v>0</v>
      </c>
      <c r="AC21" s="254">
        <f t="shared" si="8"/>
        <v>0</v>
      </c>
      <c r="AD21" s="254">
        <f t="shared" si="8"/>
        <v>0</v>
      </c>
      <c r="AE21" s="254">
        <f t="shared" si="8"/>
        <v>0</v>
      </c>
      <c r="AF21" s="254">
        <f t="shared" si="8"/>
        <v>0</v>
      </c>
      <c r="AG21" s="254">
        <f t="shared" si="8"/>
        <v>0</v>
      </c>
      <c r="AH21" s="254">
        <f t="shared" si="8"/>
        <v>0</v>
      </c>
      <c r="AI21" s="254">
        <f t="shared" ref="AI21:AM21" si="9">AI9+AI15</f>
        <v>0</v>
      </c>
      <c r="AJ21" s="254">
        <f t="shared" si="9"/>
        <v>0</v>
      </c>
      <c r="AK21" s="254">
        <f t="shared" si="9"/>
        <v>0</v>
      </c>
      <c r="AL21" s="254">
        <f t="shared" si="9"/>
        <v>0</v>
      </c>
      <c r="AM21" s="254">
        <f t="shared" si="9"/>
        <v>0</v>
      </c>
    </row>
    <row r="22" spans="1:41" s="46" customFormat="1" x14ac:dyDescent="0.25">
      <c r="A22" s="56"/>
      <c r="B22" s="1159" t="s">
        <v>336</v>
      </c>
      <c r="C22" s="1159"/>
      <c r="D22" s="1159"/>
      <c r="E22" s="255">
        <f>E13+E19</f>
        <v>0</v>
      </c>
      <c r="F22" s="255">
        <f t="shared" ref="F22:AH22" si="10">F13+F19</f>
        <v>0</v>
      </c>
      <c r="G22" s="255">
        <f t="shared" si="10"/>
        <v>0</v>
      </c>
      <c r="H22" s="255">
        <f t="shared" si="10"/>
        <v>0</v>
      </c>
      <c r="I22" s="255">
        <f t="shared" si="10"/>
        <v>0</v>
      </c>
      <c r="J22" s="255">
        <f t="shared" si="10"/>
        <v>0</v>
      </c>
      <c r="K22" s="255">
        <f t="shared" si="10"/>
        <v>0</v>
      </c>
      <c r="L22" s="255">
        <f t="shared" si="10"/>
        <v>0</v>
      </c>
      <c r="M22" s="255">
        <f t="shared" si="10"/>
        <v>0</v>
      </c>
      <c r="N22" s="255">
        <f t="shared" si="10"/>
        <v>0</v>
      </c>
      <c r="O22" s="255">
        <f t="shared" si="10"/>
        <v>0</v>
      </c>
      <c r="P22" s="255">
        <f t="shared" si="10"/>
        <v>0</v>
      </c>
      <c r="Q22" s="255">
        <f t="shared" si="10"/>
        <v>0</v>
      </c>
      <c r="R22" s="255">
        <f t="shared" si="10"/>
        <v>0</v>
      </c>
      <c r="S22" s="255">
        <f t="shared" si="10"/>
        <v>0</v>
      </c>
      <c r="T22" s="255">
        <f t="shared" si="10"/>
        <v>0</v>
      </c>
      <c r="U22" s="255">
        <f t="shared" si="10"/>
        <v>0</v>
      </c>
      <c r="V22" s="255">
        <f t="shared" si="10"/>
        <v>0</v>
      </c>
      <c r="W22" s="255">
        <f t="shared" si="10"/>
        <v>0</v>
      </c>
      <c r="X22" s="255">
        <f t="shared" si="10"/>
        <v>0</v>
      </c>
      <c r="Y22" s="255">
        <f t="shared" si="10"/>
        <v>0</v>
      </c>
      <c r="Z22" s="255">
        <f t="shared" si="10"/>
        <v>0</v>
      </c>
      <c r="AA22" s="255">
        <f t="shared" si="10"/>
        <v>0</v>
      </c>
      <c r="AB22" s="255">
        <f t="shared" si="10"/>
        <v>0</v>
      </c>
      <c r="AC22" s="255">
        <f t="shared" si="10"/>
        <v>0</v>
      </c>
      <c r="AD22" s="255">
        <f t="shared" si="10"/>
        <v>0</v>
      </c>
      <c r="AE22" s="255">
        <f t="shared" si="10"/>
        <v>0</v>
      </c>
      <c r="AF22" s="255">
        <f t="shared" si="10"/>
        <v>0</v>
      </c>
      <c r="AG22" s="255">
        <f t="shared" si="10"/>
        <v>0</v>
      </c>
      <c r="AH22" s="255">
        <f t="shared" si="10"/>
        <v>0</v>
      </c>
      <c r="AI22" s="255">
        <f t="shared" ref="AI22:AM22" si="11">AI13+AI19</f>
        <v>0</v>
      </c>
      <c r="AJ22" s="255">
        <f t="shared" si="11"/>
        <v>0</v>
      </c>
      <c r="AK22" s="255">
        <f t="shared" si="11"/>
        <v>0</v>
      </c>
      <c r="AL22" s="255">
        <f t="shared" si="11"/>
        <v>0</v>
      </c>
      <c r="AM22" s="255">
        <f t="shared" si="11"/>
        <v>0</v>
      </c>
    </row>
    <row r="23" spans="1:41" x14ac:dyDescent="0.25">
      <c r="A23" s="18"/>
      <c r="B23" s="18"/>
      <c r="C23" s="18"/>
      <c r="D23" s="18"/>
      <c r="E23" s="23"/>
      <c r="F23" s="23"/>
      <c r="G23" s="23"/>
      <c r="H23" s="23"/>
      <c r="I23" s="23"/>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23"/>
      <c r="AI23" s="23"/>
      <c r="AJ23" s="23"/>
      <c r="AK23" s="23"/>
      <c r="AL23" s="23"/>
      <c r="AM23" s="23"/>
    </row>
    <row r="24" spans="1:41" x14ac:dyDescent="0.25">
      <c r="A24" s="18"/>
      <c r="B24" s="18"/>
      <c r="C24" s="1127" t="s">
        <v>3</v>
      </c>
      <c r="D24" s="20" t="s">
        <v>468</v>
      </c>
      <c r="E24" s="256">
        <f t="shared" ref="E24:AM24" si="12">E10/365</f>
        <v>0</v>
      </c>
      <c r="F24" s="256">
        <f t="shared" si="12"/>
        <v>0</v>
      </c>
      <c r="G24" s="256">
        <f t="shared" si="12"/>
        <v>0</v>
      </c>
      <c r="H24" s="256">
        <f t="shared" si="12"/>
        <v>0</v>
      </c>
      <c r="I24" s="256">
        <f t="shared" si="12"/>
        <v>0</v>
      </c>
      <c r="J24" s="256">
        <f t="shared" si="12"/>
        <v>0</v>
      </c>
      <c r="K24" s="256">
        <f t="shared" si="12"/>
        <v>0</v>
      </c>
      <c r="L24" s="256">
        <f t="shared" si="12"/>
        <v>0</v>
      </c>
      <c r="M24" s="256">
        <f t="shared" si="12"/>
        <v>0</v>
      </c>
      <c r="N24" s="256">
        <f t="shared" si="12"/>
        <v>0</v>
      </c>
      <c r="O24" s="256">
        <f t="shared" si="12"/>
        <v>0</v>
      </c>
      <c r="P24" s="256">
        <f t="shared" si="12"/>
        <v>0</v>
      </c>
      <c r="Q24" s="256">
        <f t="shared" si="12"/>
        <v>0</v>
      </c>
      <c r="R24" s="256">
        <f t="shared" si="12"/>
        <v>0</v>
      </c>
      <c r="S24" s="256">
        <f t="shared" si="12"/>
        <v>0</v>
      </c>
      <c r="T24" s="256">
        <f t="shared" si="12"/>
        <v>0</v>
      </c>
      <c r="U24" s="256">
        <f t="shared" si="12"/>
        <v>0</v>
      </c>
      <c r="V24" s="256">
        <f t="shared" si="12"/>
        <v>0</v>
      </c>
      <c r="W24" s="256">
        <f t="shared" si="12"/>
        <v>0</v>
      </c>
      <c r="X24" s="256">
        <f t="shared" si="12"/>
        <v>0</v>
      </c>
      <c r="Y24" s="256">
        <f t="shared" si="12"/>
        <v>0</v>
      </c>
      <c r="Z24" s="256">
        <f t="shared" si="12"/>
        <v>0</v>
      </c>
      <c r="AA24" s="256">
        <f t="shared" si="12"/>
        <v>0</v>
      </c>
      <c r="AB24" s="256">
        <f t="shared" si="12"/>
        <v>0</v>
      </c>
      <c r="AC24" s="256">
        <f t="shared" si="12"/>
        <v>0</v>
      </c>
      <c r="AD24" s="256">
        <f t="shared" si="12"/>
        <v>0</v>
      </c>
      <c r="AE24" s="256">
        <f t="shared" si="12"/>
        <v>0</v>
      </c>
      <c r="AF24" s="256">
        <f t="shared" si="12"/>
        <v>0</v>
      </c>
      <c r="AG24" s="256">
        <f t="shared" si="12"/>
        <v>0</v>
      </c>
      <c r="AH24" s="256">
        <f t="shared" si="12"/>
        <v>0</v>
      </c>
      <c r="AI24" s="256">
        <f t="shared" si="12"/>
        <v>0</v>
      </c>
      <c r="AJ24" s="256">
        <f t="shared" si="12"/>
        <v>0</v>
      </c>
      <c r="AK24" s="256">
        <f t="shared" si="12"/>
        <v>0</v>
      </c>
      <c r="AL24" s="256">
        <f t="shared" si="12"/>
        <v>0</v>
      </c>
      <c r="AM24" s="256">
        <f t="shared" si="12"/>
        <v>0</v>
      </c>
    </row>
    <row r="25" spans="1:41" x14ac:dyDescent="0.25">
      <c r="A25" s="18"/>
      <c r="B25" s="18"/>
      <c r="C25" s="1127"/>
      <c r="D25" s="20" t="s">
        <v>469</v>
      </c>
      <c r="E25" s="256">
        <f>ROUND(E24/(0.735*24),2)</f>
        <v>0</v>
      </c>
      <c r="F25" s="256">
        <f t="shared" ref="F25:AH25" si="13">ROUND(F24/(0.735*24),2)</f>
        <v>0</v>
      </c>
      <c r="G25" s="256">
        <f t="shared" si="13"/>
        <v>0</v>
      </c>
      <c r="H25" s="256">
        <f t="shared" si="13"/>
        <v>0</v>
      </c>
      <c r="I25" s="256">
        <f t="shared" si="13"/>
        <v>0</v>
      </c>
      <c r="J25" s="256">
        <f t="shared" si="13"/>
        <v>0</v>
      </c>
      <c r="K25" s="256">
        <f t="shared" si="13"/>
        <v>0</v>
      </c>
      <c r="L25" s="256">
        <f t="shared" si="13"/>
        <v>0</v>
      </c>
      <c r="M25" s="256">
        <f t="shared" si="13"/>
        <v>0</v>
      </c>
      <c r="N25" s="256">
        <f t="shared" si="13"/>
        <v>0</v>
      </c>
      <c r="O25" s="256">
        <f t="shared" si="13"/>
        <v>0</v>
      </c>
      <c r="P25" s="256">
        <f t="shared" si="13"/>
        <v>0</v>
      </c>
      <c r="Q25" s="256">
        <f t="shared" si="13"/>
        <v>0</v>
      </c>
      <c r="R25" s="256">
        <f t="shared" si="13"/>
        <v>0</v>
      </c>
      <c r="S25" s="256">
        <f t="shared" si="13"/>
        <v>0</v>
      </c>
      <c r="T25" s="256">
        <f t="shared" si="13"/>
        <v>0</v>
      </c>
      <c r="U25" s="256">
        <f t="shared" si="13"/>
        <v>0</v>
      </c>
      <c r="V25" s="256">
        <f t="shared" si="13"/>
        <v>0</v>
      </c>
      <c r="W25" s="256">
        <f t="shared" si="13"/>
        <v>0</v>
      </c>
      <c r="X25" s="256">
        <f t="shared" si="13"/>
        <v>0</v>
      </c>
      <c r="Y25" s="256">
        <f t="shared" si="13"/>
        <v>0</v>
      </c>
      <c r="Z25" s="256">
        <f t="shared" si="13"/>
        <v>0</v>
      </c>
      <c r="AA25" s="256">
        <f t="shared" si="13"/>
        <v>0</v>
      </c>
      <c r="AB25" s="256">
        <f t="shared" si="13"/>
        <v>0</v>
      </c>
      <c r="AC25" s="256">
        <f t="shared" si="13"/>
        <v>0</v>
      </c>
      <c r="AD25" s="256">
        <f t="shared" si="13"/>
        <v>0</v>
      </c>
      <c r="AE25" s="256">
        <f t="shared" si="13"/>
        <v>0</v>
      </c>
      <c r="AF25" s="256">
        <f t="shared" si="13"/>
        <v>0</v>
      </c>
      <c r="AG25" s="256">
        <f t="shared" si="13"/>
        <v>0</v>
      </c>
      <c r="AH25" s="256">
        <f t="shared" si="13"/>
        <v>0</v>
      </c>
      <c r="AI25" s="256">
        <f t="shared" ref="AI25:AM25" si="14">ROUND(AI24/(0.735*24),2)</f>
        <v>0</v>
      </c>
      <c r="AJ25" s="256">
        <f t="shared" si="14"/>
        <v>0</v>
      </c>
      <c r="AK25" s="256">
        <f t="shared" si="14"/>
        <v>0</v>
      </c>
      <c r="AL25" s="256">
        <f t="shared" si="14"/>
        <v>0</v>
      </c>
      <c r="AM25" s="256">
        <f t="shared" si="14"/>
        <v>0</v>
      </c>
    </row>
    <row r="26" spans="1:41" x14ac:dyDescent="0.25">
      <c r="A26" s="18"/>
      <c r="B26" s="18"/>
      <c r="C26" s="1127"/>
      <c r="D26" s="20" t="s">
        <v>470</v>
      </c>
      <c r="E26" s="256">
        <f t="shared" ref="E26:AM26" si="15">E25/0.8</f>
        <v>0</v>
      </c>
      <c r="F26" s="256">
        <f t="shared" si="15"/>
        <v>0</v>
      </c>
      <c r="G26" s="256">
        <f t="shared" si="15"/>
        <v>0</v>
      </c>
      <c r="H26" s="256">
        <f t="shared" si="15"/>
        <v>0</v>
      </c>
      <c r="I26" s="256">
        <f t="shared" si="15"/>
        <v>0</v>
      </c>
      <c r="J26" s="256">
        <f t="shared" si="15"/>
        <v>0</v>
      </c>
      <c r="K26" s="256">
        <f t="shared" si="15"/>
        <v>0</v>
      </c>
      <c r="L26" s="256">
        <f t="shared" si="15"/>
        <v>0</v>
      </c>
      <c r="M26" s="256">
        <f t="shared" si="15"/>
        <v>0</v>
      </c>
      <c r="N26" s="256">
        <f t="shared" si="15"/>
        <v>0</v>
      </c>
      <c r="O26" s="256">
        <f t="shared" si="15"/>
        <v>0</v>
      </c>
      <c r="P26" s="256">
        <f t="shared" si="15"/>
        <v>0</v>
      </c>
      <c r="Q26" s="256">
        <f t="shared" si="15"/>
        <v>0</v>
      </c>
      <c r="R26" s="256">
        <f t="shared" si="15"/>
        <v>0</v>
      </c>
      <c r="S26" s="256">
        <f t="shared" si="15"/>
        <v>0</v>
      </c>
      <c r="T26" s="256">
        <f t="shared" si="15"/>
        <v>0</v>
      </c>
      <c r="U26" s="256">
        <f t="shared" si="15"/>
        <v>0</v>
      </c>
      <c r="V26" s="256">
        <f t="shared" si="15"/>
        <v>0</v>
      </c>
      <c r="W26" s="256">
        <f t="shared" si="15"/>
        <v>0</v>
      </c>
      <c r="X26" s="256">
        <f t="shared" si="15"/>
        <v>0</v>
      </c>
      <c r="Y26" s="256">
        <f t="shared" si="15"/>
        <v>0</v>
      </c>
      <c r="Z26" s="256">
        <f t="shared" si="15"/>
        <v>0</v>
      </c>
      <c r="AA26" s="256">
        <f t="shared" si="15"/>
        <v>0</v>
      </c>
      <c r="AB26" s="256">
        <f t="shared" si="15"/>
        <v>0</v>
      </c>
      <c r="AC26" s="256">
        <f t="shared" si="15"/>
        <v>0</v>
      </c>
      <c r="AD26" s="256">
        <f t="shared" si="15"/>
        <v>0</v>
      </c>
      <c r="AE26" s="256">
        <f t="shared" si="15"/>
        <v>0</v>
      </c>
      <c r="AF26" s="256">
        <f t="shared" si="15"/>
        <v>0</v>
      </c>
      <c r="AG26" s="256">
        <f t="shared" si="15"/>
        <v>0</v>
      </c>
      <c r="AH26" s="256">
        <f t="shared" si="15"/>
        <v>0</v>
      </c>
      <c r="AI26" s="256">
        <f t="shared" si="15"/>
        <v>0</v>
      </c>
      <c r="AJ26" s="256">
        <f t="shared" si="15"/>
        <v>0</v>
      </c>
      <c r="AK26" s="256">
        <f t="shared" si="15"/>
        <v>0</v>
      </c>
      <c r="AL26" s="256">
        <f t="shared" si="15"/>
        <v>0</v>
      </c>
      <c r="AM26" s="256">
        <f t="shared" si="15"/>
        <v>0</v>
      </c>
    </row>
    <row r="27" spans="1:41" x14ac:dyDescent="0.25">
      <c r="C27" s="1127" t="s">
        <v>4</v>
      </c>
      <c r="D27" s="20" t="s">
        <v>468</v>
      </c>
      <c r="E27" s="256">
        <f t="shared" ref="E27:AM27" si="16">E16/365</f>
        <v>0</v>
      </c>
      <c r="F27" s="256">
        <f t="shared" si="16"/>
        <v>0</v>
      </c>
      <c r="G27" s="256">
        <f t="shared" si="16"/>
        <v>0</v>
      </c>
      <c r="H27" s="256">
        <f t="shared" si="16"/>
        <v>0</v>
      </c>
      <c r="I27" s="256">
        <f t="shared" si="16"/>
        <v>0</v>
      </c>
      <c r="J27" s="256">
        <f t="shared" si="16"/>
        <v>0</v>
      </c>
      <c r="K27" s="256">
        <f t="shared" si="16"/>
        <v>0</v>
      </c>
      <c r="L27" s="256">
        <f t="shared" si="16"/>
        <v>0</v>
      </c>
      <c r="M27" s="256">
        <f t="shared" si="16"/>
        <v>0</v>
      </c>
      <c r="N27" s="256">
        <f t="shared" si="16"/>
        <v>0</v>
      </c>
      <c r="O27" s="256">
        <f t="shared" si="16"/>
        <v>0</v>
      </c>
      <c r="P27" s="256">
        <f t="shared" si="16"/>
        <v>0</v>
      </c>
      <c r="Q27" s="256">
        <f t="shared" si="16"/>
        <v>0</v>
      </c>
      <c r="R27" s="256">
        <f t="shared" si="16"/>
        <v>0</v>
      </c>
      <c r="S27" s="256">
        <f t="shared" si="16"/>
        <v>0</v>
      </c>
      <c r="T27" s="256">
        <f t="shared" si="16"/>
        <v>0</v>
      </c>
      <c r="U27" s="256">
        <f t="shared" si="16"/>
        <v>0</v>
      </c>
      <c r="V27" s="256">
        <f t="shared" si="16"/>
        <v>0</v>
      </c>
      <c r="W27" s="256">
        <f t="shared" si="16"/>
        <v>0</v>
      </c>
      <c r="X27" s="256">
        <f t="shared" si="16"/>
        <v>0</v>
      </c>
      <c r="Y27" s="256">
        <f t="shared" si="16"/>
        <v>0</v>
      </c>
      <c r="Z27" s="256">
        <f t="shared" si="16"/>
        <v>0</v>
      </c>
      <c r="AA27" s="256">
        <f t="shared" si="16"/>
        <v>0</v>
      </c>
      <c r="AB27" s="256">
        <f t="shared" si="16"/>
        <v>0</v>
      </c>
      <c r="AC27" s="256">
        <f t="shared" si="16"/>
        <v>0</v>
      </c>
      <c r="AD27" s="256">
        <f t="shared" si="16"/>
        <v>0</v>
      </c>
      <c r="AE27" s="256">
        <f t="shared" si="16"/>
        <v>0</v>
      </c>
      <c r="AF27" s="256">
        <f t="shared" si="16"/>
        <v>0</v>
      </c>
      <c r="AG27" s="256">
        <f t="shared" si="16"/>
        <v>0</v>
      </c>
      <c r="AH27" s="256">
        <f t="shared" si="16"/>
        <v>0</v>
      </c>
      <c r="AI27" s="256">
        <f t="shared" si="16"/>
        <v>0</v>
      </c>
      <c r="AJ27" s="256">
        <f t="shared" si="16"/>
        <v>0</v>
      </c>
      <c r="AK27" s="256">
        <f t="shared" si="16"/>
        <v>0</v>
      </c>
      <c r="AL27" s="256">
        <f t="shared" si="16"/>
        <v>0</v>
      </c>
      <c r="AM27" s="256">
        <f t="shared" si="16"/>
        <v>0</v>
      </c>
    </row>
    <row r="28" spans="1:41" x14ac:dyDescent="0.25">
      <c r="C28" s="1127"/>
      <c r="D28" s="20" t="s">
        <v>469</v>
      </c>
      <c r="E28" s="256">
        <f>ROUND(E27/(0.735*24),2)</f>
        <v>0</v>
      </c>
      <c r="F28" s="256">
        <f t="shared" ref="F28:AH28" si="17">ROUND(F27/(0.735*24),2)</f>
        <v>0</v>
      </c>
      <c r="G28" s="256">
        <f t="shared" si="17"/>
        <v>0</v>
      </c>
      <c r="H28" s="256">
        <f t="shared" si="17"/>
        <v>0</v>
      </c>
      <c r="I28" s="256">
        <f t="shared" si="17"/>
        <v>0</v>
      </c>
      <c r="J28" s="256">
        <f t="shared" si="17"/>
        <v>0</v>
      </c>
      <c r="K28" s="256">
        <f t="shared" si="17"/>
        <v>0</v>
      </c>
      <c r="L28" s="256">
        <f t="shared" si="17"/>
        <v>0</v>
      </c>
      <c r="M28" s="256">
        <f t="shared" si="17"/>
        <v>0</v>
      </c>
      <c r="N28" s="256">
        <f t="shared" si="17"/>
        <v>0</v>
      </c>
      <c r="O28" s="256">
        <f t="shared" si="17"/>
        <v>0</v>
      </c>
      <c r="P28" s="256">
        <f t="shared" si="17"/>
        <v>0</v>
      </c>
      <c r="Q28" s="256">
        <f t="shared" si="17"/>
        <v>0</v>
      </c>
      <c r="R28" s="256">
        <f t="shared" si="17"/>
        <v>0</v>
      </c>
      <c r="S28" s="256">
        <f t="shared" si="17"/>
        <v>0</v>
      </c>
      <c r="T28" s="256">
        <f t="shared" si="17"/>
        <v>0</v>
      </c>
      <c r="U28" s="256">
        <f t="shared" si="17"/>
        <v>0</v>
      </c>
      <c r="V28" s="256">
        <f t="shared" si="17"/>
        <v>0</v>
      </c>
      <c r="W28" s="256">
        <f t="shared" si="17"/>
        <v>0</v>
      </c>
      <c r="X28" s="256">
        <f t="shared" si="17"/>
        <v>0</v>
      </c>
      <c r="Y28" s="256">
        <f t="shared" si="17"/>
        <v>0</v>
      </c>
      <c r="Z28" s="256">
        <f t="shared" si="17"/>
        <v>0</v>
      </c>
      <c r="AA28" s="256">
        <f t="shared" si="17"/>
        <v>0</v>
      </c>
      <c r="AB28" s="256">
        <f t="shared" si="17"/>
        <v>0</v>
      </c>
      <c r="AC28" s="256">
        <f t="shared" si="17"/>
        <v>0</v>
      </c>
      <c r="AD28" s="256">
        <f t="shared" si="17"/>
        <v>0</v>
      </c>
      <c r="AE28" s="256">
        <f t="shared" si="17"/>
        <v>0</v>
      </c>
      <c r="AF28" s="256">
        <f t="shared" si="17"/>
        <v>0</v>
      </c>
      <c r="AG28" s="256">
        <f t="shared" si="17"/>
        <v>0</v>
      </c>
      <c r="AH28" s="256">
        <f t="shared" si="17"/>
        <v>0</v>
      </c>
      <c r="AI28" s="256">
        <f t="shared" ref="AI28:AM28" si="18">ROUND(AI27/(0.735*24),2)</f>
        <v>0</v>
      </c>
      <c r="AJ28" s="256">
        <f t="shared" si="18"/>
        <v>0</v>
      </c>
      <c r="AK28" s="256">
        <f t="shared" si="18"/>
        <v>0</v>
      </c>
      <c r="AL28" s="256">
        <f t="shared" si="18"/>
        <v>0</v>
      </c>
      <c r="AM28" s="256">
        <f t="shared" si="18"/>
        <v>0</v>
      </c>
    </row>
    <row r="29" spans="1:41" x14ac:dyDescent="0.25">
      <c r="C29" s="1127"/>
      <c r="D29" s="20" t="s">
        <v>470</v>
      </c>
      <c r="E29" s="256">
        <f t="shared" ref="E29:P29" si="19">E28/0.8</f>
        <v>0</v>
      </c>
      <c r="F29" s="256">
        <f t="shared" si="19"/>
        <v>0</v>
      </c>
      <c r="G29" s="256">
        <f t="shared" si="19"/>
        <v>0</v>
      </c>
      <c r="H29" s="256">
        <f t="shared" si="19"/>
        <v>0</v>
      </c>
      <c r="I29" s="256">
        <f t="shared" si="19"/>
        <v>0</v>
      </c>
      <c r="J29" s="256">
        <f t="shared" si="19"/>
        <v>0</v>
      </c>
      <c r="K29" s="256">
        <f t="shared" si="19"/>
        <v>0</v>
      </c>
      <c r="L29" s="256">
        <f t="shared" si="19"/>
        <v>0</v>
      </c>
      <c r="M29" s="256">
        <f t="shared" si="19"/>
        <v>0</v>
      </c>
      <c r="N29" s="256">
        <f t="shared" si="19"/>
        <v>0</v>
      </c>
      <c r="O29" s="256">
        <f t="shared" si="19"/>
        <v>0</v>
      </c>
      <c r="P29" s="256">
        <f t="shared" si="19"/>
        <v>0</v>
      </c>
      <c r="Q29" s="256">
        <f>Q28/0.8</f>
        <v>0</v>
      </c>
      <c r="R29" s="256">
        <f t="shared" ref="R29:AH29" si="20">R28/0.8</f>
        <v>0</v>
      </c>
      <c r="S29" s="256">
        <f t="shared" si="20"/>
        <v>0</v>
      </c>
      <c r="T29" s="256">
        <f t="shared" si="20"/>
        <v>0</v>
      </c>
      <c r="U29" s="256">
        <f t="shared" si="20"/>
        <v>0</v>
      </c>
      <c r="V29" s="256">
        <f t="shared" si="20"/>
        <v>0</v>
      </c>
      <c r="W29" s="256">
        <f t="shared" si="20"/>
        <v>0</v>
      </c>
      <c r="X29" s="256">
        <f t="shared" si="20"/>
        <v>0</v>
      </c>
      <c r="Y29" s="256">
        <f t="shared" si="20"/>
        <v>0</v>
      </c>
      <c r="Z29" s="256">
        <f t="shared" si="20"/>
        <v>0</v>
      </c>
      <c r="AA29" s="256">
        <f t="shared" si="20"/>
        <v>0</v>
      </c>
      <c r="AB29" s="256">
        <f t="shared" si="20"/>
        <v>0</v>
      </c>
      <c r="AC29" s="256">
        <f t="shared" si="20"/>
        <v>0</v>
      </c>
      <c r="AD29" s="256">
        <f t="shared" si="20"/>
        <v>0</v>
      </c>
      <c r="AE29" s="256">
        <f t="shared" si="20"/>
        <v>0</v>
      </c>
      <c r="AF29" s="256">
        <f t="shared" si="20"/>
        <v>0</v>
      </c>
      <c r="AG29" s="256">
        <f t="shared" si="20"/>
        <v>0</v>
      </c>
      <c r="AH29" s="256">
        <f t="shared" si="20"/>
        <v>0</v>
      </c>
      <c r="AI29" s="256">
        <f t="shared" ref="AI29:AM29" si="21">AI28/0.8</f>
        <v>0</v>
      </c>
      <c r="AJ29" s="256">
        <f t="shared" si="21"/>
        <v>0</v>
      </c>
      <c r="AK29" s="256">
        <f t="shared" si="21"/>
        <v>0</v>
      </c>
      <c r="AL29" s="256">
        <f t="shared" si="21"/>
        <v>0</v>
      </c>
      <c r="AM29" s="256">
        <f t="shared" si="21"/>
        <v>0</v>
      </c>
      <c r="AN29" s="419" t="e">
        <f>52/AM29</f>
        <v>#DIV/0!</v>
      </c>
      <c r="AO29" s="77">
        <f>AM29-52</f>
        <v>-52</v>
      </c>
    </row>
    <row r="30" spans="1:41" ht="15.75" thickBot="1" x14ac:dyDescent="0.3"/>
    <row r="31" spans="1:41" ht="15.75" thickBot="1" x14ac:dyDescent="0.3">
      <c r="C31" s="1164" t="s">
        <v>881</v>
      </c>
      <c r="D31" s="1165"/>
      <c r="E31" s="129">
        <f t="shared" ref="E31:AM31" si="22">E6</f>
        <v>1</v>
      </c>
      <c r="F31" s="31">
        <f t="shared" si="22"/>
        <v>2</v>
      </c>
      <c r="G31" s="31">
        <f t="shared" si="22"/>
        <v>3</v>
      </c>
      <c r="H31" s="31">
        <f t="shared" si="22"/>
        <v>4</v>
      </c>
      <c r="I31" s="31">
        <f t="shared" si="22"/>
        <v>5</v>
      </c>
      <c r="J31" s="31">
        <f t="shared" si="22"/>
        <v>6</v>
      </c>
      <c r="K31" s="31">
        <f t="shared" si="22"/>
        <v>7</v>
      </c>
      <c r="L31" s="31">
        <f t="shared" si="22"/>
        <v>8</v>
      </c>
      <c r="M31" s="31">
        <f t="shared" si="22"/>
        <v>9</v>
      </c>
      <c r="N31" s="31">
        <f t="shared" si="22"/>
        <v>10</v>
      </c>
      <c r="O31" s="31">
        <f t="shared" si="22"/>
        <v>11</v>
      </c>
      <c r="P31" s="31">
        <f t="shared" si="22"/>
        <v>12</v>
      </c>
      <c r="Q31" s="31">
        <f t="shared" si="22"/>
        <v>13</v>
      </c>
      <c r="R31" s="31">
        <f t="shared" si="22"/>
        <v>14</v>
      </c>
      <c r="S31" s="31">
        <f t="shared" si="22"/>
        <v>15</v>
      </c>
      <c r="T31" s="31">
        <f t="shared" si="22"/>
        <v>16</v>
      </c>
      <c r="U31" s="31">
        <f t="shared" si="22"/>
        <v>17</v>
      </c>
      <c r="V31" s="31">
        <f t="shared" si="22"/>
        <v>18</v>
      </c>
      <c r="W31" s="31">
        <f t="shared" si="22"/>
        <v>19</v>
      </c>
      <c r="X31" s="31">
        <f t="shared" si="22"/>
        <v>20</v>
      </c>
      <c r="Y31" s="31">
        <f t="shared" si="22"/>
        <v>21</v>
      </c>
      <c r="Z31" s="31">
        <f t="shared" si="22"/>
        <v>22</v>
      </c>
      <c r="AA31" s="31">
        <f t="shared" si="22"/>
        <v>23</v>
      </c>
      <c r="AB31" s="31">
        <f t="shared" si="22"/>
        <v>24</v>
      </c>
      <c r="AC31" s="31">
        <f t="shared" si="22"/>
        <v>25</v>
      </c>
      <c r="AD31" s="31">
        <f t="shared" si="22"/>
        <v>26</v>
      </c>
      <c r="AE31" s="31">
        <f t="shared" si="22"/>
        <v>27</v>
      </c>
      <c r="AF31" s="31">
        <f t="shared" si="22"/>
        <v>28</v>
      </c>
      <c r="AG31" s="31">
        <f t="shared" si="22"/>
        <v>29</v>
      </c>
      <c r="AH31" s="31">
        <f t="shared" si="22"/>
        <v>30</v>
      </c>
      <c r="AI31" s="31">
        <f t="shared" si="22"/>
        <v>31</v>
      </c>
      <c r="AJ31" s="31">
        <f t="shared" si="22"/>
        <v>32</v>
      </c>
      <c r="AK31" s="31">
        <f t="shared" si="22"/>
        <v>33</v>
      </c>
      <c r="AL31" s="31">
        <f t="shared" si="22"/>
        <v>34</v>
      </c>
      <c r="AM31" s="31">
        <f t="shared" si="22"/>
        <v>35</v>
      </c>
    </row>
    <row r="32" spans="1:41" x14ac:dyDescent="0.25">
      <c r="C32" s="1162" t="e">
        <f>E42</f>
        <v>#DIV/0!</v>
      </c>
      <c r="D32" s="1163"/>
      <c r="E32" s="130">
        <f t="shared" ref="E32:AM32" si="23">E7</f>
        <v>2027</v>
      </c>
      <c r="F32" s="131">
        <f t="shared" si="23"/>
        <v>2028</v>
      </c>
      <c r="G32" s="131">
        <f t="shared" si="23"/>
        <v>2029</v>
      </c>
      <c r="H32" s="131">
        <f t="shared" si="23"/>
        <v>2030</v>
      </c>
      <c r="I32" s="131">
        <f t="shared" si="23"/>
        <v>2031</v>
      </c>
      <c r="J32" s="131">
        <f t="shared" si="23"/>
        <v>2032</v>
      </c>
      <c r="K32" s="131">
        <f t="shared" si="23"/>
        <v>2033</v>
      </c>
      <c r="L32" s="131">
        <f t="shared" si="23"/>
        <v>2034</v>
      </c>
      <c r="M32" s="131">
        <f t="shared" si="23"/>
        <v>2035</v>
      </c>
      <c r="N32" s="131">
        <f t="shared" si="23"/>
        <v>2036</v>
      </c>
      <c r="O32" s="131">
        <f t="shared" si="23"/>
        <v>2037</v>
      </c>
      <c r="P32" s="131">
        <f t="shared" si="23"/>
        <v>2038</v>
      </c>
      <c r="Q32" s="131">
        <f t="shared" si="23"/>
        <v>2039</v>
      </c>
      <c r="R32" s="131">
        <f t="shared" si="23"/>
        <v>2040</v>
      </c>
      <c r="S32" s="131">
        <f t="shared" si="23"/>
        <v>2041</v>
      </c>
      <c r="T32" s="131">
        <f t="shared" si="23"/>
        <v>2042</v>
      </c>
      <c r="U32" s="131">
        <f t="shared" si="23"/>
        <v>2043</v>
      </c>
      <c r="V32" s="131">
        <f t="shared" si="23"/>
        <v>2044</v>
      </c>
      <c r="W32" s="131">
        <f t="shared" si="23"/>
        <v>2045</v>
      </c>
      <c r="X32" s="131">
        <f t="shared" si="23"/>
        <v>2046</v>
      </c>
      <c r="Y32" s="131">
        <f t="shared" si="23"/>
        <v>2047</v>
      </c>
      <c r="Z32" s="131">
        <f t="shared" si="23"/>
        <v>2048</v>
      </c>
      <c r="AA32" s="131">
        <f t="shared" si="23"/>
        <v>2049</v>
      </c>
      <c r="AB32" s="131">
        <f t="shared" si="23"/>
        <v>2050</v>
      </c>
      <c r="AC32" s="131">
        <f t="shared" si="23"/>
        <v>2051</v>
      </c>
      <c r="AD32" s="131">
        <f t="shared" si="23"/>
        <v>2052</v>
      </c>
      <c r="AE32" s="131">
        <f t="shared" si="23"/>
        <v>2053</v>
      </c>
      <c r="AF32" s="131">
        <f t="shared" si="23"/>
        <v>2054</v>
      </c>
      <c r="AG32" s="131">
        <f t="shared" si="23"/>
        <v>2055</v>
      </c>
      <c r="AH32" s="131">
        <f t="shared" si="23"/>
        <v>2056</v>
      </c>
      <c r="AI32" s="131">
        <f t="shared" si="23"/>
        <v>2057</v>
      </c>
      <c r="AJ32" s="131">
        <f t="shared" si="23"/>
        <v>2058</v>
      </c>
      <c r="AK32" s="131">
        <f t="shared" si="23"/>
        <v>2059</v>
      </c>
      <c r="AL32" s="131">
        <f t="shared" si="23"/>
        <v>2060</v>
      </c>
      <c r="AM32" s="131">
        <f t="shared" si="23"/>
        <v>2061</v>
      </c>
    </row>
    <row r="33" spans="3:41" x14ac:dyDescent="0.25">
      <c r="C33" s="1127" t="s">
        <v>3</v>
      </c>
      <c r="D33" s="1127"/>
      <c r="E33" s="152" t="e">
        <f>(E26*$C$32)</f>
        <v>#DIV/0!</v>
      </c>
      <c r="F33" s="152" t="e">
        <f t="shared" ref="F33:AM33" si="24">(F26*$C$32)</f>
        <v>#DIV/0!</v>
      </c>
      <c r="G33" s="152" t="e">
        <f t="shared" si="24"/>
        <v>#DIV/0!</v>
      </c>
      <c r="H33" s="152" t="e">
        <f t="shared" si="24"/>
        <v>#DIV/0!</v>
      </c>
      <c r="I33" s="152" t="e">
        <f t="shared" si="24"/>
        <v>#DIV/0!</v>
      </c>
      <c r="J33" s="152" t="e">
        <f t="shared" si="24"/>
        <v>#DIV/0!</v>
      </c>
      <c r="K33" s="152" t="e">
        <f t="shared" si="24"/>
        <v>#DIV/0!</v>
      </c>
      <c r="L33" s="152" t="e">
        <f t="shared" si="24"/>
        <v>#DIV/0!</v>
      </c>
      <c r="M33" s="152" t="e">
        <f t="shared" si="24"/>
        <v>#DIV/0!</v>
      </c>
      <c r="N33" s="152" t="e">
        <f t="shared" si="24"/>
        <v>#DIV/0!</v>
      </c>
      <c r="O33" s="152" t="e">
        <f t="shared" si="24"/>
        <v>#DIV/0!</v>
      </c>
      <c r="P33" s="152" t="e">
        <f t="shared" si="24"/>
        <v>#DIV/0!</v>
      </c>
      <c r="Q33" s="152" t="e">
        <f t="shared" si="24"/>
        <v>#DIV/0!</v>
      </c>
      <c r="R33" s="152" t="e">
        <f t="shared" si="24"/>
        <v>#DIV/0!</v>
      </c>
      <c r="S33" s="152" t="e">
        <f t="shared" si="24"/>
        <v>#DIV/0!</v>
      </c>
      <c r="T33" s="152" t="e">
        <f t="shared" si="24"/>
        <v>#DIV/0!</v>
      </c>
      <c r="U33" s="152" t="e">
        <f t="shared" si="24"/>
        <v>#DIV/0!</v>
      </c>
      <c r="V33" s="152" t="e">
        <f t="shared" si="24"/>
        <v>#DIV/0!</v>
      </c>
      <c r="W33" s="152" t="e">
        <f t="shared" si="24"/>
        <v>#DIV/0!</v>
      </c>
      <c r="X33" s="152" t="e">
        <f t="shared" si="24"/>
        <v>#DIV/0!</v>
      </c>
      <c r="Y33" s="152" t="e">
        <f t="shared" si="24"/>
        <v>#DIV/0!</v>
      </c>
      <c r="Z33" s="152" t="e">
        <f t="shared" si="24"/>
        <v>#DIV/0!</v>
      </c>
      <c r="AA33" s="152" t="e">
        <f t="shared" si="24"/>
        <v>#DIV/0!</v>
      </c>
      <c r="AB33" s="152" t="e">
        <f t="shared" si="24"/>
        <v>#DIV/0!</v>
      </c>
      <c r="AC33" s="152" t="e">
        <f t="shared" si="24"/>
        <v>#DIV/0!</v>
      </c>
      <c r="AD33" s="152" t="e">
        <f t="shared" si="24"/>
        <v>#DIV/0!</v>
      </c>
      <c r="AE33" s="152" t="e">
        <f t="shared" si="24"/>
        <v>#DIV/0!</v>
      </c>
      <c r="AF33" s="152" t="e">
        <f t="shared" si="24"/>
        <v>#DIV/0!</v>
      </c>
      <c r="AG33" s="152" t="e">
        <f t="shared" si="24"/>
        <v>#DIV/0!</v>
      </c>
      <c r="AH33" s="152" t="e">
        <f t="shared" si="24"/>
        <v>#DIV/0!</v>
      </c>
      <c r="AI33" s="152" t="e">
        <f t="shared" si="24"/>
        <v>#DIV/0!</v>
      </c>
      <c r="AJ33" s="152" t="e">
        <f t="shared" si="24"/>
        <v>#DIV/0!</v>
      </c>
      <c r="AK33" s="152" t="e">
        <f t="shared" si="24"/>
        <v>#DIV/0!</v>
      </c>
      <c r="AL33" s="152" t="e">
        <f t="shared" si="24"/>
        <v>#DIV/0!</v>
      </c>
      <c r="AM33" s="152" t="e">
        <f t="shared" si="24"/>
        <v>#DIV/0!</v>
      </c>
    </row>
    <row r="34" spans="3:41" x14ac:dyDescent="0.25">
      <c r="C34" s="1166" t="s">
        <v>4</v>
      </c>
      <c r="D34" s="1166"/>
      <c r="E34" s="152" t="e">
        <f>E29*$C$32</f>
        <v>#DIV/0!</v>
      </c>
      <c r="F34" s="152" t="e">
        <f t="shared" ref="F34:AM34" si="25">F29*$C$32</f>
        <v>#DIV/0!</v>
      </c>
      <c r="G34" s="152" t="e">
        <f t="shared" si="25"/>
        <v>#DIV/0!</v>
      </c>
      <c r="H34" s="152" t="e">
        <f t="shared" si="25"/>
        <v>#DIV/0!</v>
      </c>
      <c r="I34" s="152" t="e">
        <f t="shared" si="25"/>
        <v>#DIV/0!</v>
      </c>
      <c r="J34" s="152" t="e">
        <f t="shared" si="25"/>
        <v>#DIV/0!</v>
      </c>
      <c r="K34" s="152" t="e">
        <f t="shared" si="25"/>
        <v>#DIV/0!</v>
      </c>
      <c r="L34" s="152" t="e">
        <f t="shared" si="25"/>
        <v>#DIV/0!</v>
      </c>
      <c r="M34" s="152" t="e">
        <f t="shared" si="25"/>
        <v>#DIV/0!</v>
      </c>
      <c r="N34" s="152" t="e">
        <f t="shared" si="25"/>
        <v>#DIV/0!</v>
      </c>
      <c r="O34" s="152" t="e">
        <f t="shared" si="25"/>
        <v>#DIV/0!</v>
      </c>
      <c r="P34" s="152" t="e">
        <f t="shared" si="25"/>
        <v>#DIV/0!</v>
      </c>
      <c r="Q34" s="152" t="e">
        <f t="shared" si="25"/>
        <v>#DIV/0!</v>
      </c>
      <c r="R34" s="152" t="e">
        <f t="shared" si="25"/>
        <v>#DIV/0!</v>
      </c>
      <c r="S34" s="152" t="e">
        <f t="shared" si="25"/>
        <v>#DIV/0!</v>
      </c>
      <c r="T34" s="152" t="e">
        <f t="shared" si="25"/>
        <v>#DIV/0!</v>
      </c>
      <c r="U34" s="152" t="e">
        <f t="shared" si="25"/>
        <v>#DIV/0!</v>
      </c>
      <c r="V34" s="152" t="e">
        <f t="shared" si="25"/>
        <v>#DIV/0!</v>
      </c>
      <c r="W34" s="152" t="e">
        <f t="shared" si="25"/>
        <v>#DIV/0!</v>
      </c>
      <c r="X34" s="152" t="e">
        <f t="shared" si="25"/>
        <v>#DIV/0!</v>
      </c>
      <c r="Y34" s="152" t="e">
        <f t="shared" si="25"/>
        <v>#DIV/0!</v>
      </c>
      <c r="Z34" s="152" t="e">
        <f t="shared" si="25"/>
        <v>#DIV/0!</v>
      </c>
      <c r="AA34" s="152" t="e">
        <f t="shared" si="25"/>
        <v>#DIV/0!</v>
      </c>
      <c r="AB34" s="152" t="e">
        <f t="shared" si="25"/>
        <v>#DIV/0!</v>
      </c>
      <c r="AC34" s="152" t="e">
        <f t="shared" si="25"/>
        <v>#DIV/0!</v>
      </c>
      <c r="AD34" s="152" t="e">
        <f t="shared" si="25"/>
        <v>#DIV/0!</v>
      </c>
      <c r="AE34" s="152" t="e">
        <f t="shared" si="25"/>
        <v>#DIV/0!</v>
      </c>
      <c r="AF34" s="152" t="e">
        <f t="shared" si="25"/>
        <v>#DIV/0!</v>
      </c>
      <c r="AG34" s="152" t="e">
        <f t="shared" si="25"/>
        <v>#DIV/0!</v>
      </c>
      <c r="AH34" s="152" t="e">
        <f t="shared" si="25"/>
        <v>#DIV/0!</v>
      </c>
      <c r="AI34" s="152" t="e">
        <f t="shared" si="25"/>
        <v>#DIV/0!</v>
      </c>
      <c r="AJ34" s="152" t="e">
        <f t="shared" si="25"/>
        <v>#DIV/0!</v>
      </c>
      <c r="AK34" s="152" t="e">
        <f t="shared" si="25"/>
        <v>#DIV/0!</v>
      </c>
      <c r="AL34" s="152" t="e">
        <f t="shared" si="25"/>
        <v>#DIV/0!</v>
      </c>
      <c r="AM34" s="152" t="e">
        <f t="shared" si="25"/>
        <v>#DIV/0!</v>
      </c>
    </row>
    <row r="35" spans="3:41" x14ac:dyDescent="0.25">
      <c r="C35" s="1161" t="s">
        <v>513</v>
      </c>
      <c r="D35" s="1161"/>
      <c r="E35" s="152" t="e">
        <f>E33+E34</f>
        <v>#DIV/0!</v>
      </c>
      <c r="F35" s="152" t="e">
        <f t="shared" ref="F35:AM35" si="26">F33+F34</f>
        <v>#DIV/0!</v>
      </c>
      <c r="G35" s="152" t="e">
        <f t="shared" si="26"/>
        <v>#DIV/0!</v>
      </c>
      <c r="H35" s="152" t="e">
        <f t="shared" si="26"/>
        <v>#DIV/0!</v>
      </c>
      <c r="I35" s="152" t="e">
        <f t="shared" si="26"/>
        <v>#DIV/0!</v>
      </c>
      <c r="J35" s="152" t="e">
        <f t="shared" si="26"/>
        <v>#DIV/0!</v>
      </c>
      <c r="K35" s="152" t="e">
        <f t="shared" si="26"/>
        <v>#DIV/0!</v>
      </c>
      <c r="L35" s="152" t="e">
        <f t="shared" si="26"/>
        <v>#DIV/0!</v>
      </c>
      <c r="M35" s="152" t="e">
        <f t="shared" si="26"/>
        <v>#DIV/0!</v>
      </c>
      <c r="N35" s="152" t="e">
        <f t="shared" si="26"/>
        <v>#DIV/0!</v>
      </c>
      <c r="O35" s="152" t="e">
        <f t="shared" si="26"/>
        <v>#DIV/0!</v>
      </c>
      <c r="P35" s="152" t="e">
        <f t="shared" si="26"/>
        <v>#DIV/0!</v>
      </c>
      <c r="Q35" s="152" t="e">
        <f t="shared" si="26"/>
        <v>#DIV/0!</v>
      </c>
      <c r="R35" s="152" t="e">
        <f t="shared" si="26"/>
        <v>#DIV/0!</v>
      </c>
      <c r="S35" s="152" t="e">
        <f t="shared" si="26"/>
        <v>#DIV/0!</v>
      </c>
      <c r="T35" s="152" t="e">
        <f t="shared" si="26"/>
        <v>#DIV/0!</v>
      </c>
      <c r="U35" s="152" t="e">
        <f t="shared" si="26"/>
        <v>#DIV/0!</v>
      </c>
      <c r="V35" s="152" t="e">
        <f t="shared" si="26"/>
        <v>#DIV/0!</v>
      </c>
      <c r="W35" s="152" t="e">
        <f t="shared" si="26"/>
        <v>#DIV/0!</v>
      </c>
      <c r="X35" s="152" t="e">
        <f t="shared" si="26"/>
        <v>#DIV/0!</v>
      </c>
      <c r="Y35" s="152" t="e">
        <f t="shared" si="26"/>
        <v>#DIV/0!</v>
      </c>
      <c r="Z35" s="152" t="e">
        <f t="shared" si="26"/>
        <v>#DIV/0!</v>
      </c>
      <c r="AA35" s="152" t="e">
        <f t="shared" si="26"/>
        <v>#DIV/0!</v>
      </c>
      <c r="AB35" s="152" t="e">
        <f t="shared" si="26"/>
        <v>#DIV/0!</v>
      </c>
      <c r="AC35" s="152" t="e">
        <f t="shared" si="26"/>
        <v>#DIV/0!</v>
      </c>
      <c r="AD35" s="152" t="e">
        <f t="shared" si="26"/>
        <v>#DIV/0!</v>
      </c>
      <c r="AE35" s="152" t="e">
        <f t="shared" si="26"/>
        <v>#DIV/0!</v>
      </c>
      <c r="AF35" s="152" t="e">
        <f t="shared" si="26"/>
        <v>#DIV/0!</v>
      </c>
      <c r="AG35" s="152" t="e">
        <f t="shared" si="26"/>
        <v>#DIV/0!</v>
      </c>
      <c r="AH35" s="152" t="e">
        <f t="shared" si="26"/>
        <v>#DIV/0!</v>
      </c>
      <c r="AI35" s="152" t="e">
        <f t="shared" si="26"/>
        <v>#DIV/0!</v>
      </c>
      <c r="AJ35" s="152" t="e">
        <f t="shared" si="26"/>
        <v>#DIV/0!</v>
      </c>
      <c r="AK35" s="152" t="e">
        <f t="shared" si="26"/>
        <v>#DIV/0!</v>
      </c>
      <c r="AL35" s="152" t="e">
        <f t="shared" si="26"/>
        <v>#DIV/0!</v>
      </c>
      <c r="AM35" s="152" t="e">
        <f t="shared" si="26"/>
        <v>#DIV/0!</v>
      </c>
      <c r="AO35" s="71" t="e">
        <f>SUM(E35:AN35)</f>
        <v>#DIV/0!</v>
      </c>
    </row>
    <row r="36" spans="3:41" x14ac:dyDescent="0.25">
      <c r="E36" s="71"/>
      <c r="F36" s="71"/>
      <c r="G36" s="71"/>
      <c r="H36" s="71"/>
      <c r="I36" s="71"/>
      <c r="J36" s="71"/>
      <c r="K36" s="71"/>
      <c r="L36" s="71"/>
      <c r="M36" s="71"/>
      <c r="N36" s="71"/>
      <c r="O36" s="71"/>
      <c r="P36" s="71"/>
      <c r="Q36" s="71"/>
      <c r="R36" s="71"/>
      <c r="S36" s="71"/>
      <c r="T36" s="71"/>
      <c r="U36" s="71"/>
      <c r="V36" s="71"/>
      <c r="W36" s="71"/>
      <c r="X36" s="71"/>
      <c r="Y36" s="71"/>
      <c r="Z36" s="71"/>
      <c r="AA36" s="71"/>
      <c r="AB36" s="71"/>
      <c r="AC36" s="71"/>
      <c r="AD36" s="71"/>
      <c r="AE36" s="71"/>
      <c r="AF36" s="71"/>
      <c r="AG36" s="71"/>
      <c r="AH36" s="71"/>
      <c r="AI36" s="71"/>
      <c r="AJ36" s="71"/>
      <c r="AK36" s="71"/>
      <c r="AL36" s="71"/>
      <c r="AM36" s="71"/>
    </row>
    <row r="37" spans="3:41" x14ac:dyDescent="0.25">
      <c r="C37" s="4" t="s">
        <v>876</v>
      </c>
      <c r="D37" s="4"/>
      <c r="E37" s="761">
        <f>SUM(E26:AM26)/35</f>
        <v>0</v>
      </c>
    </row>
    <row r="38" spans="3:41" x14ac:dyDescent="0.25">
      <c r="C38" s="4" t="s">
        <v>879</v>
      </c>
      <c r="D38" s="4"/>
      <c r="E38" s="761">
        <f>SUM(E29:AM29)/35</f>
        <v>0</v>
      </c>
    </row>
    <row r="39" spans="3:41" x14ac:dyDescent="0.25">
      <c r="C39" s="4" t="s">
        <v>877</v>
      </c>
      <c r="D39" s="4"/>
      <c r="E39" s="762">
        <f>SUM(E22:AM22)/35</f>
        <v>0</v>
      </c>
    </row>
    <row r="40" spans="3:41" x14ac:dyDescent="0.25">
      <c r="C40" s="4" t="s">
        <v>880</v>
      </c>
      <c r="D40" s="4"/>
      <c r="E40" s="762" t="e">
        <f>E39/(E37+E38)</f>
        <v>#DIV/0!</v>
      </c>
    </row>
    <row r="41" spans="3:41" x14ac:dyDescent="0.25">
      <c r="C41" s="265" t="s">
        <v>878</v>
      </c>
      <c r="D41" s="266"/>
      <c r="E41" s="763"/>
      <c r="G41" s="760"/>
    </row>
    <row r="42" spans="3:41" x14ac:dyDescent="0.25">
      <c r="C42" s="4" t="s">
        <v>881</v>
      </c>
      <c r="D42" s="4"/>
      <c r="E42" s="762" t="e">
        <f>ROUND(E40*E41,6)</f>
        <v>#DIV/0!</v>
      </c>
      <c r="F42" s="43"/>
    </row>
  </sheetData>
  <mergeCells count="15">
    <mergeCell ref="C35:D35"/>
    <mergeCell ref="C32:D32"/>
    <mergeCell ref="C31:D31"/>
    <mergeCell ref="C33:D33"/>
    <mergeCell ref="C34:D34"/>
    <mergeCell ref="C24:C26"/>
    <mergeCell ref="C27:C29"/>
    <mergeCell ref="B1:F1"/>
    <mergeCell ref="B8:B13"/>
    <mergeCell ref="B14:B19"/>
    <mergeCell ref="B22:D22"/>
    <mergeCell ref="B20:D20"/>
    <mergeCell ref="D6:D7"/>
    <mergeCell ref="B6:C7"/>
    <mergeCell ref="B21:D21"/>
  </mergeCells>
  <phoneticPr fontId="2" type="noConversion"/>
  <pageMargins left="0.511811024" right="0.511811024" top="0.78740157499999996" bottom="0.78740157499999996" header="0.31496062000000002" footer="0.31496062000000002"/>
  <pageSetup paperSize="8" scale="37" fitToHeight="0"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P31"/>
  <sheetViews>
    <sheetView showGridLines="0" workbookViewId="0">
      <selection activeCell="E19" sqref="E19:AM19"/>
    </sheetView>
  </sheetViews>
  <sheetFormatPr defaultRowHeight="15" x14ac:dyDescent="0.25"/>
  <cols>
    <col min="1" max="1" width="14.85546875" bestFit="1" customWidth="1"/>
    <col min="2" max="2" width="6.5703125" customWidth="1"/>
    <col min="3" max="3" width="33" customWidth="1"/>
    <col min="4" max="4" width="14.140625" customWidth="1"/>
    <col min="5" max="34" width="15.7109375" customWidth="1"/>
    <col min="35" max="39" width="13.5703125" bestFit="1" customWidth="1"/>
    <col min="40" max="41" width="16.85546875" bestFit="1" customWidth="1"/>
    <col min="42" max="42" width="18" bestFit="1" customWidth="1"/>
  </cols>
  <sheetData>
    <row r="1" spans="1:41" x14ac:dyDescent="0.25">
      <c r="A1" s="309" t="s">
        <v>520</v>
      </c>
      <c r="G1" s="66"/>
    </row>
    <row r="2" spans="1:41" x14ac:dyDescent="0.25">
      <c r="A2" s="145" t="s">
        <v>526</v>
      </c>
      <c r="B2" s="76"/>
      <c r="C2" s="76" t="s">
        <v>320</v>
      </c>
      <c r="D2" s="1167" t="s">
        <v>326</v>
      </c>
      <c r="E2" s="1167"/>
      <c r="F2" s="124" t="s">
        <v>492</v>
      </c>
      <c r="J2" s="132"/>
    </row>
    <row r="3" spans="1:41" x14ac:dyDescent="0.25">
      <c r="A3" s="213" t="s">
        <v>522</v>
      </c>
      <c r="B3" s="76">
        <v>1</v>
      </c>
      <c r="C3" s="76" t="s">
        <v>329</v>
      </c>
      <c r="D3" s="351"/>
      <c r="E3" s="76" t="s">
        <v>321</v>
      </c>
      <c r="F3" s="353"/>
    </row>
    <row r="4" spans="1:41" x14ac:dyDescent="0.25">
      <c r="B4" s="76">
        <v>2</v>
      </c>
      <c r="C4" s="76" t="s">
        <v>322</v>
      </c>
      <c r="D4" s="351"/>
      <c r="E4" s="76" t="s">
        <v>321</v>
      </c>
      <c r="F4" s="353"/>
    </row>
    <row r="5" spans="1:41" x14ac:dyDescent="0.25">
      <c r="B5" s="76">
        <v>3</v>
      </c>
      <c r="C5" s="76" t="s">
        <v>330</v>
      </c>
      <c r="D5" s="351"/>
      <c r="E5" s="76" t="s">
        <v>321</v>
      </c>
      <c r="F5" s="353"/>
    </row>
    <row r="6" spans="1:41" x14ac:dyDescent="0.25">
      <c r="B6" s="76">
        <v>4</v>
      </c>
      <c r="C6" s="76" t="s">
        <v>323</v>
      </c>
      <c r="D6" s="351"/>
      <c r="E6" s="76" t="s">
        <v>321</v>
      </c>
      <c r="F6" s="353"/>
    </row>
    <row r="7" spans="1:41" x14ac:dyDescent="0.25">
      <c r="B7" s="82">
        <v>5</v>
      </c>
      <c r="C7" s="76" t="s">
        <v>331</v>
      </c>
      <c r="D7" s="352"/>
      <c r="E7" s="82" t="s">
        <v>321</v>
      </c>
      <c r="F7" s="353"/>
      <c r="J7" s="18"/>
      <c r="K7" s="18"/>
      <c r="L7" s="18"/>
      <c r="M7" s="18"/>
      <c r="N7" s="18"/>
      <c r="O7" s="18"/>
      <c r="P7" s="18"/>
      <c r="Q7" s="18"/>
      <c r="R7" s="18"/>
      <c r="S7" s="18"/>
      <c r="T7" s="18"/>
      <c r="U7" s="18"/>
      <c r="V7" s="18"/>
      <c r="W7" s="18"/>
      <c r="X7" s="18"/>
      <c r="Y7" s="18"/>
      <c r="Z7" s="18"/>
      <c r="AA7" s="18"/>
      <c r="AB7" s="18"/>
      <c r="AC7" s="18"/>
      <c r="AD7" s="18"/>
      <c r="AE7" s="18"/>
      <c r="AF7" s="18"/>
      <c r="AG7" s="18"/>
      <c r="AH7" s="18"/>
    </row>
    <row r="8" spans="1:41" x14ac:dyDescent="0.25">
      <c r="B8" s="82">
        <v>6</v>
      </c>
      <c r="C8" s="76" t="s">
        <v>325</v>
      </c>
      <c r="D8" s="352"/>
      <c r="E8" s="82" t="s">
        <v>321</v>
      </c>
      <c r="F8" s="353"/>
      <c r="J8" s="18"/>
      <c r="K8" s="18"/>
      <c r="L8" s="18"/>
      <c r="M8" s="18"/>
      <c r="N8" s="18"/>
      <c r="O8" s="18"/>
      <c r="P8" s="18"/>
      <c r="Q8" s="18"/>
      <c r="R8" s="18"/>
      <c r="S8" s="18"/>
      <c r="T8" s="18"/>
      <c r="U8" s="18"/>
      <c r="V8" s="18"/>
      <c r="W8" s="18"/>
      <c r="X8" s="18"/>
      <c r="Y8" s="18"/>
      <c r="Z8" s="18"/>
      <c r="AA8" s="18"/>
      <c r="AB8" s="18"/>
      <c r="AC8" s="18"/>
      <c r="AD8" s="18"/>
      <c r="AE8" s="18"/>
      <c r="AF8" s="18"/>
      <c r="AG8" s="18"/>
      <c r="AH8" s="18"/>
    </row>
    <row r="9" spans="1:41" x14ac:dyDescent="0.25">
      <c r="B9" s="18" t="s">
        <v>1383</v>
      </c>
      <c r="C9" s="18"/>
      <c r="D9" s="18"/>
      <c r="E9" s="18"/>
      <c r="F9" s="18"/>
      <c r="G9" s="18"/>
      <c r="H9" s="23"/>
      <c r="I9" s="28"/>
      <c r="J9" s="18"/>
      <c r="K9" s="18"/>
      <c r="L9" s="18"/>
      <c r="M9" s="18"/>
      <c r="N9" s="18"/>
      <c r="O9" s="18"/>
      <c r="P9" s="18"/>
      <c r="Q9" s="18"/>
      <c r="R9" s="18"/>
      <c r="S9" s="18"/>
      <c r="T9" s="18"/>
      <c r="U9" s="18"/>
      <c r="V9" s="18"/>
      <c r="W9" s="18"/>
      <c r="X9" s="18"/>
      <c r="Y9" s="18"/>
      <c r="Z9" s="18"/>
      <c r="AA9" s="18"/>
      <c r="AB9" s="18"/>
      <c r="AC9" s="18"/>
      <c r="AD9" s="18"/>
      <c r="AE9" s="18"/>
      <c r="AF9" s="18"/>
      <c r="AG9" s="18"/>
      <c r="AH9" s="18"/>
    </row>
    <row r="10" spans="1:41" x14ac:dyDescent="0.25">
      <c r="B10" s="1141" t="s">
        <v>215</v>
      </c>
      <c r="C10" s="1141"/>
      <c r="D10" s="1141" t="s">
        <v>216</v>
      </c>
      <c r="E10" s="136">
        <f>'FCD PROJETO'!F23</f>
        <v>1</v>
      </c>
      <c r="F10" s="136">
        <f>'FCD PROJETO'!G23</f>
        <v>2</v>
      </c>
      <c r="G10" s="136">
        <f>'FCD PROJETO'!H23</f>
        <v>3</v>
      </c>
      <c r="H10" s="136">
        <f>'FCD PROJETO'!I23</f>
        <v>4</v>
      </c>
      <c r="I10" s="136">
        <f>'FCD PROJETO'!J23</f>
        <v>5</v>
      </c>
      <c r="J10" s="136">
        <f>'FCD PROJETO'!K23</f>
        <v>6</v>
      </c>
      <c r="K10" s="136">
        <f>'FCD PROJETO'!L23</f>
        <v>7</v>
      </c>
      <c r="L10" s="136">
        <f>'FCD PROJETO'!M23</f>
        <v>8</v>
      </c>
      <c r="M10" s="136">
        <f>'FCD PROJETO'!N23</f>
        <v>9</v>
      </c>
      <c r="N10" s="136">
        <f>'FCD PROJETO'!O23</f>
        <v>10</v>
      </c>
      <c r="O10" s="136">
        <f>'FCD PROJETO'!P23</f>
        <v>11</v>
      </c>
      <c r="P10" s="136">
        <f>'FCD PROJETO'!Q23</f>
        <v>12</v>
      </c>
      <c r="Q10" s="136">
        <f>'FCD PROJETO'!R23</f>
        <v>13</v>
      </c>
      <c r="R10" s="136">
        <f>'FCD PROJETO'!S23</f>
        <v>14</v>
      </c>
      <c r="S10" s="136">
        <f>'FCD PROJETO'!T23</f>
        <v>15</v>
      </c>
      <c r="T10" s="136">
        <f>'FCD PROJETO'!U23</f>
        <v>16</v>
      </c>
      <c r="U10" s="136">
        <f>'FCD PROJETO'!V23</f>
        <v>17</v>
      </c>
      <c r="V10" s="136">
        <f>'FCD PROJETO'!W23</f>
        <v>18</v>
      </c>
      <c r="W10" s="136">
        <f>'FCD PROJETO'!X23</f>
        <v>19</v>
      </c>
      <c r="X10" s="136">
        <f>'FCD PROJETO'!Y23</f>
        <v>20</v>
      </c>
      <c r="Y10" s="136">
        <f>'FCD PROJETO'!Z23</f>
        <v>21</v>
      </c>
      <c r="Z10" s="136">
        <f>'FCD PROJETO'!AA23</f>
        <v>22</v>
      </c>
      <c r="AA10" s="136">
        <f>'FCD PROJETO'!AB23</f>
        <v>23</v>
      </c>
      <c r="AB10" s="136">
        <f>'FCD PROJETO'!AC23</f>
        <v>24</v>
      </c>
      <c r="AC10" s="136">
        <f>'FCD PROJETO'!AD23</f>
        <v>25</v>
      </c>
      <c r="AD10" s="136">
        <f>'FCD PROJETO'!AE23</f>
        <v>26</v>
      </c>
      <c r="AE10" s="136">
        <f>'FCD PROJETO'!AF23</f>
        <v>27</v>
      </c>
      <c r="AF10" s="136">
        <f>'FCD PROJETO'!AG23</f>
        <v>28</v>
      </c>
      <c r="AG10" s="136">
        <f>'FCD PROJETO'!AH23</f>
        <v>29</v>
      </c>
      <c r="AH10" s="136">
        <f>'FCD PROJETO'!AI23</f>
        <v>30</v>
      </c>
      <c r="AI10" s="136">
        <f>'FCD PROJETO'!AJ23</f>
        <v>31</v>
      </c>
      <c r="AJ10" s="136">
        <f>'FCD PROJETO'!AK23</f>
        <v>32</v>
      </c>
      <c r="AK10" s="136">
        <f>'FCD PROJETO'!AL23</f>
        <v>33</v>
      </c>
      <c r="AL10" s="136">
        <f>'FCD PROJETO'!AM23</f>
        <v>34</v>
      </c>
      <c r="AM10" s="136">
        <f>'FCD PROJETO'!AN23</f>
        <v>35</v>
      </c>
    </row>
    <row r="11" spans="1:41" x14ac:dyDescent="0.25">
      <c r="B11" s="1141"/>
      <c r="C11" s="1141"/>
      <c r="D11" s="1141"/>
      <c r="E11" s="136">
        <f>'FCD PROJETO'!F24</f>
        <v>2027</v>
      </c>
      <c r="F11" s="136">
        <f>'FCD PROJETO'!G24</f>
        <v>2028</v>
      </c>
      <c r="G11" s="136">
        <f>'FCD PROJETO'!H24</f>
        <v>2029</v>
      </c>
      <c r="H11" s="136">
        <f>'FCD PROJETO'!I24</f>
        <v>2030</v>
      </c>
      <c r="I11" s="136">
        <f>'FCD PROJETO'!J24</f>
        <v>2031</v>
      </c>
      <c r="J11" s="136">
        <f>'FCD PROJETO'!K24</f>
        <v>2032</v>
      </c>
      <c r="K11" s="136">
        <f>'FCD PROJETO'!L24</f>
        <v>2033</v>
      </c>
      <c r="L11" s="136">
        <f>'FCD PROJETO'!M24</f>
        <v>2034</v>
      </c>
      <c r="M11" s="136">
        <f>'FCD PROJETO'!N24</f>
        <v>2035</v>
      </c>
      <c r="N11" s="136">
        <f>'FCD PROJETO'!O24</f>
        <v>2036</v>
      </c>
      <c r="O11" s="136">
        <f>'FCD PROJETO'!P24</f>
        <v>2037</v>
      </c>
      <c r="P11" s="136">
        <f>'FCD PROJETO'!Q24</f>
        <v>2038</v>
      </c>
      <c r="Q11" s="136">
        <f>'FCD PROJETO'!R24</f>
        <v>2039</v>
      </c>
      <c r="R11" s="136">
        <f>'FCD PROJETO'!S24</f>
        <v>2040</v>
      </c>
      <c r="S11" s="136">
        <f>'FCD PROJETO'!T24</f>
        <v>2041</v>
      </c>
      <c r="T11" s="136">
        <f>'FCD PROJETO'!U24</f>
        <v>2042</v>
      </c>
      <c r="U11" s="136">
        <f>'FCD PROJETO'!V24</f>
        <v>2043</v>
      </c>
      <c r="V11" s="136">
        <f>'FCD PROJETO'!W24</f>
        <v>2044</v>
      </c>
      <c r="W11" s="136">
        <f>'FCD PROJETO'!X24</f>
        <v>2045</v>
      </c>
      <c r="X11" s="136">
        <f>'FCD PROJETO'!Y24</f>
        <v>2046</v>
      </c>
      <c r="Y11" s="136">
        <f>'FCD PROJETO'!Z24</f>
        <v>2047</v>
      </c>
      <c r="Z11" s="136">
        <f>'FCD PROJETO'!AA24</f>
        <v>2048</v>
      </c>
      <c r="AA11" s="136">
        <f>'FCD PROJETO'!AB24</f>
        <v>2049</v>
      </c>
      <c r="AB11" s="136">
        <f>'FCD PROJETO'!AC24</f>
        <v>2050</v>
      </c>
      <c r="AC11" s="136">
        <f>'FCD PROJETO'!AD24</f>
        <v>2051</v>
      </c>
      <c r="AD11" s="136">
        <f>'FCD PROJETO'!AE24</f>
        <v>2052</v>
      </c>
      <c r="AE11" s="136">
        <f>'FCD PROJETO'!AF24</f>
        <v>2053</v>
      </c>
      <c r="AF11" s="136">
        <f>'FCD PROJETO'!AG24</f>
        <v>2054</v>
      </c>
      <c r="AG11" s="136">
        <f>'FCD PROJETO'!AH24</f>
        <v>2055</v>
      </c>
      <c r="AH11" s="136">
        <f>'FCD PROJETO'!AI24</f>
        <v>2056</v>
      </c>
      <c r="AI11" s="136">
        <f>'FCD PROJETO'!AJ24</f>
        <v>2057</v>
      </c>
      <c r="AJ11" s="136">
        <f>'FCD PROJETO'!AK24</f>
        <v>2058</v>
      </c>
      <c r="AK11" s="136">
        <f>'FCD PROJETO'!AL24</f>
        <v>2059</v>
      </c>
      <c r="AL11" s="136">
        <f>'FCD PROJETO'!AM24</f>
        <v>2060</v>
      </c>
      <c r="AM11" s="136">
        <f>'FCD PROJETO'!AN24</f>
        <v>2061</v>
      </c>
    </row>
    <row r="12" spans="1:41" x14ac:dyDescent="0.25">
      <c r="B12" s="1158" t="s">
        <v>3</v>
      </c>
      <c r="C12" s="20" t="s">
        <v>127</v>
      </c>
      <c r="D12" s="150" t="s">
        <v>307</v>
      </c>
      <c r="E12" s="251">
        <f>'Base Física'!F59</f>
        <v>0</v>
      </c>
      <c r="F12" s="251">
        <f>'Base Física'!G59</f>
        <v>0</v>
      </c>
      <c r="G12" s="251">
        <f>'Base Física'!H59</f>
        <v>0</v>
      </c>
      <c r="H12" s="251">
        <f>'Base Física'!I59</f>
        <v>0</v>
      </c>
      <c r="I12" s="251">
        <f>'Base Física'!J59</f>
        <v>0</v>
      </c>
      <c r="J12" s="251">
        <f>'Base Física'!K59</f>
        <v>0</v>
      </c>
      <c r="K12" s="251">
        <f>'Base Física'!L59</f>
        <v>0</v>
      </c>
      <c r="L12" s="251">
        <f>'Base Física'!M59</f>
        <v>0</v>
      </c>
      <c r="M12" s="251">
        <f>'Base Física'!N59</f>
        <v>0</v>
      </c>
      <c r="N12" s="251">
        <f>'Base Física'!O59</f>
        <v>0</v>
      </c>
      <c r="O12" s="251">
        <f>'Base Física'!P59</f>
        <v>0</v>
      </c>
      <c r="P12" s="251">
        <f>'Base Física'!Q59</f>
        <v>0</v>
      </c>
      <c r="Q12" s="251">
        <f>'Base Física'!R59</f>
        <v>0</v>
      </c>
      <c r="R12" s="251">
        <f>'Base Física'!S59</f>
        <v>0</v>
      </c>
      <c r="S12" s="251">
        <f>'Base Física'!T59</f>
        <v>0</v>
      </c>
      <c r="T12" s="251">
        <f>'Base Física'!U59</f>
        <v>0</v>
      </c>
      <c r="U12" s="251">
        <f>'Base Física'!V59</f>
        <v>0</v>
      </c>
      <c r="V12" s="251">
        <f>'Base Física'!W59</f>
        <v>0</v>
      </c>
      <c r="W12" s="251">
        <f>'Base Física'!X59</f>
        <v>0</v>
      </c>
      <c r="X12" s="251">
        <f>'Base Física'!Y59</f>
        <v>0</v>
      </c>
      <c r="Y12" s="251">
        <f>'Base Física'!Z59</f>
        <v>0</v>
      </c>
      <c r="Z12" s="251">
        <f>'Base Física'!AA59</f>
        <v>0</v>
      </c>
      <c r="AA12" s="251">
        <f>'Base Física'!AB59</f>
        <v>0</v>
      </c>
      <c r="AB12" s="251">
        <f>'Base Física'!AC59</f>
        <v>0</v>
      </c>
      <c r="AC12" s="251">
        <f>'Base Física'!AD59</f>
        <v>0</v>
      </c>
      <c r="AD12" s="251">
        <f>'Base Física'!AE59</f>
        <v>0</v>
      </c>
      <c r="AE12" s="251">
        <f>'Base Física'!AF59</f>
        <v>0</v>
      </c>
      <c r="AF12" s="251">
        <f>'Base Física'!AG59</f>
        <v>0</v>
      </c>
      <c r="AG12" s="251">
        <f>'Base Física'!AH59</f>
        <v>0</v>
      </c>
      <c r="AH12" s="251">
        <f>'Base Física'!AI59</f>
        <v>0</v>
      </c>
      <c r="AI12" s="251">
        <f>'Base Física'!AJ59</f>
        <v>0</v>
      </c>
      <c r="AJ12" s="251">
        <f>'Base Física'!AK59</f>
        <v>0</v>
      </c>
      <c r="AK12" s="251">
        <f>'Base Física'!AL59</f>
        <v>0</v>
      </c>
      <c r="AL12" s="251">
        <f>'Base Física'!AM59</f>
        <v>0</v>
      </c>
      <c r="AM12" s="251">
        <f>'Base Física'!AN59</f>
        <v>0</v>
      </c>
    </row>
    <row r="13" spans="1:41" x14ac:dyDescent="0.25">
      <c r="B13" s="1158"/>
      <c r="C13" s="20" t="s">
        <v>329</v>
      </c>
      <c r="D13" s="150" t="s">
        <v>327</v>
      </c>
      <c r="E13" s="257">
        <f>ROUND(E$12*$D$3*0.001/1000,2)</f>
        <v>0</v>
      </c>
      <c r="F13" s="257">
        <f t="shared" ref="F13:AM13" si="0">ROUND(F$12*$D$3*0.001/1000,2)</f>
        <v>0</v>
      </c>
      <c r="G13" s="257">
        <f t="shared" si="0"/>
        <v>0</v>
      </c>
      <c r="H13" s="257">
        <f t="shared" si="0"/>
        <v>0</v>
      </c>
      <c r="I13" s="257">
        <f t="shared" si="0"/>
        <v>0</v>
      </c>
      <c r="J13" s="257">
        <f t="shared" si="0"/>
        <v>0</v>
      </c>
      <c r="K13" s="257">
        <f t="shared" si="0"/>
        <v>0</v>
      </c>
      <c r="L13" s="257">
        <f t="shared" si="0"/>
        <v>0</v>
      </c>
      <c r="M13" s="257">
        <f t="shared" si="0"/>
        <v>0</v>
      </c>
      <c r="N13" s="257">
        <f t="shared" si="0"/>
        <v>0</v>
      </c>
      <c r="O13" s="257">
        <f t="shared" si="0"/>
        <v>0</v>
      </c>
      <c r="P13" s="257">
        <f t="shared" si="0"/>
        <v>0</v>
      </c>
      <c r="Q13" s="257">
        <f t="shared" si="0"/>
        <v>0</v>
      </c>
      <c r="R13" s="257">
        <f t="shared" si="0"/>
        <v>0</v>
      </c>
      <c r="S13" s="257">
        <f t="shared" si="0"/>
        <v>0</v>
      </c>
      <c r="T13" s="257">
        <f t="shared" si="0"/>
        <v>0</v>
      </c>
      <c r="U13" s="257">
        <f t="shared" si="0"/>
        <v>0</v>
      </c>
      <c r="V13" s="257">
        <f t="shared" si="0"/>
        <v>0</v>
      </c>
      <c r="W13" s="257">
        <f t="shared" si="0"/>
        <v>0</v>
      </c>
      <c r="X13" s="257">
        <f t="shared" si="0"/>
        <v>0</v>
      </c>
      <c r="Y13" s="257">
        <f t="shared" si="0"/>
        <v>0</v>
      </c>
      <c r="Z13" s="257">
        <f t="shared" si="0"/>
        <v>0</v>
      </c>
      <c r="AA13" s="257">
        <f t="shared" si="0"/>
        <v>0</v>
      </c>
      <c r="AB13" s="257">
        <f t="shared" si="0"/>
        <v>0</v>
      </c>
      <c r="AC13" s="257">
        <f t="shared" si="0"/>
        <v>0</v>
      </c>
      <c r="AD13" s="257">
        <f t="shared" si="0"/>
        <v>0</v>
      </c>
      <c r="AE13" s="257">
        <f t="shared" si="0"/>
        <v>0</v>
      </c>
      <c r="AF13" s="257">
        <f t="shared" si="0"/>
        <v>0</v>
      </c>
      <c r="AG13" s="257">
        <f t="shared" si="0"/>
        <v>0</v>
      </c>
      <c r="AH13" s="257">
        <f t="shared" si="0"/>
        <v>0</v>
      </c>
      <c r="AI13" s="257">
        <f t="shared" si="0"/>
        <v>0</v>
      </c>
      <c r="AJ13" s="257">
        <f t="shared" si="0"/>
        <v>0</v>
      </c>
      <c r="AK13" s="257">
        <f t="shared" si="0"/>
        <v>0</v>
      </c>
      <c r="AL13" s="257">
        <f t="shared" si="0"/>
        <v>0</v>
      </c>
      <c r="AM13" s="257">
        <f t="shared" si="0"/>
        <v>0</v>
      </c>
      <c r="AO13" s="77"/>
    </row>
    <row r="14" spans="1:41" x14ac:dyDescent="0.25">
      <c r="B14" s="1158"/>
      <c r="C14" s="20" t="s">
        <v>322</v>
      </c>
      <c r="D14" s="150" t="s">
        <v>327</v>
      </c>
      <c r="E14" s="257">
        <f>ROUND(E$12*$D$4*0.001/1000,2)</f>
        <v>0</v>
      </c>
      <c r="F14" s="257">
        <f t="shared" ref="F14:AM14" si="1">ROUND(F$12*$D$4*0.001/1000,2)</f>
        <v>0</v>
      </c>
      <c r="G14" s="257">
        <f t="shared" si="1"/>
        <v>0</v>
      </c>
      <c r="H14" s="257">
        <f t="shared" si="1"/>
        <v>0</v>
      </c>
      <c r="I14" s="257">
        <f t="shared" si="1"/>
        <v>0</v>
      </c>
      <c r="J14" s="257">
        <f t="shared" si="1"/>
        <v>0</v>
      </c>
      <c r="K14" s="257">
        <f t="shared" si="1"/>
        <v>0</v>
      </c>
      <c r="L14" s="257">
        <f t="shared" si="1"/>
        <v>0</v>
      </c>
      <c r="M14" s="257">
        <f t="shared" si="1"/>
        <v>0</v>
      </c>
      <c r="N14" s="257">
        <f t="shared" si="1"/>
        <v>0</v>
      </c>
      <c r="O14" s="257">
        <f t="shared" si="1"/>
        <v>0</v>
      </c>
      <c r="P14" s="257">
        <f t="shared" si="1"/>
        <v>0</v>
      </c>
      <c r="Q14" s="257">
        <f t="shared" si="1"/>
        <v>0</v>
      </c>
      <c r="R14" s="257">
        <f t="shared" si="1"/>
        <v>0</v>
      </c>
      <c r="S14" s="257">
        <f t="shared" si="1"/>
        <v>0</v>
      </c>
      <c r="T14" s="257">
        <f t="shared" si="1"/>
        <v>0</v>
      </c>
      <c r="U14" s="257">
        <f t="shared" si="1"/>
        <v>0</v>
      </c>
      <c r="V14" s="257">
        <f t="shared" si="1"/>
        <v>0</v>
      </c>
      <c r="W14" s="257">
        <f t="shared" si="1"/>
        <v>0</v>
      </c>
      <c r="X14" s="257">
        <f t="shared" si="1"/>
        <v>0</v>
      </c>
      <c r="Y14" s="257">
        <f t="shared" si="1"/>
        <v>0</v>
      </c>
      <c r="Z14" s="257">
        <f t="shared" si="1"/>
        <v>0</v>
      </c>
      <c r="AA14" s="257">
        <f t="shared" si="1"/>
        <v>0</v>
      </c>
      <c r="AB14" s="257">
        <f t="shared" si="1"/>
        <v>0</v>
      </c>
      <c r="AC14" s="257">
        <f t="shared" si="1"/>
        <v>0</v>
      </c>
      <c r="AD14" s="257">
        <f t="shared" si="1"/>
        <v>0</v>
      </c>
      <c r="AE14" s="257">
        <f t="shared" si="1"/>
        <v>0</v>
      </c>
      <c r="AF14" s="257">
        <f t="shared" si="1"/>
        <v>0</v>
      </c>
      <c r="AG14" s="257">
        <f t="shared" si="1"/>
        <v>0</v>
      </c>
      <c r="AH14" s="257">
        <f t="shared" si="1"/>
        <v>0</v>
      </c>
      <c r="AI14" s="257">
        <f t="shared" si="1"/>
        <v>0</v>
      </c>
      <c r="AJ14" s="257">
        <f t="shared" si="1"/>
        <v>0</v>
      </c>
      <c r="AK14" s="257">
        <f t="shared" si="1"/>
        <v>0</v>
      </c>
      <c r="AL14" s="257">
        <f t="shared" si="1"/>
        <v>0</v>
      </c>
      <c r="AM14" s="257">
        <f t="shared" si="1"/>
        <v>0</v>
      </c>
      <c r="AO14" s="77"/>
    </row>
    <row r="15" spans="1:41" x14ac:dyDescent="0.25">
      <c r="B15" s="1158"/>
      <c r="C15" s="20" t="s">
        <v>330</v>
      </c>
      <c r="D15" s="150" t="s">
        <v>327</v>
      </c>
      <c r="E15" s="257">
        <f>ROUND(E$12*E20*$D$5*0.001/1000,2)</f>
        <v>0</v>
      </c>
      <c r="F15" s="257">
        <f t="shared" ref="F15:AH15" si="2">ROUND(F$12*F20*$D$5*0.001/1000,2)</f>
        <v>0</v>
      </c>
      <c r="G15" s="257">
        <f t="shared" si="2"/>
        <v>0</v>
      </c>
      <c r="H15" s="257">
        <f t="shared" si="2"/>
        <v>0</v>
      </c>
      <c r="I15" s="257">
        <f t="shared" si="2"/>
        <v>0</v>
      </c>
      <c r="J15" s="257">
        <f t="shared" si="2"/>
        <v>0</v>
      </c>
      <c r="K15" s="257">
        <f t="shared" si="2"/>
        <v>0</v>
      </c>
      <c r="L15" s="257">
        <f t="shared" si="2"/>
        <v>0</v>
      </c>
      <c r="M15" s="257">
        <f t="shared" si="2"/>
        <v>0</v>
      </c>
      <c r="N15" s="257">
        <f t="shared" si="2"/>
        <v>0</v>
      </c>
      <c r="O15" s="257">
        <f t="shared" si="2"/>
        <v>0</v>
      </c>
      <c r="P15" s="257">
        <f t="shared" si="2"/>
        <v>0</v>
      </c>
      <c r="Q15" s="257">
        <f t="shared" si="2"/>
        <v>0</v>
      </c>
      <c r="R15" s="257">
        <f t="shared" si="2"/>
        <v>0</v>
      </c>
      <c r="S15" s="257">
        <f t="shared" si="2"/>
        <v>0</v>
      </c>
      <c r="T15" s="257">
        <f t="shared" si="2"/>
        <v>0</v>
      </c>
      <c r="U15" s="257">
        <f t="shared" si="2"/>
        <v>0</v>
      </c>
      <c r="V15" s="257">
        <f t="shared" si="2"/>
        <v>0</v>
      </c>
      <c r="W15" s="257">
        <f t="shared" si="2"/>
        <v>0</v>
      </c>
      <c r="X15" s="257">
        <f t="shared" si="2"/>
        <v>0</v>
      </c>
      <c r="Y15" s="257">
        <f t="shared" si="2"/>
        <v>0</v>
      </c>
      <c r="Z15" s="257">
        <f t="shared" si="2"/>
        <v>0</v>
      </c>
      <c r="AA15" s="257">
        <f t="shared" si="2"/>
        <v>0</v>
      </c>
      <c r="AB15" s="257">
        <f t="shared" si="2"/>
        <v>0</v>
      </c>
      <c r="AC15" s="257">
        <f t="shared" si="2"/>
        <v>0</v>
      </c>
      <c r="AD15" s="257">
        <f t="shared" si="2"/>
        <v>0</v>
      </c>
      <c r="AE15" s="257">
        <f t="shared" si="2"/>
        <v>0</v>
      </c>
      <c r="AF15" s="257">
        <f t="shared" si="2"/>
        <v>0</v>
      </c>
      <c r="AG15" s="257">
        <f t="shared" si="2"/>
        <v>0</v>
      </c>
      <c r="AH15" s="257">
        <f t="shared" si="2"/>
        <v>0</v>
      </c>
      <c r="AI15" s="257">
        <f t="shared" ref="AI15:AM15" si="3">ROUND(AI$12*AI20*$D$5*0.001/1000,2)</f>
        <v>0</v>
      </c>
      <c r="AJ15" s="257">
        <f t="shared" si="3"/>
        <v>0</v>
      </c>
      <c r="AK15" s="257">
        <f t="shared" si="3"/>
        <v>0</v>
      </c>
      <c r="AL15" s="257">
        <f t="shared" si="3"/>
        <v>0</v>
      </c>
      <c r="AM15" s="257">
        <f t="shared" si="3"/>
        <v>0</v>
      </c>
      <c r="AO15" s="77"/>
    </row>
    <row r="16" spans="1:41" x14ac:dyDescent="0.25">
      <c r="B16" s="1158"/>
      <c r="C16" s="20" t="s">
        <v>323</v>
      </c>
      <c r="D16" s="150" t="s">
        <v>327</v>
      </c>
      <c r="E16" s="257">
        <f>ROUND(E$12*E20*$D$6*0.001/1000,2)</f>
        <v>0</v>
      </c>
      <c r="F16" s="257">
        <f t="shared" ref="F16:AH16" si="4">ROUND(F$12*F20*$D$6*0.001/1000,2)</f>
        <v>0</v>
      </c>
      <c r="G16" s="257">
        <f t="shared" si="4"/>
        <v>0</v>
      </c>
      <c r="H16" s="257">
        <f t="shared" si="4"/>
        <v>0</v>
      </c>
      <c r="I16" s="257">
        <f t="shared" si="4"/>
        <v>0</v>
      </c>
      <c r="J16" s="257">
        <f t="shared" si="4"/>
        <v>0</v>
      </c>
      <c r="K16" s="257">
        <f t="shared" si="4"/>
        <v>0</v>
      </c>
      <c r="L16" s="257">
        <f t="shared" si="4"/>
        <v>0</v>
      </c>
      <c r="M16" s="257">
        <f t="shared" si="4"/>
        <v>0</v>
      </c>
      <c r="N16" s="257">
        <f t="shared" si="4"/>
        <v>0</v>
      </c>
      <c r="O16" s="257">
        <f t="shared" si="4"/>
        <v>0</v>
      </c>
      <c r="P16" s="257">
        <f t="shared" si="4"/>
        <v>0</v>
      </c>
      <c r="Q16" s="257">
        <f t="shared" si="4"/>
        <v>0</v>
      </c>
      <c r="R16" s="257">
        <f t="shared" si="4"/>
        <v>0</v>
      </c>
      <c r="S16" s="257">
        <f t="shared" si="4"/>
        <v>0</v>
      </c>
      <c r="T16" s="257">
        <f t="shared" si="4"/>
        <v>0</v>
      </c>
      <c r="U16" s="257">
        <f t="shared" si="4"/>
        <v>0</v>
      </c>
      <c r="V16" s="257">
        <f t="shared" si="4"/>
        <v>0</v>
      </c>
      <c r="W16" s="257">
        <f t="shared" si="4"/>
        <v>0</v>
      </c>
      <c r="X16" s="257">
        <f t="shared" si="4"/>
        <v>0</v>
      </c>
      <c r="Y16" s="257">
        <f t="shared" si="4"/>
        <v>0</v>
      </c>
      <c r="Z16" s="257">
        <f t="shared" si="4"/>
        <v>0</v>
      </c>
      <c r="AA16" s="257">
        <f t="shared" si="4"/>
        <v>0</v>
      </c>
      <c r="AB16" s="257">
        <f t="shared" si="4"/>
        <v>0</v>
      </c>
      <c r="AC16" s="257">
        <f t="shared" si="4"/>
        <v>0</v>
      </c>
      <c r="AD16" s="257">
        <f t="shared" si="4"/>
        <v>0</v>
      </c>
      <c r="AE16" s="257">
        <f t="shared" si="4"/>
        <v>0</v>
      </c>
      <c r="AF16" s="257">
        <f t="shared" si="4"/>
        <v>0</v>
      </c>
      <c r="AG16" s="257">
        <f t="shared" si="4"/>
        <v>0</v>
      </c>
      <c r="AH16" s="257">
        <f t="shared" si="4"/>
        <v>0</v>
      </c>
      <c r="AI16" s="257">
        <f t="shared" ref="AI16:AM16" si="5">ROUND(AI$12*AI20*$D$6*0.001/1000,2)</f>
        <v>0</v>
      </c>
      <c r="AJ16" s="257">
        <f t="shared" si="5"/>
        <v>0</v>
      </c>
      <c r="AK16" s="257">
        <f t="shared" si="5"/>
        <v>0</v>
      </c>
      <c r="AL16" s="257">
        <f t="shared" si="5"/>
        <v>0</v>
      </c>
      <c r="AM16" s="257">
        <f t="shared" si="5"/>
        <v>0</v>
      </c>
      <c r="AO16" s="77"/>
    </row>
    <row r="17" spans="1:42" x14ac:dyDescent="0.25">
      <c r="B17" s="1158"/>
      <c r="C17" s="20" t="s">
        <v>331</v>
      </c>
      <c r="D17" s="150" t="s">
        <v>327</v>
      </c>
      <c r="E17" s="257">
        <f>ROUND(E$12*$D$7*E20*0.001/1000,2)</f>
        <v>0</v>
      </c>
      <c r="F17" s="257">
        <f t="shared" ref="F17:AM17" si="6">ROUND(F$12*$D$7*0.001/1000,2)</f>
        <v>0</v>
      </c>
      <c r="G17" s="257">
        <f t="shared" si="6"/>
        <v>0</v>
      </c>
      <c r="H17" s="257">
        <f t="shared" si="6"/>
        <v>0</v>
      </c>
      <c r="I17" s="257">
        <f t="shared" si="6"/>
        <v>0</v>
      </c>
      <c r="J17" s="257">
        <f t="shared" si="6"/>
        <v>0</v>
      </c>
      <c r="K17" s="257">
        <f t="shared" si="6"/>
        <v>0</v>
      </c>
      <c r="L17" s="257">
        <f t="shared" si="6"/>
        <v>0</v>
      </c>
      <c r="M17" s="257">
        <f t="shared" si="6"/>
        <v>0</v>
      </c>
      <c r="N17" s="257">
        <f t="shared" si="6"/>
        <v>0</v>
      </c>
      <c r="O17" s="257">
        <f t="shared" si="6"/>
        <v>0</v>
      </c>
      <c r="P17" s="257">
        <f t="shared" si="6"/>
        <v>0</v>
      </c>
      <c r="Q17" s="257">
        <f t="shared" si="6"/>
        <v>0</v>
      </c>
      <c r="R17" s="257">
        <f t="shared" si="6"/>
        <v>0</v>
      </c>
      <c r="S17" s="257">
        <f t="shared" si="6"/>
        <v>0</v>
      </c>
      <c r="T17" s="257">
        <f t="shared" si="6"/>
        <v>0</v>
      </c>
      <c r="U17" s="257">
        <f t="shared" si="6"/>
        <v>0</v>
      </c>
      <c r="V17" s="257">
        <f t="shared" si="6"/>
        <v>0</v>
      </c>
      <c r="W17" s="257">
        <f t="shared" si="6"/>
        <v>0</v>
      </c>
      <c r="X17" s="257">
        <f t="shared" si="6"/>
        <v>0</v>
      </c>
      <c r="Y17" s="257">
        <f t="shared" si="6"/>
        <v>0</v>
      </c>
      <c r="Z17" s="257">
        <f t="shared" si="6"/>
        <v>0</v>
      </c>
      <c r="AA17" s="257">
        <f t="shared" si="6"/>
        <v>0</v>
      </c>
      <c r="AB17" s="257">
        <f t="shared" si="6"/>
        <v>0</v>
      </c>
      <c r="AC17" s="257">
        <f t="shared" si="6"/>
        <v>0</v>
      </c>
      <c r="AD17" s="257">
        <f t="shared" si="6"/>
        <v>0</v>
      </c>
      <c r="AE17" s="257">
        <f t="shared" si="6"/>
        <v>0</v>
      </c>
      <c r="AF17" s="257">
        <f t="shared" si="6"/>
        <v>0</v>
      </c>
      <c r="AG17" s="257">
        <f t="shared" si="6"/>
        <v>0</v>
      </c>
      <c r="AH17" s="257">
        <f t="shared" si="6"/>
        <v>0</v>
      </c>
      <c r="AI17" s="257">
        <f t="shared" si="6"/>
        <v>0</v>
      </c>
      <c r="AJ17" s="257">
        <f t="shared" si="6"/>
        <v>0</v>
      </c>
      <c r="AK17" s="257">
        <f t="shared" si="6"/>
        <v>0</v>
      </c>
      <c r="AL17" s="257">
        <f t="shared" si="6"/>
        <v>0</v>
      </c>
      <c r="AM17" s="257">
        <f t="shared" si="6"/>
        <v>0</v>
      </c>
      <c r="AO17" s="77"/>
    </row>
    <row r="18" spans="1:42" x14ac:dyDescent="0.25">
      <c r="B18" s="1158"/>
      <c r="C18" s="20" t="s">
        <v>325</v>
      </c>
      <c r="D18" s="150" t="s">
        <v>327</v>
      </c>
      <c r="E18" s="257">
        <f>ROUND(E$12*E20*$D$8*0.001/1000,2)</f>
        <v>0</v>
      </c>
      <c r="F18" s="257">
        <f t="shared" ref="F18:AH18" si="7">ROUND(F$12*F20*$D$8*0.001/1000,2)</f>
        <v>0</v>
      </c>
      <c r="G18" s="257">
        <f t="shared" si="7"/>
        <v>0</v>
      </c>
      <c r="H18" s="257">
        <f t="shared" si="7"/>
        <v>0</v>
      </c>
      <c r="I18" s="257">
        <f t="shared" si="7"/>
        <v>0</v>
      </c>
      <c r="J18" s="257">
        <f t="shared" si="7"/>
        <v>0</v>
      </c>
      <c r="K18" s="257">
        <f t="shared" si="7"/>
        <v>0</v>
      </c>
      <c r="L18" s="257">
        <f t="shared" si="7"/>
        <v>0</v>
      </c>
      <c r="M18" s="257">
        <f t="shared" si="7"/>
        <v>0</v>
      </c>
      <c r="N18" s="257">
        <f t="shared" si="7"/>
        <v>0</v>
      </c>
      <c r="O18" s="257">
        <f t="shared" si="7"/>
        <v>0</v>
      </c>
      <c r="P18" s="257">
        <f t="shared" si="7"/>
        <v>0</v>
      </c>
      <c r="Q18" s="257">
        <f t="shared" si="7"/>
        <v>0</v>
      </c>
      <c r="R18" s="257">
        <f t="shared" si="7"/>
        <v>0</v>
      </c>
      <c r="S18" s="257">
        <f t="shared" si="7"/>
        <v>0</v>
      </c>
      <c r="T18" s="257">
        <f t="shared" si="7"/>
        <v>0</v>
      </c>
      <c r="U18" s="257">
        <f t="shared" si="7"/>
        <v>0</v>
      </c>
      <c r="V18" s="257">
        <f t="shared" si="7"/>
        <v>0</v>
      </c>
      <c r="W18" s="257">
        <f t="shared" si="7"/>
        <v>0</v>
      </c>
      <c r="X18" s="257">
        <f t="shared" si="7"/>
        <v>0</v>
      </c>
      <c r="Y18" s="257">
        <f t="shared" si="7"/>
        <v>0</v>
      </c>
      <c r="Z18" s="257">
        <f t="shared" si="7"/>
        <v>0</v>
      </c>
      <c r="AA18" s="257">
        <f t="shared" si="7"/>
        <v>0</v>
      </c>
      <c r="AB18" s="257">
        <f t="shared" si="7"/>
        <v>0</v>
      </c>
      <c r="AC18" s="257">
        <f t="shared" si="7"/>
        <v>0</v>
      </c>
      <c r="AD18" s="257">
        <f t="shared" si="7"/>
        <v>0</v>
      </c>
      <c r="AE18" s="257">
        <f t="shared" si="7"/>
        <v>0</v>
      </c>
      <c r="AF18" s="257">
        <f t="shared" si="7"/>
        <v>0</v>
      </c>
      <c r="AG18" s="257">
        <f t="shared" si="7"/>
        <v>0</v>
      </c>
      <c r="AH18" s="257">
        <f t="shared" si="7"/>
        <v>0</v>
      </c>
      <c r="AI18" s="257">
        <f t="shared" ref="AI18:AM18" si="8">ROUND(AI$12*AI20*$D$8*0.001/1000,2)</f>
        <v>0</v>
      </c>
      <c r="AJ18" s="257">
        <f t="shared" si="8"/>
        <v>0</v>
      </c>
      <c r="AK18" s="257">
        <f t="shared" si="8"/>
        <v>0</v>
      </c>
      <c r="AL18" s="257">
        <f t="shared" si="8"/>
        <v>0</v>
      </c>
      <c r="AM18" s="257">
        <f t="shared" si="8"/>
        <v>0</v>
      </c>
      <c r="AO18" s="77"/>
    </row>
    <row r="19" spans="1:42" x14ac:dyDescent="0.25">
      <c r="B19" s="1158"/>
      <c r="C19" s="20" t="s">
        <v>519</v>
      </c>
      <c r="D19" s="150" t="s">
        <v>15</v>
      </c>
      <c r="E19" s="350"/>
      <c r="F19" s="350"/>
      <c r="G19" s="350"/>
      <c r="H19" s="350"/>
      <c r="I19" s="350"/>
      <c r="J19" s="350"/>
      <c r="K19" s="350"/>
      <c r="L19" s="350"/>
      <c r="M19" s="350"/>
      <c r="N19" s="350"/>
      <c r="O19" s="350"/>
      <c r="P19" s="350"/>
      <c r="Q19" s="350"/>
      <c r="R19" s="350"/>
      <c r="S19" s="350"/>
      <c r="T19" s="350"/>
      <c r="U19" s="350"/>
      <c r="V19" s="350"/>
      <c r="W19" s="350"/>
      <c r="X19" s="350"/>
      <c r="Y19" s="350"/>
      <c r="Z19" s="350"/>
      <c r="AA19" s="350"/>
      <c r="AB19" s="350"/>
      <c r="AC19" s="350"/>
      <c r="AD19" s="350"/>
      <c r="AE19" s="350"/>
      <c r="AF19" s="350"/>
      <c r="AG19" s="350"/>
      <c r="AH19" s="350"/>
      <c r="AI19" s="350"/>
      <c r="AJ19" s="350"/>
      <c r="AK19" s="350"/>
      <c r="AL19" s="350"/>
      <c r="AM19" s="350"/>
      <c r="AO19" s="77"/>
    </row>
    <row r="20" spans="1:42" x14ac:dyDescent="0.25">
      <c r="B20" s="1158"/>
      <c r="C20" s="20" t="s">
        <v>324</v>
      </c>
      <c r="D20" s="150" t="s">
        <v>15</v>
      </c>
      <c r="E20" s="252">
        <f>1-E19</f>
        <v>1</v>
      </c>
      <c r="F20" s="252">
        <f t="shared" ref="F20:AM20" si="9">1-F19</f>
        <v>1</v>
      </c>
      <c r="G20" s="252">
        <f t="shared" si="9"/>
        <v>1</v>
      </c>
      <c r="H20" s="252">
        <f t="shared" si="9"/>
        <v>1</v>
      </c>
      <c r="I20" s="252">
        <f t="shared" si="9"/>
        <v>1</v>
      </c>
      <c r="J20" s="252">
        <f t="shared" si="9"/>
        <v>1</v>
      </c>
      <c r="K20" s="252">
        <f t="shared" si="9"/>
        <v>1</v>
      </c>
      <c r="L20" s="252">
        <f t="shared" si="9"/>
        <v>1</v>
      </c>
      <c r="M20" s="252">
        <f t="shared" si="9"/>
        <v>1</v>
      </c>
      <c r="N20" s="252">
        <f t="shared" si="9"/>
        <v>1</v>
      </c>
      <c r="O20" s="252">
        <f t="shared" si="9"/>
        <v>1</v>
      </c>
      <c r="P20" s="252">
        <f t="shared" si="9"/>
        <v>1</v>
      </c>
      <c r="Q20" s="252">
        <f t="shared" si="9"/>
        <v>1</v>
      </c>
      <c r="R20" s="252">
        <f t="shared" si="9"/>
        <v>1</v>
      </c>
      <c r="S20" s="252">
        <f t="shared" si="9"/>
        <v>1</v>
      </c>
      <c r="T20" s="252">
        <f t="shared" si="9"/>
        <v>1</v>
      </c>
      <c r="U20" s="252">
        <f t="shared" si="9"/>
        <v>1</v>
      </c>
      <c r="V20" s="252">
        <f t="shared" si="9"/>
        <v>1</v>
      </c>
      <c r="W20" s="252">
        <f t="shared" si="9"/>
        <v>1</v>
      </c>
      <c r="X20" s="252">
        <f t="shared" si="9"/>
        <v>1</v>
      </c>
      <c r="Y20" s="252">
        <f t="shared" si="9"/>
        <v>1</v>
      </c>
      <c r="Z20" s="252">
        <f t="shared" si="9"/>
        <v>1</v>
      </c>
      <c r="AA20" s="252">
        <f t="shared" si="9"/>
        <v>1</v>
      </c>
      <c r="AB20" s="252">
        <f t="shared" si="9"/>
        <v>1</v>
      </c>
      <c r="AC20" s="252">
        <f t="shared" si="9"/>
        <v>1</v>
      </c>
      <c r="AD20" s="252">
        <f t="shared" si="9"/>
        <v>1</v>
      </c>
      <c r="AE20" s="252">
        <f t="shared" si="9"/>
        <v>1</v>
      </c>
      <c r="AF20" s="252">
        <f t="shared" si="9"/>
        <v>1</v>
      </c>
      <c r="AG20" s="252">
        <f t="shared" si="9"/>
        <v>1</v>
      </c>
      <c r="AH20" s="252">
        <f t="shared" si="9"/>
        <v>1</v>
      </c>
      <c r="AI20" s="252">
        <f t="shared" si="9"/>
        <v>1</v>
      </c>
      <c r="AJ20" s="252">
        <f t="shared" si="9"/>
        <v>1</v>
      </c>
      <c r="AK20" s="252">
        <f t="shared" si="9"/>
        <v>1</v>
      </c>
      <c r="AL20" s="252">
        <f t="shared" si="9"/>
        <v>1</v>
      </c>
      <c r="AM20" s="252">
        <f t="shared" si="9"/>
        <v>1</v>
      </c>
      <c r="AO20" s="77"/>
    </row>
    <row r="21" spans="1:42" x14ac:dyDescent="0.25">
      <c r="B21" s="1158"/>
      <c r="C21" s="20"/>
      <c r="D21" s="20" t="s">
        <v>311</v>
      </c>
      <c r="E21" s="253">
        <f>E13*$F$3+E14*$F$4+E15*$F$5+E16*$F$6+E17*$F$7+E18*$F$8</f>
        <v>0</v>
      </c>
      <c r="F21" s="253">
        <f t="shared" ref="F21:AM21" si="10">F13*$F$3+F14*$F$4+F15*$F$5+F16*$F$6+F17*$F$7+F18*$F$8</f>
        <v>0</v>
      </c>
      <c r="G21" s="253">
        <f t="shared" si="10"/>
        <v>0</v>
      </c>
      <c r="H21" s="253">
        <f t="shared" si="10"/>
        <v>0</v>
      </c>
      <c r="I21" s="253">
        <f t="shared" si="10"/>
        <v>0</v>
      </c>
      <c r="J21" s="253">
        <f t="shared" si="10"/>
        <v>0</v>
      </c>
      <c r="K21" s="253">
        <f t="shared" si="10"/>
        <v>0</v>
      </c>
      <c r="L21" s="253">
        <f t="shared" si="10"/>
        <v>0</v>
      </c>
      <c r="M21" s="253">
        <f t="shared" si="10"/>
        <v>0</v>
      </c>
      <c r="N21" s="253">
        <f t="shared" si="10"/>
        <v>0</v>
      </c>
      <c r="O21" s="253">
        <f t="shared" si="10"/>
        <v>0</v>
      </c>
      <c r="P21" s="253">
        <f t="shared" si="10"/>
        <v>0</v>
      </c>
      <c r="Q21" s="253">
        <f t="shared" si="10"/>
        <v>0</v>
      </c>
      <c r="R21" s="253">
        <f t="shared" si="10"/>
        <v>0</v>
      </c>
      <c r="S21" s="253">
        <f t="shared" si="10"/>
        <v>0</v>
      </c>
      <c r="T21" s="253">
        <f t="shared" si="10"/>
        <v>0</v>
      </c>
      <c r="U21" s="253">
        <f t="shared" si="10"/>
        <v>0</v>
      </c>
      <c r="V21" s="253">
        <f t="shared" si="10"/>
        <v>0</v>
      </c>
      <c r="W21" s="253">
        <f t="shared" si="10"/>
        <v>0</v>
      </c>
      <c r="X21" s="253">
        <f t="shared" si="10"/>
        <v>0</v>
      </c>
      <c r="Y21" s="253">
        <f t="shared" si="10"/>
        <v>0</v>
      </c>
      <c r="Z21" s="253">
        <f t="shared" si="10"/>
        <v>0</v>
      </c>
      <c r="AA21" s="253">
        <f t="shared" si="10"/>
        <v>0</v>
      </c>
      <c r="AB21" s="253">
        <f t="shared" si="10"/>
        <v>0</v>
      </c>
      <c r="AC21" s="253">
        <f t="shared" si="10"/>
        <v>0</v>
      </c>
      <c r="AD21" s="253">
        <f t="shared" si="10"/>
        <v>0</v>
      </c>
      <c r="AE21" s="253">
        <f t="shared" si="10"/>
        <v>0</v>
      </c>
      <c r="AF21" s="253">
        <f t="shared" si="10"/>
        <v>0</v>
      </c>
      <c r="AG21" s="253">
        <f t="shared" si="10"/>
        <v>0</v>
      </c>
      <c r="AH21" s="253">
        <f t="shared" si="10"/>
        <v>0</v>
      </c>
      <c r="AI21" s="253">
        <f t="shared" si="10"/>
        <v>0</v>
      </c>
      <c r="AJ21" s="253">
        <f t="shared" si="10"/>
        <v>0</v>
      </c>
      <c r="AK21" s="253">
        <f t="shared" si="10"/>
        <v>0</v>
      </c>
      <c r="AL21" s="253">
        <f t="shared" si="10"/>
        <v>0</v>
      </c>
      <c r="AM21" s="253">
        <f t="shared" si="10"/>
        <v>0</v>
      </c>
      <c r="AO21" s="77"/>
    </row>
    <row r="22" spans="1:42" x14ac:dyDescent="0.25">
      <c r="B22" s="1158" t="s">
        <v>4</v>
      </c>
      <c r="C22" s="20" t="s">
        <v>328</v>
      </c>
      <c r="D22" s="150" t="s">
        <v>307</v>
      </c>
      <c r="E22" s="251">
        <f>'Base Física'!F68</f>
        <v>0</v>
      </c>
      <c r="F22" s="251">
        <f>'Base Física'!G68</f>
        <v>0</v>
      </c>
      <c r="G22" s="251">
        <f>'Base Física'!H68</f>
        <v>0</v>
      </c>
      <c r="H22" s="251">
        <f>'Base Física'!I68</f>
        <v>0</v>
      </c>
      <c r="I22" s="251">
        <f>'Base Física'!J68</f>
        <v>0</v>
      </c>
      <c r="J22" s="251">
        <f>'Base Física'!K68</f>
        <v>0</v>
      </c>
      <c r="K22" s="251">
        <f>'Base Física'!L68</f>
        <v>0</v>
      </c>
      <c r="L22" s="251">
        <f>'Base Física'!M68</f>
        <v>0</v>
      </c>
      <c r="M22" s="251">
        <f>'Base Física'!N68</f>
        <v>0</v>
      </c>
      <c r="N22" s="251">
        <f>'Base Física'!O68</f>
        <v>0</v>
      </c>
      <c r="O22" s="251">
        <f>'Base Física'!P68</f>
        <v>0</v>
      </c>
      <c r="P22" s="251">
        <f>'Base Física'!Q68</f>
        <v>0</v>
      </c>
      <c r="Q22" s="251">
        <f>'Base Física'!R68</f>
        <v>0</v>
      </c>
      <c r="R22" s="251">
        <f>'Base Física'!S68</f>
        <v>0</v>
      </c>
      <c r="S22" s="251">
        <f>'Base Física'!T68</f>
        <v>0</v>
      </c>
      <c r="T22" s="251">
        <f>'Base Física'!U68</f>
        <v>0</v>
      </c>
      <c r="U22" s="251">
        <f>'Base Física'!V68</f>
        <v>0</v>
      </c>
      <c r="V22" s="251">
        <f>'Base Física'!W68</f>
        <v>0</v>
      </c>
      <c r="W22" s="251">
        <f>'Base Física'!X68</f>
        <v>0</v>
      </c>
      <c r="X22" s="251">
        <f>'Base Física'!Y68</f>
        <v>0</v>
      </c>
      <c r="Y22" s="251">
        <f>'Base Física'!Z68</f>
        <v>0</v>
      </c>
      <c r="Z22" s="251">
        <f>'Base Física'!AA68</f>
        <v>0</v>
      </c>
      <c r="AA22" s="251">
        <f>'Base Física'!AB68</f>
        <v>0</v>
      </c>
      <c r="AB22" s="251">
        <f>'Base Física'!AC68</f>
        <v>0</v>
      </c>
      <c r="AC22" s="251">
        <f>'Base Física'!AD68</f>
        <v>0</v>
      </c>
      <c r="AD22" s="251">
        <f>'Base Física'!AE68</f>
        <v>0</v>
      </c>
      <c r="AE22" s="251">
        <f>'Base Física'!AF68</f>
        <v>0</v>
      </c>
      <c r="AF22" s="251">
        <f>'Base Física'!AG68</f>
        <v>0</v>
      </c>
      <c r="AG22" s="251">
        <f>'Base Física'!AH68</f>
        <v>0</v>
      </c>
      <c r="AH22" s="251">
        <f>'Base Física'!AI68</f>
        <v>0</v>
      </c>
      <c r="AI22" s="251">
        <f>'Base Física'!AJ68</f>
        <v>0</v>
      </c>
      <c r="AJ22" s="251">
        <f>'Base Física'!AK68</f>
        <v>0</v>
      </c>
      <c r="AK22" s="251">
        <f>'Base Física'!AL68</f>
        <v>0</v>
      </c>
      <c r="AL22" s="251">
        <f>'Base Física'!AM68</f>
        <v>0</v>
      </c>
      <c r="AM22" s="251">
        <f>'Base Física'!AN68</f>
        <v>0</v>
      </c>
      <c r="AO22" s="77"/>
    </row>
    <row r="23" spans="1:42" x14ac:dyDescent="0.25">
      <c r="B23" s="1158"/>
      <c r="C23" s="20" t="s">
        <v>322</v>
      </c>
      <c r="D23" s="150" t="s">
        <v>327</v>
      </c>
      <c r="E23" s="256">
        <f>ROUND(E$22*$D$4*0.001/1000,2)</f>
        <v>0</v>
      </c>
      <c r="F23" s="256">
        <f t="shared" ref="F23:AM23" si="11">ROUND(F$22*$D$4*0.001/1000,2)</f>
        <v>0</v>
      </c>
      <c r="G23" s="256">
        <f t="shared" si="11"/>
        <v>0</v>
      </c>
      <c r="H23" s="256">
        <f t="shared" si="11"/>
        <v>0</v>
      </c>
      <c r="I23" s="256">
        <f t="shared" si="11"/>
        <v>0</v>
      </c>
      <c r="J23" s="256">
        <f t="shared" si="11"/>
        <v>0</v>
      </c>
      <c r="K23" s="256">
        <f t="shared" si="11"/>
        <v>0</v>
      </c>
      <c r="L23" s="256">
        <f t="shared" si="11"/>
        <v>0</v>
      </c>
      <c r="M23" s="256">
        <f t="shared" si="11"/>
        <v>0</v>
      </c>
      <c r="N23" s="256">
        <f t="shared" si="11"/>
        <v>0</v>
      </c>
      <c r="O23" s="256">
        <f t="shared" si="11"/>
        <v>0</v>
      </c>
      <c r="P23" s="256">
        <f t="shared" si="11"/>
        <v>0</v>
      </c>
      <c r="Q23" s="256">
        <f t="shared" si="11"/>
        <v>0</v>
      </c>
      <c r="R23" s="256">
        <f t="shared" si="11"/>
        <v>0</v>
      </c>
      <c r="S23" s="256">
        <f t="shared" si="11"/>
        <v>0</v>
      </c>
      <c r="T23" s="256">
        <f t="shared" si="11"/>
        <v>0</v>
      </c>
      <c r="U23" s="256">
        <f t="shared" si="11"/>
        <v>0</v>
      </c>
      <c r="V23" s="256">
        <f t="shared" si="11"/>
        <v>0</v>
      </c>
      <c r="W23" s="256">
        <f t="shared" si="11"/>
        <v>0</v>
      </c>
      <c r="X23" s="256">
        <f t="shared" si="11"/>
        <v>0</v>
      </c>
      <c r="Y23" s="256">
        <f t="shared" si="11"/>
        <v>0</v>
      </c>
      <c r="Z23" s="256">
        <f t="shared" si="11"/>
        <v>0</v>
      </c>
      <c r="AA23" s="256">
        <f t="shared" si="11"/>
        <v>0</v>
      </c>
      <c r="AB23" s="256">
        <f t="shared" si="11"/>
        <v>0</v>
      </c>
      <c r="AC23" s="256">
        <f t="shared" si="11"/>
        <v>0</v>
      </c>
      <c r="AD23" s="256">
        <f t="shared" si="11"/>
        <v>0</v>
      </c>
      <c r="AE23" s="256">
        <f t="shared" si="11"/>
        <v>0</v>
      </c>
      <c r="AF23" s="256">
        <f t="shared" si="11"/>
        <v>0</v>
      </c>
      <c r="AG23" s="256">
        <f t="shared" si="11"/>
        <v>0</v>
      </c>
      <c r="AH23" s="256">
        <f t="shared" si="11"/>
        <v>0</v>
      </c>
      <c r="AI23" s="256">
        <f t="shared" si="11"/>
        <v>0</v>
      </c>
      <c r="AJ23" s="256">
        <f t="shared" si="11"/>
        <v>0</v>
      </c>
      <c r="AK23" s="256">
        <f t="shared" si="11"/>
        <v>0</v>
      </c>
      <c r="AL23" s="256">
        <f t="shared" si="11"/>
        <v>0</v>
      </c>
      <c r="AM23" s="256">
        <f t="shared" si="11"/>
        <v>0</v>
      </c>
      <c r="AO23" s="77"/>
    </row>
    <row r="24" spans="1:42" x14ac:dyDescent="0.25">
      <c r="B24" s="1158"/>
      <c r="C24" s="20" t="s">
        <v>325</v>
      </c>
      <c r="D24" s="150" t="s">
        <v>327</v>
      </c>
      <c r="E24" s="256">
        <f>ROUND(E$22*$D$7*0.001/1000,2)</f>
        <v>0</v>
      </c>
      <c r="F24" s="256">
        <f t="shared" ref="F24:AM24" si="12">ROUND(F$22*$D$7*0.001/1000,2)</f>
        <v>0</v>
      </c>
      <c r="G24" s="256">
        <f t="shared" si="12"/>
        <v>0</v>
      </c>
      <c r="H24" s="256">
        <f t="shared" si="12"/>
        <v>0</v>
      </c>
      <c r="I24" s="256">
        <f t="shared" si="12"/>
        <v>0</v>
      </c>
      <c r="J24" s="256">
        <f t="shared" si="12"/>
        <v>0</v>
      </c>
      <c r="K24" s="256">
        <f t="shared" si="12"/>
        <v>0</v>
      </c>
      <c r="L24" s="256">
        <f t="shared" si="12"/>
        <v>0</v>
      </c>
      <c r="M24" s="256">
        <f t="shared" si="12"/>
        <v>0</v>
      </c>
      <c r="N24" s="256">
        <f t="shared" si="12"/>
        <v>0</v>
      </c>
      <c r="O24" s="256">
        <f t="shared" si="12"/>
        <v>0</v>
      </c>
      <c r="P24" s="256">
        <f t="shared" si="12"/>
        <v>0</v>
      </c>
      <c r="Q24" s="256">
        <f t="shared" si="12"/>
        <v>0</v>
      </c>
      <c r="R24" s="256">
        <f t="shared" si="12"/>
        <v>0</v>
      </c>
      <c r="S24" s="256">
        <f t="shared" si="12"/>
        <v>0</v>
      </c>
      <c r="T24" s="256">
        <f t="shared" si="12"/>
        <v>0</v>
      </c>
      <c r="U24" s="256">
        <f t="shared" si="12"/>
        <v>0</v>
      </c>
      <c r="V24" s="256">
        <f t="shared" si="12"/>
        <v>0</v>
      </c>
      <c r="W24" s="256">
        <f t="shared" si="12"/>
        <v>0</v>
      </c>
      <c r="X24" s="256">
        <f t="shared" si="12"/>
        <v>0</v>
      </c>
      <c r="Y24" s="256">
        <f t="shared" si="12"/>
        <v>0</v>
      </c>
      <c r="Z24" s="256">
        <f t="shared" si="12"/>
        <v>0</v>
      </c>
      <c r="AA24" s="256">
        <f t="shared" si="12"/>
        <v>0</v>
      </c>
      <c r="AB24" s="256">
        <f t="shared" si="12"/>
        <v>0</v>
      </c>
      <c r="AC24" s="256">
        <f t="shared" si="12"/>
        <v>0</v>
      </c>
      <c r="AD24" s="256">
        <f t="shared" si="12"/>
        <v>0</v>
      </c>
      <c r="AE24" s="256">
        <f t="shared" si="12"/>
        <v>0</v>
      </c>
      <c r="AF24" s="256">
        <f t="shared" si="12"/>
        <v>0</v>
      </c>
      <c r="AG24" s="256">
        <f t="shared" si="12"/>
        <v>0</v>
      </c>
      <c r="AH24" s="256">
        <f t="shared" si="12"/>
        <v>0</v>
      </c>
      <c r="AI24" s="256">
        <f t="shared" si="12"/>
        <v>0</v>
      </c>
      <c r="AJ24" s="256">
        <f t="shared" si="12"/>
        <v>0</v>
      </c>
      <c r="AK24" s="256">
        <f t="shared" si="12"/>
        <v>0</v>
      </c>
      <c r="AL24" s="256">
        <f t="shared" si="12"/>
        <v>0</v>
      </c>
      <c r="AM24" s="256">
        <f t="shared" si="12"/>
        <v>0</v>
      </c>
      <c r="AO24" s="77"/>
    </row>
    <row r="25" spans="1:42" x14ac:dyDescent="0.25">
      <c r="B25" s="1158"/>
      <c r="C25" s="20"/>
      <c r="D25" s="20" t="s">
        <v>311</v>
      </c>
      <c r="E25" s="253">
        <f>E23*$F$4+E24*$F$8</f>
        <v>0</v>
      </c>
      <c r="F25" s="253">
        <f t="shared" ref="F25:AM25" si="13">F23*$F$4+F24*$F$8</f>
        <v>0</v>
      </c>
      <c r="G25" s="253">
        <f t="shared" si="13"/>
        <v>0</v>
      </c>
      <c r="H25" s="253">
        <f t="shared" si="13"/>
        <v>0</v>
      </c>
      <c r="I25" s="253">
        <f t="shared" si="13"/>
        <v>0</v>
      </c>
      <c r="J25" s="253">
        <f t="shared" si="13"/>
        <v>0</v>
      </c>
      <c r="K25" s="253">
        <f t="shared" si="13"/>
        <v>0</v>
      </c>
      <c r="L25" s="253">
        <f t="shared" si="13"/>
        <v>0</v>
      </c>
      <c r="M25" s="253">
        <f t="shared" si="13"/>
        <v>0</v>
      </c>
      <c r="N25" s="253">
        <f t="shared" si="13"/>
        <v>0</v>
      </c>
      <c r="O25" s="253">
        <f t="shared" si="13"/>
        <v>0</v>
      </c>
      <c r="P25" s="253">
        <f t="shared" si="13"/>
        <v>0</v>
      </c>
      <c r="Q25" s="253">
        <f t="shared" si="13"/>
        <v>0</v>
      </c>
      <c r="R25" s="253">
        <f t="shared" si="13"/>
        <v>0</v>
      </c>
      <c r="S25" s="253">
        <f t="shared" si="13"/>
        <v>0</v>
      </c>
      <c r="T25" s="253">
        <f t="shared" si="13"/>
        <v>0</v>
      </c>
      <c r="U25" s="253">
        <f t="shared" si="13"/>
        <v>0</v>
      </c>
      <c r="V25" s="253">
        <f t="shared" si="13"/>
        <v>0</v>
      </c>
      <c r="W25" s="253">
        <f t="shared" si="13"/>
        <v>0</v>
      </c>
      <c r="X25" s="253">
        <f t="shared" si="13"/>
        <v>0</v>
      </c>
      <c r="Y25" s="253">
        <f t="shared" si="13"/>
        <v>0</v>
      </c>
      <c r="Z25" s="253">
        <f t="shared" si="13"/>
        <v>0</v>
      </c>
      <c r="AA25" s="253">
        <f t="shared" si="13"/>
        <v>0</v>
      </c>
      <c r="AB25" s="253">
        <f t="shared" si="13"/>
        <v>0</v>
      </c>
      <c r="AC25" s="253">
        <f t="shared" si="13"/>
        <v>0</v>
      </c>
      <c r="AD25" s="253">
        <f t="shared" si="13"/>
        <v>0</v>
      </c>
      <c r="AE25" s="253">
        <f t="shared" si="13"/>
        <v>0</v>
      </c>
      <c r="AF25" s="253">
        <f t="shared" si="13"/>
        <v>0</v>
      </c>
      <c r="AG25" s="253">
        <f t="shared" si="13"/>
        <v>0</v>
      </c>
      <c r="AH25" s="253">
        <f t="shared" si="13"/>
        <v>0</v>
      </c>
      <c r="AI25" s="253">
        <f t="shared" si="13"/>
        <v>0</v>
      </c>
      <c r="AJ25" s="253">
        <f t="shared" si="13"/>
        <v>0</v>
      </c>
      <c r="AK25" s="253">
        <f t="shared" si="13"/>
        <v>0</v>
      </c>
      <c r="AL25" s="253">
        <f t="shared" si="13"/>
        <v>0</v>
      </c>
      <c r="AM25" s="253">
        <f t="shared" si="13"/>
        <v>0</v>
      </c>
    </row>
    <row r="26" spans="1:42" hidden="1" x14ac:dyDescent="0.25">
      <c r="B26" s="20"/>
      <c r="C26" s="20"/>
      <c r="D26" s="20"/>
      <c r="E26" s="258"/>
      <c r="F26" s="258"/>
      <c r="G26" s="258"/>
      <c r="H26" s="258"/>
      <c r="I26" s="258"/>
      <c r="J26" s="258"/>
      <c r="K26" s="258"/>
      <c r="L26" s="258"/>
      <c r="M26" s="258"/>
      <c r="N26" s="258"/>
      <c r="O26" s="258"/>
      <c r="P26" s="258"/>
      <c r="Q26" s="258"/>
      <c r="R26" s="258"/>
      <c r="S26" s="258"/>
      <c r="T26" s="258"/>
      <c r="U26" s="258"/>
      <c r="V26" s="258"/>
      <c r="W26" s="258"/>
      <c r="X26" s="258"/>
      <c r="Y26" s="258"/>
      <c r="Z26" s="258"/>
      <c r="AA26" s="258"/>
      <c r="AB26" s="258"/>
      <c r="AC26" s="258"/>
      <c r="AD26" s="258"/>
      <c r="AE26" s="258"/>
      <c r="AF26" s="258"/>
      <c r="AG26" s="258"/>
      <c r="AH26" s="258"/>
      <c r="AI26" s="258"/>
      <c r="AJ26" s="258"/>
      <c r="AK26" s="258"/>
      <c r="AL26" s="258"/>
      <c r="AM26" s="258"/>
    </row>
    <row r="27" spans="1:42" x14ac:dyDescent="0.25">
      <c r="A27" s="46"/>
      <c r="B27" s="1168" t="s">
        <v>5</v>
      </c>
      <c r="C27" s="1168"/>
      <c r="D27" s="1168"/>
      <c r="E27" s="255">
        <f t="shared" ref="E27:AH27" si="14">E21+E25</f>
        <v>0</v>
      </c>
      <c r="F27" s="255">
        <f t="shared" si="14"/>
        <v>0</v>
      </c>
      <c r="G27" s="255">
        <f t="shared" si="14"/>
        <v>0</v>
      </c>
      <c r="H27" s="255">
        <f t="shared" si="14"/>
        <v>0</v>
      </c>
      <c r="I27" s="255">
        <f t="shared" si="14"/>
        <v>0</v>
      </c>
      <c r="J27" s="255">
        <f t="shared" si="14"/>
        <v>0</v>
      </c>
      <c r="K27" s="255">
        <f t="shared" si="14"/>
        <v>0</v>
      </c>
      <c r="L27" s="255">
        <f t="shared" si="14"/>
        <v>0</v>
      </c>
      <c r="M27" s="255">
        <f t="shared" si="14"/>
        <v>0</v>
      </c>
      <c r="N27" s="255">
        <f t="shared" si="14"/>
        <v>0</v>
      </c>
      <c r="O27" s="255">
        <f t="shared" si="14"/>
        <v>0</v>
      </c>
      <c r="P27" s="255">
        <f t="shared" si="14"/>
        <v>0</v>
      </c>
      <c r="Q27" s="255">
        <f t="shared" si="14"/>
        <v>0</v>
      </c>
      <c r="R27" s="255">
        <f t="shared" si="14"/>
        <v>0</v>
      </c>
      <c r="S27" s="255">
        <f t="shared" si="14"/>
        <v>0</v>
      </c>
      <c r="T27" s="255">
        <f t="shared" si="14"/>
        <v>0</v>
      </c>
      <c r="U27" s="255">
        <f t="shared" si="14"/>
        <v>0</v>
      </c>
      <c r="V27" s="255">
        <f t="shared" si="14"/>
        <v>0</v>
      </c>
      <c r="W27" s="255">
        <f t="shared" si="14"/>
        <v>0</v>
      </c>
      <c r="X27" s="255">
        <f t="shared" si="14"/>
        <v>0</v>
      </c>
      <c r="Y27" s="255">
        <f t="shared" si="14"/>
        <v>0</v>
      </c>
      <c r="Z27" s="255">
        <f t="shared" si="14"/>
        <v>0</v>
      </c>
      <c r="AA27" s="255">
        <f t="shared" si="14"/>
        <v>0</v>
      </c>
      <c r="AB27" s="255">
        <f t="shared" si="14"/>
        <v>0</v>
      </c>
      <c r="AC27" s="255">
        <f t="shared" si="14"/>
        <v>0</v>
      </c>
      <c r="AD27" s="255">
        <f t="shared" si="14"/>
        <v>0</v>
      </c>
      <c r="AE27" s="255">
        <f t="shared" si="14"/>
        <v>0</v>
      </c>
      <c r="AF27" s="255">
        <f t="shared" si="14"/>
        <v>0</v>
      </c>
      <c r="AG27" s="255">
        <f t="shared" si="14"/>
        <v>0</v>
      </c>
      <c r="AH27" s="255">
        <f t="shared" si="14"/>
        <v>0</v>
      </c>
      <c r="AI27" s="255">
        <f t="shared" ref="AI27:AM27" si="15">AI21+AI25</f>
        <v>0</v>
      </c>
      <c r="AJ27" s="255">
        <f t="shared" si="15"/>
        <v>0</v>
      </c>
      <c r="AK27" s="255">
        <f t="shared" si="15"/>
        <v>0</v>
      </c>
      <c r="AL27" s="255">
        <f t="shared" si="15"/>
        <v>0</v>
      </c>
      <c r="AM27" s="255">
        <f t="shared" si="15"/>
        <v>0</v>
      </c>
      <c r="AO27" s="132"/>
      <c r="AP27" s="132"/>
    </row>
    <row r="28" spans="1:42" x14ac:dyDescent="0.25">
      <c r="E28" s="77"/>
    </row>
    <row r="29" spans="1:42" x14ac:dyDescent="0.25">
      <c r="E29" s="77"/>
    </row>
    <row r="30" spans="1:42" x14ac:dyDescent="0.25">
      <c r="E30" s="77"/>
    </row>
    <row r="31" spans="1:42" x14ac:dyDescent="0.25">
      <c r="E31" s="77"/>
    </row>
  </sheetData>
  <mergeCells count="6">
    <mergeCell ref="D2:E2"/>
    <mergeCell ref="B12:B21"/>
    <mergeCell ref="B22:B25"/>
    <mergeCell ref="B27:D27"/>
    <mergeCell ref="B10:C11"/>
    <mergeCell ref="D10:D11"/>
  </mergeCells>
  <pageMargins left="0.511811024" right="0.511811024" top="0.78740157499999996" bottom="0.78740157499999996" header="0.31496062000000002" footer="0.3149606200000000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M13"/>
  <sheetViews>
    <sheetView showGridLines="0" workbookViewId="0">
      <pane xSplit="4" ySplit="5" topLeftCell="E6" activePane="bottomRight" state="frozen"/>
      <selection pane="topRight" activeCell="E1" sqref="E1"/>
      <selection pane="bottomLeft" activeCell="A6" sqref="A6"/>
      <selection pane="bottomRight" activeCell="D2" sqref="D2:D3"/>
    </sheetView>
  </sheetViews>
  <sheetFormatPr defaultRowHeight="15" x14ac:dyDescent="0.25"/>
  <cols>
    <col min="1" max="1" width="14.85546875" bestFit="1" customWidth="1"/>
    <col min="2" max="2" width="18.42578125" customWidth="1"/>
    <col min="3" max="3" width="33" customWidth="1"/>
    <col min="4" max="4" width="14.140625" customWidth="1"/>
    <col min="5" max="34" width="15.7109375" customWidth="1"/>
    <col min="35" max="39" width="12.140625" bestFit="1" customWidth="1"/>
  </cols>
  <sheetData>
    <row r="1" spans="1:39" s="18" customFormat="1" x14ac:dyDescent="0.25">
      <c r="A1" s="309" t="s">
        <v>520</v>
      </c>
      <c r="B1" s="1170" t="s">
        <v>339</v>
      </c>
      <c r="C1" s="1170"/>
      <c r="D1" s="127" t="s">
        <v>15</v>
      </c>
      <c r="H1" s="84"/>
    </row>
    <row r="2" spans="1:39" s="18" customFormat="1" x14ac:dyDescent="0.25">
      <c r="A2" s="145" t="s">
        <v>526</v>
      </c>
      <c r="B2" s="128">
        <v>1</v>
      </c>
      <c r="C2" s="128" t="s">
        <v>370</v>
      </c>
      <c r="D2" s="354"/>
      <c r="H2" s="84"/>
    </row>
    <row r="3" spans="1:39" s="18" customFormat="1" x14ac:dyDescent="0.25">
      <c r="A3" s="213" t="s">
        <v>522</v>
      </c>
      <c r="B3" s="259">
        <v>2</v>
      </c>
      <c r="C3" s="259" t="s">
        <v>371</v>
      </c>
      <c r="D3" s="355"/>
      <c r="H3" s="84"/>
    </row>
    <row r="4" spans="1:39" s="18" customFormat="1" ht="12" x14ac:dyDescent="0.2">
      <c r="B4" s="1141" t="s">
        <v>215</v>
      </c>
      <c r="C4" s="1141"/>
      <c r="D4" s="1141" t="s">
        <v>216</v>
      </c>
      <c r="E4" s="136">
        <f>'FCD PROJETO'!F23</f>
        <v>1</v>
      </c>
      <c r="F4" s="136">
        <f>'FCD PROJETO'!G23</f>
        <v>2</v>
      </c>
      <c r="G4" s="136">
        <f>'FCD PROJETO'!H23</f>
        <v>3</v>
      </c>
      <c r="H4" s="136">
        <f>'FCD PROJETO'!I23</f>
        <v>4</v>
      </c>
      <c r="I4" s="136">
        <f>'FCD PROJETO'!J23</f>
        <v>5</v>
      </c>
      <c r="J4" s="136">
        <f>'FCD PROJETO'!K23</f>
        <v>6</v>
      </c>
      <c r="K4" s="136">
        <f>'FCD PROJETO'!L23</f>
        <v>7</v>
      </c>
      <c r="L4" s="136">
        <f>'FCD PROJETO'!M23</f>
        <v>8</v>
      </c>
      <c r="M4" s="136">
        <f>'FCD PROJETO'!N23</f>
        <v>9</v>
      </c>
      <c r="N4" s="136">
        <f>'FCD PROJETO'!O23</f>
        <v>10</v>
      </c>
      <c r="O4" s="136">
        <f>'FCD PROJETO'!P23</f>
        <v>11</v>
      </c>
      <c r="P4" s="136">
        <f>'FCD PROJETO'!Q23</f>
        <v>12</v>
      </c>
      <c r="Q4" s="136">
        <f>'FCD PROJETO'!R23</f>
        <v>13</v>
      </c>
      <c r="R4" s="136">
        <f>'FCD PROJETO'!S23</f>
        <v>14</v>
      </c>
      <c r="S4" s="136">
        <f>'FCD PROJETO'!T23</f>
        <v>15</v>
      </c>
      <c r="T4" s="136">
        <f>'FCD PROJETO'!U23</f>
        <v>16</v>
      </c>
      <c r="U4" s="136">
        <f>'FCD PROJETO'!V23</f>
        <v>17</v>
      </c>
      <c r="V4" s="136">
        <f>'FCD PROJETO'!W23</f>
        <v>18</v>
      </c>
      <c r="W4" s="136">
        <f>'FCD PROJETO'!X23</f>
        <v>19</v>
      </c>
      <c r="X4" s="136">
        <f>'FCD PROJETO'!Y23</f>
        <v>20</v>
      </c>
      <c r="Y4" s="136">
        <f>'FCD PROJETO'!Z23</f>
        <v>21</v>
      </c>
      <c r="Z4" s="136">
        <f>'FCD PROJETO'!AA23</f>
        <v>22</v>
      </c>
      <c r="AA4" s="136">
        <f>'FCD PROJETO'!AB23</f>
        <v>23</v>
      </c>
      <c r="AB4" s="136">
        <f>'FCD PROJETO'!AC23</f>
        <v>24</v>
      </c>
      <c r="AC4" s="136">
        <f>'FCD PROJETO'!AD23</f>
        <v>25</v>
      </c>
      <c r="AD4" s="136">
        <f>'FCD PROJETO'!AE23</f>
        <v>26</v>
      </c>
      <c r="AE4" s="136">
        <f>'FCD PROJETO'!AF23</f>
        <v>27</v>
      </c>
      <c r="AF4" s="136">
        <f>'FCD PROJETO'!AG23</f>
        <v>28</v>
      </c>
      <c r="AG4" s="136">
        <f>'FCD PROJETO'!AH23</f>
        <v>29</v>
      </c>
      <c r="AH4" s="136">
        <f>'FCD PROJETO'!AI23</f>
        <v>30</v>
      </c>
      <c r="AI4" s="136">
        <f>'FCD PROJETO'!AJ23</f>
        <v>31</v>
      </c>
      <c r="AJ4" s="136">
        <f>'FCD PROJETO'!AK23</f>
        <v>32</v>
      </c>
      <c r="AK4" s="136">
        <f>'FCD PROJETO'!AL23</f>
        <v>33</v>
      </c>
      <c r="AL4" s="136">
        <f>'FCD PROJETO'!AM23</f>
        <v>34</v>
      </c>
      <c r="AM4" s="136">
        <f>'FCD PROJETO'!AN23</f>
        <v>35</v>
      </c>
    </row>
    <row r="5" spans="1:39" s="18" customFormat="1" ht="12" x14ac:dyDescent="0.2">
      <c r="B5" s="1141"/>
      <c r="C5" s="1141"/>
      <c r="D5" s="1141"/>
      <c r="E5" s="136">
        <f>'FCD PROJETO'!F24</f>
        <v>2027</v>
      </c>
      <c r="F5" s="136">
        <f>'FCD PROJETO'!G24</f>
        <v>2028</v>
      </c>
      <c r="G5" s="136">
        <f>'FCD PROJETO'!H24</f>
        <v>2029</v>
      </c>
      <c r="H5" s="136">
        <f>'FCD PROJETO'!I24</f>
        <v>2030</v>
      </c>
      <c r="I5" s="136">
        <f>'FCD PROJETO'!J24</f>
        <v>2031</v>
      </c>
      <c r="J5" s="136">
        <f>'FCD PROJETO'!K24</f>
        <v>2032</v>
      </c>
      <c r="K5" s="136">
        <f>'FCD PROJETO'!L24</f>
        <v>2033</v>
      </c>
      <c r="L5" s="136">
        <f>'FCD PROJETO'!M24</f>
        <v>2034</v>
      </c>
      <c r="M5" s="136">
        <f>'FCD PROJETO'!N24</f>
        <v>2035</v>
      </c>
      <c r="N5" s="136">
        <f>'FCD PROJETO'!O24</f>
        <v>2036</v>
      </c>
      <c r="O5" s="136">
        <f>'FCD PROJETO'!P24</f>
        <v>2037</v>
      </c>
      <c r="P5" s="136">
        <f>'FCD PROJETO'!Q24</f>
        <v>2038</v>
      </c>
      <c r="Q5" s="136">
        <f>'FCD PROJETO'!R24</f>
        <v>2039</v>
      </c>
      <c r="R5" s="136">
        <f>'FCD PROJETO'!S24</f>
        <v>2040</v>
      </c>
      <c r="S5" s="136">
        <f>'FCD PROJETO'!T24</f>
        <v>2041</v>
      </c>
      <c r="T5" s="136">
        <f>'FCD PROJETO'!U24</f>
        <v>2042</v>
      </c>
      <c r="U5" s="136">
        <f>'FCD PROJETO'!V24</f>
        <v>2043</v>
      </c>
      <c r="V5" s="136">
        <f>'FCD PROJETO'!W24</f>
        <v>2044</v>
      </c>
      <c r="W5" s="136">
        <f>'FCD PROJETO'!X24</f>
        <v>2045</v>
      </c>
      <c r="X5" s="136">
        <f>'FCD PROJETO'!Y24</f>
        <v>2046</v>
      </c>
      <c r="Y5" s="136">
        <f>'FCD PROJETO'!Z24</f>
        <v>2047</v>
      </c>
      <c r="Z5" s="136">
        <f>'FCD PROJETO'!AA24</f>
        <v>2048</v>
      </c>
      <c r="AA5" s="136">
        <f>'FCD PROJETO'!AB24</f>
        <v>2049</v>
      </c>
      <c r="AB5" s="136">
        <f>'FCD PROJETO'!AC24</f>
        <v>2050</v>
      </c>
      <c r="AC5" s="136">
        <f>'FCD PROJETO'!AD24</f>
        <v>2051</v>
      </c>
      <c r="AD5" s="136">
        <f>'FCD PROJETO'!AE24</f>
        <v>2052</v>
      </c>
      <c r="AE5" s="136">
        <f>'FCD PROJETO'!AF24</f>
        <v>2053</v>
      </c>
      <c r="AF5" s="136">
        <f>'FCD PROJETO'!AG24</f>
        <v>2054</v>
      </c>
      <c r="AG5" s="136">
        <f>'FCD PROJETO'!AH24</f>
        <v>2055</v>
      </c>
      <c r="AH5" s="136">
        <f>'FCD PROJETO'!AI24</f>
        <v>2056</v>
      </c>
      <c r="AI5" s="136">
        <f>'FCD PROJETO'!AJ24</f>
        <v>2057</v>
      </c>
      <c r="AJ5" s="136">
        <f>'FCD PROJETO'!AK24</f>
        <v>2058</v>
      </c>
      <c r="AK5" s="136">
        <f>'FCD PROJETO'!AL24</f>
        <v>2059</v>
      </c>
      <c r="AL5" s="136">
        <f>'FCD PROJETO'!AM24</f>
        <v>2060</v>
      </c>
      <c r="AM5" s="136">
        <f>'FCD PROJETO'!AN24</f>
        <v>2061</v>
      </c>
    </row>
    <row r="6" spans="1:39" s="18" customFormat="1" ht="15" customHeight="1" x14ac:dyDescent="0.2">
      <c r="B6" s="1169" t="s">
        <v>3</v>
      </c>
      <c r="C6" s="20" t="s">
        <v>100</v>
      </c>
      <c r="D6" s="150" t="s">
        <v>222</v>
      </c>
      <c r="E6" s="256" t="e">
        <f>'FCD PROJETO'!F30</f>
        <v>#DIV/0!</v>
      </c>
      <c r="F6" s="256" t="e">
        <f>'FCD PROJETO'!G30</f>
        <v>#DIV/0!</v>
      </c>
      <c r="G6" s="256" t="e">
        <f>'FCD PROJETO'!H30</f>
        <v>#DIV/0!</v>
      </c>
      <c r="H6" s="256" t="e">
        <f>'FCD PROJETO'!I30</f>
        <v>#DIV/0!</v>
      </c>
      <c r="I6" s="256" t="e">
        <f>'FCD PROJETO'!J30</f>
        <v>#DIV/0!</v>
      </c>
      <c r="J6" s="256" t="e">
        <f>'FCD PROJETO'!K30</f>
        <v>#DIV/0!</v>
      </c>
      <c r="K6" s="256" t="e">
        <f>'FCD PROJETO'!L30</f>
        <v>#DIV/0!</v>
      </c>
      <c r="L6" s="256" t="e">
        <f>'FCD PROJETO'!M30</f>
        <v>#DIV/0!</v>
      </c>
      <c r="M6" s="256" t="e">
        <f>'FCD PROJETO'!N30</f>
        <v>#DIV/0!</v>
      </c>
      <c r="N6" s="256" t="e">
        <f>'FCD PROJETO'!O30</f>
        <v>#DIV/0!</v>
      </c>
      <c r="O6" s="256" t="e">
        <f>'FCD PROJETO'!P30</f>
        <v>#DIV/0!</v>
      </c>
      <c r="P6" s="256" t="e">
        <f>'FCD PROJETO'!Q30</f>
        <v>#DIV/0!</v>
      </c>
      <c r="Q6" s="256" t="e">
        <f>'FCD PROJETO'!R30</f>
        <v>#DIV/0!</v>
      </c>
      <c r="R6" s="256" t="e">
        <f>'FCD PROJETO'!S30</f>
        <v>#DIV/0!</v>
      </c>
      <c r="S6" s="256" t="e">
        <f>'FCD PROJETO'!T30</f>
        <v>#DIV/0!</v>
      </c>
      <c r="T6" s="256" t="e">
        <f>'FCD PROJETO'!U30</f>
        <v>#DIV/0!</v>
      </c>
      <c r="U6" s="256" t="e">
        <f>'FCD PROJETO'!V30</f>
        <v>#DIV/0!</v>
      </c>
      <c r="V6" s="256" t="e">
        <f>'FCD PROJETO'!W30</f>
        <v>#DIV/0!</v>
      </c>
      <c r="W6" s="256" t="e">
        <f>'FCD PROJETO'!X30</f>
        <v>#DIV/0!</v>
      </c>
      <c r="X6" s="256" t="e">
        <f>'FCD PROJETO'!Y30</f>
        <v>#DIV/0!</v>
      </c>
      <c r="Y6" s="256" t="e">
        <f>'FCD PROJETO'!Z30</f>
        <v>#DIV/0!</v>
      </c>
      <c r="Z6" s="256" t="e">
        <f>'FCD PROJETO'!AA30</f>
        <v>#DIV/0!</v>
      </c>
      <c r="AA6" s="256" t="e">
        <f>'FCD PROJETO'!AB30</f>
        <v>#DIV/0!</v>
      </c>
      <c r="AB6" s="256" t="e">
        <f>'FCD PROJETO'!AC30</f>
        <v>#DIV/0!</v>
      </c>
      <c r="AC6" s="256" t="e">
        <f>'FCD PROJETO'!AD30</f>
        <v>#DIV/0!</v>
      </c>
      <c r="AD6" s="256" t="e">
        <f>'FCD PROJETO'!AE30</f>
        <v>#DIV/0!</v>
      </c>
      <c r="AE6" s="256" t="e">
        <f>'FCD PROJETO'!AF30</f>
        <v>#DIV/0!</v>
      </c>
      <c r="AF6" s="256" t="e">
        <f>'FCD PROJETO'!AG30</f>
        <v>#DIV/0!</v>
      </c>
      <c r="AG6" s="256" t="e">
        <f>'FCD PROJETO'!AH30</f>
        <v>#DIV/0!</v>
      </c>
      <c r="AH6" s="256" t="e">
        <f>'FCD PROJETO'!AI30</f>
        <v>#DIV/0!</v>
      </c>
      <c r="AI6" s="256" t="e">
        <f>'FCD PROJETO'!AJ30</f>
        <v>#DIV/0!</v>
      </c>
      <c r="AJ6" s="256" t="e">
        <f>'FCD PROJETO'!AK30</f>
        <v>#DIV/0!</v>
      </c>
      <c r="AK6" s="256" t="e">
        <f>'FCD PROJETO'!AL30</f>
        <v>#DIV/0!</v>
      </c>
      <c r="AL6" s="256" t="e">
        <f>'FCD PROJETO'!AM30</f>
        <v>#DIV/0!</v>
      </c>
      <c r="AM6" s="256" t="e">
        <f>'FCD PROJETO'!AN30</f>
        <v>#DIV/0!</v>
      </c>
    </row>
    <row r="7" spans="1:39" s="18" customFormat="1" ht="12" x14ac:dyDescent="0.2">
      <c r="B7" s="1169"/>
      <c r="C7" s="20"/>
      <c r="D7" s="20" t="s">
        <v>311</v>
      </c>
      <c r="E7" s="253" t="e">
        <f>E6*($D$2+$D$3)</f>
        <v>#DIV/0!</v>
      </c>
      <c r="F7" s="253" t="e">
        <f t="shared" ref="F7:AH7" si="0">F6*($D$2+$D$3)</f>
        <v>#DIV/0!</v>
      </c>
      <c r="G7" s="253" t="e">
        <f t="shared" si="0"/>
        <v>#DIV/0!</v>
      </c>
      <c r="H7" s="253" t="e">
        <f t="shared" si="0"/>
        <v>#DIV/0!</v>
      </c>
      <c r="I7" s="253" t="e">
        <f t="shared" si="0"/>
        <v>#DIV/0!</v>
      </c>
      <c r="J7" s="253" t="e">
        <f t="shared" si="0"/>
        <v>#DIV/0!</v>
      </c>
      <c r="K7" s="253" t="e">
        <f t="shared" si="0"/>
        <v>#DIV/0!</v>
      </c>
      <c r="L7" s="253" t="e">
        <f t="shared" si="0"/>
        <v>#DIV/0!</v>
      </c>
      <c r="M7" s="253" t="e">
        <f t="shared" si="0"/>
        <v>#DIV/0!</v>
      </c>
      <c r="N7" s="253" t="e">
        <f t="shared" si="0"/>
        <v>#DIV/0!</v>
      </c>
      <c r="O7" s="253" t="e">
        <f t="shared" si="0"/>
        <v>#DIV/0!</v>
      </c>
      <c r="P7" s="253" t="e">
        <f t="shared" si="0"/>
        <v>#DIV/0!</v>
      </c>
      <c r="Q7" s="253" t="e">
        <f t="shared" si="0"/>
        <v>#DIV/0!</v>
      </c>
      <c r="R7" s="253" t="e">
        <f t="shared" si="0"/>
        <v>#DIV/0!</v>
      </c>
      <c r="S7" s="253" t="e">
        <f t="shared" si="0"/>
        <v>#DIV/0!</v>
      </c>
      <c r="T7" s="253" t="e">
        <f t="shared" si="0"/>
        <v>#DIV/0!</v>
      </c>
      <c r="U7" s="253" t="e">
        <f t="shared" si="0"/>
        <v>#DIV/0!</v>
      </c>
      <c r="V7" s="253" t="e">
        <f t="shared" si="0"/>
        <v>#DIV/0!</v>
      </c>
      <c r="W7" s="253" t="e">
        <f t="shared" si="0"/>
        <v>#DIV/0!</v>
      </c>
      <c r="X7" s="253" t="e">
        <f t="shared" si="0"/>
        <v>#DIV/0!</v>
      </c>
      <c r="Y7" s="253" t="e">
        <f t="shared" si="0"/>
        <v>#DIV/0!</v>
      </c>
      <c r="Z7" s="253" t="e">
        <f t="shared" si="0"/>
        <v>#DIV/0!</v>
      </c>
      <c r="AA7" s="253" t="e">
        <f t="shared" si="0"/>
        <v>#DIV/0!</v>
      </c>
      <c r="AB7" s="253" t="e">
        <f t="shared" si="0"/>
        <v>#DIV/0!</v>
      </c>
      <c r="AC7" s="253" t="e">
        <f t="shared" si="0"/>
        <v>#DIV/0!</v>
      </c>
      <c r="AD7" s="253" t="e">
        <f t="shared" si="0"/>
        <v>#DIV/0!</v>
      </c>
      <c r="AE7" s="253" t="e">
        <f t="shared" si="0"/>
        <v>#DIV/0!</v>
      </c>
      <c r="AF7" s="253" t="e">
        <f t="shared" si="0"/>
        <v>#DIV/0!</v>
      </c>
      <c r="AG7" s="253" t="e">
        <f t="shared" si="0"/>
        <v>#DIV/0!</v>
      </c>
      <c r="AH7" s="253" t="e">
        <f t="shared" si="0"/>
        <v>#DIV/0!</v>
      </c>
      <c r="AI7" s="253" t="e">
        <f t="shared" ref="AI7:AM7" si="1">AI6*($D$2+$D$3)</f>
        <v>#DIV/0!</v>
      </c>
      <c r="AJ7" s="253" t="e">
        <f t="shared" si="1"/>
        <v>#DIV/0!</v>
      </c>
      <c r="AK7" s="253" t="e">
        <f t="shared" si="1"/>
        <v>#DIV/0!</v>
      </c>
      <c r="AL7" s="253" t="e">
        <f t="shared" si="1"/>
        <v>#DIV/0!</v>
      </c>
      <c r="AM7" s="253" t="e">
        <f t="shared" si="1"/>
        <v>#DIV/0!</v>
      </c>
    </row>
    <row r="8" spans="1:39" s="18" customFormat="1" ht="15" customHeight="1" x14ac:dyDescent="0.2">
      <c r="B8" s="1169" t="s">
        <v>4</v>
      </c>
      <c r="C8" s="20" t="s">
        <v>100</v>
      </c>
      <c r="D8" s="150" t="s">
        <v>307</v>
      </c>
      <c r="E8" s="251" t="e">
        <f>'FCD PROJETO'!F37</f>
        <v>#DIV/0!</v>
      </c>
      <c r="F8" s="251" t="e">
        <f>'FCD PROJETO'!G37</f>
        <v>#DIV/0!</v>
      </c>
      <c r="G8" s="251" t="e">
        <f>'FCD PROJETO'!H37</f>
        <v>#DIV/0!</v>
      </c>
      <c r="H8" s="251" t="e">
        <f>'FCD PROJETO'!I37</f>
        <v>#DIV/0!</v>
      </c>
      <c r="I8" s="251" t="e">
        <f>'FCD PROJETO'!J37</f>
        <v>#DIV/0!</v>
      </c>
      <c r="J8" s="251" t="e">
        <f>'FCD PROJETO'!K37</f>
        <v>#DIV/0!</v>
      </c>
      <c r="K8" s="251" t="e">
        <f>'FCD PROJETO'!L37</f>
        <v>#DIV/0!</v>
      </c>
      <c r="L8" s="251" t="e">
        <f>'FCD PROJETO'!M37</f>
        <v>#DIV/0!</v>
      </c>
      <c r="M8" s="251" t="e">
        <f>'FCD PROJETO'!N37</f>
        <v>#DIV/0!</v>
      </c>
      <c r="N8" s="251" t="e">
        <f>'FCD PROJETO'!O37</f>
        <v>#DIV/0!</v>
      </c>
      <c r="O8" s="251" t="e">
        <f>'FCD PROJETO'!P37</f>
        <v>#DIV/0!</v>
      </c>
      <c r="P8" s="251" t="e">
        <f>'FCD PROJETO'!Q37</f>
        <v>#DIV/0!</v>
      </c>
      <c r="Q8" s="251" t="e">
        <f>'FCD PROJETO'!R37</f>
        <v>#DIV/0!</v>
      </c>
      <c r="R8" s="251" t="e">
        <f>'FCD PROJETO'!S37</f>
        <v>#DIV/0!</v>
      </c>
      <c r="S8" s="251" t="e">
        <f>'FCD PROJETO'!T37</f>
        <v>#DIV/0!</v>
      </c>
      <c r="T8" s="251" t="e">
        <f>'FCD PROJETO'!U37</f>
        <v>#DIV/0!</v>
      </c>
      <c r="U8" s="251" t="e">
        <f>'FCD PROJETO'!V37</f>
        <v>#DIV/0!</v>
      </c>
      <c r="V8" s="251" t="e">
        <f>'FCD PROJETO'!W37</f>
        <v>#DIV/0!</v>
      </c>
      <c r="W8" s="251" t="e">
        <f>'FCD PROJETO'!X37</f>
        <v>#DIV/0!</v>
      </c>
      <c r="X8" s="251" t="e">
        <f>'FCD PROJETO'!Y37</f>
        <v>#DIV/0!</v>
      </c>
      <c r="Y8" s="251" t="e">
        <f>'FCD PROJETO'!Z37</f>
        <v>#DIV/0!</v>
      </c>
      <c r="Z8" s="251" t="e">
        <f>'FCD PROJETO'!AA37</f>
        <v>#DIV/0!</v>
      </c>
      <c r="AA8" s="251" t="e">
        <f>'FCD PROJETO'!AB37</f>
        <v>#DIV/0!</v>
      </c>
      <c r="AB8" s="251" t="e">
        <f>'FCD PROJETO'!AC37</f>
        <v>#DIV/0!</v>
      </c>
      <c r="AC8" s="251" t="e">
        <f>'FCD PROJETO'!AD37</f>
        <v>#DIV/0!</v>
      </c>
      <c r="AD8" s="251" t="e">
        <f>'FCD PROJETO'!AE37</f>
        <v>#DIV/0!</v>
      </c>
      <c r="AE8" s="251" t="e">
        <f>'FCD PROJETO'!AF37</f>
        <v>#DIV/0!</v>
      </c>
      <c r="AF8" s="251" t="e">
        <f>'FCD PROJETO'!AG37</f>
        <v>#DIV/0!</v>
      </c>
      <c r="AG8" s="251" t="e">
        <f>'FCD PROJETO'!AH37</f>
        <v>#DIV/0!</v>
      </c>
      <c r="AH8" s="251" t="e">
        <f>'FCD PROJETO'!AI37</f>
        <v>#DIV/0!</v>
      </c>
      <c r="AI8" s="251" t="e">
        <f>'FCD PROJETO'!AJ37</f>
        <v>#DIV/0!</v>
      </c>
      <c r="AJ8" s="251" t="e">
        <f>'FCD PROJETO'!AK37</f>
        <v>#DIV/0!</v>
      </c>
      <c r="AK8" s="251" t="e">
        <f>'FCD PROJETO'!AL37</f>
        <v>#DIV/0!</v>
      </c>
      <c r="AL8" s="251" t="e">
        <f>'FCD PROJETO'!AM37</f>
        <v>#DIV/0!</v>
      </c>
      <c r="AM8" s="251" t="e">
        <f>'FCD PROJETO'!AN37</f>
        <v>#DIV/0!</v>
      </c>
    </row>
    <row r="9" spans="1:39" s="18" customFormat="1" ht="12" x14ac:dyDescent="0.2">
      <c r="B9" s="1169"/>
      <c r="C9" s="20"/>
      <c r="D9" s="20" t="s">
        <v>311</v>
      </c>
      <c r="E9" s="253" t="e">
        <f>E8*($D$2+$D$3)</f>
        <v>#DIV/0!</v>
      </c>
      <c r="F9" s="253" t="e">
        <f t="shared" ref="F9:AH9" si="2">F8*($D$2+$D$3)</f>
        <v>#DIV/0!</v>
      </c>
      <c r="G9" s="253" t="e">
        <f t="shared" si="2"/>
        <v>#DIV/0!</v>
      </c>
      <c r="H9" s="253" t="e">
        <f t="shared" si="2"/>
        <v>#DIV/0!</v>
      </c>
      <c r="I9" s="253" t="e">
        <f t="shared" si="2"/>
        <v>#DIV/0!</v>
      </c>
      <c r="J9" s="253" t="e">
        <f t="shared" si="2"/>
        <v>#DIV/0!</v>
      </c>
      <c r="K9" s="253" t="e">
        <f t="shared" si="2"/>
        <v>#DIV/0!</v>
      </c>
      <c r="L9" s="253" t="e">
        <f t="shared" si="2"/>
        <v>#DIV/0!</v>
      </c>
      <c r="M9" s="253" t="e">
        <f t="shared" si="2"/>
        <v>#DIV/0!</v>
      </c>
      <c r="N9" s="253" t="e">
        <f t="shared" si="2"/>
        <v>#DIV/0!</v>
      </c>
      <c r="O9" s="253" t="e">
        <f t="shared" si="2"/>
        <v>#DIV/0!</v>
      </c>
      <c r="P9" s="253" t="e">
        <f t="shared" si="2"/>
        <v>#DIV/0!</v>
      </c>
      <c r="Q9" s="253" t="e">
        <f t="shared" si="2"/>
        <v>#DIV/0!</v>
      </c>
      <c r="R9" s="253" t="e">
        <f t="shared" si="2"/>
        <v>#DIV/0!</v>
      </c>
      <c r="S9" s="253" t="e">
        <f t="shared" si="2"/>
        <v>#DIV/0!</v>
      </c>
      <c r="T9" s="253" t="e">
        <f t="shared" si="2"/>
        <v>#DIV/0!</v>
      </c>
      <c r="U9" s="253" t="e">
        <f t="shared" si="2"/>
        <v>#DIV/0!</v>
      </c>
      <c r="V9" s="253" t="e">
        <f t="shared" si="2"/>
        <v>#DIV/0!</v>
      </c>
      <c r="W9" s="253" t="e">
        <f t="shared" si="2"/>
        <v>#DIV/0!</v>
      </c>
      <c r="X9" s="253" t="e">
        <f t="shared" si="2"/>
        <v>#DIV/0!</v>
      </c>
      <c r="Y9" s="253" t="e">
        <f t="shared" si="2"/>
        <v>#DIV/0!</v>
      </c>
      <c r="Z9" s="253" t="e">
        <f t="shared" si="2"/>
        <v>#DIV/0!</v>
      </c>
      <c r="AA9" s="253" t="e">
        <f t="shared" si="2"/>
        <v>#DIV/0!</v>
      </c>
      <c r="AB9" s="253" t="e">
        <f t="shared" si="2"/>
        <v>#DIV/0!</v>
      </c>
      <c r="AC9" s="253" t="e">
        <f t="shared" si="2"/>
        <v>#DIV/0!</v>
      </c>
      <c r="AD9" s="253" t="e">
        <f t="shared" si="2"/>
        <v>#DIV/0!</v>
      </c>
      <c r="AE9" s="253" t="e">
        <f t="shared" si="2"/>
        <v>#DIV/0!</v>
      </c>
      <c r="AF9" s="253" t="e">
        <f t="shared" si="2"/>
        <v>#DIV/0!</v>
      </c>
      <c r="AG9" s="253" t="e">
        <f t="shared" si="2"/>
        <v>#DIV/0!</v>
      </c>
      <c r="AH9" s="253" t="e">
        <f t="shared" si="2"/>
        <v>#DIV/0!</v>
      </c>
      <c r="AI9" s="253" t="e">
        <f t="shared" ref="AI9:AM9" si="3">AI8*($D$2+$D$3)</f>
        <v>#DIV/0!</v>
      </c>
      <c r="AJ9" s="253" t="e">
        <f t="shared" si="3"/>
        <v>#DIV/0!</v>
      </c>
      <c r="AK9" s="253" t="e">
        <f t="shared" si="3"/>
        <v>#DIV/0!</v>
      </c>
      <c r="AL9" s="253" t="e">
        <f t="shared" si="3"/>
        <v>#DIV/0!</v>
      </c>
      <c r="AM9" s="253" t="e">
        <f t="shared" si="3"/>
        <v>#DIV/0!</v>
      </c>
    </row>
    <row r="10" spans="1:39" s="18" customFormat="1" ht="12" x14ac:dyDescent="0.2">
      <c r="A10" s="56"/>
      <c r="B10" s="1168" t="s">
        <v>5</v>
      </c>
      <c r="C10" s="1168"/>
      <c r="D10" s="1168"/>
      <c r="E10" s="255" t="e">
        <f t="shared" ref="E10:AM10" si="4">E7+E9</f>
        <v>#DIV/0!</v>
      </c>
      <c r="F10" s="255" t="e">
        <f t="shared" si="4"/>
        <v>#DIV/0!</v>
      </c>
      <c r="G10" s="255" t="e">
        <f t="shared" si="4"/>
        <v>#DIV/0!</v>
      </c>
      <c r="H10" s="255" t="e">
        <f t="shared" si="4"/>
        <v>#DIV/0!</v>
      </c>
      <c r="I10" s="255" t="e">
        <f t="shared" si="4"/>
        <v>#DIV/0!</v>
      </c>
      <c r="J10" s="255" t="e">
        <f t="shared" si="4"/>
        <v>#DIV/0!</v>
      </c>
      <c r="K10" s="255" t="e">
        <f t="shared" si="4"/>
        <v>#DIV/0!</v>
      </c>
      <c r="L10" s="255" t="e">
        <f t="shared" si="4"/>
        <v>#DIV/0!</v>
      </c>
      <c r="M10" s="255" t="e">
        <f t="shared" si="4"/>
        <v>#DIV/0!</v>
      </c>
      <c r="N10" s="255" t="e">
        <f t="shared" si="4"/>
        <v>#DIV/0!</v>
      </c>
      <c r="O10" s="255" t="e">
        <f t="shared" si="4"/>
        <v>#DIV/0!</v>
      </c>
      <c r="P10" s="255" t="e">
        <f t="shared" si="4"/>
        <v>#DIV/0!</v>
      </c>
      <c r="Q10" s="255" t="e">
        <f t="shared" si="4"/>
        <v>#DIV/0!</v>
      </c>
      <c r="R10" s="255" t="e">
        <f t="shared" si="4"/>
        <v>#DIV/0!</v>
      </c>
      <c r="S10" s="255" t="e">
        <f t="shared" si="4"/>
        <v>#DIV/0!</v>
      </c>
      <c r="T10" s="255" t="e">
        <f t="shared" si="4"/>
        <v>#DIV/0!</v>
      </c>
      <c r="U10" s="255" t="e">
        <f t="shared" si="4"/>
        <v>#DIV/0!</v>
      </c>
      <c r="V10" s="255" t="e">
        <f t="shared" si="4"/>
        <v>#DIV/0!</v>
      </c>
      <c r="W10" s="255" t="e">
        <f t="shared" si="4"/>
        <v>#DIV/0!</v>
      </c>
      <c r="X10" s="255" t="e">
        <f t="shared" si="4"/>
        <v>#DIV/0!</v>
      </c>
      <c r="Y10" s="255" t="e">
        <f t="shared" si="4"/>
        <v>#DIV/0!</v>
      </c>
      <c r="Z10" s="255" t="e">
        <f t="shared" si="4"/>
        <v>#DIV/0!</v>
      </c>
      <c r="AA10" s="255" t="e">
        <f t="shared" si="4"/>
        <v>#DIV/0!</v>
      </c>
      <c r="AB10" s="255" t="e">
        <f t="shared" si="4"/>
        <v>#DIV/0!</v>
      </c>
      <c r="AC10" s="255" t="e">
        <f t="shared" si="4"/>
        <v>#DIV/0!</v>
      </c>
      <c r="AD10" s="255" t="e">
        <f t="shared" si="4"/>
        <v>#DIV/0!</v>
      </c>
      <c r="AE10" s="255" t="e">
        <f t="shared" si="4"/>
        <v>#DIV/0!</v>
      </c>
      <c r="AF10" s="255" t="e">
        <f t="shared" si="4"/>
        <v>#DIV/0!</v>
      </c>
      <c r="AG10" s="255" t="e">
        <f t="shared" si="4"/>
        <v>#DIV/0!</v>
      </c>
      <c r="AH10" s="255" t="e">
        <f t="shared" si="4"/>
        <v>#DIV/0!</v>
      </c>
      <c r="AI10" s="255" t="e">
        <f t="shared" si="4"/>
        <v>#DIV/0!</v>
      </c>
      <c r="AJ10" s="255" t="e">
        <f t="shared" si="4"/>
        <v>#DIV/0!</v>
      </c>
      <c r="AK10" s="255" t="e">
        <f t="shared" si="4"/>
        <v>#DIV/0!</v>
      </c>
      <c r="AL10" s="255" t="e">
        <f t="shared" si="4"/>
        <v>#DIV/0!</v>
      </c>
      <c r="AM10" s="255" t="e">
        <f t="shared" si="4"/>
        <v>#DIV/0!</v>
      </c>
    </row>
    <row r="11" spans="1:39" s="18" customFormat="1" ht="12" x14ac:dyDescent="0.2">
      <c r="E11" s="23"/>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23"/>
      <c r="AL11" s="23"/>
      <c r="AM11" s="23"/>
    </row>
    <row r="12" spans="1:39" s="18" customFormat="1" ht="12" x14ac:dyDescent="0.2">
      <c r="E12" s="83"/>
      <c r="F12" s="83"/>
      <c r="G12" s="83"/>
      <c r="H12" s="83"/>
      <c r="I12" s="83"/>
      <c r="J12" s="83"/>
      <c r="K12" s="83"/>
      <c r="L12" s="83"/>
      <c r="M12" s="83"/>
      <c r="N12" s="83"/>
      <c r="O12" s="83"/>
      <c r="P12" s="83"/>
      <c r="Q12" s="83"/>
      <c r="R12" s="83"/>
      <c r="S12" s="83"/>
      <c r="T12" s="83"/>
      <c r="U12" s="83"/>
      <c r="V12" s="83"/>
      <c r="W12" s="83"/>
      <c r="X12" s="83"/>
      <c r="Y12" s="83"/>
      <c r="Z12" s="83"/>
      <c r="AA12" s="83"/>
      <c r="AB12" s="83"/>
      <c r="AC12" s="83"/>
      <c r="AD12" s="83"/>
      <c r="AE12" s="83"/>
      <c r="AF12" s="83"/>
      <c r="AG12" s="83"/>
      <c r="AH12" s="83"/>
      <c r="AI12" s="83"/>
      <c r="AJ12" s="83"/>
      <c r="AK12" s="83"/>
      <c r="AL12" s="83"/>
      <c r="AM12" s="83"/>
    </row>
    <row r="13" spans="1:39" s="18" customFormat="1" ht="12" x14ac:dyDescent="0.2">
      <c r="E13" s="23"/>
      <c r="F13" s="23"/>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row>
  </sheetData>
  <mergeCells count="6">
    <mergeCell ref="B6:B7"/>
    <mergeCell ref="B8:B9"/>
    <mergeCell ref="B10:D10"/>
    <mergeCell ref="B1:C1"/>
    <mergeCell ref="B4:C5"/>
    <mergeCell ref="D4:D5"/>
  </mergeCells>
  <pageMargins left="0.511811024" right="0.511811024" top="0.78740157499999996" bottom="0.78740157499999996" header="0.31496062000000002" footer="0.3149606200000000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69C41F-B660-4A6E-AD2E-66DE11050859}">
  <dimension ref="A1:AV57"/>
  <sheetViews>
    <sheetView workbookViewId="0">
      <selection activeCell="G51" sqref="G51"/>
    </sheetView>
  </sheetViews>
  <sheetFormatPr defaultRowHeight="15" x14ac:dyDescent="0.25"/>
  <cols>
    <col min="1" max="1" width="7" customWidth="1"/>
    <col min="2" max="2" width="43.42578125" customWidth="1"/>
    <col min="3" max="3" width="9.85546875" customWidth="1"/>
    <col min="4" max="4" width="9.42578125" customWidth="1"/>
    <col min="5" max="5" width="15.7109375" customWidth="1"/>
    <col min="6" max="6" width="17.28515625" customWidth="1"/>
    <col min="7" max="7" width="13.85546875" customWidth="1"/>
    <col min="8" max="8" width="14.7109375" customWidth="1"/>
    <col min="9" max="9" width="12.28515625" customWidth="1"/>
    <col min="10" max="10" width="43.28515625" customWidth="1"/>
    <col min="11" max="11" width="20.7109375" customWidth="1"/>
    <col min="12" max="47" width="18.28515625" customWidth="1"/>
  </cols>
  <sheetData>
    <row r="1" spans="1:48" x14ac:dyDescent="0.25">
      <c r="K1" s="553" t="e">
        <f>'FCD PROJETO'!AO65</f>
        <v>#DIV/0!</v>
      </c>
      <c r="L1" s="553" t="e">
        <f>'FCD PROJETO'!F65</f>
        <v>#DIV/0!</v>
      </c>
      <c r="M1" s="553" t="e">
        <f>'FCD PROJETO'!G65</f>
        <v>#DIV/0!</v>
      </c>
      <c r="N1" s="553" t="e">
        <f>'FCD PROJETO'!H65</f>
        <v>#DIV/0!</v>
      </c>
      <c r="O1" s="553" t="e">
        <f>'FCD PROJETO'!I65</f>
        <v>#DIV/0!</v>
      </c>
      <c r="P1" s="553" t="e">
        <f>'FCD PROJETO'!J65</f>
        <v>#DIV/0!</v>
      </c>
      <c r="Q1" s="553" t="e">
        <f>'FCD PROJETO'!K65</f>
        <v>#DIV/0!</v>
      </c>
      <c r="R1" s="553" t="e">
        <f>'FCD PROJETO'!L65</f>
        <v>#DIV/0!</v>
      </c>
      <c r="S1" s="553" t="e">
        <f>'FCD PROJETO'!M65</f>
        <v>#DIV/0!</v>
      </c>
      <c r="T1" s="553" t="e">
        <f>'FCD PROJETO'!N65</f>
        <v>#DIV/0!</v>
      </c>
      <c r="U1" s="553" t="e">
        <f>'FCD PROJETO'!O65</f>
        <v>#DIV/0!</v>
      </c>
      <c r="V1" s="553" t="e">
        <f>'FCD PROJETO'!P65</f>
        <v>#DIV/0!</v>
      </c>
      <c r="W1" s="553" t="e">
        <f>'FCD PROJETO'!Q65</f>
        <v>#DIV/0!</v>
      </c>
      <c r="X1" s="553" t="e">
        <f>'FCD PROJETO'!R65</f>
        <v>#DIV/0!</v>
      </c>
      <c r="Y1" s="553" t="e">
        <f>'FCD PROJETO'!S65</f>
        <v>#DIV/0!</v>
      </c>
      <c r="Z1" s="553" t="e">
        <f>'FCD PROJETO'!T65</f>
        <v>#DIV/0!</v>
      </c>
      <c r="AA1" s="553" t="e">
        <f>'FCD PROJETO'!U65</f>
        <v>#DIV/0!</v>
      </c>
      <c r="AB1" s="553" t="e">
        <f>'FCD PROJETO'!V65</f>
        <v>#DIV/0!</v>
      </c>
      <c r="AC1" s="553" t="e">
        <f>'FCD PROJETO'!W65</f>
        <v>#DIV/0!</v>
      </c>
      <c r="AD1" s="553" t="e">
        <f>'FCD PROJETO'!X65</f>
        <v>#DIV/0!</v>
      </c>
      <c r="AE1" s="553" t="e">
        <f>'FCD PROJETO'!Y65</f>
        <v>#DIV/0!</v>
      </c>
      <c r="AF1" s="553" t="e">
        <f>'FCD PROJETO'!Z65</f>
        <v>#DIV/0!</v>
      </c>
      <c r="AG1" s="553" t="e">
        <f>'FCD PROJETO'!AA65</f>
        <v>#DIV/0!</v>
      </c>
      <c r="AH1" s="553" t="e">
        <f>'FCD PROJETO'!AB65</f>
        <v>#DIV/0!</v>
      </c>
      <c r="AI1" s="553" t="e">
        <f>'FCD PROJETO'!AC65</f>
        <v>#DIV/0!</v>
      </c>
      <c r="AJ1" s="553" t="e">
        <f>'FCD PROJETO'!AD65</f>
        <v>#DIV/0!</v>
      </c>
      <c r="AK1" s="553" t="e">
        <f>'FCD PROJETO'!AE65</f>
        <v>#DIV/0!</v>
      </c>
      <c r="AL1" s="553" t="e">
        <f>'FCD PROJETO'!AF65</f>
        <v>#DIV/0!</v>
      </c>
      <c r="AM1" s="553" t="e">
        <f>'FCD PROJETO'!AG65</f>
        <v>#DIV/0!</v>
      </c>
      <c r="AN1" s="553" t="e">
        <f>'FCD PROJETO'!AH65</f>
        <v>#DIV/0!</v>
      </c>
      <c r="AO1" s="553" t="e">
        <f>'FCD PROJETO'!AI65</f>
        <v>#DIV/0!</v>
      </c>
      <c r="AP1" s="553" t="e">
        <f>'FCD PROJETO'!AJ65</f>
        <v>#DIV/0!</v>
      </c>
      <c r="AQ1" s="553" t="e">
        <f>'FCD PROJETO'!AK65</f>
        <v>#DIV/0!</v>
      </c>
      <c r="AR1" s="553" t="e">
        <f>'FCD PROJETO'!AL65</f>
        <v>#DIV/0!</v>
      </c>
      <c r="AS1" s="553" t="e">
        <f>'FCD PROJETO'!AM65</f>
        <v>#DIV/0!</v>
      </c>
      <c r="AT1" s="553" t="e">
        <f>'FCD PROJETO'!AN65</f>
        <v>#DIV/0!</v>
      </c>
      <c r="AU1" s="553" t="e">
        <f>SUM(L1:AT1)</f>
        <v>#DIV/0!</v>
      </c>
    </row>
    <row r="2" spans="1:48" ht="15.75" thickBot="1" x14ac:dyDescent="0.3">
      <c r="K2" s="553" t="e">
        <f>K1+K6</f>
        <v>#DIV/0!</v>
      </c>
      <c r="L2" s="553" t="e">
        <f t="shared" ref="L2:AU2" si="0">L1+L6</f>
        <v>#DIV/0!</v>
      </c>
      <c r="M2" s="553" t="e">
        <f t="shared" si="0"/>
        <v>#DIV/0!</v>
      </c>
      <c r="N2" s="553" t="e">
        <f t="shared" si="0"/>
        <v>#DIV/0!</v>
      </c>
      <c r="O2" s="553" t="e">
        <f t="shared" si="0"/>
        <v>#DIV/0!</v>
      </c>
      <c r="P2" s="553" t="e">
        <f t="shared" si="0"/>
        <v>#DIV/0!</v>
      </c>
      <c r="Q2" s="553" t="e">
        <f t="shared" si="0"/>
        <v>#DIV/0!</v>
      </c>
      <c r="R2" s="553" t="e">
        <f t="shared" si="0"/>
        <v>#DIV/0!</v>
      </c>
      <c r="S2" s="553" t="e">
        <f t="shared" si="0"/>
        <v>#DIV/0!</v>
      </c>
      <c r="T2" s="553" t="e">
        <f t="shared" si="0"/>
        <v>#DIV/0!</v>
      </c>
      <c r="U2" s="553" t="e">
        <f t="shared" si="0"/>
        <v>#DIV/0!</v>
      </c>
      <c r="V2" s="553" t="e">
        <f t="shared" si="0"/>
        <v>#DIV/0!</v>
      </c>
      <c r="W2" s="553" t="e">
        <f t="shared" si="0"/>
        <v>#DIV/0!</v>
      </c>
      <c r="X2" s="553" t="e">
        <f t="shared" si="0"/>
        <v>#DIV/0!</v>
      </c>
      <c r="Y2" s="553" t="e">
        <f t="shared" si="0"/>
        <v>#DIV/0!</v>
      </c>
      <c r="Z2" s="553" t="e">
        <f t="shared" si="0"/>
        <v>#DIV/0!</v>
      </c>
      <c r="AA2" s="553" t="e">
        <f t="shared" si="0"/>
        <v>#DIV/0!</v>
      </c>
      <c r="AB2" s="553" t="e">
        <f t="shared" si="0"/>
        <v>#DIV/0!</v>
      </c>
      <c r="AC2" s="553" t="e">
        <f t="shared" si="0"/>
        <v>#DIV/0!</v>
      </c>
      <c r="AD2" s="553" t="e">
        <f t="shared" si="0"/>
        <v>#DIV/0!</v>
      </c>
      <c r="AE2" s="553" t="e">
        <f t="shared" si="0"/>
        <v>#DIV/0!</v>
      </c>
      <c r="AF2" s="553" t="e">
        <f t="shared" si="0"/>
        <v>#DIV/0!</v>
      </c>
      <c r="AG2" s="553" t="e">
        <f t="shared" si="0"/>
        <v>#DIV/0!</v>
      </c>
      <c r="AH2" s="553" t="e">
        <f t="shared" si="0"/>
        <v>#DIV/0!</v>
      </c>
      <c r="AI2" s="553" t="e">
        <f t="shared" si="0"/>
        <v>#DIV/0!</v>
      </c>
      <c r="AJ2" s="553" t="e">
        <f t="shared" si="0"/>
        <v>#DIV/0!</v>
      </c>
      <c r="AK2" s="553" t="e">
        <f t="shared" si="0"/>
        <v>#DIV/0!</v>
      </c>
      <c r="AL2" s="553" t="e">
        <f t="shared" si="0"/>
        <v>#DIV/0!</v>
      </c>
      <c r="AM2" s="553" t="e">
        <f t="shared" si="0"/>
        <v>#DIV/0!</v>
      </c>
      <c r="AN2" s="553" t="e">
        <f t="shared" si="0"/>
        <v>#DIV/0!</v>
      </c>
      <c r="AO2" s="553" t="e">
        <f t="shared" si="0"/>
        <v>#DIV/0!</v>
      </c>
      <c r="AP2" s="553" t="e">
        <f t="shared" si="0"/>
        <v>#DIV/0!</v>
      </c>
      <c r="AQ2" s="553" t="e">
        <f t="shared" si="0"/>
        <v>#DIV/0!</v>
      </c>
      <c r="AR2" s="553" t="e">
        <f t="shared" si="0"/>
        <v>#DIV/0!</v>
      </c>
      <c r="AS2" s="553" t="e">
        <f t="shared" si="0"/>
        <v>#DIV/0!</v>
      </c>
      <c r="AT2" s="553" t="e">
        <f t="shared" si="0"/>
        <v>#DIV/0!</v>
      </c>
      <c r="AU2" s="553" t="e">
        <f t="shared" si="0"/>
        <v>#DIV/0!</v>
      </c>
    </row>
    <row r="3" spans="1:48" ht="15.75" thickBot="1" x14ac:dyDescent="0.3">
      <c r="B3" s="1171" t="s">
        <v>89</v>
      </c>
      <c r="C3" s="1173" t="s">
        <v>994</v>
      </c>
      <c r="D3" s="1173"/>
      <c r="E3" s="1173"/>
      <c r="F3" s="1173"/>
      <c r="G3" s="1173"/>
      <c r="H3" s="1174" t="s">
        <v>995</v>
      </c>
      <c r="J3" s="1171" t="s">
        <v>89</v>
      </c>
      <c r="K3" s="1174" t="s">
        <v>996</v>
      </c>
      <c r="L3" s="820">
        <f>'FCD PROJETO'!F23</f>
        <v>1</v>
      </c>
      <c r="M3" s="820">
        <f>'FCD PROJETO'!G23</f>
        <v>2</v>
      </c>
      <c r="N3" s="820">
        <f>'FCD PROJETO'!H23</f>
        <v>3</v>
      </c>
      <c r="O3" s="820">
        <f>'FCD PROJETO'!I23</f>
        <v>4</v>
      </c>
      <c r="P3" s="820">
        <f>'FCD PROJETO'!J23</f>
        <v>5</v>
      </c>
      <c r="Q3" s="820">
        <f>'FCD PROJETO'!K23</f>
        <v>6</v>
      </c>
      <c r="R3" s="820">
        <f>'FCD PROJETO'!L23</f>
        <v>7</v>
      </c>
      <c r="S3" s="820">
        <f>'FCD PROJETO'!M23</f>
        <v>8</v>
      </c>
      <c r="T3" s="820">
        <f>'FCD PROJETO'!N23</f>
        <v>9</v>
      </c>
      <c r="U3" s="820">
        <f>'FCD PROJETO'!O23</f>
        <v>10</v>
      </c>
      <c r="V3" s="820">
        <f>'FCD PROJETO'!P23</f>
        <v>11</v>
      </c>
      <c r="W3" s="820">
        <f>'FCD PROJETO'!Q23</f>
        <v>12</v>
      </c>
      <c r="X3" s="820">
        <f>'FCD PROJETO'!R23</f>
        <v>13</v>
      </c>
      <c r="Y3" s="820">
        <f>'FCD PROJETO'!S23</f>
        <v>14</v>
      </c>
      <c r="Z3" s="820">
        <f>'FCD PROJETO'!T23</f>
        <v>15</v>
      </c>
      <c r="AA3" s="820">
        <f>'FCD PROJETO'!U23</f>
        <v>16</v>
      </c>
      <c r="AB3" s="820">
        <f>'FCD PROJETO'!V23</f>
        <v>17</v>
      </c>
      <c r="AC3" s="820">
        <f>'FCD PROJETO'!W23</f>
        <v>18</v>
      </c>
      <c r="AD3" s="820">
        <f>'FCD PROJETO'!X23</f>
        <v>19</v>
      </c>
      <c r="AE3" s="820">
        <f>'FCD PROJETO'!Y23</f>
        <v>20</v>
      </c>
      <c r="AF3" s="820">
        <f>'FCD PROJETO'!Z23</f>
        <v>21</v>
      </c>
      <c r="AG3" s="820">
        <f>'FCD PROJETO'!AA23</f>
        <v>22</v>
      </c>
      <c r="AH3" s="820">
        <f>'FCD PROJETO'!AB23</f>
        <v>23</v>
      </c>
      <c r="AI3" s="820">
        <f>'FCD PROJETO'!AC23</f>
        <v>24</v>
      </c>
      <c r="AJ3" s="820">
        <f>'FCD PROJETO'!AD23</f>
        <v>25</v>
      </c>
      <c r="AK3" s="820">
        <f>'FCD PROJETO'!AE23</f>
        <v>26</v>
      </c>
      <c r="AL3" s="820">
        <f>'FCD PROJETO'!AF23</f>
        <v>27</v>
      </c>
      <c r="AM3" s="820">
        <f>'FCD PROJETO'!AG23</f>
        <v>28</v>
      </c>
      <c r="AN3" s="820">
        <f>'FCD PROJETO'!AH23</f>
        <v>29</v>
      </c>
      <c r="AO3" s="820">
        <f>'FCD PROJETO'!AI23</f>
        <v>30</v>
      </c>
      <c r="AP3" s="820">
        <f>'FCD PROJETO'!AJ23</f>
        <v>31</v>
      </c>
      <c r="AQ3" s="820">
        <f>'FCD PROJETO'!AK23</f>
        <v>32</v>
      </c>
      <c r="AR3" s="820">
        <f>'FCD PROJETO'!AL23</f>
        <v>33</v>
      </c>
      <c r="AS3" s="820">
        <f>'FCD PROJETO'!AM23</f>
        <v>34</v>
      </c>
      <c r="AT3" s="820">
        <f>'FCD PROJETO'!AN23</f>
        <v>35</v>
      </c>
      <c r="AU3" s="479"/>
    </row>
    <row r="4" spans="1:48" ht="15.75" thickBot="1" x14ac:dyDescent="0.3">
      <c r="B4" s="1172"/>
      <c r="C4" s="802" t="s">
        <v>18</v>
      </c>
      <c r="D4" s="803" t="s">
        <v>997</v>
      </c>
      <c r="E4" s="803" t="s">
        <v>1058</v>
      </c>
      <c r="F4" s="803" t="s">
        <v>5</v>
      </c>
      <c r="G4" s="804" t="s">
        <v>998</v>
      </c>
      <c r="H4" s="1175"/>
      <c r="J4" s="1172"/>
      <c r="K4" s="1175"/>
      <c r="L4" s="819">
        <f>'FCD PROJETO'!F24</f>
        <v>2027</v>
      </c>
      <c r="M4" s="819">
        <f>'FCD PROJETO'!G24</f>
        <v>2028</v>
      </c>
      <c r="N4" s="819">
        <f>'FCD PROJETO'!H24</f>
        <v>2029</v>
      </c>
      <c r="O4" s="819">
        <f>'FCD PROJETO'!I24</f>
        <v>2030</v>
      </c>
      <c r="P4" s="819">
        <f>'FCD PROJETO'!J24</f>
        <v>2031</v>
      </c>
      <c r="Q4" s="819">
        <f>'FCD PROJETO'!K24</f>
        <v>2032</v>
      </c>
      <c r="R4" s="819">
        <f>'FCD PROJETO'!L24</f>
        <v>2033</v>
      </c>
      <c r="S4" s="819">
        <f>'FCD PROJETO'!M24</f>
        <v>2034</v>
      </c>
      <c r="T4" s="819">
        <f>'FCD PROJETO'!N24</f>
        <v>2035</v>
      </c>
      <c r="U4" s="819">
        <f>'FCD PROJETO'!O24</f>
        <v>2036</v>
      </c>
      <c r="V4" s="819">
        <f>'FCD PROJETO'!P24</f>
        <v>2037</v>
      </c>
      <c r="W4" s="819">
        <f>'FCD PROJETO'!Q24</f>
        <v>2038</v>
      </c>
      <c r="X4" s="819">
        <f>'FCD PROJETO'!R24</f>
        <v>2039</v>
      </c>
      <c r="Y4" s="819">
        <f>'FCD PROJETO'!S24</f>
        <v>2040</v>
      </c>
      <c r="Z4" s="819">
        <f>'FCD PROJETO'!T24</f>
        <v>2041</v>
      </c>
      <c r="AA4" s="819">
        <f>'FCD PROJETO'!U24</f>
        <v>2042</v>
      </c>
      <c r="AB4" s="819">
        <f>'FCD PROJETO'!V24</f>
        <v>2043</v>
      </c>
      <c r="AC4" s="819">
        <f>'FCD PROJETO'!W24</f>
        <v>2044</v>
      </c>
      <c r="AD4" s="819">
        <f>'FCD PROJETO'!X24</f>
        <v>2045</v>
      </c>
      <c r="AE4" s="819">
        <f>'FCD PROJETO'!Y24</f>
        <v>2046</v>
      </c>
      <c r="AF4" s="819">
        <f>'FCD PROJETO'!Z24</f>
        <v>2047</v>
      </c>
      <c r="AG4" s="819">
        <f>'FCD PROJETO'!AA24</f>
        <v>2048</v>
      </c>
      <c r="AH4" s="819">
        <f>'FCD PROJETO'!AB24</f>
        <v>2049</v>
      </c>
      <c r="AI4" s="819">
        <f>'FCD PROJETO'!AC24</f>
        <v>2050</v>
      </c>
      <c r="AJ4" s="819">
        <f>'FCD PROJETO'!AD24</f>
        <v>2051</v>
      </c>
      <c r="AK4" s="819">
        <f>'FCD PROJETO'!AE24</f>
        <v>2052</v>
      </c>
      <c r="AL4" s="819">
        <f>'FCD PROJETO'!AF24</f>
        <v>2053</v>
      </c>
      <c r="AM4" s="819">
        <f>'FCD PROJETO'!AG24</f>
        <v>2054</v>
      </c>
      <c r="AN4" s="819">
        <f>'FCD PROJETO'!AH24</f>
        <v>2055</v>
      </c>
      <c r="AO4" s="819">
        <f>'FCD PROJETO'!AI24</f>
        <v>2056</v>
      </c>
      <c r="AP4" s="819">
        <f>'FCD PROJETO'!AJ24</f>
        <v>2057</v>
      </c>
      <c r="AQ4" s="819">
        <f>'FCD PROJETO'!AK24</f>
        <v>2058</v>
      </c>
      <c r="AR4" s="819">
        <f>'FCD PROJETO'!AL24</f>
        <v>2059</v>
      </c>
      <c r="AS4" s="819">
        <f>'FCD PROJETO'!AM24</f>
        <v>2060</v>
      </c>
      <c r="AT4" s="819">
        <f>'FCD PROJETO'!AN24</f>
        <v>2061</v>
      </c>
      <c r="AU4" s="482" t="s">
        <v>23</v>
      </c>
    </row>
    <row r="5" spans="1:48" x14ac:dyDescent="0.25">
      <c r="B5" s="836" t="s">
        <v>999</v>
      </c>
      <c r="C5" s="805"/>
      <c r="D5" s="486"/>
      <c r="E5" s="821"/>
      <c r="F5" s="486"/>
      <c r="G5" s="816"/>
      <c r="H5" s="832"/>
      <c r="J5" s="847" t="s">
        <v>999</v>
      </c>
      <c r="K5" s="806"/>
      <c r="L5" s="807"/>
      <c r="M5" s="807"/>
      <c r="N5" s="807"/>
      <c r="O5" s="807"/>
      <c r="P5" s="807"/>
      <c r="Q5" s="807"/>
      <c r="R5" s="807"/>
      <c r="S5" s="807"/>
      <c r="T5" s="807"/>
      <c r="U5" s="807"/>
      <c r="V5" s="807"/>
      <c r="W5" s="807"/>
      <c r="X5" s="807"/>
      <c r="Y5" s="807"/>
      <c r="Z5" s="807"/>
      <c r="AA5" s="807"/>
      <c r="AB5" s="807"/>
      <c r="AC5" s="807"/>
      <c r="AD5" s="807"/>
      <c r="AE5" s="807"/>
      <c r="AF5" s="807"/>
      <c r="AG5" s="807"/>
      <c r="AH5" s="807"/>
      <c r="AI5" s="807"/>
      <c r="AJ5" s="807"/>
      <c r="AK5" s="807"/>
      <c r="AL5" s="807"/>
      <c r="AM5" s="807"/>
      <c r="AN5" s="807"/>
      <c r="AO5" s="807"/>
      <c r="AP5" s="807"/>
      <c r="AQ5" s="807"/>
      <c r="AR5" s="807"/>
      <c r="AS5" s="807"/>
      <c r="AT5" s="807"/>
      <c r="AU5" s="808"/>
    </row>
    <row r="6" spans="1:48" x14ac:dyDescent="0.25">
      <c r="B6" s="836"/>
      <c r="C6" s="805"/>
      <c r="D6" s="486"/>
      <c r="E6" s="821"/>
      <c r="F6" s="809"/>
      <c r="G6" s="816"/>
      <c r="H6" s="832"/>
      <c r="J6" s="847"/>
      <c r="K6" s="490">
        <f>AU6</f>
        <v>829433.05843252956</v>
      </c>
      <c r="L6" s="490">
        <f>L8+L14+L21+L30+L38+L50</f>
        <v>0</v>
      </c>
      <c r="M6" s="490">
        <f t="shared" ref="M6:AT6" si="1">M8+M14+M21+M30+M38+M50</f>
        <v>0</v>
      </c>
      <c r="N6" s="490">
        <f t="shared" si="1"/>
        <v>6.278210780483684E-3</v>
      </c>
      <c r="O6" s="490">
        <f t="shared" si="1"/>
        <v>1.2052295824150332E-2</v>
      </c>
      <c r="P6" s="490">
        <f t="shared" si="1"/>
        <v>2.0774047032522218E-2</v>
      </c>
      <c r="Q6" s="490">
        <f t="shared" si="1"/>
        <v>2.4940492894068508E-2</v>
      </c>
      <c r="R6" s="490">
        <f t="shared" si="1"/>
        <v>2.9102114920654783E-2</v>
      </c>
      <c r="S6" s="490">
        <f t="shared" si="1"/>
        <v>7627.9449395856645</v>
      </c>
      <c r="T6" s="490">
        <f t="shared" si="1"/>
        <v>30437.218332685268</v>
      </c>
      <c r="U6" s="490">
        <f t="shared" si="1"/>
        <v>30437.223479222168</v>
      </c>
      <c r="V6" s="490">
        <f t="shared" si="1"/>
        <v>30437.218633890334</v>
      </c>
      <c r="W6" s="490">
        <f t="shared" si="1"/>
        <v>30437.227986124704</v>
      </c>
      <c r="X6" s="490">
        <f t="shared" si="1"/>
        <v>30437.226523953381</v>
      </c>
      <c r="Y6" s="490">
        <f t="shared" si="1"/>
        <v>30437.219530468054</v>
      </c>
      <c r="Z6" s="490">
        <f t="shared" si="1"/>
        <v>30437.216770254247</v>
      </c>
      <c r="AA6" s="490">
        <f t="shared" si="1"/>
        <v>30437.22141242963</v>
      </c>
      <c r="AB6" s="490">
        <f t="shared" si="1"/>
        <v>30437.229930463458</v>
      </c>
      <c r="AC6" s="490">
        <f t="shared" si="1"/>
        <v>30437.218573287017</v>
      </c>
      <c r="AD6" s="490">
        <f t="shared" si="1"/>
        <v>30437.217419504312</v>
      </c>
      <c r="AE6" s="490">
        <f t="shared" si="1"/>
        <v>30437.228806529765</v>
      </c>
      <c r="AF6" s="490">
        <f t="shared" si="1"/>
        <v>30437.226242697518</v>
      </c>
      <c r="AG6" s="490">
        <f t="shared" si="1"/>
        <v>30437.219424773692</v>
      </c>
      <c r="AH6" s="490">
        <f t="shared" si="1"/>
        <v>30437.214606194892</v>
      </c>
      <c r="AI6" s="490">
        <f t="shared" si="1"/>
        <v>30437.2261954409</v>
      </c>
      <c r="AJ6" s="490">
        <f t="shared" si="1"/>
        <v>30437.226524737718</v>
      </c>
      <c r="AK6" s="490">
        <f t="shared" si="1"/>
        <v>30437.216714775754</v>
      </c>
      <c r="AL6" s="490">
        <f t="shared" si="1"/>
        <v>30437.21508816849</v>
      </c>
      <c r="AM6" s="490">
        <f t="shared" si="1"/>
        <v>30437.223640700966</v>
      </c>
      <c r="AN6" s="490">
        <f t="shared" si="1"/>
        <v>30437.227663658356</v>
      </c>
      <c r="AO6" s="490">
        <f t="shared" si="1"/>
        <v>30437.221356362697</v>
      </c>
      <c r="AP6" s="490">
        <f t="shared" si="1"/>
        <v>30437.219302292509</v>
      </c>
      <c r="AQ6" s="490">
        <f t="shared" si="1"/>
        <v>30437.231410820797</v>
      </c>
      <c r="AR6" s="490">
        <f t="shared" si="1"/>
        <v>30437.232808900408</v>
      </c>
      <c r="AS6" s="490">
        <f t="shared" si="1"/>
        <v>30437.226894659358</v>
      </c>
      <c r="AT6" s="490">
        <f t="shared" si="1"/>
        <v>30437.225072785954</v>
      </c>
      <c r="AU6" s="808">
        <f>+SUM(L6:AT6)</f>
        <v>829433.05843252956</v>
      </c>
      <c r="AV6" s="2" t="e">
        <f>-AU1/AU6</f>
        <v>#DIV/0!</v>
      </c>
    </row>
    <row r="7" spans="1:48" x14ac:dyDescent="0.25">
      <c r="B7" s="836"/>
      <c r="C7" s="805"/>
      <c r="D7" s="486"/>
      <c r="E7" s="821"/>
      <c r="F7" s="809"/>
      <c r="G7" s="816"/>
      <c r="H7" s="832"/>
      <c r="J7" s="847"/>
      <c r="K7" s="71"/>
      <c r="L7" s="71"/>
      <c r="M7" s="71"/>
      <c r="N7" s="71"/>
      <c r="O7" s="71"/>
      <c r="P7" s="71"/>
      <c r="Q7" s="71"/>
      <c r="R7" s="71"/>
      <c r="S7" s="71"/>
      <c r="T7" s="71"/>
      <c r="U7" s="71"/>
      <c r="V7" s="71"/>
      <c r="W7" s="71"/>
      <c r="X7" s="71"/>
      <c r="Y7" s="71"/>
      <c r="Z7" s="71"/>
      <c r="AA7" s="71"/>
      <c r="AB7" s="71"/>
      <c r="AC7" s="71"/>
      <c r="AD7" s="71"/>
      <c r="AE7" s="71"/>
      <c r="AF7" s="71"/>
      <c r="AG7" s="71"/>
      <c r="AH7" s="71"/>
      <c r="AI7" s="71"/>
      <c r="AJ7" s="71"/>
      <c r="AK7" s="71"/>
      <c r="AL7" s="71"/>
      <c r="AM7" s="71"/>
      <c r="AN7" s="71"/>
      <c r="AO7" s="71"/>
      <c r="AP7" s="71"/>
      <c r="AQ7" s="71"/>
      <c r="AR7" s="71"/>
      <c r="AS7" s="71"/>
      <c r="AT7" s="71"/>
      <c r="AU7" s="71"/>
    </row>
    <row r="8" spans="1:48" x14ac:dyDescent="0.25">
      <c r="A8" s="66"/>
      <c r="B8" s="837" t="s">
        <v>1000</v>
      </c>
      <c r="C8" s="810"/>
      <c r="D8" s="4"/>
      <c r="E8" s="815"/>
      <c r="F8" s="811">
        <f>SUM(F9:F12)</f>
        <v>0</v>
      </c>
      <c r="G8" s="851"/>
      <c r="H8" s="833"/>
      <c r="J8" s="848" t="s">
        <v>1000</v>
      </c>
      <c r="K8" s="812">
        <f>AU8</f>
        <v>0</v>
      </c>
      <c r="L8" s="490">
        <f>SUM(L9:L12)</f>
        <v>0</v>
      </c>
      <c r="M8" s="490">
        <f t="shared" ref="M8:AT8" si="2">SUM(M9:M12)</f>
        <v>0</v>
      </c>
      <c r="N8" s="490">
        <f t="shared" si="2"/>
        <v>0</v>
      </c>
      <c r="O8" s="490">
        <f t="shared" si="2"/>
        <v>0</v>
      </c>
      <c r="P8" s="490">
        <f t="shared" si="2"/>
        <v>0</v>
      </c>
      <c r="Q8" s="490">
        <f t="shared" si="2"/>
        <v>0</v>
      </c>
      <c r="R8" s="490">
        <f t="shared" si="2"/>
        <v>0</v>
      </c>
      <c r="S8" s="490">
        <f t="shared" si="2"/>
        <v>0</v>
      </c>
      <c r="T8" s="490">
        <f t="shared" si="2"/>
        <v>0</v>
      </c>
      <c r="U8" s="490">
        <f t="shared" si="2"/>
        <v>0</v>
      </c>
      <c r="V8" s="490">
        <f t="shared" si="2"/>
        <v>0</v>
      </c>
      <c r="W8" s="490">
        <f t="shared" si="2"/>
        <v>0</v>
      </c>
      <c r="X8" s="490">
        <f t="shared" si="2"/>
        <v>0</v>
      </c>
      <c r="Y8" s="490">
        <f t="shared" si="2"/>
        <v>0</v>
      </c>
      <c r="Z8" s="490">
        <f t="shared" si="2"/>
        <v>0</v>
      </c>
      <c r="AA8" s="490">
        <f t="shared" si="2"/>
        <v>0</v>
      </c>
      <c r="AB8" s="490">
        <f t="shared" si="2"/>
        <v>0</v>
      </c>
      <c r="AC8" s="490">
        <f t="shared" si="2"/>
        <v>0</v>
      </c>
      <c r="AD8" s="490">
        <f t="shared" si="2"/>
        <v>0</v>
      </c>
      <c r="AE8" s="490">
        <f t="shared" si="2"/>
        <v>0</v>
      </c>
      <c r="AF8" s="490">
        <f t="shared" si="2"/>
        <v>0</v>
      </c>
      <c r="AG8" s="490">
        <f t="shared" si="2"/>
        <v>0</v>
      </c>
      <c r="AH8" s="490">
        <f t="shared" si="2"/>
        <v>0</v>
      </c>
      <c r="AI8" s="490">
        <f t="shared" si="2"/>
        <v>0</v>
      </c>
      <c r="AJ8" s="490">
        <f t="shared" si="2"/>
        <v>0</v>
      </c>
      <c r="AK8" s="490">
        <f t="shared" si="2"/>
        <v>0</v>
      </c>
      <c r="AL8" s="490">
        <f t="shared" si="2"/>
        <v>0</v>
      </c>
      <c r="AM8" s="490">
        <f t="shared" si="2"/>
        <v>0</v>
      </c>
      <c r="AN8" s="490">
        <f t="shared" si="2"/>
        <v>0</v>
      </c>
      <c r="AO8" s="490">
        <f t="shared" si="2"/>
        <v>0</v>
      </c>
      <c r="AP8" s="490">
        <f t="shared" si="2"/>
        <v>0</v>
      </c>
      <c r="AQ8" s="490">
        <f t="shared" si="2"/>
        <v>0</v>
      </c>
      <c r="AR8" s="490">
        <f t="shared" si="2"/>
        <v>0</v>
      </c>
      <c r="AS8" s="490">
        <f t="shared" si="2"/>
        <v>0</v>
      </c>
      <c r="AT8" s="490">
        <f t="shared" si="2"/>
        <v>0</v>
      </c>
      <c r="AU8" s="813">
        <f>+SUM(L8:AT8)</f>
        <v>0</v>
      </c>
    </row>
    <row r="9" spans="1:48" ht="45" x14ac:dyDescent="0.25">
      <c r="B9" s="838" t="s">
        <v>1001</v>
      </c>
      <c r="C9" s="814" t="s">
        <v>1002</v>
      </c>
      <c r="D9" s="853">
        <f>10*3*10</f>
        <v>300</v>
      </c>
      <c r="E9" s="1196"/>
      <c r="F9" s="840">
        <f>D9*E9</f>
        <v>0</v>
      </c>
      <c r="G9" s="852">
        <v>2.85324</v>
      </c>
      <c r="H9" s="834" t="s">
        <v>1003</v>
      </c>
      <c r="I9" s="503"/>
      <c r="J9" s="849" t="s">
        <v>1001</v>
      </c>
      <c r="K9" s="99">
        <f>AU9</f>
        <v>0</v>
      </c>
      <c r="L9" s="146">
        <f>$G$9*('Base Física'!F52)</f>
        <v>0</v>
      </c>
      <c r="M9" s="146">
        <f>$G$9*('Base Física'!G52)</f>
        <v>0</v>
      </c>
      <c r="N9" s="146">
        <f>$G$9*('Base Física'!H52)</f>
        <v>0</v>
      </c>
      <c r="O9" s="146">
        <f>$G$9*('Base Física'!I52)</f>
        <v>0</v>
      </c>
      <c r="P9" s="146">
        <f>$G$9*('Base Física'!J52)</f>
        <v>0</v>
      </c>
      <c r="Q9" s="146">
        <f>$G$9*('Base Física'!K52)</f>
        <v>0</v>
      </c>
      <c r="R9" s="146">
        <f>$G$9*('Base Física'!L52)</f>
        <v>0</v>
      </c>
      <c r="S9" s="146">
        <f>$G$9*('Base Física'!M52)</f>
        <v>0</v>
      </c>
      <c r="T9" s="146">
        <f>$G$9*('Base Física'!N52)</f>
        <v>0</v>
      </c>
      <c r="U9" s="146">
        <f>$G$9*('Base Física'!O52)</f>
        <v>0</v>
      </c>
      <c r="V9" s="146">
        <f>$G$9*('Base Física'!P52)</f>
        <v>0</v>
      </c>
      <c r="W9" s="146">
        <f>$G$9*('Base Física'!Q52)</f>
        <v>0</v>
      </c>
      <c r="X9" s="146">
        <f>$G$9*('Base Física'!R52)</f>
        <v>0</v>
      </c>
      <c r="Y9" s="146">
        <f>$G$9*('Base Física'!S52)</f>
        <v>0</v>
      </c>
      <c r="Z9" s="146">
        <f>$G$9*('Base Física'!T52)</f>
        <v>0</v>
      </c>
      <c r="AA9" s="146">
        <f>$G$9*('Base Física'!U52)</f>
        <v>0</v>
      </c>
      <c r="AB9" s="146">
        <f>$G$9*('Base Física'!V52)</f>
        <v>0</v>
      </c>
      <c r="AC9" s="146">
        <f>$G$9*('Base Física'!W52)</f>
        <v>0</v>
      </c>
      <c r="AD9" s="146">
        <f>$G$9*('Base Física'!X52)</f>
        <v>0</v>
      </c>
      <c r="AE9" s="146">
        <f>$G$9*('Base Física'!Y52)</f>
        <v>0</v>
      </c>
      <c r="AF9" s="146">
        <f>$G$9*('Base Física'!Z52)</f>
        <v>0</v>
      </c>
      <c r="AG9" s="146">
        <f>$G$9*('Base Física'!AA52)</f>
        <v>0</v>
      </c>
      <c r="AH9" s="146">
        <f>$G$9*('Base Física'!AB52)</f>
        <v>0</v>
      </c>
      <c r="AI9" s="146">
        <f>$G$9*('Base Física'!AC52)</f>
        <v>0</v>
      </c>
      <c r="AJ9" s="146">
        <f>$G$9*('Base Física'!AD52)</f>
        <v>0</v>
      </c>
      <c r="AK9" s="146">
        <f>$G$9*('Base Física'!AE52)</f>
        <v>0</v>
      </c>
      <c r="AL9" s="146">
        <f>$G$9*('Base Física'!AF52)</f>
        <v>0</v>
      </c>
      <c r="AM9" s="146">
        <f>$G$9*('Base Física'!AG52)</f>
        <v>0</v>
      </c>
      <c r="AN9" s="146">
        <f>$G$9*('Base Física'!AH52)</f>
        <v>0</v>
      </c>
      <c r="AO9" s="146">
        <f>$G$9*('Base Física'!AI52)</f>
        <v>0</v>
      </c>
      <c r="AP9" s="146">
        <f>$G$9*('Base Física'!AJ52)</f>
        <v>0</v>
      </c>
      <c r="AQ9" s="146">
        <f>$G$9*('Base Física'!AK52)</f>
        <v>0</v>
      </c>
      <c r="AR9" s="146">
        <f>$G$9*('Base Física'!AL52)</f>
        <v>0</v>
      </c>
      <c r="AS9" s="146">
        <f>$G$9*('Base Física'!AM52)</f>
        <v>0</v>
      </c>
      <c r="AT9" s="146">
        <f>$G$9*('Base Física'!AN52)</f>
        <v>0</v>
      </c>
      <c r="AU9" s="453">
        <f>+SUM(L9:AT9)</f>
        <v>0</v>
      </c>
    </row>
    <row r="10" spans="1:48" ht="45" x14ac:dyDescent="0.25">
      <c r="B10" s="838" t="s">
        <v>1004</v>
      </c>
      <c r="C10" s="814" t="s">
        <v>1005</v>
      </c>
      <c r="D10" s="853">
        <f>2*12</f>
        <v>24</v>
      </c>
      <c r="E10" s="1196"/>
      <c r="F10" s="840">
        <f>D10*E10</f>
        <v>0</v>
      </c>
      <c r="G10" s="852">
        <v>2.5240199999999997</v>
      </c>
      <c r="H10" s="834" t="s">
        <v>1006</v>
      </c>
      <c r="I10" s="503"/>
      <c r="J10" s="849" t="s">
        <v>1004</v>
      </c>
      <c r="K10" s="99">
        <f t="shared" ref="K10:K53" si="3">AU10</f>
        <v>0</v>
      </c>
      <c r="L10" s="146">
        <f>$G$10*('Base Física'!F52)</f>
        <v>0</v>
      </c>
      <c r="M10" s="146">
        <f>$G$10*('Base Física'!G52)</f>
        <v>0</v>
      </c>
      <c r="N10" s="146">
        <f>$G$10*('Base Física'!H52)</f>
        <v>0</v>
      </c>
      <c r="O10" s="146">
        <f>$G$10*('Base Física'!I52)</f>
        <v>0</v>
      </c>
      <c r="P10" s="146">
        <f>$G$10*('Base Física'!J52)</f>
        <v>0</v>
      </c>
      <c r="Q10" s="146">
        <f>$G$10*('Base Física'!K52)</f>
        <v>0</v>
      </c>
      <c r="R10" s="146">
        <f>$G$10*('Base Física'!L52)</f>
        <v>0</v>
      </c>
      <c r="S10" s="146">
        <f>$G$10*('Base Física'!M52)</f>
        <v>0</v>
      </c>
      <c r="T10" s="146">
        <f>$G$10*('Base Física'!N52)</f>
        <v>0</v>
      </c>
      <c r="U10" s="146">
        <f>$G$10*('Base Física'!O52)</f>
        <v>0</v>
      </c>
      <c r="V10" s="146">
        <f>$G$10*('Base Física'!P52)</f>
        <v>0</v>
      </c>
      <c r="W10" s="146">
        <f>$G$10*('Base Física'!Q52)</f>
        <v>0</v>
      </c>
      <c r="X10" s="146">
        <f>$G$10*('Base Física'!R52)</f>
        <v>0</v>
      </c>
      <c r="Y10" s="146">
        <f>$G$10*('Base Física'!S52)</f>
        <v>0</v>
      </c>
      <c r="Z10" s="146">
        <f>$G$10*('Base Física'!T52)</f>
        <v>0</v>
      </c>
      <c r="AA10" s="146">
        <f>$G$10*('Base Física'!U52)</f>
        <v>0</v>
      </c>
      <c r="AB10" s="146">
        <f>$G$10*('Base Física'!V52)</f>
        <v>0</v>
      </c>
      <c r="AC10" s="146">
        <f>$G$10*('Base Física'!W52)</f>
        <v>0</v>
      </c>
      <c r="AD10" s="146">
        <f>$G$10*('Base Física'!X52)</f>
        <v>0</v>
      </c>
      <c r="AE10" s="146">
        <f>$G$10*('Base Física'!Y52)</f>
        <v>0</v>
      </c>
      <c r="AF10" s="146">
        <f>$G$10*('Base Física'!Z52)</f>
        <v>0</v>
      </c>
      <c r="AG10" s="146">
        <f>$G$10*('Base Física'!AA52)</f>
        <v>0</v>
      </c>
      <c r="AH10" s="146">
        <f>$G$10*('Base Física'!AB52)</f>
        <v>0</v>
      </c>
      <c r="AI10" s="146">
        <f>$G$10*('Base Física'!AC52)</f>
        <v>0</v>
      </c>
      <c r="AJ10" s="146">
        <f>$G$10*('Base Física'!AD52)</f>
        <v>0</v>
      </c>
      <c r="AK10" s="146">
        <f>$G$10*('Base Física'!AE52)</f>
        <v>0</v>
      </c>
      <c r="AL10" s="146">
        <f>$G$10*('Base Física'!AF52)</f>
        <v>0</v>
      </c>
      <c r="AM10" s="146">
        <f>$G$10*('Base Física'!AG52)</f>
        <v>0</v>
      </c>
      <c r="AN10" s="146">
        <f>$G$10*('Base Física'!AH52)</f>
        <v>0</v>
      </c>
      <c r="AO10" s="146">
        <f>$G$10*('Base Física'!AI52)</f>
        <v>0</v>
      </c>
      <c r="AP10" s="146">
        <f>$G$10*('Base Física'!AJ52)</f>
        <v>0</v>
      </c>
      <c r="AQ10" s="146">
        <f>$G$10*('Base Física'!AK52)</f>
        <v>0</v>
      </c>
      <c r="AR10" s="146">
        <f>$G$10*('Base Física'!AL52)</f>
        <v>0</v>
      </c>
      <c r="AS10" s="146">
        <f>$G$10*('Base Física'!AM52)</f>
        <v>0</v>
      </c>
      <c r="AT10" s="146">
        <f>$G$10*('Base Física'!AN52)</f>
        <v>0</v>
      </c>
      <c r="AU10" s="453">
        <f t="shared" ref="AU10:AU12" si="4">+SUM(L10:AT10)</f>
        <v>0</v>
      </c>
    </row>
    <row r="11" spans="1:48" ht="30" x14ac:dyDescent="0.25">
      <c r="B11" s="838" t="s">
        <v>1007</v>
      </c>
      <c r="C11" s="814" t="s">
        <v>18</v>
      </c>
      <c r="D11" s="853">
        <v>24</v>
      </c>
      <c r="E11" s="1196"/>
      <c r="F11" s="840">
        <f>D11*E11</f>
        <v>0</v>
      </c>
      <c r="G11" s="852">
        <v>5.0590140000000003</v>
      </c>
      <c r="H11" s="834" t="s">
        <v>1008</v>
      </c>
      <c r="I11" s="503"/>
      <c r="J11" s="849" t="s">
        <v>1007</v>
      </c>
      <c r="K11" s="99">
        <f t="shared" si="3"/>
        <v>0</v>
      </c>
      <c r="L11" s="146">
        <f>$G$11*('Base Física'!F52)</f>
        <v>0</v>
      </c>
      <c r="M11" s="146">
        <f>$G$11*('Base Física'!G52)</f>
        <v>0</v>
      </c>
      <c r="N11" s="146">
        <f>$G$11*('Base Física'!H52)</f>
        <v>0</v>
      </c>
      <c r="O11" s="146">
        <f>$G$11*('Base Física'!I52)</f>
        <v>0</v>
      </c>
      <c r="P11" s="146">
        <f>$G$11*('Base Física'!J52)</f>
        <v>0</v>
      </c>
      <c r="Q11" s="146">
        <f>$G$11*('Base Física'!K52)</f>
        <v>0</v>
      </c>
      <c r="R11" s="146">
        <f>$G$11*('Base Física'!L52)</f>
        <v>0</v>
      </c>
      <c r="S11" s="146">
        <f>$G$11*('Base Física'!M52)</f>
        <v>0</v>
      </c>
      <c r="T11" s="146">
        <f>$G$11*('Base Física'!N52)</f>
        <v>0</v>
      </c>
      <c r="U11" s="146">
        <f>$G$11*('Base Física'!O52)</f>
        <v>0</v>
      </c>
      <c r="V11" s="146">
        <f>$G$11*('Base Física'!P52)</f>
        <v>0</v>
      </c>
      <c r="W11" s="146">
        <f>$G$11*('Base Física'!Q52)</f>
        <v>0</v>
      </c>
      <c r="X11" s="146">
        <f>$G$11*('Base Física'!R52)</f>
        <v>0</v>
      </c>
      <c r="Y11" s="146">
        <f>$G$11*('Base Física'!S52)</f>
        <v>0</v>
      </c>
      <c r="Z11" s="146">
        <f>$G$11*('Base Física'!T52)</f>
        <v>0</v>
      </c>
      <c r="AA11" s="146">
        <f>$G$11*('Base Física'!U52)</f>
        <v>0</v>
      </c>
      <c r="AB11" s="146">
        <f>$G$11*('Base Física'!V52)</f>
        <v>0</v>
      </c>
      <c r="AC11" s="146">
        <f>$G$11*('Base Física'!W52)</f>
        <v>0</v>
      </c>
      <c r="AD11" s="146">
        <f>$G$11*('Base Física'!X52)</f>
        <v>0</v>
      </c>
      <c r="AE11" s="146">
        <f>$G$11*('Base Física'!Y52)</f>
        <v>0</v>
      </c>
      <c r="AF11" s="146">
        <f>$G$11*('Base Física'!Z52)</f>
        <v>0</v>
      </c>
      <c r="AG11" s="146">
        <f>$G$11*('Base Física'!AA52)</f>
        <v>0</v>
      </c>
      <c r="AH11" s="146">
        <f>$G$11*('Base Física'!AB52)</f>
        <v>0</v>
      </c>
      <c r="AI11" s="146">
        <f>$G$11*('Base Física'!AC52)</f>
        <v>0</v>
      </c>
      <c r="AJ11" s="146">
        <f>$G$11*('Base Física'!AD52)</f>
        <v>0</v>
      </c>
      <c r="AK11" s="146">
        <f>$G$11*('Base Física'!AE52)</f>
        <v>0</v>
      </c>
      <c r="AL11" s="146">
        <f>$G$11*('Base Física'!AF52)</f>
        <v>0</v>
      </c>
      <c r="AM11" s="146">
        <f>$G$11*('Base Física'!AG52)</f>
        <v>0</v>
      </c>
      <c r="AN11" s="146">
        <f>$G$11*('Base Física'!AH52)</f>
        <v>0</v>
      </c>
      <c r="AO11" s="146">
        <f>$G$11*('Base Física'!AI52)</f>
        <v>0</v>
      </c>
      <c r="AP11" s="146">
        <f>$G$11*('Base Física'!AJ52)</f>
        <v>0</v>
      </c>
      <c r="AQ11" s="146">
        <f>$G$11*('Base Física'!AK52)</f>
        <v>0</v>
      </c>
      <c r="AR11" s="146">
        <f>$G$11*('Base Física'!AL52)</f>
        <v>0</v>
      </c>
      <c r="AS11" s="146">
        <f>$G$11*('Base Física'!AM52)</f>
        <v>0</v>
      </c>
      <c r="AT11" s="146">
        <f>$G$11*('Base Física'!AN52)</f>
        <v>0</v>
      </c>
      <c r="AU11" s="453">
        <f t="shared" si="4"/>
        <v>0</v>
      </c>
    </row>
    <row r="12" spans="1:48" ht="30" x14ac:dyDescent="0.25">
      <c r="B12" s="838" t="s">
        <v>1009</v>
      </c>
      <c r="C12" s="814" t="s">
        <v>1010</v>
      </c>
      <c r="D12" s="854">
        <v>78149</v>
      </c>
      <c r="E12" s="1196"/>
      <c r="F12" s="840">
        <f>D12*E12</f>
        <v>0</v>
      </c>
      <c r="G12" s="852">
        <v>9.8765999999999998</v>
      </c>
      <c r="H12" s="834" t="s">
        <v>1008</v>
      </c>
      <c r="I12" s="503"/>
      <c r="J12" s="849" t="s">
        <v>1009</v>
      </c>
      <c r="K12" s="99">
        <f t="shared" si="3"/>
        <v>0</v>
      </c>
      <c r="L12" s="146">
        <f>$G$12*('Base Física'!F52)</f>
        <v>0</v>
      </c>
      <c r="M12" s="146">
        <f>$G$12*('Base Física'!G52)</f>
        <v>0</v>
      </c>
      <c r="N12" s="146">
        <f>$G$12*('Base Física'!H52)</f>
        <v>0</v>
      </c>
      <c r="O12" s="146">
        <f>$G$12*('Base Física'!I52)</f>
        <v>0</v>
      </c>
      <c r="P12" s="146">
        <f>$G$12*('Base Física'!J52)</f>
        <v>0</v>
      </c>
      <c r="Q12" s="146">
        <f>$G$12*('Base Física'!K52)</f>
        <v>0</v>
      </c>
      <c r="R12" s="146">
        <f>$G$12*('Base Física'!L52)</f>
        <v>0</v>
      </c>
      <c r="S12" s="146">
        <f>$G$12*('Base Física'!M52)</f>
        <v>0</v>
      </c>
      <c r="T12" s="146">
        <f>$G$12*('Base Física'!N52)</f>
        <v>0</v>
      </c>
      <c r="U12" s="146">
        <f>$G$12*('Base Física'!O52)</f>
        <v>0</v>
      </c>
      <c r="V12" s="146">
        <f>$G$12*('Base Física'!P52)</f>
        <v>0</v>
      </c>
      <c r="W12" s="146">
        <f>$G$12*('Base Física'!Q52)</f>
        <v>0</v>
      </c>
      <c r="X12" s="146">
        <f>$G$12*('Base Física'!R52)</f>
        <v>0</v>
      </c>
      <c r="Y12" s="146">
        <f>$G$12*('Base Física'!S52)</f>
        <v>0</v>
      </c>
      <c r="Z12" s="146">
        <f>$G$12*('Base Física'!T52)</f>
        <v>0</v>
      </c>
      <c r="AA12" s="146">
        <f>$G$12*('Base Física'!U52)</f>
        <v>0</v>
      </c>
      <c r="AB12" s="146">
        <f>$G$12*('Base Física'!V52)</f>
        <v>0</v>
      </c>
      <c r="AC12" s="146">
        <f>$G$12*('Base Física'!W52)</f>
        <v>0</v>
      </c>
      <c r="AD12" s="146">
        <f>$G$12*('Base Física'!X52)</f>
        <v>0</v>
      </c>
      <c r="AE12" s="146">
        <f>$G$12*('Base Física'!Y52)</f>
        <v>0</v>
      </c>
      <c r="AF12" s="146">
        <f>$G$12*('Base Física'!Z52)</f>
        <v>0</v>
      </c>
      <c r="AG12" s="146">
        <f>$G$12*('Base Física'!AA52)</f>
        <v>0</v>
      </c>
      <c r="AH12" s="146">
        <f>$G$12*('Base Física'!AB52)</f>
        <v>0</v>
      </c>
      <c r="AI12" s="146">
        <f>$G$12*('Base Física'!AC52)</f>
        <v>0</v>
      </c>
      <c r="AJ12" s="146">
        <f>$G$12*('Base Física'!AD52)</f>
        <v>0</v>
      </c>
      <c r="AK12" s="146">
        <f>$G$12*('Base Física'!AE52)</f>
        <v>0</v>
      </c>
      <c r="AL12" s="146">
        <f>$G$12*('Base Física'!AF52)</f>
        <v>0</v>
      </c>
      <c r="AM12" s="146">
        <f>$G$12*('Base Física'!AG52)</f>
        <v>0</v>
      </c>
      <c r="AN12" s="146">
        <f>$G$12*('Base Física'!AH52)</f>
        <v>0</v>
      </c>
      <c r="AO12" s="146">
        <f>$G$12*('Base Física'!AI52)</f>
        <v>0</v>
      </c>
      <c r="AP12" s="146">
        <f>$G$12*('Base Física'!AJ52)</f>
        <v>0</v>
      </c>
      <c r="AQ12" s="146">
        <f>$G$12*('Base Física'!AK52)</f>
        <v>0</v>
      </c>
      <c r="AR12" s="146">
        <f>$G$12*('Base Física'!AL52)</f>
        <v>0</v>
      </c>
      <c r="AS12" s="146">
        <f>$G$12*('Base Física'!AM52)</f>
        <v>0</v>
      </c>
      <c r="AT12" s="146">
        <f>$G$12*('Base Física'!AN52)</f>
        <v>0</v>
      </c>
      <c r="AU12" s="453">
        <f t="shared" si="4"/>
        <v>0</v>
      </c>
    </row>
    <row r="13" spans="1:48" x14ac:dyDescent="0.25">
      <c r="B13" s="838"/>
      <c r="C13" s="842"/>
      <c r="D13" s="369"/>
      <c r="E13" s="839"/>
      <c r="F13" s="843"/>
      <c r="G13" s="850"/>
      <c r="H13" s="834"/>
      <c r="I13" s="503"/>
      <c r="J13" s="849"/>
      <c r="K13" s="99"/>
      <c r="L13" s="99"/>
      <c r="M13" s="99"/>
      <c r="N13" s="99"/>
      <c r="O13" s="99"/>
      <c r="P13" s="99"/>
      <c r="Q13" s="99"/>
      <c r="R13" s="99"/>
      <c r="S13" s="99"/>
      <c r="T13" s="99"/>
      <c r="U13" s="99"/>
      <c r="V13" s="99"/>
      <c r="W13" s="99"/>
      <c r="X13" s="99"/>
      <c r="Y13" s="99"/>
      <c r="Z13" s="99"/>
      <c r="AA13" s="99"/>
      <c r="AB13" s="99"/>
      <c r="AC13" s="99"/>
      <c r="AD13" s="99"/>
      <c r="AE13" s="99"/>
      <c r="AF13" s="99"/>
      <c r="AG13" s="99"/>
      <c r="AH13" s="99"/>
      <c r="AI13" s="99"/>
      <c r="AJ13" s="99"/>
      <c r="AK13" s="99"/>
      <c r="AL13" s="99"/>
      <c r="AM13" s="99"/>
      <c r="AN13" s="99"/>
      <c r="AO13" s="99"/>
      <c r="AP13" s="494"/>
      <c r="AQ13" s="494"/>
      <c r="AR13" s="494"/>
      <c r="AS13" s="494"/>
      <c r="AT13" s="494"/>
      <c r="AU13" s="492"/>
    </row>
    <row r="14" spans="1:48" x14ac:dyDescent="0.25">
      <c r="B14" s="837" t="s">
        <v>1011</v>
      </c>
      <c r="C14" s="273"/>
      <c r="D14" s="369"/>
      <c r="E14" s="839"/>
      <c r="F14" s="844">
        <f>SUM(F15:F19)</f>
        <v>0</v>
      </c>
      <c r="G14" s="850"/>
      <c r="H14" s="834"/>
      <c r="I14" s="503"/>
      <c r="J14" s="848" t="s">
        <v>1011</v>
      </c>
      <c r="K14" s="490">
        <f t="shared" si="3"/>
        <v>0</v>
      </c>
      <c r="L14" s="490">
        <f>SUM(L15:L19)</f>
        <v>0</v>
      </c>
      <c r="M14" s="490">
        <f t="shared" ref="M14:AT14" si="5">SUM(M15:M19)</f>
        <v>0</v>
      </c>
      <c r="N14" s="490">
        <f t="shared" si="5"/>
        <v>0</v>
      </c>
      <c r="O14" s="490">
        <f t="shared" si="5"/>
        <v>0</v>
      </c>
      <c r="P14" s="490">
        <f t="shared" si="5"/>
        <v>0</v>
      </c>
      <c r="Q14" s="490">
        <f t="shared" si="5"/>
        <v>0</v>
      </c>
      <c r="R14" s="490">
        <f t="shared" si="5"/>
        <v>0</v>
      </c>
      <c r="S14" s="490">
        <f t="shared" si="5"/>
        <v>0</v>
      </c>
      <c r="T14" s="490">
        <f t="shared" si="5"/>
        <v>0</v>
      </c>
      <c r="U14" s="490">
        <f t="shared" si="5"/>
        <v>0</v>
      </c>
      <c r="V14" s="490">
        <f t="shared" si="5"/>
        <v>0</v>
      </c>
      <c r="W14" s="490">
        <f t="shared" si="5"/>
        <v>0</v>
      </c>
      <c r="X14" s="490">
        <f t="shared" si="5"/>
        <v>0</v>
      </c>
      <c r="Y14" s="490">
        <f t="shared" si="5"/>
        <v>0</v>
      </c>
      <c r="Z14" s="490">
        <f t="shared" si="5"/>
        <v>0</v>
      </c>
      <c r="AA14" s="490">
        <f t="shared" si="5"/>
        <v>0</v>
      </c>
      <c r="AB14" s="490">
        <f t="shared" si="5"/>
        <v>0</v>
      </c>
      <c r="AC14" s="490">
        <f t="shared" si="5"/>
        <v>0</v>
      </c>
      <c r="AD14" s="490">
        <f t="shared" si="5"/>
        <v>0</v>
      </c>
      <c r="AE14" s="490">
        <f t="shared" si="5"/>
        <v>0</v>
      </c>
      <c r="AF14" s="490">
        <f t="shared" si="5"/>
        <v>0</v>
      </c>
      <c r="AG14" s="490">
        <f t="shared" si="5"/>
        <v>0</v>
      </c>
      <c r="AH14" s="490">
        <f t="shared" si="5"/>
        <v>0</v>
      </c>
      <c r="AI14" s="490">
        <f t="shared" si="5"/>
        <v>0</v>
      </c>
      <c r="AJ14" s="490">
        <f t="shared" si="5"/>
        <v>0</v>
      </c>
      <c r="AK14" s="490">
        <f t="shared" si="5"/>
        <v>0</v>
      </c>
      <c r="AL14" s="490">
        <f t="shared" si="5"/>
        <v>0</v>
      </c>
      <c r="AM14" s="490">
        <f t="shared" si="5"/>
        <v>0</v>
      </c>
      <c r="AN14" s="490">
        <f t="shared" si="5"/>
        <v>0</v>
      </c>
      <c r="AO14" s="490">
        <f t="shared" si="5"/>
        <v>0</v>
      </c>
      <c r="AP14" s="490">
        <f t="shared" si="5"/>
        <v>0</v>
      </c>
      <c r="AQ14" s="490">
        <f t="shared" si="5"/>
        <v>0</v>
      </c>
      <c r="AR14" s="490">
        <f t="shared" si="5"/>
        <v>0</v>
      </c>
      <c r="AS14" s="490">
        <f t="shared" si="5"/>
        <v>0</v>
      </c>
      <c r="AT14" s="490">
        <f t="shared" si="5"/>
        <v>0</v>
      </c>
      <c r="AU14" s="813">
        <f>+SUM(L14:AT14)</f>
        <v>0</v>
      </c>
    </row>
    <row r="15" spans="1:48" ht="30.6" customHeight="1" x14ac:dyDescent="0.25">
      <c r="B15" s="838" t="s">
        <v>1012</v>
      </c>
      <c r="C15" s="814" t="s">
        <v>1013</v>
      </c>
      <c r="D15" s="369">
        <v>1</v>
      </c>
      <c r="E15" s="1196"/>
      <c r="F15" s="840">
        <f>D15*E15</f>
        <v>0</v>
      </c>
      <c r="G15" s="850">
        <v>6.0905699999999996</v>
      </c>
      <c r="H15" s="834" t="s">
        <v>1008</v>
      </c>
      <c r="I15" s="503"/>
      <c r="J15" s="849" t="s">
        <v>1012</v>
      </c>
      <c r="K15" s="99">
        <f t="shared" si="3"/>
        <v>0</v>
      </c>
      <c r="L15" s="146">
        <f>$G$15*('Base Física'!F52)</f>
        <v>0</v>
      </c>
      <c r="M15" s="146">
        <f>$G$15*('Base Física'!G52)</f>
        <v>0</v>
      </c>
      <c r="N15" s="146">
        <f>$G$15*('Base Física'!H52)</f>
        <v>0</v>
      </c>
      <c r="O15" s="146">
        <f>$G$15*('Base Física'!I52)</f>
        <v>0</v>
      </c>
      <c r="P15" s="146">
        <f>$G$15*('Base Física'!J52)</f>
        <v>0</v>
      </c>
      <c r="Q15" s="146">
        <f>$G$15*('Base Física'!K52)</f>
        <v>0</v>
      </c>
      <c r="R15" s="146">
        <f>$G$15*('Base Física'!L52)</f>
        <v>0</v>
      </c>
      <c r="S15" s="146">
        <f>$G$15*('Base Física'!M52)</f>
        <v>0</v>
      </c>
      <c r="T15" s="146">
        <f>$G$15*('Base Física'!N52)</f>
        <v>0</v>
      </c>
      <c r="U15" s="146">
        <f>$G$15*('Base Física'!O52)</f>
        <v>0</v>
      </c>
      <c r="V15" s="146">
        <f>$G$15*('Base Física'!P52)</f>
        <v>0</v>
      </c>
      <c r="W15" s="146">
        <f>$G$15*('Base Física'!Q52)</f>
        <v>0</v>
      </c>
      <c r="X15" s="146">
        <f>$G$15*('Base Física'!R52)</f>
        <v>0</v>
      </c>
      <c r="Y15" s="146">
        <f>$G$15*('Base Física'!S52)</f>
        <v>0</v>
      </c>
      <c r="Z15" s="146">
        <f>$G$15*('Base Física'!T52)</f>
        <v>0</v>
      </c>
      <c r="AA15" s="146">
        <f>$G$15*('Base Física'!U52)</f>
        <v>0</v>
      </c>
      <c r="AB15" s="146">
        <f>$G$15*('Base Física'!V52)</f>
        <v>0</v>
      </c>
      <c r="AC15" s="146">
        <f>$G$15*('Base Física'!W52)</f>
        <v>0</v>
      </c>
      <c r="AD15" s="146">
        <f>$G$15*('Base Física'!X52)</f>
        <v>0</v>
      </c>
      <c r="AE15" s="146">
        <f>$G$15*('Base Física'!Y52)</f>
        <v>0</v>
      </c>
      <c r="AF15" s="146">
        <f>$G$15*('Base Física'!Z52)</f>
        <v>0</v>
      </c>
      <c r="AG15" s="146">
        <f>$G$15*('Base Física'!AA52)</f>
        <v>0</v>
      </c>
      <c r="AH15" s="146">
        <f>$G$15*('Base Física'!AB52)</f>
        <v>0</v>
      </c>
      <c r="AI15" s="146">
        <f>$G$15*('Base Física'!AC52)</f>
        <v>0</v>
      </c>
      <c r="AJ15" s="146">
        <f>$G$15*('Base Física'!AD52)</f>
        <v>0</v>
      </c>
      <c r="AK15" s="146">
        <f>$G$15*('Base Física'!AE52)</f>
        <v>0</v>
      </c>
      <c r="AL15" s="146">
        <f>$G$15*('Base Física'!AF52)</f>
        <v>0</v>
      </c>
      <c r="AM15" s="146">
        <f>$G$15*('Base Física'!AG52)</f>
        <v>0</v>
      </c>
      <c r="AN15" s="146">
        <f>$G$15*('Base Física'!AH52)</f>
        <v>0</v>
      </c>
      <c r="AO15" s="146">
        <f>$G$15*('Base Física'!AI52)</f>
        <v>0</v>
      </c>
      <c r="AP15" s="146">
        <f>$G$15*('Base Física'!AJ52)</f>
        <v>0</v>
      </c>
      <c r="AQ15" s="146">
        <f>$G$15*('Base Física'!AK52)</f>
        <v>0</v>
      </c>
      <c r="AR15" s="146">
        <f>$G$15*('Base Física'!AL52)</f>
        <v>0</v>
      </c>
      <c r="AS15" s="146">
        <f>$G$15*('Base Física'!AM52)</f>
        <v>0</v>
      </c>
      <c r="AT15" s="146">
        <f>$G$15*('Base Física'!AN52)</f>
        <v>0</v>
      </c>
      <c r="AU15" s="453">
        <f t="shared" ref="AU15:AU19" si="6">+SUM(L15:AT15)</f>
        <v>0</v>
      </c>
    </row>
    <row r="16" spans="1:48" ht="30" x14ac:dyDescent="0.25">
      <c r="B16" s="838" t="s">
        <v>1014</v>
      </c>
      <c r="C16" s="814" t="s">
        <v>1015</v>
      </c>
      <c r="D16" s="841">
        <v>2653</v>
      </c>
      <c r="E16" s="1196"/>
      <c r="F16" s="840">
        <f>D16*E16</f>
        <v>0</v>
      </c>
      <c r="G16" s="850">
        <v>4.466418</v>
      </c>
      <c r="H16" s="834" t="s">
        <v>1008</v>
      </c>
      <c r="I16" s="503"/>
      <c r="J16" s="849" t="s">
        <v>1014</v>
      </c>
      <c r="K16" s="99">
        <f t="shared" si="3"/>
        <v>0</v>
      </c>
      <c r="L16" s="146">
        <f>$G$16*('Base Física'!F52)</f>
        <v>0</v>
      </c>
      <c r="M16" s="146">
        <f>$G$16*('Base Física'!G52)</f>
        <v>0</v>
      </c>
      <c r="N16" s="146">
        <f>$G$16*('Base Física'!H52)</f>
        <v>0</v>
      </c>
      <c r="O16" s="146">
        <f>$G$16*('Base Física'!I52)</f>
        <v>0</v>
      </c>
      <c r="P16" s="146">
        <f>$G$16*('Base Física'!J52)</f>
        <v>0</v>
      </c>
      <c r="Q16" s="146">
        <f>$G$16*('Base Física'!K52)</f>
        <v>0</v>
      </c>
      <c r="R16" s="146">
        <f>$G$16*('Base Física'!L52)</f>
        <v>0</v>
      </c>
      <c r="S16" s="146">
        <f>$G$16*('Base Física'!M52)</f>
        <v>0</v>
      </c>
      <c r="T16" s="146">
        <f>$G$16*('Base Física'!N52)</f>
        <v>0</v>
      </c>
      <c r="U16" s="146">
        <f>$G$16*('Base Física'!O52)</f>
        <v>0</v>
      </c>
      <c r="V16" s="146">
        <f>$G$16*('Base Física'!P52)</f>
        <v>0</v>
      </c>
      <c r="W16" s="146">
        <f>$G$16*('Base Física'!Q52)</f>
        <v>0</v>
      </c>
      <c r="X16" s="146">
        <f>$G$16*('Base Física'!R52)</f>
        <v>0</v>
      </c>
      <c r="Y16" s="146">
        <f>$G$16*('Base Física'!S52)</f>
        <v>0</v>
      </c>
      <c r="Z16" s="146">
        <f>$G$16*('Base Física'!T52)</f>
        <v>0</v>
      </c>
      <c r="AA16" s="146">
        <f>$G$16*('Base Física'!U52)</f>
        <v>0</v>
      </c>
      <c r="AB16" s="146">
        <f>$G$16*('Base Física'!V52)</f>
        <v>0</v>
      </c>
      <c r="AC16" s="146">
        <f>$G$16*('Base Física'!W52)</f>
        <v>0</v>
      </c>
      <c r="AD16" s="146">
        <f>$G$16*('Base Física'!X52)</f>
        <v>0</v>
      </c>
      <c r="AE16" s="146">
        <f>$G$16*('Base Física'!Y52)</f>
        <v>0</v>
      </c>
      <c r="AF16" s="146">
        <f>$G$16*('Base Física'!Z52)</f>
        <v>0</v>
      </c>
      <c r="AG16" s="146">
        <f>$G$16*('Base Física'!AA52)</f>
        <v>0</v>
      </c>
      <c r="AH16" s="146">
        <f>$G$16*('Base Física'!AB52)</f>
        <v>0</v>
      </c>
      <c r="AI16" s="146">
        <f>$G$16*('Base Física'!AC52)</f>
        <v>0</v>
      </c>
      <c r="AJ16" s="146">
        <f>$G$16*('Base Física'!AD52)</f>
        <v>0</v>
      </c>
      <c r="AK16" s="146">
        <f>$G$16*('Base Física'!AE52)</f>
        <v>0</v>
      </c>
      <c r="AL16" s="146">
        <f>$G$16*('Base Física'!AF52)</f>
        <v>0</v>
      </c>
      <c r="AM16" s="146">
        <f>$G$16*('Base Física'!AG52)</f>
        <v>0</v>
      </c>
      <c r="AN16" s="146">
        <f>$G$16*('Base Física'!AH52)</f>
        <v>0</v>
      </c>
      <c r="AO16" s="146">
        <f>$G$16*('Base Física'!AI52)</f>
        <v>0</v>
      </c>
      <c r="AP16" s="146">
        <f>$G$16*('Base Física'!AJ52)</f>
        <v>0</v>
      </c>
      <c r="AQ16" s="146">
        <f>$G$16*('Base Física'!AK52)</f>
        <v>0</v>
      </c>
      <c r="AR16" s="146">
        <f>$G$16*('Base Física'!AL52)</f>
        <v>0</v>
      </c>
      <c r="AS16" s="146">
        <f>$G$16*('Base Física'!AM52)</f>
        <v>0</v>
      </c>
      <c r="AT16" s="146">
        <f>$G$16*('Base Física'!AN52)</f>
        <v>0</v>
      </c>
      <c r="AU16" s="453">
        <f t="shared" si="6"/>
        <v>0</v>
      </c>
    </row>
    <row r="17" spans="2:47" ht="30" x14ac:dyDescent="0.25">
      <c r="B17" s="838" t="s">
        <v>1016</v>
      </c>
      <c r="C17" s="814" t="s">
        <v>1015</v>
      </c>
      <c r="D17" s="841">
        <f>D16</f>
        <v>2653</v>
      </c>
      <c r="E17" s="1196"/>
      <c r="F17" s="840">
        <f>D17*E17</f>
        <v>0</v>
      </c>
      <c r="G17" s="850">
        <v>4.466418</v>
      </c>
      <c r="H17" s="834" t="s">
        <v>1008</v>
      </c>
      <c r="I17" s="503"/>
      <c r="J17" s="849" t="s">
        <v>1016</v>
      </c>
      <c r="K17" s="99">
        <f t="shared" si="3"/>
        <v>0</v>
      </c>
      <c r="L17" s="146">
        <f>$G$17*('Base Física'!F52)</f>
        <v>0</v>
      </c>
      <c r="M17" s="146">
        <f>$G$17*('Base Física'!G52)</f>
        <v>0</v>
      </c>
      <c r="N17" s="146">
        <f>$G$17*('Base Física'!H52)</f>
        <v>0</v>
      </c>
      <c r="O17" s="146">
        <f>$G$17*('Base Física'!I52)</f>
        <v>0</v>
      </c>
      <c r="P17" s="146">
        <f>$G$17*('Base Física'!J52)</f>
        <v>0</v>
      </c>
      <c r="Q17" s="146">
        <f>$G$17*('Base Física'!K52)</f>
        <v>0</v>
      </c>
      <c r="R17" s="146">
        <f>$G$17*('Base Física'!L52)</f>
        <v>0</v>
      </c>
      <c r="S17" s="146">
        <f>$G$17*('Base Física'!M52)</f>
        <v>0</v>
      </c>
      <c r="T17" s="146">
        <f>$G$17*('Base Física'!N52)</f>
        <v>0</v>
      </c>
      <c r="U17" s="146">
        <f>$G$17*('Base Física'!O52)</f>
        <v>0</v>
      </c>
      <c r="V17" s="146">
        <f>$G$17*('Base Física'!P52)</f>
        <v>0</v>
      </c>
      <c r="W17" s="146">
        <f>$G$17*('Base Física'!Q52)</f>
        <v>0</v>
      </c>
      <c r="X17" s="146">
        <f>$G$17*('Base Física'!R52)</f>
        <v>0</v>
      </c>
      <c r="Y17" s="146">
        <f>$G$17*('Base Física'!S52)</f>
        <v>0</v>
      </c>
      <c r="Z17" s="146">
        <f>$G$17*('Base Física'!T52)</f>
        <v>0</v>
      </c>
      <c r="AA17" s="146">
        <f>$G$17*('Base Física'!U52)</f>
        <v>0</v>
      </c>
      <c r="AB17" s="146">
        <f>$G$17*('Base Física'!V52)</f>
        <v>0</v>
      </c>
      <c r="AC17" s="146">
        <f>$G$17*('Base Física'!W52)</f>
        <v>0</v>
      </c>
      <c r="AD17" s="146">
        <f>$G$17*('Base Física'!X52)</f>
        <v>0</v>
      </c>
      <c r="AE17" s="146">
        <f>$G$17*('Base Física'!Y52)</f>
        <v>0</v>
      </c>
      <c r="AF17" s="146">
        <f>$G$17*('Base Física'!Z52)</f>
        <v>0</v>
      </c>
      <c r="AG17" s="146">
        <f>$G$17*('Base Física'!AA52)</f>
        <v>0</v>
      </c>
      <c r="AH17" s="146">
        <f>$G$17*('Base Física'!AB52)</f>
        <v>0</v>
      </c>
      <c r="AI17" s="146">
        <f>$G$17*('Base Física'!AC52)</f>
        <v>0</v>
      </c>
      <c r="AJ17" s="146">
        <f>$G$17*('Base Física'!AD52)</f>
        <v>0</v>
      </c>
      <c r="AK17" s="146">
        <f>$G$17*('Base Física'!AE52)</f>
        <v>0</v>
      </c>
      <c r="AL17" s="146">
        <f>$G$17*('Base Física'!AF52)</f>
        <v>0</v>
      </c>
      <c r="AM17" s="146">
        <f>$G$17*('Base Física'!AG52)</f>
        <v>0</v>
      </c>
      <c r="AN17" s="146">
        <f>$G$17*('Base Física'!AH52)</f>
        <v>0</v>
      </c>
      <c r="AO17" s="146">
        <f>$G$17*('Base Física'!AI52)</f>
        <v>0</v>
      </c>
      <c r="AP17" s="146">
        <f>$G$17*('Base Física'!AJ52)</f>
        <v>0</v>
      </c>
      <c r="AQ17" s="146">
        <f>$G$17*('Base Física'!AK52)</f>
        <v>0</v>
      </c>
      <c r="AR17" s="146">
        <f>$G$17*('Base Física'!AL52)</f>
        <v>0</v>
      </c>
      <c r="AS17" s="146">
        <f>$G$17*('Base Física'!AM52)</f>
        <v>0</v>
      </c>
      <c r="AT17" s="146">
        <f>$G$17*('Base Física'!AN52)</f>
        <v>0</v>
      </c>
      <c r="AU17" s="453">
        <f t="shared" si="6"/>
        <v>0</v>
      </c>
    </row>
    <row r="18" spans="2:47" ht="30" x14ac:dyDescent="0.25">
      <c r="B18" s="838" t="s">
        <v>1017</v>
      </c>
      <c r="C18" s="814" t="s">
        <v>406</v>
      </c>
      <c r="D18" s="369">
        <v>12</v>
      </c>
      <c r="E18" s="1196"/>
      <c r="F18" s="840">
        <f>D18*E18</f>
        <v>0</v>
      </c>
      <c r="G18" s="850">
        <v>6.5185560000000002</v>
      </c>
      <c r="H18" s="834" t="s">
        <v>1008</v>
      </c>
      <c r="I18" s="503"/>
      <c r="J18" s="849" t="s">
        <v>1017</v>
      </c>
      <c r="K18" s="99">
        <f t="shared" si="3"/>
        <v>0</v>
      </c>
      <c r="L18" s="146">
        <f>$G$18*('Base Física'!F52)</f>
        <v>0</v>
      </c>
      <c r="M18" s="146">
        <f>$G$18*('Base Física'!G52)</f>
        <v>0</v>
      </c>
      <c r="N18" s="146">
        <f>$G$18*('Base Física'!H52)</f>
        <v>0</v>
      </c>
      <c r="O18" s="146">
        <f>$G$18*('Base Física'!I52)</f>
        <v>0</v>
      </c>
      <c r="P18" s="146">
        <f>$G$18*('Base Física'!J52)</f>
        <v>0</v>
      </c>
      <c r="Q18" s="146">
        <f>$G$18*('Base Física'!K52)</f>
        <v>0</v>
      </c>
      <c r="R18" s="146">
        <f>$G$18*('Base Física'!L52)</f>
        <v>0</v>
      </c>
      <c r="S18" s="146">
        <f>$G$18*('Base Física'!M52)</f>
        <v>0</v>
      </c>
      <c r="T18" s="146">
        <f>$G$18*('Base Física'!N52)</f>
        <v>0</v>
      </c>
      <c r="U18" s="146">
        <f>$G$18*('Base Física'!O52)</f>
        <v>0</v>
      </c>
      <c r="V18" s="146">
        <f>$G$18*('Base Física'!P52)</f>
        <v>0</v>
      </c>
      <c r="W18" s="146">
        <f>$G$18*('Base Física'!Q52)</f>
        <v>0</v>
      </c>
      <c r="X18" s="146">
        <f>$G$18*('Base Física'!R52)</f>
        <v>0</v>
      </c>
      <c r="Y18" s="146">
        <f>$G$18*('Base Física'!S52)</f>
        <v>0</v>
      </c>
      <c r="Z18" s="146">
        <f>$G$18*('Base Física'!T52)</f>
        <v>0</v>
      </c>
      <c r="AA18" s="146">
        <f>$G$18*('Base Física'!U52)</f>
        <v>0</v>
      </c>
      <c r="AB18" s="146">
        <f>$G$18*('Base Física'!V52)</f>
        <v>0</v>
      </c>
      <c r="AC18" s="146">
        <f>$G$18*('Base Física'!W52)</f>
        <v>0</v>
      </c>
      <c r="AD18" s="146">
        <f>$G$18*('Base Física'!X52)</f>
        <v>0</v>
      </c>
      <c r="AE18" s="146">
        <f>$G$18*('Base Física'!Y52)</f>
        <v>0</v>
      </c>
      <c r="AF18" s="146">
        <f>$G$18*('Base Física'!Z52)</f>
        <v>0</v>
      </c>
      <c r="AG18" s="146">
        <f>$G$18*('Base Física'!AA52)</f>
        <v>0</v>
      </c>
      <c r="AH18" s="146">
        <f>$G$18*('Base Física'!AB52)</f>
        <v>0</v>
      </c>
      <c r="AI18" s="146">
        <f>$G$18*('Base Física'!AC52)</f>
        <v>0</v>
      </c>
      <c r="AJ18" s="146">
        <f>$G$18*('Base Física'!AD52)</f>
        <v>0</v>
      </c>
      <c r="AK18" s="146">
        <f>$G$18*('Base Física'!AE52)</f>
        <v>0</v>
      </c>
      <c r="AL18" s="146">
        <f>$G$18*('Base Física'!AF52)</f>
        <v>0</v>
      </c>
      <c r="AM18" s="146">
        <f>$G$18*('Base Física'!AG52)</f>
        <v>0</v>
      </c>
      <c r="AN18" s="146">
        <f>$G$18*('Base Física'!AH52)</f>
        <v>0</v>
      </c>
      <c r="AO18" s="146">
        <f>$G$18*('Base Física'!AI52)</f>
        <v>0</v>
      </c>
      <c r="AP18" s="146">
        <f>$G$18*('Base Física'!AJ52)</f>
        <v>0</v>
      </c>
      <c r="AQ18" s="146">
        <f>$G$18*('Base Física'!AK52)</f>
        <v>0</v>
      </c>
      <c r="AR18" s="146">
        <f>$G$18*('Base Física'!AL52)</f>
        <v>0</v>
      </c>
      <c r="AS18" s="146">
        <f>$G$18*('Base Física'!AM52)</f>
        <v>0</v>
      </c>
      <c r="AT18" s="146">
        <f>$G$18*('Base Física'!AN52)</f>
        <v>0</v>
      </c>
      <c r="AU18" s="453">
        <f t="shared" si="6"/>
        <v>0</v>
      </c>
    </row>
    <row r="19" spans="2:47" ht="30" x14ac:dyDescent="0.25">
      <c r="B19" s="838" t="s">
        <v>1018</v>
      </c>
      <c r="C19" s="814" t="s">
        <v>406</v>
      </c>
      <c r="D19" s="369">
        <v>12</v>
      </c>
      <c r="E19" s="1196"/>
      <c r="F19" s="840">
        <f>D19*E19</f>
        <v>0</v>
      </c>
      <c r="G19" s="850">
        <v>2.5240199999999997</v>
      </c>
      <c r="H19" s="834" t="s">
        <v>1008</v>
      </c>
      <c r="I19" s="503"/>
      <c r="J19" s="849" t="s">
        <v>1018</v>
      </c>
      <c r="K19" s="99">
        <f t="shared" si="3"/>
        <v>0</v>
      </c>
      <c r="L19" s="146">
        <f>$G$19*('Base Física'!F52)</f>
        <v>0</v>
      </c>
      <c r="M19" s="146">
        <f>$G$19*('Base Física'!G52)</f>
        <v>0</v>
      </c>
      <c r="N19" s="146">
        <f>$G$19*('Base Física'!H52)</f>
        <v>0</v>
      </c>
      <c r="O19" s="146">
        <f>$G$19*('Base Física'!I52)</f>
        <v>0</v>
      </c>
      <c r="P19" s="146">
        <f>$G$19*('Base Física'!J52)</f>
        <v>0</v>
      </c>
      <c r="Q19" s="146">
        <f>$G$19*('Base Física'!K52)</f>
        <v>0</v>
      </c>
      <c r="R19" s="146">
        <f>$G$19*('Base Física'!L52)</f>
        <v>0</v>
      </c>
      <c r="S19" s="146">
        <f>$G$19*('Base Física'!M52)</f>
        <v>0</v>
      </c>
      <c r="T19" s="146">
        <f>$G$19*('Base Física'!N52)</f>
        <v>0</v>
      </c>
      <c r="U19" s="146">
        <f>$G$19*('Base Física'!O52)</f>
        <v>0</v>
      </c>
      <c r="V19" s="146">
        <f>$G$19*('Base Física'!P52)</f>
        <v>0</v>
      </c>
      <c r="W19" s="146">
        <f>$G$19*('Base Física'!Q52)</f>
        <v>0</v>
      </c>
      <c r="X19" s="146">
        <f>$G$19*('Base Física'!R52)</f>
        <v>0</v>
      </c>
      <c r="Y19" s="146">
        <f>$G$19*('Base Física'!S52)</f>
        <v>0</v>
      </c>
      <c r="Z19" s="146">
        <f>$G$19*('Base Física'!T52)</f>
        <v>0</v>
      </c>
      <c r="AA19" s="146">
        <f>$G$19*('Base Física'!U52)</f>
        <v>0</v>
      </c>
      <c r="AB19" s="146">
        <f>$G$19*('Base Física'!V52)</f>
        <v>0</v>
      </c>
      <c r="AC19" s="146">
        <f>$G$19*('Base Física'!W52)</f>
        <v>0</v>
      </c>
      <c r="AD19" s="146">
        <f>$G$19*('Base Física'!X52)</f>
        <v>0</v>
      </c>
      <c r="AE19" s="146">
        <f>$G$19*('Base Física'!Y52)</f>
        <v>0</v>
      </c>
      <c r="AF19" s="146">
        <f>$G$19*('Base Física'!Z52)</f>
        <v>0</v>
      </c>
      <c r="AG19" s="146">
        <f>$G$19*('Base Física'!AA52)</f>
        <v>0</v>
      </c>
      <c r="AH19" s="146">
        <f>$G$19*('Base Física'!AB52)</f>
        <v>0</v>
      </c>
      <c r="AI19" s="146">
        <f>$G$19*('Base Física'!AC52)</f>
        <v>0</v>
      </c>
      <c r="AJ19" s="146">
        <f>$G$19*('Base Física'!AD52)</f>
        <v>0</v>
      </c>
      <c r="AK19" s="146">
        <f>$G$19*('Base Física'!AE52)</f>
        <v>0</v>
      </c>
      <c r="AL19" s="146">
        <f>$G$19*('Base Física'!AF52)</f>
        <v>0</v>
      </c>
      <c r="AM19" s="146">
        <f>$G$19*('Base Física'!AG52)</f>
        <v>0</v>
      </c>
      <c r="AN19" s="146">
        <f>$G$19*('Base Física'!AH52)</f>
        <v>0</v>
      </c>
      <c r="AO19" s="146">
        <f>$G$19*('Base Física'!AI52)</f>
        <v>0</v>
      </c>
      <c r="AP19" s="146">
        <f>$G$19*('Base Física'!AJ52)</f>
        <v>0</v>
      </c>
      <c r="AQ19" s="146">
        <f>$G$19*('Base Física'!AK52)</f>
        <v>0</v>
      </c>
      <c r="AR19" s="146">
        <f>$G$19*('Base Física'!AL52)</f>
        <v>0</v>
      </c>
      <c r="AS19" s="146">
        <f>$G$19*('Base Física'!AM52)</f>
        <v>0</v>
      </c>
      <c r="AT19" s="146">
        <f>$G$19*('Base Física'!AN52)</f>
        <v>0</v>
      </c>
      <c r="AU19" s="453">
        <f t="shared" si="6"/>
        <v>0</v>
      </c>
    </row>
    <row r="20" spans="2:47" x14ac:dyDescent="0.25">
      <c r="B20" s="838"/>
      <c r="C20" s="842"/>
      <c r="D20" s="369"/>
      <c r="E20" s="839"/>
      <c r="F20" s="843"/>
      <c r="G20" s="850"/>
      <c r="H20" s="835"/>
      <c r="I20" s="831"/>
      <c r="J20" s="849"/>
      <c r="K20" s="99">
        <f t="shared" si="3"/>
        <v>0</v>
      </c>
      <c r="L20" s="99"/>
      <c r="M20" s="99"/>
      <c r="N20" s="99"/>
      <c r="O20" s="99"/>
      <c r="P20" s="99"/>
      <c r="Q20" s="99"/>
      <c r="R20" s="99"/>
      <c r="S20" s="99"/>
      <c r="T20" s="99"/>
      <c r="U20" s="99"/>
      <c r="V20" s="99"/>
      <c r="W20" s="99"/>
      <c r="X20" s="99"/>
      <c r="Y20" s="99"/>
      <c r="Z20" s="99"/>
      <c r="AA20" s="99"/>
      <c r="AB20" s="99"/>
      <c r="AC20" s="99"/>
      <c r="AD20" s="99"/>
      <c r="AE20" s="99"/>
      <c r="AF20" s="99"/>
      <c r="AG20" s="99"/>
      <c r="AH20" s="99"/>
      <c r="AI20" s="99"/>
      <c r="AJ20" s="99"/>
      <c r="AK20" s="99"/>
      <c r="AL20" s="99"/>
      <c r="AM20" s="99"/>
      <c r="AN20" s="99"/>
      <c r="AO20" s="99"/>
      <c r="AP20" s="494"/>
      <c r="AQ20" s="494"/>
      <c r="AR20" s="494"/>
      <c r="AS20" s="494"/>
      <c r="AT20" s="494"/>
      <c r="AU20" s="492"/>
    </row>
    <row r="21" spans="2:47" ht="30" x14ac:dyDescent="0.25">
      <c r="B21" s="848" t="s">
        <v>1019</v>
      </c>
      <c r="C21" s="273"/>
      <c r="D21" s="369"/>
      <c r="E21" s="839"/>
      <c r="F21" s="844">
        <f>SUM(F22:F26)</f>
        <v>0</v>
      </c>
      <c r="G21" s="850"/>
      <c r="H21" s="835"/>
      <c r="I21" s="831"/>
      <c r="J21" s="848" t="s">
        <v>1019</v>
      </c>
      <c r="K21" s="490">
        <f t="shared" si="3"/>
        <v>0</v>
      </c>
      <c r="L21" s="490">
        <f>SUM(L22:L28)</f>
        <v>0</v>
      </c>
      <c r="M21" s="490">
        <f t="shared" ref="M21:AS21" si="7">SUM(M22:M28)</f>
        <v>0</v>
      </c>
      <c r="N21" s="490">
        <f>SUM(N22:N28)</f>
        <v>0</v>
      </c>
      <c r="O21" s="490">
        <f>SUM(O22:O28)</f>
        <v>0</v>
      </c>
      <c r="P21" s="490">
        <f t="shared" si="7"/>
        <v>0</v>
      </c>
      <c r="Q21" s="490">
        <f>SUM(Q22:Q28)</f>
        <v>0</v>
      </c>
      <c r="R21" s="490">
        <f>SUM(R22:R28)</f>
        <v>0</v>
      </c>
      <c r="S21" s="490">
        <f>SUM(S22:S28)</f>
        <v>0</v>
      </c>
      <c r="T21" s="490">
        <f t="shared" si="7"/>
        <v>0</v>
      </c>
      <c r="U21" s="490">
        <f t="shared" si="7"/>
        <v>0</v>
      </c>
      <c r="V21" s="490">
        <f>SUM(V22:V28)</f>
        <v>0</v>
      </c>
      <c r="W21" s="490">
        <f t="shared" si="7"/>
        <v>0</v>
      </c>
      <c r="X21" s="490">
        <f t="shared" si="7"/>
        <v>0</v>
      </c>
      <c r="Y21" s="490">
        <f t="shared" si="7"/>
        <v>0</v>
      </c>
      <c r="Z21" s="490">
        <f>SUM(Z22:Z28)</f>
        <v>0</v>
      </c>
      <c r="AA21" s="490">
        <f t="shared" si="7"/>
        <v>0</v>
      </c>
      <c r="AB21" s="490">
        <f t="shared" si="7"/>
        <v>0</v>
      </c>
      <c r="AC21" s="490">
        <f t="shared" si="7"/>
        <v>0</v>
      </c>
      <c r="AD21" s="490">
        <f>SUM(AD22:AD28)</f>
        <v>0</v>
      </c>
      <c r="AE21" s="490">
        <f t="shared" si="7"/>
        <v>0</v>
      </c>
      <c r="AF21" s="490">
        <f t="shared" si="7"/>
        <v>0</v>
      </c>
      <c r="AG21" s="490">
        <f t="shared" si="7"/>
        <v>0</v>
      </c>
      <c r="AH21" s="490">
        <f>SUM(AH22:AH28)</f>
        <v>0</v>
      </c>
      <c r="AI21" s="490">
        <f t="shared" si="7"/>
        <v>0</v>
      </c>
      <c r="AJ21" s="490">
        <f t="shared" si="7"/>
        <v>0</v>
      </c>
      <c r="AK21" s="490">
        <f t="shared" si="7"/>
        <v>0</v>
      </c>
      <c r="AL21" s="490">
        <f>SUM(AL22:AL28)</f>
        <v>0</v>
      </c>
      <c r="AM21" s="490">
        <f t="shared" si="7"/>
        <v>0</v>
      </c>
      <c r="AN21" s="490">
        <f t="shared" si="7"/>
        <v>0</v>
      </c>
      <c r="AO21" s="490">
        <f t="shared" si="7"/>
        <v>0</v>
      </c>
      <c r="AP21" s="490">
        <f>SUM(AP22:AP28)</f>
        <v>0</v>
      </c>
      <c r="AQ21" s="490">
        <f t="shared" si="7"/>
        <v>0</v>
      </c>
      <c r="AR21" s="490">
        <f t="shared" si="7"/>
        <v>0</v>
      </c>
      <c r="AS21" s="490">
        <f t="shared" si="7"/>
        <v>0</v>
      </c>
      <c r="AT21" s="490">
        <f>SUM(AT22:AT28)</f>
        <v>0</v>
      </c>
      <c r="AU21" s="813">
        <f>+SUM(L21:AT21)</f>
        <v>0</v>
      </c>
    </row>
    <row r="22" spans="2:47" ht="30" x14ac:dyDescent="0.25">
      <c r="B22" s="838" t="s">
        <v>1020</v>
      </c>
      <c r="C22" s="814" t="s">
        <v>406</v>
      </c>
      <c r="D22" s="369">
        <v>12</v>
      </c>
      <c r="E22" s="1196"/>
      <c r="F22" s="840">
        <f t="shared" ref="F22:F28" si="8">D22*E22</f>
        <v>0</v>
      </c>
      <c r="G22" s="850">
        <v>8.680434</v>
      </c>
      <c r="H22" s="834" t="s">
        <v>1021</v>
      </c>
      <c r="I22" s="503"/>
      <c r="J22" s="849" t="s">
        <v>1020</v>
      </c>
      <c r="K22" s="99">
        <f t="shared" si="3"/>
        <v>0</v>
      </c>
      <c r="L22" s="146"/>
      <c r="M22" s="146">
        <f>$G$22*('Base Física'!F52)</f>
        <v>0</v>
      </c>
      <c r="N22" s="146">
        <f>$G$22*('Base Física'!G52)</f>
        <v>0</v>
      </c>
      <c r="O22" s="146">
        <f>$G$22*('Base Física'!H52)</f>
        <v>0</v>
      </c>
      <c r="P22" s="146">
        <f>$G$22*('Base Física'!I52)</f>
        <v>0</v>
      </c>
      <c r="Q22" s="146">
        <f>$G$22*('Base Física'!J52)</f>
        <v>0</v>
      </c>
      <c r="R22" s="146">
        <f>$G$22*('Base Física'!K52)</f>
        <v>0</v>
      </c>
      <c r="S22" s="146">
        <f>$G$22*('Base Física'!L52)</f>
        <v>0</v>
      </c>
      <c r="T22" s="146">
        <f>$G$22*('Base Física'!M52)</f>
        <v>0</v>
      </c>
      <c r="U22" s="146">
        <f>$G$22*('Base Física'!N52)</f>
        <v>0</v>
      </c>
      <c r="V22" s="146">
        <f>$G$22*('Base Física'!O52)</f>
        <v>0</v>
      </c>
      <c r="W22" s="146">
        <f>$G$22*('Base Física'!P52)</f>
        <v>0</v>
      </c>
      <c r="X22" s="146">
        <f>$G$22*('Base Física'!Q52)</f>
        <v>0</v>
      </c>
      <c r="Y22" s="146">
        <f>$G$22*('Base Física'!R52)</f>
        <v>0</v>
      </c>
      <c r="Z22" s="146">
        <f>$G$22*('Base Física'!S52)</f>
        <v>0</v>
      </c>
      <c r="AA22" s="146">
        <f>$G$22*('Base Física'!T52)</f>
        <v>0</v>
      </c>
      <c r="AB22" s="146">
        <f>$G$22*('Base Física'!U52)</f>
        <v>0</v>
      </c>
      <c r="AC22" s="146">
        <f>$G$22*('Base Física'!V52)</f>
        <v>0</v>
      </c>
      <c r="AD22" s="146">
        <f>$G$22*('Base Física'!W52)</f>
        <v>0</v>
      </c>
      <c r="AE22" s="146">
        <f>$G$22*('Base Física'!X52)</f>
        <v>0</v>
      </c>
      <c r="AF22" s="146">
        <f>$G$22*('Base Física'!Y52)</f>
        <v>0</v>
      </c>
      <c r="AG22" s="146">
        <f>$G$22*('Base Física'!Z52)</f>
        <v>0</v>
      </c>
      <c r="AH22" s="146">
        <f>$G$22*('Base Física'!AA52)</f>
        <v>0</v>
      </c>
      <c r="AI22" s="146">
        <f>$G$22*('Base Física'!AB52)</f>
        <v>0</v>
      </c>
      <c r="AJ22" s="146">
        <f>$G$22*('Base Física'!AC52)</f>
        <v>0</v>
      </c>
      <c r="AK22" s="146">
        <f>$G$22*('Base Física'!AD52)</f>
        <v>0</v>
      </c>
      <c r="AL22" s="146">
        <f>$G$22*('Base Física'!AE52)</f>
        <v>0</v>
      </c>
      <c r="AM22" s="146">
        <f>$G$22*('Base Física'!AF52)</f>
        <v>0</v>
      </c>
      <c r="AN22" s="146">
        <f>$G$22*('Base Física'!AG52)</f>
        <v>0</v>
      </c>
      <c r="AO22" s="146">
        <f>$G$22*('Base Física'!AH52)</f>
        <v>0</v>
      </c>
      <c r="AP22" s="146">
        <f>$G$22*('Base Física'!AI52)</f>
        <v>0</v>
      </c>
      <c r="AQ22" s="146">
        <f>$G$22*('Base Física'!AJ52)</f>
        <v>0</v>
      </c>
      <c r="AR22" s="146">
        <f>$G$22*('Base Física'!AK52)</f>
        <v>0</v>
      </c>
      <c r="AS22" s="146">
        <f>$G$22*('Base Física'!AL52)</f>
        <v>0</v>
      </c>
      <c r="AT22" s="146">
        <f>$G$22*('Base Física'!AM52)</f>
        <v>0</v>
      </c>
      <c r="AU22" s="453">
        <f t="shared" ref="AU22:AU26" si="9">+SUM(L22:AT22)</f>
        <v>0</v>
      </c>
    </row>
    <row r="23" spans="2:47" ht="30" x14ac:dyDescent="0.25">
      <c r="B23" s="838" t="s">
        <v>1022</v>
      </c>
      <c r="C23" s="814" t="s">
        <v>406</v>
      </c>
      <c r="D23" s="369">
        <v>12</v>
      </c>
      <c r="E23" s="1196"/>
      <c r="F23" s="840">
        <f t="shared" si="8"/>
        <v>0</v>
      </c>
      <c r="G23" s="850">
        <v>7.2208919999999992</v>
      </c>
      <c r="H23" s="834" t="s">
        <v>1021</v>
      </c>
      <c r="I23" s="503"/>
      <c r="J23" s="849" t="s">
        <v>1022</v>
      </c>
      <c r="K23" s="99">
        <f t="shared" si="3"/>
        <v>0</v>
      </c>
      <c r="L23" s="146"/>
      <c r="M23" s="146">
        <f>$G$23*('Base Física'!F52)</f>
        <v>0</v>
      </c>
      <c r="N23" s="146">
        <f>$G$23*('Base Física'!G52)</f>
        <v>0</v>
      </c>
      <c r="O23" s="146">
        <f>$G$23*('Base Física'!H52)</f>
        <v>0</v>
      </c>
      <c r="P23" s="146">
        <f>$G$23*('Base Física'!I52)</f>
        <v>0</v>
      </c>
      <c r="Q23" s="146">
        <f>$G$23*('Base Física'!J52)</f>
        <v>0</v>
      </c>
      <c r="R23" s="146">
        <f>$G$23*('Base Física'!K52)</f>
        <v>0</v>
      </c>
      <c r="S23" s="146">
        <f>$G$23*('Base Física'!L52)</f>
        <v>0</v>
      </c>
      <c r="T23" s="146">
        <f>$G$23*('Base Física'!M52)</f>
        <v>0</v>
      </c>
      <c r="U23" s="146">
        <f>$G$23*('Base Física'!N52)</f>
        <v>0</v>
      </c>
      <c r="V23" s="146">
        <f>$G$23*('Base Física'!O52)</f>
        <v>0</v>
      </c>
      <c r="W23" s="146">
        <f>$G$23*('Base Física'!P52)</f>
        <v>0</v>
      </c>
      <c r="X23" s="146">
        <f>$G$23*('Base Física'!Q52)</f>
        <v>0</v>
      </c>
      <c r="Y23" s="146">
        <f>$G$23*('Base Física'!R52)</f>
        <v>0</v>
      </c>
      <c r="Z23" s="146">
        <f>$G$23*('Base Física'!S52)</f>
        <v>0</v>
      </c>
      <c r="AA23" s="146">
        <f>$G$23*('Base Física'!T52)</f>
        <v>0</v>
      </c>
      <c r="AB23" s="146">
        <f>$G$23*('Base Física'!U52)</f>
        <v>0</v>
      </c>
      <c r="AC23" s="146">
        <f>$G$23*('Base Física'!V52)</f>
        <v>0</v>
      </c>
      <c r="AD23" s="146">
        <f>$G$23*('Base Física'!W52)</f>
        <v>0</v>
      </c>
      <c r="AE23" s="146">
        <f>$G$23*('Base Física'!X52)</f>
        <v>0</v>
      </c>
      <c r="AF23" s="146">
        <f>$G$23*('Base Física'!Y52)</f>
        <v>0</v>
      </c>
      <c r="AG23" s="146">
        <f>$G$23*('Base Física'!Z52)</f>
        <v>0</v>
      </c>
      <c r="AH23" s="146">
        <f>$G$23*('Base Física'!AA52)</f>
        <v>0</v>
      </c>
      <c r="AI23" s="146">
        <f>$G$23*('Base Física'!AB52)</f>
        <v>0</v>
      </c>
      <c r="AJ23" s="146">
        <f>$G$23*('Base Física'!AC52)</f>
        <v>0</v>
      </c>
      <c r="AK23" s="146">
        <f>$G$23*('Base Física'!AD52)</f>
        <v>0</v>
      </c>
      <c r="AL23" s="146">
        <f>$G$23*('Base Física'!AE52)</f>
        <v>0</v>
      </c>
      <c r="AM23" s="146">
        <f>$G$23*('Base Física'!AF52)</f>
        <v>0</v>
      </c>
      <c r="AN23" s="146">
        <f>$G$23*('Base Física'!AG52)</f>
        <v>0</v>
      </c>
      <c r="AO23" s="146">
        <f>$G$23*('Base Física'!AH52)</f>
        <v>0</v>
      </c>
      <c r="AP23" s="146">
        <f>$G$23*('Base Física'!AI52)</f>
        <v>0</v>
      </c>
      <c r="AQ23" s="146">
        <f>$G$23*('Base Física'!AJ52)</f>
        <v>0</v>
      </c>
      <c r="AR23" s="146">
        <f>$G$23*('Base Física'!AK52)</f>
        <v>0</v>
      </c>
      <c r="AS23" s="146">
        <f>$G$23*('Base Física'!AL52)</f>
        <v>0</v>
      </c>
      <c r="AT23" s="146">
        <f>$G$23*('Base Física'!AM52)</f>
        <v>0</v>
      </c>
      <c r="AU23" s="453">
        <f t="shared" si="9"/>
        <v>0</v>
      </c>
    </row>
    <row r="24" spans="2:47" ht="30" x14ac:dyDescent="0.25">
      <c r="B24" s="838" t="s">
        <v>1023</v>
      </c>
      <c r="C24" s="814" t="s">
        <v>406</v>
      </c>
      <c r="D24" s="369">
        <v>12</v>
      </c>
      <c r="E24" s="1196"/>
      <c r="F24" s="840">
        <f t="shared" si="8"/>
        <v>0</v>
      </c>
      <c r="G24" s="850">
        <v>6.3868679999999998</v>
      </c>
      <c r="H24" s="834" t="s">
        <v>1021</v>
      </c>
      <c r="I24" s="503"/>
      <c r="J24" s="849" t="s">
        <v>1023</v>
      </c>
      <c r="K24" s="99">
        <f t="shared" si="3"/>
        <v>0</v>
      </c>
      <c r="L24" s="146"/>
      <c r="M24" s="146">
        <f>$G$24*('Base Física'!F52)</f>
        <v>0</v>
      </c>
      <c r="N24" s="146">
        <f>$G$24*('Base Física'!G52)</f>
        <v>0</v>
      </c>
      <c r="O24" s="146">
        <f>$G$24*('Base Física'!H52)</f>
        <v>0</v>
      </c>
      <c r="P24" s="146">
        <f>$G$24*('Base Física'!I52)</f>
        <v>0</v>
      </c>
      <c r="Q24" s="146">
        <f>$G$24*('Base Física'!J52)</f>
        <v>0</v>
      </c>
      <c r="R24" s="146">
        <f>$G$24*('Base Física'!K52)</f>
        <v>0</v>
      </c>
      <c r="S24" s="146">
        <f>$G$24*('Base Física'!L52)</f>
        <v>0</v>
      </c>
      <c r="T24" s="146">
        <f>$G$24*('Base Física'!M52)</f>
        <v>0</v>
      </c>
      <c r="U24" s="146">
        <f>$G$24*('Base Física'!N52)</f>
        <v>0</v>
      </c>
      <c r="V24" s="146">
        <f>$G$24*('Base Física'!O52)</f>
        <v>0</v>
      </c>
      <c r="W24" s="146">
        <f>$G$24*('Base Física'!P52)</f>
        <v>0</v>
      </c>
      <c r="X24" s="146">
        <f>$G$24*('Base Física'!Q52)</f>
        <v>0</v>
      </c>
      <c r="Y24" s="146">
        <f>$G$24*('Base Física'!R52)</f>
        <v>0</v>
      </c>
      <c r="Z24" s="146">
        <f>$G$24*('Base Física'!S52)</f>
        <v>0</v>
      </c>
      <c r="AA24" s="146">
        <f>$G$24*('Base Física'!T52)</f>
        <v>0</v>
      </c>
      <c r="AB24" s="146">
        <f>$G$24*('Base Física'!U52)</f>
        <v>0</v>
      </c>
      <c r="AC24" s="146">
        <f>$G$24*('Base Física'!V52)</f>
        <v>0</v>
      </c>
      <c r="AD24" s="146">
        <f>$G$24*('Base Física'!W52)</f>
        <v>0</v>
      </c>
      <c r="AE24" s="146">
        <f>$G$24*('Base Física'!X52)</f>
        <v>0</v>
      </c>
      <c r="AF24" s="146">
        <f>$G$24*('Base Física'!Y52)</f>
        <v>0</v>
      </c>
      <c r="AG24" s="146">
        <f>$G$24*('Base Física'!Z52)</f>
        <v>0</v>
      </c>
      <c r="AH24" s="146">
        <f>$G$24*('Base Física'!AA52)</f>
        <v>0</v>
      </c>
      <c r="AI24" s="146">
        <f>$G$24*('Base Física'!AB52)</f>
        <v>0</v>
      </c>
      <c r="AJ24" s="146">
        <f>$G$24*('Base Física'!AC52)</f>
        <v>0</v>
      </c>
      <c r="AK24" s="146">
        <f>$G$24*('Base Física'!AD52)</f>
        <v>0</v>
      </c>
      <c r="AL24" s="146">
        <f>$G$24*('Base Física'!AE52)</f>
        <v>0</v>
      </c>
      <c r="AM24" s="146">
        <f>$G$24*('Base Física'!AF52)</f>
        <v>0</v>
      </c>
      <c r="AN24" s="146">
        <f>$G$24*('Base Física'!AG52)</f>
        <v>0</v>
      </c>
      <c r="AO24" s="146">
        <f>$G$24*('Base Física'!AH52)</f>
        <v>0</v>
      </c>
      <c r="AP24" s="146">
        <f>$G$24*('Base Física'!AI52)</f>
        <v>0</v>
      </c>
      <c r="AQ24" s="146">
        <f>$G$24*('Base Física'!AJ52)</f>
        <v>0</v>
      </c>
      <c r="AR24" s="146">
        <f>$G$24*('Base Física'!AK52)</f>
        <v>0</v>
      </c>
      <c r="AS24" s="146">
        <f>$G$24*('Base Física'!AL52)</f>
        <v>0</v>
      </c>
      <c r="AT24" s="146">
        <f>$G$24*('Base Física'!AM52)</f>
        <v>0</v>
      </c>
      <c r="AU24" s="453">
        <f t="shared" si="9"/>
        <v>0</v>
      </c>
    </row>
    <row r="25" spans="2:47" ht="30" x14ac:dyDescent="0.25">
      <c r="B25" s="838" t="s">
        <v>1024</v>
      </c>
      <c r="C25" s="814" t="s">
        <v>406</v>
      </c>
      <c r="D25" s="369">
        <v>12</v>
      </c>
      <c r="E25" s="1196"/>
      <c r="F25" s="840">
        <f t="shared" si="8"/>
        <v>0</v>
      </c>
      <c r="G25" s="850">
        <v>4.8834299999999997</v>
      </c>
      <c r="H25" s="834" t="s">
        <v>1021</v>
      </c>
      <c r="I25" s="503"/>
      <c r="J25" s="849" t="s">
        <v>1024</v>
      </c>
      <c r="K25" s="99">
        <f t="shared" si="3"/>
        <v>0</v>
      </c>
      <c r="L25" s="146"/>
      <c r="M25" s="146">
        <f>$G$25*('Base Física'!F52)</f>
        <v>0</v>
      </c>
      <c r="N25" s="146">
        <f>$G$25*('Base Física'!G52)</f>
        <v>0</v>
      </c>
      <c r="O25" s="146">
        <f>$G$25*('Base Física'!H52)</f>
        <v>0</v>
      </c>
      <c r="P25" s="146">
        <f>$G$25*('Base Física'!I52)</f>
        <v>0</v>
      </c>
      <c r="Q25" s="146">
        <f>$G$25*('Base Física'!J52)</f>
        <v>0</v>
      </c>
      <c r="R25" s="146">
        <f>$G$25*('Base Física'!K52)</f>
        <v>0</v>
      </c>
      <c r="S25" s="146">
        <f>$G$25*('Base Física'!L52)</f>
        <v>0</v>
      </c>
      <c r="T25" s="146">
        <f>$G$25*('Base Física'!M52)</f>
        <v>0</v>
      </c>
      <c r="U25" s="146">
        <f>$G$25*('Base Física'!N52)</f>
        <v>0</v>
      </c>
      <c r="V25" s="146">
        <f>$G$25*('Base Física'!O52)</f>
        <v>0</v>
      </c>
      <c r="W25" s="146">
        <f>$G$25*('Base Física'!P52)</f>
        <v>0</v>
      </c>
      <c r="X25" s="146">
        <f>$G$25*('Base Física'!Q52)</f>
        <v>0</v>
      </c>
      <c r="Y25" s="146">
        <f>$G$25*('Base Física'!R52)</f>
        <v>0</v>
      </c>
      <c r="Z25" s="146">
        <f>$G$25*('Base Física'!S52)</f>
        <v>0</v>
      </c>
      <c r="AA25" s="146">
        <f>$G$25*('Base Física'!T52)</f>
        <v>0</v>
      </c>
      <c r="AB25" s="146">
        <f>$G$25*('Base Física'!U52)</f>
        <v>0</v>
      </c>
      <c r="AC25" s="146">
        <f>$G$25*('Base Física'!V52)</f>
        <v>0</v>
      </c>
      <c r="AD25" s="146">
        <f>$G$25*('Base Física'!W52)</f>
        <v>0</v>
      </c>
      <c r="AE25" s="146">
        <f>$G$25*('Base Física'!X52)</f>
        <v>0</v>
      </c>
      <c r="AF25" s="146">
        <f>$G$25*('Base Física'!Y52)</f>
        <v>0</v>
      </c>
      <c r="AG25" s="146">
        <f>$G$25*('Base Física'!Z52)</f>
        <v>0</v>
      </c>
      <c r="AH25" s="146">
        <f>$G$25*('Base Física'!AA52)</f>
        <v>0</v>
      </c>
      <c r="AI25" s="146">
        <f>$G$25*('Base Física'!AB52)</f>
        <v>0</v>
      </c>
      <c r="AJ25" s="146">
        <f>$G$25*('Base Física'!AC52)</f>
        <v>0</v>
      </c>
      <c r="AK25" s="146">
        <f>$G$25*('Base Física'!AD52)</f>
        <v>0</v>
      </c>
      <c r="AL25" s="146">
        <f>$G$25*('Base Física'!AE52)</f>
        <v>0</v>
      </c>
      <c r="AM25" s="146">
        <f>$G$25*('Base Física'!AF52)</f>
        <v>0</v>
      </c>
      <c r="AN25" s="146">
        <f>$G$25*('Base Física'!AG52)</f>
        <v>0</v>
      </c>
      <c r="AO25" s="146">
        <f>$G$25*('Base Física'!AH52)</f>
        <v>0</v>
      </c>
      <c r="AP25" s="146">
        <f>$G$25*('Base Física'!AI52)</f>
        <v>0</v>
      </c>
      <c r="AQ25" s="146">
        <f>$G$25*('Base Física'!AJ52)</f>
        <v>0</v>
      </c>
      <c r="AR25" s="146">
        <f>$G$25*('Base Física'!AK52)</f>
        <v>0</v>
      </c>
      <c r="AS25" s="146">
        <f>$G$25*('Base Física'!AL52)</f>
        <v>0</v>
      </c>
      <c r="AT25" s="146">
        <f>$G$25*('Base Física'!AM52)</f>
        <v>0</v>
      </c>
      <c r="AU25" s="453">
        <f t="shared" si="9"/>
        <v>0</v>
      </c>
    </row>
    <row r="26" spans="2:47" ht="45" x14ac:dyDescent="0.25">
      <c r="B26" s="838" t="s">
        <v>1025</v>
      </c>
      <c r="C26" s="814" t="s">
        <v>406</v>
      </c>
      <c r="D26" s="369">
        <v>12</v>
      </c>
      <c r="E26" s="1196"/>
      <c r="F26" s="840">
        <f t="shared" si="8"/>
        <v>0</v>
      </c>
      <c r="G26" s="850">
        <v>5.201676</v>
      </c>
      <c r="H26" s="834" t="s">
        <v>1021</v>
      </c>
      <c r="I26" s="503"/>
      <c r="J26" s="849" t="s">
        <v>1025</v>
      </c>
      <c r="K26" s="99">
        <f t="shared" si="3"/>
        <v>0</v>
      </c>
      <c r="L26" s="146"/>
      <c r="M26" s="146">
        <f>$G$26*('Base Física'!F52)</f>
        <v>0</v>
      </c>
      <c r="N26" s="146">
        <f>$G$26*('Base Física'!G52)</f>
        <v>0</v>
      </c>
      <c r="O26" s="146">
        <f>$G$26*('Base Física'!H52)</f>
        <v>0</v>
      </c>
      <c r="P26" s="146">
        <f>$G$26*('Base Física'!I52)</f>
        <v>0</v>
      </c>
      <c r="Q26" s="146">
        <f>$G$26*('Base Física'!J52)</f>
        <v>0</v>
      </c>
      <c r="R26" s="146">
        <f>$G$26*('Base Física'!K52)</f>
        <v>0</v>
      </c>
      <c r="S26" s="146">
        <f>$G$26*('Base Física'!L52)</f>
        <v>0</v>
      </c>
      <c r="T26" s="146">
        <f>$G$26*('Base Física'!M52)</f>
        <v>0</v>
      </c>
      <c r="U26" s="146">
        <f>$G$26*('Base Física'!N52)</f>
        <v>0</v>
      </c>
      <c r="V26" s="146">
        <f>$G$26*('Base Física'!O52)</f>
        <v>0</v>
      </c>
      <c r="W26" s="146">
        <f>$G$26*('Base Física'!P52)</f>
        <v>0</v>
      </c>
      <c r="X26" s="146">
        <f>$G$26*('Base Física'!Q52)</f>
        <v>0</v>
      </c>
      <c r="Y26" s="146">
        <f>$G$26*('Base Física'!R52)</f>
        <v>0</v>
      </c>
      <c r="Z26" s="146">
        <f>$G$26*('Base Física'!S52)</f>
        <v>0</v>
      </c>
      <c r="AA26" s="146">
        <f>$G$26*('Base Física'!T52)</f>
        <v>0</v>
      </c>
      <c r="AB26" s="146">
        <f>$G$26*('Base Física'!U52)</f>
        <v>0</v>
      </c>
      <c r="AC26" s="146">
        <f>$G$26*('Base Física'!V52)</f>
        <v>0</v>
      </c>
      <c r="AD26" s="146">
        <f>$G$26*('Base Física'!W52)</f>
        <v>0</v>
      </c>
      <c r="AE26" s="146">
        <f>$G$26*('Base Física'!X52)</f>
        <v>0</v>
      </c>
      <c r="AF26" s="146">
        <f>$G$26*('Base Física'!Y52)</f>
        <v>0</v>
      </c>
      <c r="AG26" s="146">
        <f>$G$26*('Base Física'!Z52)</f>
        <v>0</v>
      </c>
      <c r="AH26" s="146">
        <f>$G$26*('Base Física'!AA52)</f>
        <v>0</v>
      </c>
      <c r="AI26" s="146">
        <f>$G$26*('Base Física'!AB52)</f>
        <v>0</v>
      </c>
      <c r="AJ26" s="146">
        <f>$G$26*('Base Física'!AC52)</f>
        <v>0</v>
      </c>
      <c r="AK26" s="146">
        <f>$G$26*('Base Física'!AD52)</f>
        <v>0</v>
      </c>
      <c r="AL26" s="146">
        <f>$G$26*('Base Física'!AE52)</f>
        <v>0</v>
      </c>
      <c r="AM26" s="146">
        <f>$G$26*('Base Física'!AF52)</f>
        <v>0</v>
      </c>
      <c r="AN26" s="146">
        <f>$G$26*('Base Física'!AG52)</f>
        <v>0</v>
      </c>
      <c r="AO26" s="146">
        <f>$G$26*('Base Física'!AH52)</f>
        <v>0</v>
      </c>
      <c r="AP26" s="146">
        <f>$G$26*('Base Física'!AI52)</f>
        <v>0</v>
      </c>
      <c r="AQ26" s="146">
        <f>$G$26*('Base Física'!AJ52)</f>
        <v>0</v>
      </c>
      <c r="AR26" s="146">
        <f>$G$26*('Base Física'!AK52)</f>
        <v>0</v>
      </c>
      <c r="AS26" s="146">
        <f>$G$26*('Base Física'!AL52)</f>
        <v>0</v>
      </c>
      <c r="AT26" s="146">
        <f>$G$26*('Base Física'!AM52)</f>
        <v>0</v>
      </c>
      <c r="AU26" s="453">
        <f t="shared" si="9"/>
        <v>0</v>
      </c>
    </row>
    <row r="27" spans="2:47" ht="30" x14ac:dyDescent="0.25">
      <c r="B27" s="838" t="s">
        <v>1026</v>
      </c>
      <c r="C27" s="814" t="s">
        <v>1013</v>
      </c>
      <c r="D27" s="369">
        <v>1</v>
      </c>
      <c r="E27" s="1196"/>
      <c r="F27" s="840">
        <f t="shared" si="8"/>
        <v>0</v>
      </c>
      <c r="G27" s="850">
        <v>6.6941399999999991</v>
      </c>
      <c r="H27" s="834" t="s">
        <v>1021</v>
      </c>
      <c r="I27" s="503"/>
      <c r="J27" s="849" t="s">
        <v>1026</v>
      </c>
      <c r="K27" s="99">
        <f t="shared" si="3"/>
        <v>0</v>
      </c>
      <c r="L27" s="146"/>
      <c r="M27" s="146">
        <f>E27</f>
        <v>0</v>
      </c>
      <c r="N27" s="146"/>
      <c r="O27" s="146"/>
      <c r="P27" s="146"/>
      <c r="Q27" s="146">
        <f>M27</f>
        <v>0</v>
      </c>
      <c r="R27" s="146"/>
      <c r="S27" s="146"/>
      <c r="T27" s="146"/>
      <c r="U27" s="146">
        <f>Q27</f>
        <v>0</v>
      </c>
      <c r="V27" s="146"/>
      <c r="W27" s="146"/>
      <c r="X27" s="146"/>
      <c r="Y27" s="146">
        <f>U27</f>
        <v>0</v>
      </c>
      <c r="Z27" s="146"/>
      <c r="AA27" s="146"/>
      <c r="AB27" s="146"/>
      <c r="AC27" s="146">
        <f>Y27</f>
        <v>0</v>
      </c>
      <c r="AD27" s="146"/>
      <c r="AE27" s="146"/>
      <c r="AF27" s="146"/>
      <c r="AG27" s="146">
        <f>AC27</f>
        <v>0</v>
      </c>
      <c r="AH27" s="146"/>
      <c r="AI27" s="146"/>
      <c r="AJ27" s="146"/>
      <c r="AK27" s="146">
        <f>AG27</f>
        <v>0</v>
      </c>
      <c r="AL27" s="146"/>
      <c r="AM27" s="146"/>
      <c r="AN27" s="146"/>
      <c r="AO27" s="146">
        <f>AK27</f>
        <v>0</v>
      </c>
      <c r="AP27" s="146"/>
      <c r="AQ27" s="274"/>
      <c r="AR27" s="274"/>
      <c r="AS27" s="146">
        <f>AO27</f>
        <v>0</v>
      </c>
      <c r="AT27" s="146"/>
      <c r="AU27" s="453">
        <f>+SUM(M27:AT27)</f>
        <v>0</v>
      </c>
    </row>
    <row r="28" spans="2:47" ht="30" x14ac:dyDescent="0.25">
      <c r="B28" s="838" t="s">
        <v>1027</v>
      </c>
      <c r="C28" s="814" t="s">
        <v>1013</v>
      </c>
      <c r="D28" s="369">
        <v>1</v>
      </c>
      <c r="E28" s="1196"/>
      <c r="F28" s="840">
        <f t="shared" si="8"/>
        <v>0</v>
      </c>
      <c r="G28" s="850">
        <v>9.6461459999999981</v>
      </c>
      <c r="H28" s="834" t="s">
        <v>1021</v>
      </c>
      <c r="I28" s="503"/>
      <c r="J28" s="849" t="s">
        <v>1027</v>
      </c>
      <c r="K28" s="99">
        <f t="shared" si="3"/>
        <v>0</v>
      </c>
      <c r="L28" s="146"/>
      <c r="M28" s="146"/>
      <c r="N28" s="146">
        <f>E28</f>
        <v>0</v>
      </c>
      <c r="O28" s="817"/>
      <c r="P28" s="817"/>
      <c r="Q28" s="146"/>
      <c r="R28" s="146">
        <f>N28</f>
        <v>0</v>
      </c>
      <c r="S28" s="146"/>
      <c r="T28" s="146"/>
      <c r="U28" s="146"/>
      <c r="V28" s="146">
        <f>R28</f>
        <v>0</v>
      </c>
      <c r="W28" s="146"/>
      <c r="X28" s="146"/>
      <c r="Y28" s="146"/>
      <c r="Z28" s="146">
        <f>V28</f>
        <v>0</v>
      </c>
      <c r="AA28" s="146"/>
      <c r="AB28" s="146"/>
      <c r="AC28" s="146"/>
      <c r="AD28" s="146">
        <f>Z28</f>
        <v>0</v>
      </c>
      <c r="AE28" s="146"/>
      <c r="AF28" s="146"/>
      <c r="AG28" s="146"/>
      <c r="AH28" s="146">
        <f>AD28</f>
        <v>0</v>
      </c>
      <c r="AI28" s="146"/>
      <c r="AJ28" s="146"/>
      <c r="AK28" s="146"/>
      <c r="AL28" s="146">
        <f>AH28</f>
        <v>0</v>
      </c>
      <c r="AM28" s="146"/>
      <c r="AN28" s="146"/>
      <c r="AO28" s="146"/>
      <c r="AP28" s="146">
        <f>AL28</f>
        <v>0</v>
      </c>
      <c r="AQ28" s="274"/>
      <c r="AR28" s="274"/>
      <c r="AS28" s="146"/>
      <c r="AT28" s="146">
        <f>AP28</f>
        <v>0</v>
      </c>
      <c r="AU28" s="453">
        <f>+SUM(M28:AT28)</f>
        <v>0</v>
      </c>
    </row>
    <row r="29" spans="2:47" x14ac:dyDescent="0.25">
      <c r="B29" s="837"/>
      <c r="C29" s="273"/>
      <c r="D29" s="845"/>
      <c r="E29" s="846"/>
      <c r="F29" s="843"/>
      <c r="G29" s="850"/>
      <c r="H29" s="835"/>
      <c r="I29" s="831"/>
      <c r="J29" s="848"/>
      <c r="K29" s="99"/>
      <c r="L29" s="99"/>
      <c r="M29" s="99"/>
      <c r="N29" s="99"/>
      <c r="O29" s="99"/>
      <c r="P29" s="99"/>
      <c r="Q29" s="99"/>
      <c r="R29" s="99"/>
      <c r="S29" s="99"/>
      <c r="T29" s="99"/>
      <c r="U29" s="99"/>
      <c r="V29" s="99"/>
      <c r="W29" s="99"/>
      <c r="X29" s="99"/>
      <c r="Y29" s="99"/>
      <c r="Z29" s="99"/>
      <c r="AA29" s="99"/>
      <c r="AB29" s="99"/>
      <c r="AC29" s="99"/>
      <c r="AD29" s="99"/>
      <c r="AE29" s="99"/>
      <c r="AF29" s="99"/>
      <c r="AG29" s="99"/>
      <c r="AH29" s="99"/>
      <c r="AI29" s="99"/>
      <c r="AJ29" s="99"/>
      <c r="AK29" s="99"/>
      <c r="AL29" s="99"/>
      <c r="AM29" s="99"/>
      <c r="AN29" s="99"/>
      <c r="AO29" s="99"/>
      <c r="AP29" s="494"/>
      <c r="AQ29" s="494"/>
      <c r="AR29" s="494"/>
      <c r="AS29" s="494"/>
      <c r="AT29" s="494"/>
      <c r="AU29" s="492"/>
    </row>
    <row r="30" spans="2:47" ht="30" x14ac:dyDescent="0.25">
      <c r="B30" s="837" t="s">
        <v>1028</v>
      </c>
      <c r="C30" s="273"/>
      <c r="D30" s="845"/>
      <c r="E30" s="846"/>
      <c r="F30" s="844">
        <f>SUM(F31:F34)</f>
        <v>0</v>
      </c>
      <c r="G30" s="850"/>
      <c r="H30" s="834"/>
      <c r="I30" s="503"/>
      <c r="J30" s="848" t="s">
        <v>1028</v>
      </c>
      <c r="K30" s="490">
        <f t="shared" si="3"/>
        <v>0</v>
      </c>
      <c r="L30" s="490">
        <f>SUM(L31:L35)</f>
        <v>0</v>
      </c>
      <c r="M30" s="490">
        <f>SUM(M31:M35)</f>
        <v>0</v>
      </c>
      <c r="N30" s="490">
        <f>SUM(N31:N35)</f>
        <v>0</v>
      </c>
      <c r="O30" s="490">
        <f>SUM(O31:O35)</f>
        <v>0</v>
      </c>
      <c r="P30" s="490">
        <f>SUM(P31:P34)</f>
        <v>0</v>
      </c>
      <c r="Q30" s="490">
        <f>SUM(Q31:Q36)</f>
        <v>0</v>
      </c>
      <c r="R30" s="490">
        <f t="shared" ref="R30:AT30" si="10">SUM(R31:R35)</f>
        <v>0</v>
      </c>
      <c r="S30" s="490">
        <f t="shared" si="10"/>
        <v>0</v>
      </c>
      <c r="T30" s="490">
        <f>SUM(T31:T34)</f>
        <v>0</v>
      </c>
      <c r="U30" s="490">
        <f>SUM(U31:U34)</f>
        <v>0</v>
      </c>
      <c r="V30" s="490">
        <f t="shared" si="10"/>
        <v>0</v>
      </c>
      <c r="W30" s="490">
        <f t="shared" si="10"/>
        <v>0</v>
      </c>
      <c r="X30" s="490">
        <f>SUM(X31:X34)</f>
        <v>0</v>
      </c>
      <c r="Y30" s="490">
        <f>SUM(Y31:Y34)</f>
        <v>0</v>
      </c>
      <c r="Z30" s="490">
        <f t="shared" si="10"/>
        <v>0</v>
      </c>
      <c r="AA30" s="490">
        <f t="shared" si="10"/>
        <v>0</v>
      </c>
      <c r="AB30" s="490">
        <f>SUM(AB31:AB34)</f>
        <v>0</v>
      </c>
      <c r="AC30" s="490">
        <f>SUM(AC31:AC34)</f>
        <v>0</v>
      </c>
      <c r="AD30" s="490">
        <f t="shared" si="10"/>
        <v>0</v>
      </c>
      <c r="AE30" s="490">
        <f t="shared" si="10"/>
        <v>0</v>
      </c>
      <c r="AF30" s="490">
        <f>SUM(AF31:AF34)</f>
        <v>0</v>
      </c>
      <c r="AG30" s="490">
        <f>SUM(AG31:AG34)</f>
        <v>0</v>
      </c>
      <c r="AH30" s="490">
        <f t="shared" si="10"/>
        <v>0</v>
      </c>
      <c r="AI30" s="490">
        <f t="shared" si="10"/>
        <v>0</v>
      </c>
      <c r="AJ30" s="490">
        <f>SUM(AJ31:AJ34)</f>
        <v>0</v>
      </c>
      <c r="AK30" s="490">
        <f>SUM(AK31:AK34)</f>
        <v>0</v>
      </c>
      <c r="AL30" s="490">
        <f t="shared" si="10"/>
        <v>0</v>
      </c>
      <c r="AM30" s="490">
        <f t="shared" si="10"/>
        <v>0</v>
      </c>
      <c r="AN30" s="490">
        <f>SUM(AN31:AN34)</f>
        <v>0</v>
      </c>
      <c r="AO30" s="490">
        <f>SUM(AO31:AO34)</f>
        <v>0</v>
      </c>
      <c r="AP30" s="490">
        <f t="shared" si="10"/>
        <v>0</v>
      </c>
      <c r="AQ30" s="490">
        <f t="shared" si="10"/>
        <v>0</v>
      </c>
      <c r="AR30" s="490">
        <f>SUM(AR31:AR34)</f>
        <v>0</v>
      </c>
      <c r="AS30" s="490">
        <f>SUM(AS31:AS34)</f>
        <v>0</v>
      </c>
      <c r="AT30" s="490">
        <f t="shared" si="10"/>
        <v>0</v>
      </c>
      <c r="AU30" s="813">
        <f>+SUM(L30:AT30)</f>
        <v>0</v>
      </c>
    </row>
    <row r="31" spans="2:47" ht="30" x14ac:dyDescent="0.25">
      <c r="B31" s="838" t="s">
        <v>1029</v>
      </c>
      <c r="C31" s="814" t="s">
        <v>406</v>
      </c>
      <c r="D31" s="369">
        <v>12</v>
      </c>
      <c r="E31" s="1196"/>
      <c r="F31" s="840">
        <f t="shared" ref="F31:F36" si="11">D31*E31</f>
        <v>0</v>
      </c>
      <c r="G31" s="850">
        <v>7.7805659999999994</v>
      </c>
      <c r="H31" s="834" t="s">
        <v>1021</v>
      </c>
      <c r="I31" s="503"/>
      <c r="J31" s="849" t="s">
        <v>1029</v>
      </c>
      <c r="K31" s="99">
        <f t="shared" si="3"/>
        <v>0</v>
      </c>
      <c r="L31" s="146"/>
      <c r="M31" s="146"/>
      <c r="N31" s="146"/>
      <c r="O31" s="146">
        <f>$G$31*('Base Física'!I53)</f>
        <v>0</v>
      </c>
      <c r="P31" s="146">
        <f>$G$31*('Base Física'!J53)</f>
        <v>0</v>
      </c>
      <c r="Q31" s="146">
        <f>$G$31*('Base Física'!K53)</f>
        <v>0</v>
      </c>
      <c r="R31" s="146">
        <f>$G$31*('Base Física'!L53)</f>
        <v>0</v>
      </c>
      <c r="S31" s="146">
        <f>$G$31*('Base Física'!M53)</f>
        <v>0</v>
      </c>
      <c r="T31" s="146">
        <f>$G$31*('Base Física'!N53)</f>
        <v>0</v>
      </c>
      <c r="U31" s="146">
        <f>$G$31*('Base Física'!O53)</f>
        <v>0</v>
      </c>
      <c r="V31" s="146">
        <f>$G$31*('Base Física'!P53)</f>
        <v>0</v>
      </c>
      <c r="W31" s="146">
        <f>$G$31*('Base Física'!Q53)</f>
        <v>0</v>
      </c>
      <c r="X31" s="146">
        <f>$G$31*('Base Física'!R53)</f>
        <v>0</v>
      </c>
      <c r="Y31" s="146">
        <f>$G$31*('Base Física'!S53)</f>
        <v>0</v>
      </c>
      <c r="Z31" s="146">
        <f>$G$31*('Base Física'!T53)</f>
        <v>0</v>
      </c>
      <c r="AA31" s="146">
        <f>$G$31*('Base Física'!U53)</f>
        <v>0</v>
      </c>
      <c r="AB31" s="146">
        <f>$G$31*('Base Física'!V53)</f>
        <v>0</v>
      </c>
      <c r="AC31" s="146">
        <f>$G$31*('Base Física'!W53)</f>
        <v>0</v>
      </c>
      <c r="AD31" s="146">
        <f>$G$31*('Base Física'!X53)</f>
        <v>0</v>
      </c>
      <c r="AE31" s="146">
        <f>$G$31*('Base Física'!Y53)</f>
        <v>0</v>
      </c>
      <c r="AF31" s="146">
        <f>$G$31*('Base Física'!Z53)</f>
        <v>0</v>
      </c>
      <c r="AG31" s="146">
        <f>$G$31*('Base Física'!AA53)</f>
        <v>0</v>
      </c>
      <c r="AH31" s="146">
        <f>$G$31*('Base Física'!AB53)</f>
        <v>0</v>
      </c>
      <c r="AI31" s="146">
        <f>$G$31*('Base Física'!AC53)</f>
        <v>0</v>
      </c>
      <c r="AJ31" s="146">
        <f>$G$31*('Base Física'!AD53)</f>
        <v>0</v>
      </c>
      <c r="AK31" s="146">
        <f>$G$31*('Base Física'!AE53)</f>
        <v>0</v>
      </c>
      <c r="AL31" s="146">
        <f>$G$31*('Base Física'!AF53)</f>
        <v>0</v>
      </c>
      <c r="AM31" s="146">
        <f>$G$31*('Base Física'!AG53)</f>
        <v>0</v>
      </c>
      <c r="AN31" s="146">
        <f>$G$31*('Base Física'!AH53)</f>
        <v>0</v>
      </c>
      <c r="AO31" s="146">
        <f>$G$31*('Base Física'!AI53)</f>
        <v>0</v>
      </c>
      <c r="AP31" s="146">
        <f>$G$31*('Base Física'!AJ53)</f>
        <v>0</v>
      </c>
      <c r="AQ31" s="146">
        <f>$G$31*('Base Física'!AK53)</f>
        <v>0</v>
      </c>
      <c r="AR31" s="146">
        <f>$G$31*('Base Física'!AL53)</f>
        <v>0</v>
      </c>
      <c r="AS31" s="146">
        <f>$G$31*('Base Física'!AM53)</f>
        <v>0</v>
      </c>
      <c r="AT31" s="146">
        <f>$G$31*('Base Física'!AN53)</f>
        <v>0</v>
      </c>
      <c r="AU31" s="453">
        <f t="shared" ref="AU31:AU36" si="12">+SUM(L31:AT31)</f>
        <v>0</v>
      </c>
    </row>
    <row r="32" spans="2:47" ht="45" x14ac:dyDescent="0.25">
      <c r="B32" s="838" t="s">
        <v>1030</v>
      </c>
      <c r="C32" s="814" t="s">
        <v>406</v>
      </c>
      <c r="D32" s="369">
        <v>12</v>
      </c>
      <c r="E32" s="1196"/>
      <c r="F32" s="840">
        <f t="shared" si="11"/>
        <v>0</v>
      </c>
      <c r="G32" s="850">
        <v>5.201676</v>
      </c>
      <c r="H32" s="834" t="s">
        <v>1021</v>
      </c>
      <c r="I32" s="503"/>
      <c r="J32" s="849" t="s">
        <v>1030</v>
      </c>
      <c r="K32" s="99">
        <f t="shared" si="3"/>
        <v>0</v>
      </c>
      <c r="L32" s="146"/>
      <c r="M32" s="146"/>
      <c r="N32" s="146"/>
      <c r="O32" s="146">
        <f>$G$32*('Base Física'!I53)</f>
        <v>0</v>
      </c>
      <c r="P32" s="146">
        <f>$G$32*('Base Física'!J53)</f>
        <v>0</v>
      </c>
      <c r="Q32" s="146">
        <f>$G$32*('Base Física'!K53)</f>
        <v>0</v>
      </c>
      <c r="R32" s="146">
        <f>$G$32*('Base Física'!L53)</f>
        <v>0</v>
      </c>
      <c r="S32" s="146">
        <f>$G$32*('Base Física'!M53)</f>
        <v>0</v>
      </c>
      <c r="T32" s="146">
        <f>$G$32*('Base Física'!N53)</f>
        <v>0</v>
      </c>
      <c r="U32" s="146">
        <f>$G$32*('Base Física'!O53)</f>
        <v>0</v>
      </c>
      <c r="V32" s="146">
        <f>$G$32*('Base Física'!P53)</f>
        <v>0</v>
      </c>
      <c r="W32" s="146">
        <f>$G$32*('Base Física'!Q53)</f>
        <v>0</v>
      </c>
      <c r="X32" s="146">
        <f>$G$32*('Base Física'!R53)</f>
        <v>0</v>
      </c>
      <c r="Y32" s="146">
        <f>$G$32*('Base Física'!S53)</f>
        <v>0</v>
      </c>
      <c r="Z32" s="146">
        <f>$G$32*('Base Física'!T53)</f>
        <v>0</v>
      </c>
      <c r="AA32" s="146">
        <f>$G$32*('Base Física'!U53)</f>
        <v>0</v>
      </c>
      <c r="AB32" s="146">
        <f>$G$32*('Base Física'!V53)</f>
        <v>0</v>
      </c>
      <c r="AC32" s="146">
        <f>$G$32*('Base Física'!W53)</f>
        <v>0</v>
      </c>
      <c r="AD32" s="146">
        <f>$G$32*('Base Física'!X53)</f>
        <v>0</v>
      </c>
      <c r="AE32" s="146">
        <f>$G$32*('Base Física'!Y53)</f>
        <v>0</v>
      </c>
      <c r="AF32" s="146">
        <f>$G$32*('Base Física'!Z53)</f>
        <v>0</v>
      </c>
      <c r="AG32" s="146">
        <f>$G$32*('Base Física'!AA53)</f>
        <v>0</v>
      </c>
      <c r="AH32" s="146">
        <f>$G$32*('Base Física'!AB53)</f>
        <v>0</v>
      </c>
      <c r="AI32" s="146">
        <f>$G$32*('Base Física'!AC53)</f>
        <v>0</v>
      </c>
      <c r="AJ32" s="146">
        <f>$G$32*('Base Física'!AD53)</f>
        <v>0</v>
      </c>
      <c r="AK32" s="146">
        <f>$G$32*('Base Física'!AE53)</f>
        <v>0</v>
      </c>
      <c r="AL32" s="146">
        <f>$G$32*('Base Física'!AF53)</f>
        <v>0</v>
      </c>
      <c r="AM32" s="146">
        <f>$G$32*('Base Física'!AG53)</f>
        <v>0</v>
      </c>
      <c r="AN32" s="146">
        <f>$G$32*('Base Física'!AH53)</f>
        <v>0</v>
      </c>
      <c r="AO32" s="146">
        <f>$G$32*('Base Física'!AI53)</f>
        <v>0</v>
      </c>
      <c r="AP32" s="146">
        <f>$G$32*('Base Física'!AJ53)</f>
        <v>0</v>
      </c>
      <c r="AQ32" s="146">
        <f>$G$32*('Base Física'!AK53)</f>
        <v>0</v>
      </c>
      <c r="AR32" s="146">
        <f>$G$32*('Base Física'!AL53)</f>
        <v>0</v>
      </c>
      <c r="AS32" s="146">
        <f>$G$32*('Base Física'!AM53)</f>
        <v>0</v>
      </c>
      <c r="AT32" s="146">
        <f>$G$32*('Base Física'!AN53)</f>
        <v>0</v>
      </c>
      <c r="AU32" s="453">
        <f t="shared" si="12"/>
        <v>0</v>
      </c>
    </row>
    <row r="33" spans="2:47" ht="30" x14ac:dyDescent="0.25">
      <c r="B33" s="838" t="s">
        <v>1031</v>
      </c>
      <c r="C33" s="814" t="s">
        <v>406</v>
      </c>
      <c r="D33" s="369">
        <v>12</v>
      </c>
      <c r="E33" s="1196"/>
      <c r="F33" s="840">
        <f t="shared" si="11"/>
        <v>0</v>
      </c>
      <c r="G33" s="850">
        <v>5.3772599999999997</v>
      </c>
      <c r="H33" s="834" t="s">
        <v>1021</v>
      </c>
      <c r="I33" s="503"/>
      <c r="J33" s="849" t="s">
        <v>1031</v>
      </c>
      <c r="K33" s="99">
        <f t="shared" si="3"/>
        <v>0</v>
      </c>
      <c r="L33" s="146"/>
      <c r="M33" s="146"/>
      <c r="N33" s="146"/>
      <c r="O33" s="146">
        <f>$G$33*('Base Física'!I53)</f>
        <v>0</v>
      </c>
      <c r="P33" s="146">
        <f>$G$33*('Base Física'!J53)</f>
        <v>0</v>
      </c>
      <c r="Q33" s="146">
        <f>$G$33*('Base Física'!K53)</f>
        <v>0</v>
      </c>
      <c r="R33" s="146">
        <f>$G$33*('Base Física'!L53)</f>
        <v>0</v>
      </c>
      <c r="S33" s="146">
        <f>$G$33*('Base Física'!M53)</f>
        <v>0</v>
      </c>
      <c r="T33" s="146">
        <f>$G$33*('Base Física'!N53)</f>
        <v>0</v>
      </c>
      <c r="U33" s="146">
        <f>$G$33*('Base Física'!O53)</f>
        <v>0</v>
      </c>
      <c r="V33" s="146">
        <f>$G$33*('Base Física'!P53)</f>
        <v>0</v>
      </c>
      <c r="W33" s="146">
        <f>$G$33*('Base Física'!Q53)</f>
        <v>0</v>
      </c>
      <c r="X33" s="146">
        <f>$G$33*('Base Física'!R53)</f>
        <v>0</v>
      </c>
      <c r="Y33" s="146">
        <f>$G$33*('Base Física'!S53)</f>
        <v>0</v>
      </c>
      <c r="Z33" s="146">
        <f>$G$33*('Base Física'!T53)</f>
        <v>0</v>
      </c>
      <c r="AA33" s="146">
        <f>$G$33*('Base Física'!U53)</f>
        <v>0</v>
      </c>
      <c r="AB33" s="146">
        <f>$G$33*('Base Física'!V53)</f>
        <v>0</v>
      </c>
      <c r="AC33" s="146">
        <f>$G$33*('Base Física'!W53)</f>
        <v>0</v>
      </c>
      <c r="AD33" s="146">
        <f>$G$33*('Base Física'!X53)</f>
        <v>0</v>
      </c>
      <c r="AE33" s="146">
        <f>$G$33*('Base Física'!Y53)</f>
        <v>0</v>
      </c>
      <c r="AF33" s="146">
        <f>$G$33*('Base Física'!Z53)</f>
        <v>0</v>
      </c>
      <c r="AG33" s="146">
        <f>$G$33*('Base Física'!AA53)</f>
        <v>0</v>
      </c>
      <c r="AH33" s="146">
        <f>$G$33*('Base Física'!AB53)</f>
        <v>0</v>
      </c>
      <c r="AI33" s="146">
        <f>$G$33*('Base Física'!AC53)</f>
        <v>0</v>
      </c>
      <c r="AJ33" s="146">
        <f>$G$33*('Base Física'!AD53)</f>
        <v>0</v>
      </c>
      <c r="AK33" s="146">
        <f>$G$33*('Base Física'!AE53)</f>
        <v>0</v>
      </c>
      <c r="AL33" s="146">
        <f>$G$33*('Base Física'!AF53)</f>
        <v>0</v>
      </c>
      <c r="AM33" s="146">
        <f>$G$33*('Base Física'!AG53)</f>
        <v>0</v>
      </c>
      <c r="AN33" s="146">
        <f>$G$33*('Base Física'!AH53)</f>
        <v>0</v>
      </c>
      <c r="AO33" s="146">
        <f>$G$33*('Base Física'!AI53)</f>
        <v>0</v>
      </c>
      <c r="AP33" s="146">
        <f>$G$33*('Base Física'!AJ53)</f>
        <v>0</v>
      </c>
      <c r="AQ33" s="146">
        <f>$G$33*('Base Física'!AK53)</f>
        <v>0</v>
      </c>
      <c r="AR33" s="146">
        <f>$G$33*('Base Física'!AL53)</f>
        <v>0</v>
      </c>
      <c r="AS33" s="146">
        <f>$G$33*('Base Física'!AM53)</f>
        <v>0</v>
      </c>
      <c r="AT33" s="146">
        <f>$G$33*('Base Física'!AN53)</f>
        <v>0</v>
      </c>
      <c r="AU33" s="453">
        <f t="shared" si="12"/>
        <v>0</v>
      </c>
    </row>
    <row r="34" spans="2:47" ht="45" x14ac:dyDescent="0.25">
      <c r="B34" s="838" t="s">
        <v>1032</v>
      </c>
      <c r="C34" s="814" t="s">
        <v>406</v>
      </c>
      <c r="D34" s="369">
        <v>12</v>
      </c>
      <c r="E34" s="1196"/>
      <c r="F34" s="840">
        <f t="shared" si="11"/>
        <v>0</v>
      </c>
      <c r="G34" s="850">
        <v>4.8834299999999997</v>
      </c>
      <c r="H34" s="834" t="s">
        <v>1021</v>
      </c>
      <c r="I34" s="503"/>
      <c r="J34" s="849" t="s">
        <v>1032</v>
      </c>
      <c r="K34" s="99">
        <f t="shared" si="3"/>
        <v>0</v>
      </c>
      <c r="L34" s="146"/>
      <c r="M34" s="146"/>
      <c r="N34" s="146"/>
      <c r="O34" s="146">
        <f>$G$34*('Base Física'!I53)</f>
        <v>0</v>
      </c>
      <c r="P34" s="146">
        <f>$G$34*('Base Física'!J53)</f>
        <v>0</v>
      </c>
      <c r="Q34" s="146">
        <f>$G$34*('Base Física'!K53)</f>
        <v>0</v>
      </c>
      <c r="R34" s="146">
        <f>$G$34*('Base Física'!L53)</f>
        <v>0</v>
      </c>
      <c r="S34" s="146">
        <f>$G$34*('Base Física'!M53)</f>
        <v>0</v>
      </c>
      <c r="T34" s="146">
        <f>$G$34*('Base Física'!N53)</f>
        <v>0</v>
      </c>
      <c r="U34" s="146">
        <f>$G$34*('Base Física'!O53)</f>
        <v>0</v>
      </c>
      <c r="V34" s="146">
        <f>$G$34*('Base Física'!P53)</f>
        <v>0</v>
      </c>
      <c r="W34" s="146">
        <f>$G$34*('Base Física'!Q53)</f>
        <v>0</v>
      </c>
      <c r="X34" s="146">
        <f>$G$34*('Base Física'!R53)</f>
        <v>0</v>
      </c>
      <c r="Y34" s="146">
        <f>$G$34*('Base Física'!S53)</f>
        <v>0</v>
      </c>
      <c r="Z34" s="146">
        <f>$G$34*('Base Física'!T53)</f>
        <v>0</v>
      </c>
      <c r="AA34" s="146">
        <f>$G$34*('Base Física'!U53)</f>
        <v>0</v>
      </c>
      <c r="AB34" s="146">
        <f>$G$34*('Base Física'!V53)</f>
        <v>0</v>
      </c>
      <c r="AC34" s="146">
        <f>$G$34*('Base Física'!W53)</f>
        <v>0</v>
      </c>
      <c r="AD34" s="146">
        <f>$G$34*('Base Física'!X53)</f>
        <v>0</v>
      </c>
      <c r="AE34" s="146">
        <f>$G$34*('Base Física'!Y53)</f>
        <v>0</v>
      </c>
      <c r="AF34" s="146">
        <f>$G$34*('Base Física'!Z53)</f>
        <v>0</v>
      </c>
      <c r="AG34" s="146">
        <f>$G$34*('Base Física'!AA53)</f>
        <v>0</v>
      </c>
      <c r="AH34" s="146">
        <f>$G$34*('Base Física'!AB53)</f>
        <v>0</v>
      </c>
      <c r="AI34" s="146">
        <f>$G$34*('Base Física'!AC53)</f>
        <v>0</v>
      </c>
      <c r="AJ34" s="146">
        <f>$G$34*('Base Física'!AD53)</f>
        <v>0</v>
      </c>
      <c r="AK34" s="146">
        <f>$G$34*('Base Física'!AE53)</f>
        <v>0</v>
      </c>
      <c r="AL34" s="146">
        <f>$G$34*('Base Física'!AF53)</f>
        <v>0</v>
      </c>
      <c r="AM34" s="146">
        <f>$G$34*('Base Física'!AG53)</f>
        <v>0</v>
      </c>
      <c r="AN34" s="146">
        <f>$G$34*('Base Física'!AH53)</f>
        <v>0</v>
      </c>
      <c r="AO34" s="146">
        <f>$G$34*('Base Física'!AI53)</f>
        <v>0</v>
      </c>
      <c r="AP34" s="146">
        <f>$G$34*('Base Física'!AJ53)</f>
        <v>0</v>
      </c>
      <c r="AQ34" s="146">
        <f>$G$34*('Base Física'!AK53)</f>
        <v>0</v>
      </c>
      <c r="AR34" s="146">
        <f>$G$34*('Base Física'!AL53)</f>
        <v>0</v>
      </c>
      <c r="AS34" s="146">
        <f>$G$34*('Base Física'!AM53)</f>
        <v>0</v>
      </c>
      <c r="AT34" s="146">
        <f>$G$34*('Base Física'!AN53)</f>
        <v>0</v>
      </c>
      <c r="AU34" s="453">
        <f t="shared" si="12"/>
        <v>0</v>
      </c>
    </row>
    <row r="35" spans="2:47" ht="30" x14ac:dyDescent="0.25">
      <c r="B35" s="838" t="s">
        <v>1033</v>
      </c>
      <c r="C35" s="814" t="s">
        <v>1013</v>
      </c>
      <c r="D35" s="369">
        <v>1</v>
      </c>
      <c r="E35" s="1196"/>
      <c r="F35" s="840">
        <f t="shared" si="11"/>
        <v>0</v>
      </c>
      <c r="G35" s="850">
        <v>3.336096</v>
      </c>
      <c r="H35" s="834" t="s">
        <v>1021</v>
      </c>
      <c r="I35" s="503"/>
      <c r="J35" s="849" t="s">
        <v>1033</v>
      </c>
      <c r="K35" s="99">
        <f t="shared" si="3"/>
        <v>0</v>
      </c>
      <c r="L35" s="146"/>
      <c r="M35" s="146"/>
      <c r="N35" s="146"/>
      <c r="O35" s="146">
        <f>F35</f>
        <v>0</v>
      </c>
      <c r="P35" s="146"/>
      <c r="Q35" s="146"/>
      <c r="R35" s="146"/>
      <c r="S35" s="146"/>
      <c r="T35" s="146">
        <f>O35</f>
        <v>0</v>
      </c>
      <c r="U35" s="146"/>
      <c r="V35" s="146"/>
      <c r="W35" s="146"/>
      <c r="X35" s="146">
        <f>T35</f>
        <v>0</v>
      </c>
      <c r="Y35" s="146"/>
      <c r="Z35" s="146"/>
      <c r="AA35" s="146"/>
      <c r="AB35" s="146">
        <f>X35</f>
        <v>0</v>
      </c>
      <c r="AC35" s="146"/>
      <c r="AD35" s="146"/>
      <c r="AE35" s="146"/>
      <c r="AF35" s="146">
        <f>AB35</f>
        <v>0</v>
      </c>
      <c r="AG35" s="146"/>
      <c r="AH35" s="146"/>
      <c r="AI35" s="146"/>
      <c r="AJ35" s="146">
        <f>AF35</f>
        <v>0</v>
      </c>
      <c r="AK35" s="146"/>
      <c r="AL35" s="146"/>
      <c r="AM35" s="146"/>
      <c r="AN35" s="146">
        <f>AJ35</f>
        <v>0</v>
      </c>
      <c r="AO35" s="146"/>
      <c r="AP35" s="146"/>
      <c r="AQ35" s="146"/>
      <c r="AR35" s="146">
        <f>AN35</f>
        <v>0</v>
      </c>
      <c r="AS35" s="146"/>
      <c r="AT35" s="146"/>
      <c r="AU35" s="453">
        <f t="shared" si="12"/>
        <v>0</v>
      </c>
    </row>
    <row r="36" spans="2:47" ht="30" x14ac:dyDescent="0.25">
      <c r="B36" s="838" t="s">
        <v>1034</v>
      </c>
      <c r="C36" s="814" t="s">
        <v>1013</v>
      </c>
      <c r="D36" s="369">
        <v>1</v>
      </c>
      <c r="E36" s="1196"/>
      <c r="F36" s="840">
        <f t="shared" si="11"/>
        <v>0</v>
      </c>
      <c r="G36" s="850">
        <v>5.1358319999999997</v>
      </c>
      <c r="H36" s="834" t="s">
        <v>1021</v>
      </c>
      <c r="I36" s="503"/>
      <c r="J36" s="849" t="s">
        <v>1034</v>
      </c>
      <c r="K36" s="99">
        <f t="shared" si="3"/>
        <v>0</v>
      </c>
      <c r="L36" s="146"/>
      <c r="M36" s="146"/>
      <c r="N36" s="146"/>
      <c r="O36" s="146"/>
      <c r="P36" s="146">
        <f>F36</f>
        <v>0</v>
      </c>
      <c r="Q36" s="146"/>
      <c r="R36" s="146"/>
      <c r="S36" s="146"/>
      <c r="T36" s="146"/>
      <c r="U36" s="146">
        <f>P36</f>
        <v>0</v>
      </c>
      <c r="V36" s="146"/>
      <c r="W36" s="146"/>
      <c r="X36" s="146"/>
      <c r="Y36" s="146">
        <f>U36</f>
        <v>0</v>
      </c>
      <c r="Z36" s="146"/>
      <c r="AA36" s="146"/>
      <c r="AB36" s="146"/>
      <c r="AC36" s="146">
        <f>Y36</f>
        <v>0</v>
      </c>
      <c r="AD36" s="146"/>
      <c r="AE36" s="146"/>
      <c r="AF36" s="146"/>
      <c r="AG36" s="146">
        <f>AC36</f>
        <v>0</v>
      </c>
      <c r="AH36" s="146"/>
      <c r="AI36" s="146"/>
      <c r="AJ36" s="146"/>
      <c r="AK36" s="146">
        <f>AG36</f>
        <v>0</v>
      </c>
      <c r="AL36" s="146"/>
      <c r="AM36" s="146"/>
      <c r="AN36" s="146"/>
      <c r="AO36" s="146">
        <f>AK36</f>
        <v>0</v>
      </c>
      <c r="AP36" s="146"/>
      <c r="AQ36" s="146"/>
      <c r="AR36" s="146"/>
      <c r="AS36" s="146">
        <f>AO36</f>
        <v>0</v>
      </c>
      <c r="AT36" s="274"/>
      <c r="AU36" s="453">
        <f t="shared" si="12"/>
        <v>0</v>
      </c>
    </row>
    <row r="37" spans="2:47" x14ac:dyDescent="0.25">
      <c r="B37" s="837"/>
      <c r="C37" s="273"/>
      <c r="D37" s="845"/>
      <c r="E37" s="846"/>
      <c r="F37" s="843"/>
      <c r="G37" s="850"/>
      <c r="H37" s="835"/>
      <c r="I37" s="831"/>
      <c r="J37" s="848"/>
      <c r="K37" s="99"/>
      <c r="L37" s="99"/>
      <c r="M37" s="99"/>
      <c r="N37" s="99"/>
      <c r="O37" s="99"/>
      <c r="P37" s="99"/>
      <c r="Q37" s="99"/>
      <c r="R37" s="99"/>
      <c r="S37" s="99"/>
      <c r="T37" s="99"/>
      <c r="U37" s="99"/>
      <c r="V37" s="99"/>
      <c r="W37" s="99"/>
      <c r="X37" s="99"/>
      <c r="Y37" s="99"/>
      <c r="Z37" s="99"/>
      <c r="AA37" s="99"/>
      <c r="AB37" s="99"/>
      <c r="AC37" s="99"/>
      <c r="AD37" s="99"/>
      <c r="AE37" s="99"/>
      <c r="AF37" s="99"/>
      <c r="AG37" s="99"/>
      <c r="AH37" s="99"/>
      <c r="AI37" s="99"/>
      <c r="AJ37" s="99"/>
      <c r="AK37" s="99"/>
      <c r="AL37" s="99"/>
      <c r="AM37" s="99"/>
      <c r="AN37" s="99"/>
      <c r="AO37" s="99"/>
      <c r="AP37" s="494"/>
      <c r="AQ37" s="494"/>
      <c r="AR37" s="494"/>
      <c r="AS37" s="494"/>
      <c r="AT37" s="494"/>
      <c r="AU37" s="492"/>
    </row>
    <row r="38" spans="2:47" ht="30" x14ac:dyDescent="0.25">
      <c r="B38" s="837" t="s">
        <v>1035</v>
      </c>
      <c r="C38" s="273"/>
      <c r="D38" s="845"/>
      <c r="E38" s="846"/>
      <c r="F38" s="844">
        <f>SUM(F39:F48)</f>
        <v>0</v>
      </c>
      <c r="G38" s="850"/>
      <c r="H38" s="835"/>
      <c r="I38" s="831"/>
      <c r="J38" s="848" t="s">
        <v>1035</v>
      </c>
      <c r="K38" s="490">
        <f t="shared" si="3"/>
        <v>829431.77000000048</v>
      </c>
      <c r="L38" s="490">
        <f>SUM(L39:L48)</f>
        <v>0</v>
      </c>
      <c r="M38" s="490">
        <f t="shared" ref="M38:AT38" si="13">SUM(M39:M48)</f>
        <v>0</v>
      </c>
      <c r="N38" s="490">
        <f t="shared" si="13"/>
        <v>0</v>
      </c>
      <c r="O38" s="490">
        <f t="shared" si="13"/>
        <v>0</v>
      </c>
      <c r="P38" s="490">
        <f t="shared" si="13"/>
        <v>0</v>
      </c>
      <c r="Q38" s="490">
        <f t="shared" si="13"/>
        <v>0</v>
      </c>
      <c r="R38" s="490">
        <f t="shared" si="13"/>
        <v>0</v>
      </c>
      <c r="S38" s="490">
        <f t="shared" si="13"/>
        <v>7627.91</v>
      </c>
      <c r="T38" s="490">
        <f t="shared" si="13"/>
        <v>30437.18</v>
      </c>
      <c r="U38" s="490">
        <f t="shared" si="13"/>
        <v>30437.18</v>
      </c>
      <c r="V38" s="490">
        <f t="shared" si="13"/>
        <v>30437.18</v>
      </c>
      <c r="W38" s="490">
        <f t="shared" si="13"/>
        <v>30437.18</v>
      </c>
      <c r="X38" s="490">
        <f t="shared" si="13"/>
        <v>30437.18</v>
      </c>
      <c r="Y38" s="490">
        <f t="shared" si="13"/>
        <v>30437.18</v>
      </c>
      <c r="Z38" s="490">
        <f t="shared" si="13"/>
        <v>30437.18</v>
      </c>
      <c r="AA38" s="490">
        <f t="shared" si="13"/>
        <v>30437.18</v>
      </c>
      <c r="AB38" s="490">
        <f t="shared" si="13"/>
        <v>30437.18</v>
      </c>
      <c r="AC38" s="490">
        <f t="shared" si="13"/>
        <v>30437.18</v>
      </c>
      <c r="AD38" s="490">
        <f t="shared" si="13"/>
        <v>30437.18</v>
      </c>
      <c r="AE38" s="490">
        <f t="shared" si="13"/>
        <v>30437.18</v>
      </c>
      <c r="AF38" s="490">
        <f t="shared" si="13"/>
        <v>30437.18</v>
      </c>
      <c r="AG38" s="490">
        <f t="shared" si="13"/>
        <v>30437.18</v>
      </c>
      <c r="AH38" s="490">
        <f t="shared" si="13"/>
        <v>30437.18</v>
      </c>
      <c r="AI38" s="490">
        <f t="shared" si="13"/>
        <v>30437.18</v>
      </c>
      <c r="AJ38" s="490">
        <f t="shared" si="13"/>
        <v>30437.18</v>
      </c>
      <c r="AK38" s="490">
        <f t="shared" si="13"/>
        <v>30437.18</v>
      </c>
      <c r="AL38" s="490">
        <f t="shared" si="13"/>
        <v>30437.18</v>
      </c>
      <c r="AM38" s="490">
        <f t="shared" si="13"/>
        <v>30437.18</v>
      </c>
      <c r="AN38" s="490">
        <f t="shared" si="13"/>
        <v>30437.18</v>
      </c>
      <c r="AO38" s="490">
        <f t="shared" si="13"/>
        <v>30437.18</v>
      </c>
      <c r="AP38" s="490">
        <f t="shared" si="13"/>
        <v>30437.18</v>
      </c>
      <c r="AQ38" s="490">
        <f t="shared" si="13"/>
        <v>30437.18</v>
      </c>
      <c r="AR38" s="490">
        <f t="shared" si="13"/>
        <v>30437.18</v>
      </c>
      <c r="AS38" s="490">
        <f t="shared" si="13"/>
        <v>30437.18</v>
      </c>
      <c r="AT38" s="490">
        <f t="shared" si="13"/>
        <v>30437.18</v>
      </c>
      <c r="AU38" s="813">
        <f>+SUM(L38:AT38)</f>
        <v>829431.77000000048</v>
      </c>
    </row>
    <row r="39" spans="2:47" ht="45" x14ac:dyDescent="0.25">
      <c r="B39" s="838" t="s">
        <v>1036</v>
      </c>
      <c r="C39" s="814" t="s">
        <v>406</v>
      </c>
      <c r="D39" s="369">
        <v>12</v>
      </c>
      <c r="E39" s="1196"/>
      <c r="F39" s="840">
        <f t="shared" ref="F39:F48" si="14">D39*E39</f>
        <v>0</v>
      </c>
      <c r="G39" s="850"/>
      <c r="H39" s="834" t="s">
        <v>1021</v>
      </c>
      <c r="I39" s="503"/>
      <c r="J39" s="849" t="s">
        <v>1036</v>
      </c>
      <c r="K39" s="99">
        <f t="shared" si="3"/>
        <v>0</v>
      </c>
      <c r="L39" s="146">
        <f>$F$39</f>
        <v>0</v>
      </c>
      <c r="M39" s="146">
        <f t="shared" ref="M39:AT39" si="15">$F$39</f>
        <v>0</v>
      </c>
      <c r="N39" s="146">
        <f t="shared" si="15"/>
        <v>0</v>
      </c>
      <c r="O39" s="146">
        <f t="shared" si="15"/>
        <v>0</v>
      </c>
      <c r="P39" s="146">
        <f t="shared" si="15"/>
        <v>0</v>
      </c>
      <c r="Q39" s="146">
        <f t="shared" si="15"/>
        <v>0</v>
      </c>
      <c r="R39" s="146">
        <f t="shared" si="15"/>
        <v>0</v>
      </c>
      <c r="S39" s="146">
        <f t="shared" si="15"/>
        <v>0</v>
      </c>
      <c r="T39" s="146">
        <f t="shared" si="15"/>
        <v>0</v>
      </c>
      <c r="U39" s="146">
        <f t="shared" si="15"/>
        <v>0</v>
      </c>
      <c r="V39" s="146">
        <f t="shared" si="15"/>
        <v>0</v>
      </c>
      <c r="W39" s="146">
        <f t="shared" si="15"/>
        <v>0</v>
      </c>
      <c r="X39" s="146">
        <f t="shared" si="15"/>
        <v>0</v>
      </c>
      <c r="Y39" s="146">
        <f t="shared" si="15"/>
        <v>0</v>
      </c>
      <c r="Z39" s="146">
        <f t="shared" si="15"/>
        <v>0</v>
      </c>
      <c r="AA39" s="146">
        <f t="shared" si="15"/>
        <v>0</v>
      </c>
      <c r="AB39" s="146">
        <f t="shared" si="15"/>
        <v>0</v>
      </c>
      <c r="AC39" s="146">
        <f t="shared" si="15"/>
        <v>0</v>
      </c>
      <c r="AD39" s="146">
        <f t="shared" si="15"/>
        <v>0</v>
      </c>
      <c r="AE39" s="146">
        <f t="shared" si="15"/>
        <v>0</v>
      </c>
      <c r="AF39" s="146">
        <f t="shared" si="15"/>
        <v>0</v>
      </c>
      <c r="AG39" s="146">
        <f t="shared" si="15"/>
        <v>0</v>
      </c>
      <c r="AH39" s="146">
        <f t="shared" si="15"/>
        <v>0</v>
      </c>
      <c r="AI39" s="146">
        <f t="shared" si="15"/>
        <v>0</v>
      </c>
      <c r="AJ39" s="146">
        <f t="shared" si="15"/>
        <v>0</v>
      </c>
      <c r="AK39" s="146">
        <f t="shared" si="15"/>
        <v>0</v>
      </c>
      <c r="AL39" s="146">
        <f t="shared" si="15"/>
        <v>0</v>
      </c>
      <c r="AM39" s="146">
        <f t="shared" si="15"/>
        <v>0</v>
      </c>
      <c r="AN39" s="146">
        <f t="shared" si="15"/>
        <v>0</v>
      </c>
      <c r="AO39" s="146">
        <f t="shared" si="15"/>
        <v>0</v>
      </c>
      <c r="AP39" s="146">
        <f t="shared" si="15"/>
        <v>0</v>
      </c>
      <c r="AQ39" s="146">
        <f t="shared" si="15"/>
        <v>0</v>
      </c>
      <c r="AR39" s="146">
        <f t="shared" si="15"/>
        <v>0</v>
      </c>
      <c r="AS39" s="146">
        <f t="shared" si="15"/>
        <v>0</v>
      </c>
      <c r="AT39" s="146">
        <f t="shared" si="15"/>
        <v>0</v>
      </c>
      <c r="AU39" s="453">
        <f t="shared" ref="AU39:AU48" si="16">+SUM(L39:AT39)</f>
        <v>0</v>
      </c>
    </row>
    <row r="40" spans="2:47" ht="30" x14ac:dyDescent="0.25">
      <c r="B40" s="838" t="s">
        <v>1037</v>
      </c>
      <c r="C40" s="814" t="s">
        <v>1038</v>
      </c>
      <c r="D40" s="369">
        <f>91</f>
        <v>91</v>
      </c>
      <c r="E40" s="1196"/>
      <c r="F40" s="840">
        <f t="shared" si="14"/>
        <v>0</v>
      </c>
      <c r="G40" s="850"/>
      <c r="H40" s="834" t="s">
        <v>1039</v>
      </c>
      <c r="I40" s="503"/>
      <c r="J40" s="849" t="s">
        <v>1037</v>
      </c>
      <c r="K40" s="99">
        <f t="shared" si="3"/>
        <v>0</v>
      </c>
      <c r="L40" s="146">
        <f>$F$40</f>
        <v>0</v>
      </c>
      <c r="M40" s="146"/>
      <c r="N40" s="146"/>
      <c r="O40" s="146"/>
      <c r="P40" s="146"/>
      <c r="Q40" s="146"/>
      <c r="R40" s="146"/>
      <c r="S40" s="146"/>
      <c r="T40" s="146"/>
      <c r="U40" s="146"/>
      <c r="V40" s="146"/>
      <c r="W40" s="146"/>
      <c r="X40" s="146"/>
      <c r="Y40" s="146"/>
      <c r="Z40" s="146"/>
      <c r="AA40" s="146"/>
      <c r="AB40" s="146"/>
      <c r="AC40" s="146"/>
      <c r="AD40" s="146"/>
      <c r="AE40" s="146"/>
      <c r="AF40" s="146"/>
      <c r="AG40" s="146"/>
      <c r="AH40" s="146"/>
      <c r="AI40" s="146"/>
      <c r="AJ40" s="146"/>
      <c r="AK40" s="146"/>
      <c r="AL40" s="146"/>
      <c r="AM40" s="146"/>
      <c r="AN40" s="146"/>
      <c r="AO40" s="146"/>
      <c r="AP40" s="146"/>
      <c r="AQ40" s="146"/>
      <c r="AR40" s="146"/>
      <c r="AS40" s="146"/>
      <c r="AT40" s="146"/>
      <c r="AU40" s="453">
        <f t="shared" si="16"/>
        <v>0</v>
      </c>
    </row>
    <row r="41" spans="2:47" ht="45" x14ac:dyDescent="0.25">
      <c r="B41" s="838" t="s">
        <v>1040</v>
      </c>
      <c r="C41" s="814" t="s">
        <v>1041</v>
      </c>
      <c r="D41" s="369">
        <v>7893</v>
      </c>
      <c r="E41" s="1196"/>
      <c r="F41" s="840">
        <f t="shared" si="14"/>
        <v>0</v>
      </c>
      <c r="G41" s="850"/>
      <c r="H41" s="834" t="s">
        <v>1042</v>
      </c>
      <c r="I41" s="503"/>
      <c r="J41" s="849" t="s">
        <v>1040</v>
      </c>
      <c r="K41" s="99">
        <f t="shared" si="3"/>
        <v>0</v>
      </c>
      <c r="L41" s="146">
        <f>F41</f>
        <v>0</v>
      </c>
      <c r="M41" s="146"/>
      <c r="N41" s="146"/>
      <c r="O41" s="146"/>
      <c r="P41" s="146"/>
      <c r="Q41" s="146"/>
      <c r="R41" s="146"/>
      <c r="S41" s="146"/>
      <c r="T41" s="146"/>
      <c r="U41" s="146"/>
      <c r="V41" s="146"/>
      <c r="W41" s="146"/>
      <c r="X41" s="146"/>
      <c r="Y41" s="146"/>
      <c r="Z41" s="146"/>
      <c r="AA41" s="146"/>
      <c r="AB41" s="146"/>
      <c r="AC41" s="146"/>
      <c r="AD41" s="146"/>
      <c r="AE41" s="146"/>
      <c r="AF41" s="146"/>
      <c r="AG41" s="146"/>
      <c r="AH41" s="146"/>
      <c r="AI41" s="146"/>
      <c r="AJ41" s="146"/>
      <c r="AK41" s="146"/>
      <c r="AL41" s="146"/>
      <c r="AM41" s="146"/>
      <c r="AN41" s="146"/>
      <c r="AO41" s="146"/>
      <c r="AP41" s="146"/>
      <c r="AQ41" s="146"/>
      <c r="AR41" s="146"/>
      <c r="AS41" s="146"/>
      <c r="AT41" s="146"/>
      <c r="AU41" s="453">
        <f t="shared" si="16"/>
        <v>0</v>
      </c>
    </row>
    <row r="42" spans="2:47" ht="45" x14ac:dyDescent="0.25">
      <c r="B42" s="838" t="s">
        <v>1043</v>
      </c>
      <c r="C42" s="814" t="s">
        <v>1041</v>
      </c>
      <c r="D42" s="369">
        <v>757</v>
      </c>
      <c r="E42" s="1196"/>
      <c r="F42" s="840">
        <f t="shared" si="14"/>
        <v>0</v>
      </c>
      <c r="G42" s="850"/>
      <c r="H42" s="834" t="s">
        <v>1044</v>
      </c>
      <c r="I42" s="503"/>
      <c r="J42" s="849" t="s">
        <v>1043</v>
      </c>
      <c r="K42" s="99">
        <f t="shared" si="3"/>
        <v>0</v>
      </c>
      <c r="L42" s="146">
        <f>F42</f>
        <v>0</v>
      </c>
      <c r="M42" s="146"/>
      <c r="N42" s="146"/>
      <c r="O42" s="146"/>
      <c r="P42" s="146"/>
      <c r="Q42" s="146"/>
      <c r="R42" s="146"/>
      <c r="S42" s="146"/>
      <c r="T42" s="146"/>
      <c r="U42" s="146"/>
      <c r="V42" s="146"/>
      <c r="W42" s="146"/>
      <c r="X42" s="146"/>
      <c r="Y42" s="146"/>
      <c r="Z42" s="146"/>
      <c r="AA42" s="146"/>
      <c r="AB42" s="146"/>
      <c r="AC42" s="146"/>
      <c r="AD42" s="146"/>
      <c r="AE42" s="146"/>
      <c r="AF42" s="146"/>
      <c r="AG42" s="146"/>
      <c r="AH42" s="146"/>
      <c r="AI42" s="146"/>
      <c r="AJ42" s="146"/>
      <c r="AK42" s="146"/>
      <c r="AL42" s="146"/>
      <c r="AM42" s="146"/>
      <c r="AN42" s="146"/>
      <c r="AO42" s="146"/>
      <c r="AP42" s="146"/>
      <c r="AQ42" s="146"/>
      <c r="AR42" s="146"/>
      <c r="AS42" s="146"/>
      <c r="AT42" s="146"/>
      <c r="AU42" s="453">
        <f t="shared" si="16"/>
        <v>0</v>
      </c>
    </row>
    <row r="43" spans="2:47" ht="30" x14ac:dyDescent="0.25">
      <c r="B43" s="838" t="s">
        <v>1045</v>
      </c>
      <c r="C43" s="814" t="s">
        <v>1038</v>
      </c>
      <c r="D43" s="369">
        <v>483.08554572159295</v>
      </c>
      <c r="E43" s="1196"/>
      <c r="F43" s="840">
        <f t="shared" si="14"/>
        <v>0</v>
      </c>
      <c r="G43" s="850"/>
      <c r="H43" s="834" t="s">
        <v>1039</v>
      </c>
      <c r="I43" s="503"/>
      <c r="J43" s="849" t="s">
        <v>1045</v>
      </c>
      <c r="K43" s="99">
        <f t="shared" si="3"/>
        <v>0</v>
      </c>
      <c r="L43" s="817"/>
      <c r="M43" s="817"/>
      <c r="N43" s="855">
        <f t="shared" ref="N43:AT43" si="17">$F$43*N55</f>
        <v>0</v>
      </c>
      <c r="O43" s="855">
        <f t="shared" si="17"/>
        <v>0</v>
      </c>
      <c r="P43" s="855">
        <f t="shared" si="17"/>
        <v>0</v>
      </c>
      <c r="Q43" s="855">
        <f t="shared" si="17"/>
        <v>0</v>
      </c>
      <c r="R43" s="855">
        <f t="shared" si="17"/>
        <v>0</v>
      </c>
      <c r="S43" s="855">
        <f t="shared" si="17"/>
        <v>0</v>
      </c>
      <c r="T43" s="855">
        <f t="shared" si="17"/>
        <v>0</v>
      </c>
      <c r="U43" s="855">
        <f t="shared" si="17"/>
        <v>0</v>
      </c>
      <c r="V43" s="855">
        <f t="shared" si="17"/>
        <v>0</v>
      </c>
      <c r="W43" s="855">
        <f t="shared" si="17"/>
        <v>0</v>
      </c>
      <c r="X43" s="855">
        <f t="shared" si="17"/>
        <v>0</v>
      </c>
      <c r="Y43" s="855">
        <f t="shared" si="17"/>
        <v>0</v>
      </c>
      <c r="Z43" s="855">
        <f t="shared" si="17"/>
        <v>0</v>
      </c>
      <c r="AA43" s="855">
        <f t="shared" si="17"/>
        <v>0</v>
      </c>
      <c r="AB43" s="855">
        <f t="shared" si="17"/>
        <v>0</v>
      </c>
      <c r="AC43" s="855">
        <f t="shared" si="17"/>
        <v>0</v>
      </c>
      <c r="AD43" s="855">
        <f t="shared" si="17"/>
        <v>0</v>
      </c>
      <c r="AE43" s="855">
        <f t="shared" si="17"/>
        <v>0</v>
      </c>
      <c r="AF43" s="855">
        <f t="shared" si="17"/>
        <v>0</v>
      </c>
      <c r="AG43" s="855">
        <f t="shared" si="17"/>
        <v>0</v>
      </c>
      <c r="AH43" s="855">
        <f t="shared" si="17"/>
        <v>0</v>
      </c>
      <c r="AI43" s="855">
        <f t="shared" si="17"/>
        <v>0</v>
      </c>
      <c r="AJ43" s="855">
        <f t="shared" si="17"/>
        <v>0</v>
      </c>
      <c r="AK43" s="855">
        <f t="shared" si="17"/>
        <v>0</v>
      </c>
      <c r="AL43" s="855">
        <f t="shared" si="17"/>
        <v>0</v>
      </c>
      <c r="AM43" s="855">
        <f t="shared" si="17"/>
        <v>0</v>
      </c>
      <c r="AN43" s="855">
        <f t="shared" si="17"/>
        <v>0</v>
      </c>
      <c r="AO43" s="855">
        <f t="shared" si="17"/>
        <v>0</v>
      </c>
      <c r="AP43" s="855">
        <f t="shared" si="17"/>
        <v>0</v>
      </c>
      <c r="AQ43" s="855">
        <f t="shared" si="17"/>
        <v>0</v>
      </c>
      <c r="AR43" s="855">
        <f t="shared" si="17"/>
        <v>0</v>
      </c>
      <c r="AS43" s="855">
        <f t="shared" si="17"/>
        <v>0</v>
      </c>
      <c r="AT43" s="855">
        <f t="shared" si="17"/>
        <v>0</v>
      </c>
      <c r="AU43" s="453">
        <f t="shared" si="16"/>
        <v>0</v>
      </c>
    </row>
    <row r="44" spans="2:47" ht="30" x14ac:dyDescent="0.25">
      <c r="B44" s="838" t="s">
        <v>1046</v>
      </c>
      <c r="C44" s="814" t="s">
        <v>1047</v>
      </c>
      <c r="D44" s="369">
        <v>1</v>
      </c>
      <c r="E44" s="1196"/>
      <c r="F44" s="840">
        <f t="shared" si="14"/>
        <v>0</v>
      </c>
      <c r="G44" s="850"/>
      <c r="H44" s="834" t="s">
        <v>1039</v>
      </c>
      <c r="I44" s="503"/>
      <c r="J44" s="849" t="s">
        <v>1046</v>
      </c>
      <c r="K44" s="99">
        <f t="shared" si="3"/>
        <v>0</v>
      </c>
      <c r="L44" s="146"/>
      <c r="M44" s="146"/>
      <c r="N44" s="146"/>
      <c r="O44" s="146"/>
      <c r="P44" s="146"/>
      <c r="Q44" s="146"/>
      <c r="R44" s="146"/>
      <c r="S44" s="146">
        <f>F44</f>
        <v>0</v>
      </c>
      <c r="T44" s="146">
        <f>S44</f>
        <v>0</v>
      </c>
      <c r="U44" s="146">
        <f t="shared" ref="U44:AT45" si="18">T44</f>
        <v>0</v>
      </c>
      <c r="V44" s="146">
        <f t="shared" si="18"/>
        <v>0</v>
      </c>
      <c r="W44" s="146">
        <f t="shared" si="18"/>
        <v>0</v>
      </c>
      <c r="X44" s="146">
        <f t="shared" si="18"/>
        <v>0</v>
      </c>
      <c r="Y44" s="146">
        <f t="shared" si="18"/>
        <v>0</v>
      </c>
      <c r="Z44" s="146">
        <f t="shared" si="18"/>
        <v>0</v>
      </c>
      <c r="AA44" s="146">
        <f t="shared" si="18"/>
        <v>0</v>
      </c>
      <c r="AB44" s="146">
        <f t="shared" si="18"/>
        <v>0</v>
      </c>
      <c r="AC44" s="146">
        <f t="shared" si="18"/>
        <v>0</v>
      </c>
      <c r="AD44" s="146">
        <f t="shared" si="18"/>
        <v>0</v>
      </c>
      <c r="AE44" s="146">
        <f t="shared" si="18"/>
        <v>0</v>
      </c>
      <c r="AF44" s="146">
        <f t="shared" si="18"/>
        <v>0</v>
      </c>
      <c r="AG44" s="146">
        <f t="shared" si="18"/>
        <v>0</v>
      </c>
      <c r="AH44" s="146">
        <f t="shared" si="18"/>
        <v>0</v>
      </c>
      <c r="AI44" s="146">
        <f t="shared" si="18"/>
        <v>0</v>
      </c>
      <c r="AJ44" s="146">
        <f t="shared" si="18"/>
        <v>0</v>
      </c>
      <c r="AK44" s="146">
        <f t="shared" si="18"/>
        <v>0</v>
      </c>
      <c r="AL44" s="146">
        <f t="shared" si="18"/>
        <v>0</v>
      </c>
      <c r="AM44" s="146">
        <f t="shared" si="18"/>
        <v>0</v>
      </c>
      <c r="AN44" s="146">
        <f t="shared" si="18"/>
        <v>0</v>
      </c>
      <c r="AO44" s="146">
        <f t="shared" si="18"/>
        <v>0</v>
      </c>
      <c r="AP44" s="146">
        <f t="shared" si="18"/>
        <v>0</v>
      </c>
      <c r="AQ44" s="146">
        <f t="shared" si="18"/>
        <v>0</v>
      </c>
      <c r="AR44" s="146">
        <f t="shared" si="18"/>
        <v>0</v>
      </c>
      <c r="AS44" s="146">
        <f t="shared" si="18"/>
        <v>0</v>
      </c>
      <c r="AT44" s="146">
        <f t="shared" si="18"/>
        <v>0</v>
      </c>
      <c r="AU44" s="453">
        <f t="shared" si="16"/>
        <v>0</v>
      </c>
    </row>
    <row r="45" spans="2:47" ht="31.15" customHeight="1" x14ac:dyDescent="0.25">
      <c r="B45" s="838" t="s">
        <v>1048</v>
      </c>
      <c r="C45" s="814" t="s">
        <v>1047</v>
      </c>
      <c r="D45" s="369">
        <v>1</v>
      </c>
      <c r="E45" s="1196"/>
      <c r="F45" s="840">
        <f t="shared" si="14"/>
        <v>0</v>
      </c>
      <c r="G45" s="850"/>
      <c r="H45" s="834" t="s">
        <v>1039</v>
      </c>
      <c r="I45" s="503"/>
      <c r="J45" s="849" t="s">
        <v>1048</v>
      </c>
      <c r="K45" s="99">
        <f t="shared" si="3"/>
        <v>0</v>
      </c>
      <c r="L45" s="146"/>
      <c r="M45" s="146"/>
      <c r="N45" s="146"/>
      <c r="O45" s="146"/>
      <c r="P45" s="146"/>
      <c r="Q45" s="146"/>
      <c r="R45" s="146"/>
      <c r="S45" s="146">
        <f>F45</f>
        <v>0</v>
      </c>
      <c r="T45" s="146">
        <f>S45</f>
        <v>0</v>
      </c>
      <c r="U45" s="146">
        <f t="shared" si="18"/>
        <v>0</v>
      </c>
      <c r="V45" s="146">
        <f t="shared" si="18"/>
        <v>0</v>
      </c>
      <c r="W45" s="146">
        <f t="shared" si="18"/>
        <v>0</v>
      </c>
      <c r="X45" s="146">
        <f t="shared" si="18"/>
        <v>0</v>
      </c>
      <c r="Y45" s="146">
        <f t="shared" si="18"/>
        <v>0</v>
      </c>
      <c r="Z45" s="146">
        <f t="shared" si="18"/>
        <v>0</v>
      </c>
      <c r="AA45" s="146">
        <f t="shared" si="18"/>
        <v>0</v>
      </c>
      <c r="AB45" s="146">
        <f t="shared" si="18"/>
        <v>0</v>
      </c>
      <c r="AC45" s="146">
        <f t="shared" si="18"/>
        <v>0</v>
      </c>
      <c r="AD45" s="146">
        <f t="shared" si="18"/>
        <v>0</v>
      </c>
      <c r="AE45" s="146">
        <f t="shared" si="18"/>
        <v>0</v>
      </c>
      <c r="AF45" s="146">
        <f t="shared" si="18"/>
        <v>0</v>
      </c>
      <c r="AG45" s="146">
        <f t="shared" si="18"/>
        <v>0</v>
      </c>
      <c r="AH45" s="146">
        <f t="shared" si="18"/>
        <v>0</v>
      </c>
      <c r="AI45" s="146">
        <f t="shared" si="18"/>
        <v>0</v>
      </c>
      <c r="AJ45" s="146">
        <f t="shared" si="18"/>
        <v>0</v>
      </c>
      <c r="AK45" s="146">
        <f t="shared" si="18"/>
        <v>0</v>
      </c>
      <c r="AL45" s="146">
        <f t="shared" si="18"/>
        <v>0</v>
      </c>
      <c r="AM45" s="146">
        <f t="shared" si="18"/>
        <v>0</v>
      </c>
      <c r="AN45" s="146">
        <f t="shared" si="18"/>
        <v>0</v>
      </c>
      <c r="AO45" s="146">
        <f t="shared" si="18"/>
        <v>0</v>
      </c>
      <c r="AP45" s="146">
        <f t="shared" si="18"/>
        <v>0</v>
      </c>
      <c r="AQ45" s="146">
        <f t="shared" si="18"/>
        <v>0</v>
      </c>
      <c r="AR45" s="146">
        <f t="shared" si="18"/>
        <v>0</v>
      </c>
      <c r="AS45" s="146">
        <f t="shared" si="18"/>
        <v>0</v>
      </c>
      <c r="AT45" s="146">
        <f t="shared" si="18"/>
        <v>0</v>
      </c>
      <c r="AU45" s="453">
        <f t="shared" si="16"/>
        <v>0</v>
      </c>
    </row>
    <row r="46" spans="2:47" ht="30" x14ac:dyDescent="0.25">
      <c r="B46" s="838" t="s">
        <v>1049</v>
      </c>
      <c r="C46" s="814" t="s">
        <v>1041</v>
      </c>
      <c r="D46" s="369">
        <v>1085</v>
      </c>
      <c r="E46" s="1196"/>
      <c r="F46" s="840">
        <f t="shared" si="14"/>
        <v>0</v>
      </c>
      <c r="G46" s="850"/>
      <c r="H46" s="834" t="s">
        <v>1050</v>
      </c>
      <c r="I46" s="503"/>
      <c r="J46" s="849" t="s">
        <v>1049</v>
      </c>
      <c r="K46" s="99">
        <f t="shared" si="3"/>
        <v>0</v>
      </c>
      <c r="L46" s="146"/>
      <c r="M46" s="146"/>
      <c r="N46" s="146">
        <f t="shared" ref="N46:AT46" si="19">$F$46</f>
        <v>0</v>
      </c>
      <c r="O46" s="146">
        <f t="shared" si="19"/>
        <v>0</v>
      </c>
      <c r="P46" s="146">
        <f t="shared" si="19"/>
        <v>0</v>
      </c>
      <c r="Q46" s="146">
        <f t="shared" si="19"/>
        <v>0</v>
      </c>
      <c r="R46" s="146">
        <f t="shared" si="19"/>
        <v>0</v>
      </c>
      <c r="S46" s="146">
        <f t="shared" si="19"/>
        <v>0</v>
      </c>
      <c r="T46" s="146">
        <f t="shared" si="19"/>
        <v>0</v>
      </c>
      <c r="U46" s="146">
        <f t="shared" si="19"/>
        <v>0</v>
      </c>
      <c r="V46" s="146">
        <f t="shared" si="19"/>
        <v>0</v>
      </c>
      <c r="W46" s="146">
        <f t="shared" si="19"/>
        <v>0</v>
      </c>
      <c r="X46" s="146">
        <f t="shared" si="19"/>
        <v>0</v>
      </c>
      <c r="Y46" s="146">
        <f t="shared" si="19"/>
        <v>0</v>
      </c>
      <c r="Z46" s="146">
        <f t="shared" si="19"/>
        <v>0</v>
      </c>
      <c r="AA46" s="146">
        <f t="shared" si="19"/>
        <v>0</v>
      </c>
      <c r="AB46" s="146">
        <f t="shared" si="19"/>
        <v>0</v>
      </c>
      <c r="AC46" s="146">
        <f t="shared" si="19"/>
        <v>0</v>
      </c>
      <c r="AD46" s="146">
        <f t="shared" si="19"/>
        <v>0</v>
      </c>
      <c r="AE46" s="146">
        <f t="shared" si="19"/>
        <v>0</v>
      </c>
      <c r="AF46" s="146">
        <f t="shared" si="19"/>
        <v>0</v>
      </c>
      <c r="AG46" s="146">
        <f t="shared" si="19"/>
        <v>0</v>
      </c>
      <c r="AH46" s="146">
        <f t="shared" si="19"/>
        <v>0</v>
      </c>
      <c r="AI46" s="146">
        <f t="shared" si="19"/>
        <v>0</v>
      </c>
      <c r="AJ46" s="146">
        <f t="shared" si="19"/>
        <v>0</v>
      </c>
      <c r="AK46" s="146">
        <f t="shared" si="19"/>
        <v>0</v>
      </c>
      <c r="AL46" s="146">
        <f t="shared" si="19"/>
        <v>0</v>
      </c>
      <c r="AM46" s="146">
        <f t="shared" si="19"/>
        <v>0</v>
      </c>
      <c r="AN46" s="146">
        <f t="shared" si="19"/>
        <v>0</v>
      </c>
      <c r="AO46" s="146">
        <f t="shared" si="19"/>
        <v>0</v>
      </c>
      <c r="AP46" s="146">
        <f t="shared" si="19"/>
        <v>0</v>
      </c>
      <c r="AQ46" s="146">
        <f t="shared" si="19"/>
        <v>0</v>
      </c>
      <c r="AR46" s="146">
        <f t="shared" si="19"/>
        <v>0</v>
      </c>
      <c r="AS46" s="146">
        <f t="shared" si="19"/>
        <v>0</v>
      </c>
      <c r="AT46" s="146">
        <f t="shared" si="19"/>
        <v>0</v>
      </c>
      <c r="AU46" s="453">
        <f t="shared" si="16"/>
        <v>0</v>
      </c>
    </row>
    <row r="47" spans="2:47" ht="30" x14ac:dyDescent="0.25">
      <c r="B47" s="838" t="s">
        <v>1051</v>
      </c>
      <c r="C47" s="814" t="s">
        <v>1041</v>
      </c>
      <c r="D47" s="369">
        <v>1085</v>
      </c>
      <c r="E47" s="1196"/>
      <c r="F47" s="840">
        <f t="shared" si="14"/>
        <v>0</v>
      </c>
      <c r="G47" s="850"/>
      <c r="H47" s="834" t="s">
        <v>1050</v>
      </c>
      <c r="I47" s="503"/>
      <c r="J47" s="849" t="s">
        <v>1051</v>
      </c>
      <c r="K47" s="99">
        <f t="shared" si="3"/>
        <v>0</v>
      </c>
      <c r="L47" s="146"/>
      <c r="M47" s="146"/>
      <c r="N47" s="146"/>
      <c r="O47" s="146"/>
      <c r="P47" s="146"/>
      <c r="Q47" s="146"/>
      <c r="R47" s="146"/>
      <c r="S47" s="146">
        <f>$F$47</f>
        <v>0</v>
      </c>
      <c r="T47" s="146">
        <f t="shared" ref="T47:AT47" si="20">S47</f>
        <v>0</v>
      </c>
      <c r="U47" s="146">
        <f t="shared" si="20"/>
        <v>0</v>
      </c>
      <c r="V47" s="146">
        <f t="shared" si="20"/>
        <v>0</v>
      </c>
      <c r="W47" s="146">
        <f t="shared" si="20"/>
        <v>0</v>
      </c>
      <c r="X47" s="146">
        <f t="shared" si="20"/>
        <v>0</v>
      </c>
      <c r="Y47" s="146">
        <f t="shared" si="20"/>
        <v>0</v>
      </c>
      <c r="Z47" s="146">
        <f t="shared" si="20"/>
        <v>0</v>
      </c>
      <c r="AA47" s="146">
        <f t="shared" si="20"/>
        <v>0</v>
      </c>
      <c r="AB47" s="146">
        <f t="shared" si="20"/>
        <v>0</v>
      </c>
      <c r="AC47" s="146">
        <f t="shared" si="20"/>
        <v>0</v>
      </c>
      <c r="AD47" s="146">
        <f t="shared" si="20"/>
        <v>0</v>
      </c>
      <c r="AE47" s="146">
        <f t="shared" si="20"/>
        <v>0</v>
      </c>
      <c r="AF47" s="146">
        <f t="shared" si="20"/>
        <v>0</v>
      </c>
      <c r="AG47" s="146">
        <f t="shared" si="20"/>
        <v>0</v>
      </c>
      <c r="AH47" s="146">
        <f t="shared" si="20"/>
        <v>0</v>
      </c>
      <c r="AI47" s="146">
        <f t="shared" si="20"/>
        <v>0</v>
      </c>
      <c r="AJ47" s="146">
        <f t="shared" si="20"/>
        <v>0</v>
      </c>
      <c r="AK47" s="146">
        <f t="shared" si="20"/>
        <v>0</v>
      </c>
      <c r="AL47" s="146">
        <f t="shared" si="20"/>
        <v>0</v>
      </c>
      <c r="AM47" s="146">
        <f t="shared" si="20"/>
        <v>0</v>
      </c>
      <c r="AN47" s="146">
        <f t="shared" si="20"/>
        <v>0</v>
      </c>
      <c r="AO47" s="146">
        <f t="shared" si="20"/>
        <v>0</v>
      </c>
      <c r="AP47" s="146">
        <f t="shared" si="20"/>
        <v>0</v>
      </c>
      <c r="AQ47" s="146">
        <f t="shared" si="20"/>
        <v>0</v>
      </c>
      <c r="AR47" s="146">
        <f t="shared" si="20"/>
        <v>0</v>
      </c>
      <c r="AS47" s="146">
        <f t="shared" si="20"/>
        <v>0</v>
      </c>
      <c r="AT47" s="146">
        <f t="shared" si="20"/>
        <v>0</v>
      </c>
      <c r="AU47" s="453">
        <f t="shared" si="16"/>
        <v>0</v>
      </c>
    </row>
    <row r="48" spans="2:47" ht="30" x14ac:dyDescent="0.25">
      <c r="B48" s="838" t="s">
        <v>1052</v>
      </c>
      <c r="C48" s="814" t="s">
        <v>1013</v>
      </c>
      <c r="D48" s="369">
        <v>1</v>
      </c>
      <c r="E48" s="1196"/>
      <c r="F48" s="840">
        <f t="shared" si="14"/>
        <v>0</v>
      </c>
      <c r="G48" s="850"/>
      <c r="H48" s="834" t="s">
        <v>1039</v>
      </c>
      <c r="I48" s="503"/>
      <c r="J48" s="849" t="s">
        <v>1052</v>
      </c>
      <c r="K48" s="99">
        <f t="shared" si="3"/>
        <v>829431.77000000048</v>
      </c>
      <c r="L48" s="146"/>
      <c r="M48" s="146"/>
      <c r="N48" s="146"/>
      <c r="O48" s="146"/>
      <c r="P48" s="146"/>
      <c r="Q48" s="146"/>
      <c r="R48" s="146"/>
      <c r="S48" s="146">
        <v>7627.91</v>
      </c>
      <c r="T48" s="146">
        <v>30437.18</v>
      </c>
      <c r="U48" s="146">
        <v>30437.18</v>
      </c>
      <c r="V48" s="146">
        <v>30437.18</v>
      </c>
      <c r="W48" s="146">
        <v>30437.18</v>
      </c>
      <c r="X48" s="146">
        <v>30437.18</v>
      </c>
      <c r="Y48" s="146">
        <v>30437.18</v>
      </c>
      <c r="Z48" s="146">
        <v>30437.18</v>
      </c>
      <c r="AA48" s="146">
        <v>30437.18</v>
      </c>
      <c r="AB48" s="146">
        <v>30437.18</v>
      </c>
      <c r="AC48" s="146">
        <v>30437.18</v>
      </c>
      <c r="AD48" s="146">
        <v>30437.18</v>
      </c>
      <c r="AE48" s="146">
        <v>30437.18</v>
      </c>
      <c r="AF48" s="146">
        <v>30437.18</v>
      </c>
      <c r="AG48" s="146">
        <v>30437.18</v>
      </c>
      <c r="AH48" s="146">
        <v>30437.18</v>
      </c>
      <c r="AI48" s="146">
        <v>30437.18</v>
      </c>
      <c r="AJ48" s="146">
        <v>30437.18</v>
      </c>
      <c r="AK48" s="146">
        <v>30437.18</v>
      </c>
      <c r="AL48" s="146">
        <v>30437.18</v>
      </c>
      <c r="AM48" s="146">
        <v>30437.18</v>
      </c>
      <c r="AN48" s="146">
        <v>30437.18</v>
      </c>
      <c r="AO48" s="146">
        <v>30437.18</v>
      </c>
      <c r="AP48" s="146">
        <v>30437.18</v>
      </c>
      <c r="AQ48" s="146">
        <v>30437.18</v>
      </c>
      <c r="AR48" s="146">
        <v>30437.18</v>
      </c>
      <c r="AS48" s="146">
        <v>30437.18</v>
      </c>
      <c r="AT48" s="146">
        <v>30437.18</v>
      </c>
      <c r="AU48" s="453">
        <f t="shared" si="16"/>
        <v>829431.77000000048</v>
      </c>
    </row>
    <row r="49" spans="2:47" x14ac:dyDescent="0.25">
      <c r="B49" s="837"/>
      <c r="C49" s="273"/>
      <c r="D49" s="845"/>
      <c r="E49" s="846"/>
      <c r="F49" s="843"/>
      <c r="G49" s="850"/>
      <c r="H49" s="835"/>
      <c r="I49" s="831"/>
      <c r="J49" s="848"/>
      <c r="K49" s="99"/>
      <c r="L49" s="99"/>
      <c r="M49" s="99"/>
      <c r="N49" s="99"/>
      <c r="O49" s="99"/>
      <c r="P49" s="99"/>
      <c r="Q49" s="99"/>
      <c r="R49" s="99"/>
      <c r="S49" s="99"/>
      <c r="T49" s="99"/>
      <c r="U49" s="99"/>
      <c r="V49" s="99"/>
      <c r="W49" s="99"/>
      <c r="X49" s="99"/>
      <c r="Y49" s="99"/>
      <c r="Z49" s="99"/>
      <c r="AA49" s="99"/>
      <c r="AB49" s="99"/>
      <c r="AC49" s="99"/>
      <c r="AD49" s="99"/>
      <c r="AE49" s="99"/>
      <c r="AF49" s="99"/>
      <c r="AG49" s="99"/>
      <c r="AH49" s="99"/>
      <c r="AI49" s="99"/>
      <c r="AJ49" s="99"/>
      <c r="AK49" s="99"/>
      <c r="AL49" s="99"/>
      <c r="AM49" s="99"/>
      <c r="AN49" s="99"/>
      <c r="AO49" s="99"/>
      <c r="AP49" s="99"/>
      <c r="AQ49" s="99"/>
      <c r="AR49" s="99"/>
      <c r="AS49" s="99"/>
      <c r="AT49" s="99"/>
      <c r="AU49" s="494"/>
    </row>
    <row r="50" spans="2:47" x14ac:dyDescent="0.25">
      <c r="B50" s="837" t="s">
        <v>1053</v>
      </c>
      <c r="C50" s="273"/>
      <c r="D50" s="845"/>
      <c r="E50" s="846"/>
      <c r="F50" s="844">
        <f>SUM(F51:F53)</f>
        <v>0</v>
      </c>
      <c r="G50" s="850"/>
      <c r="H50" s="835"/>
      <c r="I50" s="831"/>
      <c r="J50" s="848" t="s">
        <v>1053</v>
      </c>
      <c r="K50" s="490">
        <f t="shared" si="3"/>
        <v>1.2884325294517771</v>
      </c>
      <c r="L50" s="818">
        <f t="shared" ref="L50:AT50" si="21">SUM(L51:L55)</f>
        <v>0</v>
      </c>
      <c r="M50" s="818">
        <f t="shared" si="21"/>
        <v>0</v>
      </c>
      <c r="N50" s="818">
        <f t="shared" si="21"/>
        <v>6.278210780483684E-3</v>
      </c>
      <c r="O50" s="818">
        <f t="shared" si="21"/>
        <v>1.2052295824150332E-2</v>
      </c>
      <c r="P50" s="818">
        <f t="shared" si="21"/>
        <v>2.0774047032522218E-2</v>
      </c>
      <c r="Q50" s="818">
        <f t="shared" si="21"/>
        <v>2.4940492894068508E-2</v>
      </c>
      <c r="R50" s="818">
        <f t="shared" si="21"/>
        <v>2.9102114920654783E-2</v>
      </c>
      <c r="S50" s="818">
        <f t="shared" si="21"/>
        <v>3.4939585664234246E-2</v>
      </c>
      <c r="T50" s="818">
        <f t="shared" si="21"/>
        <v>3.8332685266722767E-2</v>
      </c>
      <c r="U50" s="818">
        <f t="shared" si="21"/>
        <v>4.3479222169170773E-2</v>
      </c>
      <c r="V50" s="818">
        <f t="shared" si="21"/>
        <v>3.863389033247621E-2</v>
      </c>
      <c r="W50" s="818">
        <f t="shared" si="21"/>
        <v>4.7986124704819985E-2</v>
      </c>
      <c r="X50" s="818">
        <f t="shared" si="21"/>
        <v>4.6523953379265945E-2</v>
      </c>
      <c r="Y50" s="818">
        <f t="shared" si="21"/>
        <v>3.9530468054521969E-2</v>
      </c>
      <c r="Z50" s="818">
        <f t="shared" si="21"/>
        <v>3.6770254246088457E-2</v>
      </c>
      <c r="AA50" s="818">
        <f t="shared" si="21"/>
        <v>4.141242962785547E-2</v>
      </c>
      <c r="AB50" s="818">
        <f t="shared" si="21"/>
        <v>4.9930463458407084E-2</v>
      </c>
      <c r="AC50" s="818">
        <f t="shared" si="21"/>
        <v>3.8573287017600176E-2</v>
      </c>
      <c r="AD50" s="818">
        <f t="shared" si="21"/>
        <v>3.7419504310262947E-2</v>
      </c>
      <c r="AE50" s="818">
        <f t="shared" si="21"/>
        <v>4.8806529764556579E-2</v>
      </c>
      <c r="AF50" s="818">
        <f t="shared" si="21"/>
        <v>4.6242697518472667E-2</v>
      </c>
      <c r="AG50" s="818">
        <f t="shared" si="21"/>
        <v>3.9424773690598443E-2</v>
      </c>
      <c r="AH50" s="818">
        <f t="shared" si="21"/>
        <v>3.460619489238307E-2</v>
      </c>
      <c r="AI50" s="818">
        <f t="shared" si="21"/>
        <v>4.6195440899105725E-2</v>
      </c>
      <c r="AJ50" s="818">
        <f t="shared" si="21"/>
        <v>4.6524737717810002E-2</v>
      </c>
      <c r="AK50" s="818">
        <f t="shared" si="21"/>
        <v>3.6714775751631672E-2</v>
      </c>
      <c r="AL50" s="818">
        <f t="shared" si="21"/>
        <v>3.5088168491637504E-2</v>
      </c>
      <c r="AM50" s="818">
        <f t="shared" si="21"/>
        <v>4.364070096703522E-2</v>
      </c>
      <c r="AN50" s="818">
        <f t="shared" si="21"/>
        <v>4.7663658354122604E-2</v>
      </c>
      <c r="AO50" s="818">
        <f t="shared" si="21"/>
        <v>4.1356362696767728E-2</v>
      </c>
      <c r="AP50" s="818">
        <f t="shared" si="21"/>
        <v>3.9302292507967865E-2</v>
      </c>
      <c r="AQ50" s="818">
        <f t="shared" si="21"/>
        <v>5.1410820796880009E-2</v>
      </c>
      <c r="AR50" s="818">
        <f t="shared" si="21"/>
        <v>5.2808900407397781E-2</v>
      </c>
      <c r="AS50" s="818">
        <f t="shared" si="21"/>
        <v>4.6894659357463064E-2</v>
      </c>
      <c r="AT50" s="818">
        <f t="shared" si="21"/>
        <v>4.5072785954641884E-2</v>
      </c>
      <c r="AU50" s="813">
        <f>+SUM(L50:AT50)</f>
        <v>1.2884325294517771</v>
      </c>
    </row>
    <row r="51" spans="2:47" ht="45" x14ac:dyDescent="0.25">
      <c r="B51" s="838" t="s">
        <v>1054</v>
      </c>
      <c r="C51" s="814" t="s">
        <v>1041</v>
      </c>
      <c r="D51" s="369">
        <f>72</f>
        <v>72</v>
      </c>
      <c r="E51" s="1196"/>
      <c r="F51" s="840">
        <f>D51*E51</f>
        <v>0</v>
      </c>
      <c r="G51" s="850"/>
      <c r="H51" s="834" t="s">
        <v>1055</v>
      </c>
      <c r="I51" s="503"/>
      <c r="J51" s="849" t="s">
        <v>1054</v>
      </c>
      <c r="K51" s="99">
        <f t="shared" si="3"/>
        <v>0</v>
      </c>
      <c r="L51" s="275">
        <f>$F$51</f>
        <v>0</v>
      </c>
      <c r="M51" s="275">
        <f t="shared" ref="M51:AT51" si="22">$F$51</f>
        <v>0</v>
      </c>
      <c r="N51" s="275">
        <f t="shared" si="22"/>
        <v>0</v>
      </c>
      <c r="O51" s="275">
        <f t="shared" si="22"/>
        <v>0</v>
      </c>
      <c r="P51" s="275">
        <f t="shared" si="22"/>
        <v>0</v>
      </c>
      <c r="Q51" s="275">
        <f t="shared" si="22"/>
        <v>0</v>
      </c>
      <c r="R51" s="275">
        <f t="shared" si="22"/>
        <v>0</v>
      </c>
      <c r="S51" s="275">
        <f t="shared" si="22"/>
        <v>0</v>
      </c>
      <c r="T51" s="275">
        <f t="shared" si="22"/>
        <v>0</v>
      </c>
      <c r="U51" s="275">
        <f t="shared" si="22"/>
        <v>0</v>
      </c>
      <c r="V51" s="275">
        <f t="shared" si="22"/>
        <v>0</v>
      </c>
      <c r="W51" s="275">
        <f t="shared" si="22"/>
        <v>0</v>
      </c>
      <c r="X51" s="275">
        <f t="shared" si="22"/>
        <v>0</v>
      </c>
      <c r="Y51" s="275">
        <f t="shared" si="22"/>
        <v>0</v>
      </c>
      <c r="Z51" s="275">
        <f t="shared" si="22"/>
        <v>0</v>
      </c>
      <c r="AA51" s="275">
        <f t="shared" si="22"/>
        <v>0</v>
      </c>
      <c r="AB51" s="275">
        <f t="shared" si="22"/>
        <v>0</v>
      </c>
      <c r="AC51" s="275">
        <f t="shared" si="22"/>
        <v>0</v>
      </c>
      <c r="AD51" s="275">
        <f t="shared" si="22"/>
        <v>0</v>
      </c>
      <c r="AE51" s="275">
        <f t="shared" si="22"/>
        <v>0</v>
      </c>
      <c r="AF51" s="275">
        <f t="shared" si="22"/>
        <v>0</v>
      </c>
      <c r="AG51" s="275">
        <f t="shared" si="22"/>
        <v>0</v>
      </c>
      <c r="AH51" s="275">
        <f t="shared" si="22"/>
        <v>0</v>
      </c>
      <c r="AI51" s="275">
        <f t="shared" si="22"/>
        <v>0</v>
      </c>
      <c r="AJ51" s="275">
        <f t="shared" si="22"/>
        <v>0</v>
      </c>
      <c r="AK51" s="275">
        <f t="shared" si="22"/>
        <v>0</v>
      </c>
      <c r="AL51" s="275">
        <f t="shared" si="22"/>
        <v>0</v>
      </c>
      <c r="AM51" s="275">
        <f t="shared" si="22"/>
        <v>0</v>
      </c>
      <c r="AN51" s="275">
        <f t="shared" si="22"/>
        <v>0</v>
      </c>
      <c r="AO51" s="275">
        <f t="shared" si="22"/>
        <v>0</v>
      </c>
      <c r="AP51" s="275">
        <f t="shared" si="22"/>
        <v>0</v>
      </c>
      <c r="AQ51" s="275">
        <f t="shared" si="22"/>
        <v>0</v>
      </c>
      <c r="AR51" s="275">
        <f t="shared" si="22"/>
        <v>0</v>
      </c>
      <c r="AS51" s="275">
        <f t="shared" si="22"/>
        <v>0</v>
      </c>
      <c r="AT51" s="275">
        <f t="shared" si="22"/>
        <v>0</v>
      </c>
      <c r="AU51" s="453">
        <f t="shared" ref="AU51:AU53" si="23">+SUM(L51:AT51)</f>
        <v>0</v>
      </c>
    </row>
    <row r="52" spans="2:47" ht="30" x14ac:dyDescent="0.25">
      <c r="B52" s="838" t="s">
        <v>1056</v>
      </c>
      <c r="C52" s="814" t="s">
        <v>1041</v>
      </c>
      <c r="D52" s="369">
        <f>72</f>
        <v>72</v>
      </c>
      <c r="E52" s="1196"/>
      <c r="F52" s="840">
        <f>D52*E52</f>
        <v>0</v>
      </c>
      <c r="G52" s="850"/>
      <c r="H52" s="834" t="s">
        <v>1055</v>
      </c>
      <c r="I52" s="503"/>
      <c r="J52" s="849" t="s">
        <v>1056</v>
      </c>
      <c r="K52" s="99">
        <f t="shared" si="3"/>
        <v>0</v>
      </c>
      <c r="L52" s="275">
        <f>$F$52</f>
        <v>0</v>
      </c>
      <c r="M52" s="275">
        <f t="shared" ref="M52:AT52" si="24">$F$52</f>
        <v>0</v>
      </c>
      <c r="N52" s="275">
        <f t="shared" si="24"/>
        <v>0</v>
      </c>
      <c r="O52" s="275">
        <f t="shared" si="24"/>
        <v>0</v>
      </c>
      <c r="P52" s="275">
        <f t="shared" si="24"/>
        <v>0</v>
      </c>
      <c r="Q52" s="275">
        <f t="shared" si="24"/>
        <v>0</v>
      </c>
      <c r="R52" s="275">
        <f t="shared" si="24"/>
        <v>0</v>
      </c>
      <c r="S52" s="275">
        <f t="shared" si="24"/>
        <v>0</v>
      </c>
      <c r="T52" s="275">
        <f t="shared" si="24"/>
        <v>0</v>
      </c>
      <c r="U52" s="275">
        <f t="shared" si="24"/>
        <v>0</v>
      </c>
      <c r="V52" s="275">
        <f t="shared" si="24"/>
        <v>0</v>
      </c>
      <c r="W52" s="275">
        <f t="shared" si="24"/>
        <v>0</v>
      </c>
      <c r="X52" s="275">
        <f t="shared" si="24"/>
        <v>0</v>
      </c>
      <c r="Y52" s="275">
        <f t="shared" si="24"/>
        <v>0</v>
      </c>
      <c r="Z52" s="275">
        <f t="shared" si="24"/>
        <v>0</v>
      </c>
      <c r="AA52" s="275">
        <f t="shared" si="24"/>
        <v>0</v>
      </c>
      <c r="AB52" s="275">
        <f t="shared" si="24"/>
        <v>0</v>
      </c>
      <c r="AC52" s="275">
        <f t="shared" si="24"/>
        <v>0</v>
      </c>
      <c r="AD52" s="275">
        <f t="shared" si="24"/>
        <v>0</v>
      </c>
      <c r="AE52" s="275">
        <f t="shared" si="24"/>
        <v>0</v>
      </c>
      <c r="AF52" s="275">
        <f t="shared" si="24"/>
        <v>0</v>
      </c>
      <c r="AG52" s="275">
        <f t="shared" si="24"/>
        <v>0</v>
      </c>
      <c r="AH52" s="275">
        <f t="shared" si="24"/>
        <v>0</v>
      </c>
      <c r="AI52" s="275">
        <f t="shared" si="24"/>
        <v>0</v>
      </c>
      <c r="AJ52" s="275">
        <f t="shared" si="24"/>
        <v>0</v>
      </c>
      <c r="AK52" s="275">
        <f t="shared" si="24"/>
        <v>0</v>
      </c>
      <c r="AL52" s="275">
        <f t="shared" si="24"/>
        <v>0</v>
      </c>
      <c r="AM52" s="275">
        <f t="shared" si="24"/>
        <v>0</v>
      </c>
      <c r="AN52" s="275">
        <f t="shared" si="24"/>
        <v>0</v>
      </c>
      <c r="AO52" s="275">
        <f t="shared" si="24"/>
        <v>0</v>
      </c>
      <c r="AP52" s="275">
        <f t="shared" si="24"/>
        <v>0</v>
      </c>
      <c r="AQ52" s="275">
        <f t="shared" si="24"/>
        <v>0</v>
      </c>
      <c r="AR52" s="275">
        <f t="shared" si="24"/>
        <v>0</v>
      </c>
      <c r="AS52" s="275">
        <f t="shared" si="24"/>
        <v>0</v>
      </c>
      <c r="AT52" s="275">
        <f t="shared" si="24"/>
        <v>0</v>
      </c>
      <c r="AU52" s="453">
        <f t="shared" si="23"/>
        <v>0</v>
      </c>
    </row>
    <row r="53" spans="2:47" ht="30" x14ac:dyDescent="0.25">
      <c r="B53" s="838" t="s">
        <v>1251</v>
      </c>
      <c r="C53" s="814" t="s">
        <v>126</v>
      </c>
      <c r="D53" s="369">
        <v>51852.04</v>
      </c>
      <c r="E53" s="1196"/>
      <c r="F53" s="840">
        <f>D53*E53</f>
        <v>0</v>
      </c>
      <c r="G53" s="850"/>
      <c r="H53" s="834" t="s">
        <v>1057</v>
      </c>
      <c r="I53" s="503"/>
      <c r="J53" s="849" t="s">
        <v>1250</v>
      </c>
      <c r="K53" s="99">
        <f t="shared" si="3"/>
        <v>0</v>
      </c>
      <c r="L53" s="817">
        <f>F53*0.6049657</f>
        <v>0</v>
      </c>
      <c r="M53" s="275">
        <f>F53*0.0977219</f>
        <v>0</v>
      </c>
      <c r="N53" s="275">
        <f>F53*0.277937976866007</f>
        <v>0</v>
      </c>
      <c r="O53" s="275">
        <f>F53-L53-M53-N53</f>
        <v>0</v>
      </c>
      <c r="P53" s="817"/>
      <c r="Q53" s="817"/>
      <c r="R53" s="817"/>
      <c r="S53" s="817"/>
      <c r="T53" s="817"/>
      <c r="U53" s="817"/>
      <c r="V53" s="817"/>
      <c r="W53" s="817"/>
      <c r="X53" s="817"/>
      <c r="Y53" s="817"/>
      <c r="Z53" s="817"/>
      <c r="AA53" s="817"/>
      <c r="AB53" s="817"/>
      <c r="AC53" s="817"/>
      <c r="AD53" s="817"/>
      <c r="AE53" s="817"/>
      <c r="AF53" s="817"/>
      <c r="AG53" s="817"/>
      <c r="AH53" s="817"/>
      <c r="AI53" s="817"/>
      <c r="AJ53" s="817"/>
      <c r="AK53" s="817"/>
      <c r="AL53" s="817"/>
      <c r="AM53" s="817"/>
      <c r="AN53" s="817"/>
      <c r="AO53" s="817"/>
      <c r="AP53" s="817"/>
      <c r="AQ53" s="817"/>
      <c r="AR53" s="817"/>
      <c r="AS53" s="817"/>
      <c r="AT53" s="817"/>
      <c r="AU53" s="453">
        <f t="shared" si="23"/>
        <v>0</v>
      </c>
    </row>
    <row r="55" spans="2:47" x14ac:dyDescent="0.25">
      <c r="J55" s="553" t="s">
        <v>1252</v>
      </c>
      <c r="K55" s="553" t="s">
        <v>15</v>
      </c>
      <c r="L55" s="553">
        <v>0</v>
      </c>
      <c r="M55" s="553">
        <v>0</v>
      </c>
      <c r="N55" s="553">
        <v>6.278210780483684E-3</v>
      </c>
      <c r="O55" s="553">
        <v>1.2052295824150332E-2</v>
      </c>
      <c r="P55" s="553">
        <v>2.0774047032522218E-2</v>
      </c>
      <c r="Q55" s="553">
        <v>2.4940492894068508E-2</v>
      </c>
      <c r="R55" s="553">
        <v>2.9102114920654783E-2</v>
      </c>
      <c r="S55" s="553">
        <v>3.4939585664234246E-2</v>
      </c>
      <c r="T55" s="553">
        <v>3.8332685266722767E-2</v>
      </c>
      <c r="U55" s="553">
        <v>4.3479222169170773E-2</v>
      </c>
      <c r="V55" s="553">
        <v>3.863389033247621E-2</v>
      </c>
      <c r="W55" s="553">
        <v>4.7986124704819985E-2</v>
      </c>
      <c r="X55" s="553">
        <v>4.6523953379265945E-2</v>
      </c>
      <c r="Y55" s="553">
        <v>3.9530468054521969E-2</v>
      </c>
      <c r="Z55" s="553">
        <v>3.6770254246088457E-2</v>
      </c>
      <c r="AA55" s="553">
        <v>4.141242962785547E-2</v>
      </c>
      <c r="AB55" s="553">
        <v>4.9930463458407084E-2</v>
      </c>
      <c r="AC55" s="553">
        <v>3.8573287017600176E-2</v>
      </c>
      <c r="AD55" s="553">
        <v>3.7419504310262947E-2</v>
      </c>
      <c r="AE55" s="553">
        <v>4.8806529764556579E-2</v>
      </c>
      <c r="AF55" s="553">
        <v>4.6242697518472667E-2</v>
      </c>
      <c r="AG55" s="553">
        <v>3.9424773690598443E-2</v>
      </c>
      <c r="AH55" s="553">
        <v>3.460619489238307E-2</v>
      </c>
      <c r="AI55" s="553">
        <v>4.6195440899105725E-2</v>
      </c>
      <c r="AJ55" s="553">
        <v>4.6524737717810002E-2</v>
      </c>
      <c r="AK55" s="553">
        <v>3.6714775751631672E-2</v>
      </c>
      <c r="AL55" s="553">
        <v>3.5088168491637504E-2</v>
      </c>
      <c r="AM55" s="553">
        <v>4.364070096703522E-2</v>
      </c>
      <c r="AN55" s="553">
        <v>4.7663658354122604E-2</v>
      </c>
      <c r="AO55" s="553">
        <v>4.1356362696767728E-2</v>
      </c>
      <c r="AP55" s="553">
        <v>3.9302292507967865E-2</v>
      </c>
      <c r="AQ55" s="553">
        <v>5.1410820796880009E-2</v>
      </c>
      <c r="AR55" s="553">
        <v>5.2808900407397781E-2</v>
      </c>
      <c r="AS55" s="553">
        <v>4.6894659357463064E-2</v>
      </c>
      <c r="AT55" s="553">
        <v>4.5072785954641884E-2</v>
      </c>
      <c r="AU55" s="856"/>
    </row>
    <row r="57" spans="2:47" x14ac:dyDescent="0.25">
      <c r="L57" s="857"/>
      <c r="M57" s="857"/>
      <c r="N57" s="857"/>
      <c r="O57" s="857"/>
      <c r="P57" s="857"/>
      <c r="Q57" s="857"/>
      <c r="R57" s="857"/>
      <c r="S57" s="857"/>
      <c r="T57" s="857"/>
      <c r="U57" s="857"/>
      <c r="V57" s="857"/>
      <c r="W57" s="857"/>
      <c r="X57" s="857"/>
      <c r="Y57" s="857"/>
      <c r="Z57" s="857"/>
      <c r="AA57" s="857"/>
      <c r="AB57" s="857"/>
      <c r="AC57" s="857"/>
      <c r="AD57" s="857"/>
      <c r="AE57" s="857"/>
      <c r="AF57" s="857"/>
      <c r="AG57" s="857"/>
      <c r="AH57" s="857"/>
      <c r="AI57" s="857"/>
      <c r="AJ57" s="857"/>
      <c r="AK57" s="857"/>
      <c r="AL57" s="857"/>
      <c r="AM57" s="857"/>
      <c r="AN57" s="857"/>
      <c r="AO57" s="857"/>
      <c r="AP57" s="857"/>
      <c r="AQ57" s="857"/>
      <c r="AR57" s="857"/>
      <c r="AS57" s="857"/>
      <c r="AT57" s="857"/>
      <c r="AU57" s="857"/>
    </row>
  </sheetData>
  <mergeCells count="5">
    <mergeCell ref="B3:B4"/>
    <mergeCell ref="C3:G3"/>
    <mergeCell ref="H3:H4"/>
    <mergeCell ref="K3:K4"/>
    <mergeCell ref="J3:J4"/>
  </mergeCells>
  <pageMargins left="0.511811024" right="0.511811024" top="0.78740157499999996" bottom="0.78740157499999996" header="0.31496062000000002" footer="0.3149606200000000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M21"/>
  <sheetViews>
    <sheetView showGridLines="0" workbookViewId="0">
      <selection activeCell="D2" sqref="D2"/>
    </sheetView>
  </sheetViews>
  <sheetFormatPr defaultRowHeight="15" x14ac:dyDescent="0.25"/>
  <cols>
    <col min="1" max="1" width="14.85546875" bestFit="1" customWidth="1"/>
    <col min="2" max="2" width="6.5703125" customWidth="1"/>
    <col min="3" max="3" width="33" customWidth="1"/>
    <col min="4" max="4" width="14.140625" customWidth="1"/>
    <col min="5" max="34" width="15.7109375" customWidth="1"/>
    <col min="35" max="39" width="12.140625" bestFit="1" customWidth="1"/>
  </cols>
  <sheetData>
    <row r="1" spans="1:39" x14ac:dyDescent="0.25">
      <c r="A1" s="309" t="s">
        <v>520</v>
      </c>
      <c r="B1" s="1170" t="s">
        <v>369</v>
      </c>
      <c r="C1" s="1170"/>
      <c r="D1" s="127" t="s">
        <v>229</v>
      </c>
      <c r="E1" s="18"/>
      <c r="F1" s="18"/>
      <c r="G1" s="18"/>
      <c r="H1" s="84"/>
      <c r="I1" s="18"/>
      <c r="J1" s="18"/>
      <c r="K1" s="18"/>
      <c r="L1" s="18"/>
      <c r="M1" s="18"/>
      <c r="N1" s="18"/>
      <c r="O1" s="18"/>
      <c r="P1" s="18"/>
      <c r="Q1" s="18"/>
      <c r="R1" s="18"/>
      <c r="S1" s="18"/>
      <c r="T1" s="18"/>
      <c r="U1" s="18"/>
      <c r="V1" s="18"/>
      <c r="W1" s="18"/>
      <c r="X1" s="18"/>
      <c r="Y1" s="18"/>
      <c r="Z1" s="18"/>
      <c r="AA1" s="18"/>
      <c r="AB1" s="18"/>
      <c r="AC1" s="18"/>
      <c r="AD1" s="18"/>
      <c r="AE1" s="18"/>
      <c r="AF1" s="18"/>
      <c r="AG1" s="18"/>
      <c r="AH1" s="18"/>
    </row>
    <row r="2" spans="1:39" x14ac:dyDescent="0.25">
      <c r="A2" s="145" t="s">
        <v>526</v>
      </c>
      <c r="B2" s="128">
        <v>1</v>
      </c>
      <c r="C2" s="128" t="s">
        <v>337</v>
      </c>
      <c r="D2" s="356"/>
      <c r="E2" s="18"/>
      <c r="F2" s="18"/>
      <c r="G2" s="18"/>
      <c r="H2" s="84"/>
      <c r="I2" s="18"/>
      <c r="J2" s="18"/>
      <c r="K2" s="18"/>
      <c r="L2" s="18"/>
      <c r="M2" s="18"/>
      <c r="N2" s="18"/>
      <c r="O2" s="18"/>
      <c r="P2" s="18"/>
      <c r="Q2" s="18"/>
      <c r="R2" s="18"/>
      <c r="S2" s="18"/>
      <c r="T2" s="18"/>
      <c r="U2" s="18"/>
      <c r="V2" s="18"/>
      <c r="W2" s="18"/>
      <c r="X2" s="18"/>
      <c r="Y2" s="18"/>
      <c r="Z2" s="18"/>
      <c r="AA2" s="18"/>
      <c r="AB2" s="18"/>
      <c r="AC2" s="18"/>
      <c r="AD2" s="18"/>
      <c r="AE2" s="18"/>
      <c r="AF2" s="18"/>
      <c r="AG2" s="18"/>
      <c r="AH2" s="18"/>
    </row>
    <row r="3" spans="1:39" x14ac:dyDescent="0.25">
      <c r="A3" s="213" t="s">
        <v>522</v>
      </c>
      <c r="B3" s="259">
        <v>2</v>
      </c>
      <c r="C3" s="259" t="s">
        <v>338</v>
      </c>
      <c r="D3" s="260">
        <f>D2*0.5</f>
        <v>0</v>
      </c>
      <c r="E3" s="18"/>
      <c r="F3" s="18"/>
      <c r="G3" s="18"/>
      <c r="H3" s="84"/>
      <c r="I3" s="18"/>
      <c r="J3" s="18"/>
      <c r="K3" s="18"/>
      <c r="L3" s="18"/>
      <c r="M3" s="18"/>
      <c r="N3" s="18"/>
      <c r="O3" s="18"/>
      <c r="P3" s="18"/>
      <c r="Q3" s="18"/>
      <c r="R3" s="18"/>
      <c r="S3" s="18"/>
      <c r="T3" s="18"/>
      <c r="U3" s="18"/>
      <c r="V3" s="18"/>
      <c r="W3" s="18"/>
      <c r="X3" s="18"/>
      <c r="Y3" s="18"/>
      <c r="Z3" s="18"/>
      <c r="AA3" s="18"/>
      <c r="AB3" s="18"/>
      <c r="AC3" s="18"/>
      <c r="AD3" s="18"/>
      <c r="AE3" s="18"/>
      <c r="AF3" s="18"/>
      <c r="AG3" s="18"/>
      <c r="AH3" s="18"/>
    </row>
    <row r="4" spans="1:39" x14ac:dyDescent="0.25">
      <c r="B4" s="1141" t="s">
        <v>215</v>
      </c>
      <c r="C4" s="1141"/>
      <c r="D4" s="1141" t="s">
        <v>216</v>
      </c>
      <c r="E4" s="136">
        <f>'FCD PROJETO'!F23</f>
        <v>1</v>
      </c>
      <c r="F4" s="136">
        <f>'FCD PROJETO'!G23</f>
        <v>2</v>
      </c>
      <c r="G4" s="136">
        <f>'FCD PROJETO'!H23</f>
        <v>3</v>
      </c>
      <c r="H4" s="136">
        <f>'FCD PROJETO'!I23</f>
        <v>4</v>
      </c>
      <c r="I4" s="136">
        <f>'FCD PROJETO'!J23</f>
        <v>5</v>
      </c>
      <c r="J4" s="136">
        <f>'FCD PROJETO'!K23</f>
        <v>6</v>
      </c>
      <c r="K4" s="136">
        <f>'FCD PROJETO'!L23</f>
        <v>7</v>
      </c>
      <c r="L4" s="136">
        <f>'FCD PROJETO'!M23</f>
        <v>8</v>
      </c>
      <c r="M4" s="136">
        <f>'FCD PROJETO'!N23</f>
        <v>9</v>
      </c>
      <c r="N4" s="136">
        <f>'FCD PROJETO'!O23</f>
        <v>10</v>
      </c>
      <c r="O4" s="136">
        <f>'FCD PROJETO'!P23</f>
        <v>11</v>
      </c>
      <c r="P4" s="136">
        <f>'FCD PROJETO'!Q23</f>
        <v>12</v>
      </c>
      <c r="Q4" s="136">
        <f>'FCD PROJETO'!R23</f>
        <v>13</v>
      </c>
      <c r="R4" s="136">
        <f>'FCD PROJETO'!S23</f>
        <v>14</v>
      </c>
      <c r="S4" s="136">
        <f>'FCD PROJETO'!T23</f>
        <v>15</v>
      </c>
      <c r="T4" s="136">
        <f>'FCD PROJETO'!U23</f>
        <v>16</v>
      </c>
      <c r="U4" s="136">
        <f>'FCD PROJETO'!V23</f>
        <v>17</v>
      </c>
      <c r="V4" s="136">
        <f>'FCD PROJETO'!W23</f>
        <v>18</v>
      </c>
      <c r="W4" s="136">
        <f>'FCD PROJETO'!X23</f>
        <v>19</v>
      </c>
      <c r="X4" s="136">
        <f>'FCD PROJETO'!Y23</f>
        <v>20</v>
      </c>
      <c r="Y4" s="136">
        <f>'FCD PROJETO'!Z23</f>
        <v>21</v>
      </c>
      <c r="Z4" s="136">
        <f>'FCD PROJETO'!AA23</f>
        <v>22</v>
      </c>
      <c r="AA4" s="136">
        <f>'FCD PROJETO'!AB23</f>
        <v>23</v>
      </c>
      <c r="AB4" s="136">
        <f>'FCD PROJETO'!AC23</f>
        <v>24</v>
      </c>
      <c r="AC4" s="136">
        <f>'FCD PROJETO'!AD23</f>
        <v>25</v>
      </c>
      <c r="AD4" s="136">
        <f>'FCD PROJETO'!AE23</f>
        <v>26</v>
      </c>
      <c r="AE4" s="136">
        <f>'FCD PROJETO'!AF23</f>
        <v>27</v>
      </c>
      <c r="AF4" s="136">
        <f>'FCD PROJETO'!AG23</f>
        <v>28</v>
      </c>
      <c r="AG4" s="136">
        <f>'FCD PROJETO'!AH23</f>
        <v>29</v>
      </c>
      <c r="AH4" s="136">
        <f>'FCD PROJETO'!AI23</f>
        <v>30</v>
      </c>
      <c r="AI4" s="136">
        <f>'FCD PROJETO'!AJ23</f>
        <v>31</v>
      </c>
      <c r="AJ4" s="136">
        <f>'FCD PROJETO'!AK23</f>
        <v>32</v>
      </c>
      <c r="AK4" s="136">
        <f>'FCD PROJETO'!AL23</f>
        <v>33</v>
      </c>
      <c r="AL4" s="136">
        <f>'FCD PROJETO'!AM23</f>
        <v>34</v>
      </c>
      <c r="AM4" s="136">
        <f>'FCD PROJETO'!AN23</f>
        <v>35</v>
      </c>
    </row>
    <row r="5" spans="1:39" x14ac:dyDescent="0.25">
      <c r="B5" s="1141"/>
      <c r="C5" s="1141"/>
      <c r="D5" s="1141"/>
      <c r="E5" s="136">
        <f>'FCD PROJETO'!F24</f>
        <v>2027</v>
      </c>
      <c r="F5" s="136">
        <f>'FCD PROJETO'!G24</f>
        <v>2028</v>
      </c>
      <c r="G5" s="136">
        <f>'FCD PROJETO'!H24</f>
        <v>2029</v>
      </c>
      <c r="H5" s="136">
        <f>'FCD PROJETO'!I24</f>
        <v>2030</v>
      </c>
      <c r="I5" s="136">
        <f>'FCD PROJETO'!J24</f>
        <v>2031</v>
      </c>
      <c r="J5" s="136">
        <f>'FCD PROJETO'!K24</f>
        <v>2032</v>
      </c>
      <c r="K5" s="136">
        <f>'FCD PROJETO'!L24</f>
        <v>2033</v>
      </c>
      <c r="L5" s="136">
        <f>'FCD PROJETO'!M24</f>
        <v>2034</v>
      </c>
      <c r="M5" s="136">
        <f>'FCD PROJETO'!N24</f>
        <v>2035</v>
      </c>
      <c r="N5" s="136">
        <f>'FCD PROJETO'!O24</f>
        <v>2036</v>
      </c>
      <c r="O5" s="136">
        <f>'FCD PROJETO'!P24</f>
        <v>2037</v>
      </c>
      <c r="P5" s="136">
        <f>'FCD PROJETO'!Q24</f>
        <v>2038</v>
      </c>
      <c r="Q5" s="136">
        <f>'FCD PROJETO'!R24</f>
        <v>2039</v>
      </c>
      <c r="R5" s="136">
        <f>'FCD PROJETO'!S24</f>
        <v>2040</v>
      </c>
      <c r="S5" s="136">
        <f>'FCD PROJETO'!T24</f>
        <v>2041</v>
      </c>
      <c r="T5" s="136">
        <f>'FCD PROJETO'!U24</f>
        <v>2042</v>
      </c>
      <c r="U5" s="136">
        <f>'FCD PROJETO'!V24</f>
        <v>2043</v>
      </c>
      <c r="V5" s="136">
        <f>'FCD PROJETO'!W24</f>
        <v>2044</v>
      </c>
      <c r="W5" s="136">
        <f>'FCD PROJETO'!X24</f>
        <v>2045</v>
      </c>
      <c r="X5" s="136">
        <f>'FCD PROJETO'!Y24</f>
        <v>2046</v>
      </c>
      <c r="Y5" s="136">
        <f>'FCD PROJETO'!Z24</f>
        <v>2047</v>
      </c>
      <c r="Z5" s="136">
        <f>'FCD PROJETO'!AA24</f>
        <v>2048</v>
      </c>
      <c r="AA5" s="136">
        <f>'FCD PROJETO'!AB24</f>
        <v>2049</v>
      </c>
      <c r="AB5" s="136">
        <f>'FCD PROJETO'!AC24</f>
        <v>2050</v>
      </c>
      <c r="AC5" s="136">
        <f>'FCD PROJETO'!AD24</f>
        <v>2051</v>
      </c>
      <c r="AD5" s="136">
        <f>'FCD PROJETO'!AE24</f>
        <v>2052</v>
      </c>
      <c r="AE5" s="136">
        <f>'FCD PROJETO'!AF24</f>
        <v>2053</v>
      </c>
      <c r="AF5" s="136">
        <f>'FCD PROJETO'!AG24</f>
        <v>2054</v>
      </c>
      <c r="AG5" s="136">
        <f>'FCD PROJETO'!AH24</f>
        <v>2055</v>
      </c>
      <c r="AH5" s="136">
        <f>'FCD PROJETO'!AI24</f>
        <v>2056</v>
      </c>
      <c r="AI5" s="136">
        <f>'FCD PROJETO'!AJ24</f>
        <v>2057</v>
      </c>
      <c r="AJ5" s="136">
        <f>'FCD PROJETO'!AK24</f>
        <v>2058</v>
      </c>
      <c r="AK5" s="136">
        <f>'FCD PROJETO'!AL24</f>
        <v>2059</v>
      </c>
      <c r="AL5" s="136">
        <f>'FCD PROJETO'!AM24</f>
        <v>2060</v>
      </c>
      <c r="AM5" s="136">
        <f>'FCD PROJETO'!AN24</f>
        <v>2061</v>
      </c>
    </row>
    <row r="6" spans="1:39" x14ac:dyDescent="0.25">
      <c r="B6" s="1158" t="s">
        <v>3</v>
      </c>
      <c r="C6" s="20" t="s">
        <v>127</v>
      </c>
      <c r="D6" s="150" t="s">
        <v>307</v>
      </c>
      <c r="E6" s="251">
        <f>'Base Física'!F59</f>
        <v>0</v>
      </c>
      <c r="F6" s="251">
        <f>'Base Física'!G59</f>
        <v>0</v>
      </c>
      <c r="G6" s="251">
        <f>'Base Física'!H59</f>
        <v>0</v>
      </c>
      <c r="H6" s="251">
        <f>'Base Física'!I59</f>
        <v>0</v>
      </c>
      <c r="I6" s="251">
        <f>'Base Física'!J59</f>
        <v>0</v>
      </c>
      <c r="J6" s="251">
        <f>'Base Física'!K59</f>
        <v>0</v>
      </c>
      <c r="K6" s="251">
        <f>'Base Física'!L59</f>
        <v>0</v>
      </c>
      <c r="L6" s="251">
        <f>'Base Física'!M59</f>
        <v>0</v>
      </c>
      <c r="M6" s="251">
        <f>'Base Física'!N59</f>
        <v>0</v>
      </c>
      <c r="N6" s="251">
        <f>'Base Física'!O59</f>
        <v>0</v>
      </c>
      <c r="O6" s="251">
        <f>'Base Física'!P59</f>
        <v>0</v>
      </c>
      <c r="P6" s="251">
        <f>'Base Física'!Q59</f>
        <v>0</v>
      </c>
      <c r="Q6" s="251">
        <f>'Base Física'!R59</f>
        <v>0</v>
      </c>
      <c r="R6" s="251">
        <f>'Base Física'!S59</f>
        <v>0</v>
      </c>
      <c r="S6" s="251">
        <f>'Base Física'!T59</f>
        <v>0</v>
      </c>
      <c r="T6" s="251">
        <f>'Base Física'!U59</f>
        <v>0</v>
      </c>
      <c r="U6" s="251">
        <f>'Base Física'!V59</f>
        <v>0</v>
      </c>
      <c r="V6" s="251">
        <f>'Base Física'!W59</f>
        <v>0</v>
      </c>
      <c r="W6" s="251">
        <f>'Base Física'!X59</f>
        <v>0</v>
      </c>
      <c r="X6" s="251">
        <f>'Base Física'!Y59</f>
        <v>0</v>
      </c>
      <c r="Y6" s="251">
        <f>'Base Física'!Z59</f>
        <v>0</v>
      </c>
      <c r="Z6" s="251">
        <f>'Base Física'!AA59</f>
        <v>0</v>
      </c>
      <c r="AA6" s="251">
        <f>'Base Física'!AB59</f>
        <v>0</v>
      </c>
      <c r="AB6" s="251">
        <f>'Base Física'!AC59</f>
        <v>0</v>
      </c>
      <c r="AC6" s="251">
        <f>'Base Física'!AD59</f>
        <v>0</v>
      </c>
      <c r="AD6" s="251">
        <f>'Base Física'!AE59</f>
        <v>0</v>
      </c>
      <c r="AE6" s="251">
        <f>'Base Física'!AF59</f>
        <v>0</v>
      </c>
      <c r="AF6" s="251">
        <f>'Base Física'!AG59</f>
        <v>0</v>
      </c>
      <c r="AG6" s="251">
        <f>'Base Física'!AH59</f>
        <v>0</v>
      </c>
      <c r="AH6" s="251">
        <f>'Base Física'!AI59</f>
        <v>0</v>
      </c>
      <c r="AI6" s="251">
        <f>'Base Física'!AJ59</f>
        <v>0</v>
      </c>
      <c r="AJ6" s="251">
        <f>'Base Física'!AK59</f>
        <v>0</v>
      </c>
      <c r="AK6" s="251">
        <f>'Base Física'!AL59</f>
        <v>0</v>
      </c>
      <c r="AL6" s="251">
        <f>'Base Física'!AM59</f>
        <v>0</v>
      </c>
      <c r="AM6" s="251">
        <f>'Base Física'!AN59</f>
        <v>0</v>
      </c>
    </row>
    <row r="7" spans="1:39" x14ac:dyDescent="0.25">
      <c r="B7" s="1158"/>
      <c r="C7" s="20"/>
      <c r="D7" s="20" t="s">
        <v>311</v>
      </c>
      <c r="E7" s="253">
        <f>E6*$D$2</f>
        <v>0</v>
      </c>
      <c r="F7" s="253">
        <f t="shared" ref="F7:AH7" si="0">F6*$D$2</f>
        <v>0</v>
      </c>
      <c r="G7" s="253">
        <f t="shared" si="0"/>
        <v>0</v>
      </c>
      <c r="H7" s="253">
        <f t="shared" si="0"/>
        <v>0</v>
      </c>
      <c r="I7" s="253">
        <f t="shared" si="0"/>
        <v>0</v>
      </c>
      <c r="J7" s="253">
        <f t="shared" si="0"/>
        <v>0</v>
      </c>
      <c r="K7" s="253">
        <f t="shared" si="0"/>
        <v>0</v>
      </c>
      <c r="L7" s="253">
        <f t="shared" si="0"/>
        <v>0</v>
      </c>
      <c r="M7" s="253">
        <f t="shared" si="0"/>
        <v>0</v>
      </c>
      <c r="N7" s="253">
        <f t="shared" si="0"/>
        <v>0</v>
      </c>
      <c r="O7" s="253">
        <f t="shared" si="0"/>
        <v>0</v>
      </c>
      <c r="P7" s="253">
        <f t="shared" si="0"/>
        <v>0</v>
      </c>
      <c r="Q7" s="253">
        <f t="shared" si="0"/>
        <v>0</v>
      </c>
      <c r="R7" s="253">
        <f t="shared" si="0"/>
        <v>0</v>
      </c>
      <c r="S7" s="253">
        <f t="shared" si="0"/>
        <v>0</v>
      </c>
      <c r="T7" s="253">
        <f t="shared" si="0"/>
        <v>0</v>
      </c>
      <c r="U7" s="253">
        <f t="shared" si="0"/>
        <v>0</v>
      </c>
      <c r="V7" s="253">
        <f t="shared" si="0"/>
        <v>0</v>
      </c>
      <c r="W7" s="253">
        <f t="shared" si="0"/>
        <v>0</v>
      </c>
      <c r="X7" s="253">
        <f t="shared" si="0"/>
        <v>0</v>
      </c>
      <c r="Y7" s="253">
        <f t="shared" si="0"/>
        <v>0</v>
      </c>
      <c r="Z7" s="253">
        <f t="shared" si="0"/>
        <v>0</v>
      </c>
      <c r="AA7" s="253">
        <f t="shared" si="0"/>
        <v>0</v>
      </c>
      <c r="AB7" s="253">
        <f t="shared" si="0"/>
        <v>0</v>
      </c>
      <c r="AC7" s="253">
        <f t="shared" si="0"/>
        <v>0</v>
      </c>
      <c r="AD7" s="253">
        <f t="shared" si="0"/>
        <v>0</v>
      </c>
      <c r="AE7" s="253">
        <f t="shared" si="0"/>
        <v>0</v>
      </c>
      <c r="AF7" s="253">
        <f t="shared" si="0"/>
        <v>0</v>
      </c>
      <c r="AG7" s="253">
        <f t="shared" si="0"/>
        <v>0</v>
      </c>
      <c r="AH7" s="253">
        <f t="shared" si="0"/>
        <v>0</v>
      </c>
      <c r="AI7" s="253">
        <f t="shared" ref="AI7:AM7" si="1">AI6*$D$2</f>
        <v>0</v>
      </c>
      <c r="AJ7" s="253">
        <f t="shared" si="1"/>
        <v>0</v>
      </c>
      <c r="AK7" s="253">
        <f t="shared" si="1"/>
        <v>0</v>
      </c>
      <c r="AL7" s="253">
        <f t="shared" si="1"/>
        <v>0</v>
      </c>
      <c r="AM7" s="253">
        <f t="shared" si="1"/>
        <v>0</v>
      </c>
    </row>
    <row r="8" spans="1:39" x14ac:dyDescent="0.25">
      <c r="B8" s="1158" t="s">
        <v>4</v>
      </c>
      <c r="C8" s="20" t="s">
        <v>328</v>
      </c>
      <c r="D8" s="150" t="s">
        <v>307</v>
      </c>
      <c r="E8" s="251">
        <f>'Base Física'!F68</f>
        <v>0</v>
      </c>
      <c r="F8" s="251">
        <f>'Base Física'!G68</f>
        <v>0</v>
      </c>
      <c r="G8" s="251">
        <f>'Base Física'!H68</f>
        <v>0</v>
      </c>
      <c r="H8" s="251">
        <f>'Base Física'!I68</f>
        <v>0</v>
      </c>
      <c r="I8" s="251">
        <f>'Base Física'!J68</f>
        <v>0</v>
      </c>
      <c r="J8" s="251">
        <f>'Base Física'!K68</f>
        <v>0</v>
      </c>
      <c r="K8" s="251">
        <f>'Base Física'!L68</f>
        <v>0</v>
      </c>
      <c r="L8" s="251">
        <f>'Base Física'!M68</f>
        <v>0</v>
      </c>
      <c r="M8" s="251">
        <f>'Base Física'!N68</f>
        <v>0</v>
      </c>
      <c r="N8" s="251">
        <f>'Base Física'!O68</f>
        <v>0</v>
      </c>
      <c r="O8" s="251">
        <f>'Base Física'!P68</f>
        <v>0</v>
      </c>
      <c r="P8" s="251">
        <f>'Base Física'!Q68</f>
        <v>0</v>
      </c>
      <c r="Q8" s="251">
        <f>'Base Física'!R68</f>
        <v>0</v>
      </c>
      <c r="R8" s="251">
        <f>'Base Física'!S68</f>
        <v>0</v>
      </c>
      <c r="S8" s="251">
        <f>'Base Física'!T68</f>
        <v>0</v>
      </c>
      <c r="T8" s="251">
        <f>'Base Física'!U68</f>
        <v>0</v>
      </c>
      <c r="U8" s="251">
        <f>'Base Física'!V68</f>
        <v>0</v>
      </c>
      <c r="V8" s="251">
        <f>'Base Física'!W68</f>
        <v>0</v>
      </c>
      <c r="W8" s="251">
        <f>'Base Física'!X68</f>
        <v>0</v>
      </c>
      <c r="X8" s="251">
        <f>'Base Física'!Y68</f>
        <v>0</v>
      </c>
      <c r="Y8" s="251">
        <f>'Base Física'!Z68</f>
        <v>0</v>
      </c>
      <c r="Z8" s="251">
        <f>'Base Física'!AA68</f>
        <v>0</v>
      </c>
      <c r="AA8" s="251">
        <f>'Base Física'!AB68</f>
        <v>0</v>
      </c>
      <c r="AB8" s="251">
        <f>'Base Física'!AC68</f>
        <v>0</v>
      </c>
      <c r="AC8" s="251">
        <f>'Base Física'!AD68</f>
        <v>0</v>
      </c>
      <c r="AD8" s="251">
        <f>'Base Física'!AE68</f>
        <v>0</v>
      </c>
      <c r="AE8" s="251">
        <f>'Base Física'!AF68</f>
        <v>0</v>
      </c>
      <c r="AF8" s="251">
        <f>'Base Física'!AG68</f>
        <v>0</v>
      </c>
      <c r="AG8" s="251">
        <f>'Base Física'!AH68</f>
        <v>0</v>
      </c>
      <c r="AH8" s="251">
        <f>'Base Física'!AI68</f>
        <v>0</v>
      </c>
      <c r="AI8" s="251">
        <f>'Base Física'!AJ68</f>
        <v>0</v>
      </c>
      <c r="AJ8" s="251">
        <f>'Base Física'!AK68</f>
        <v>0</v>
      </c>
      <c r="AK8" s="251">
        <f>'Base Física'!AL68</f>
        <v>0</v>
      </c>
      <c r="AL8" s="251">
        <f>'Base Física'!AM68</f>
        <v>0</v>
      </c>
      <c r="AM8" s="251">
        <f>'Base Física'!AN68</f>
        <v>0</v>
      </c>
    </row>
    <row r="9" spans="1:39" x14ac:dyDescent="0.25">
      <c r="B9" s="1158"/>
      <c r="C9" s="20"/>
      <c r="D9" s="20" t="s">
        <v>311</v>
      </c>
      <c r="E9" s="253">
        <f>E8*$D$3</f>
        <v>0</v>
      </c>
      <c r="F9" s="253">
        <f t="shared" ref="F9:AH9" si="2">F8*$D$3</f>
        <v>0</v>
      </c>
      <c r="G9" s="253">
        <f t="shared" si="2"/>
        <v>0</v>
      </c>
      <c r="H9" s="253">
        <f t="shared" si="2"/>
        <v>0</v>
      </c>
      <c r="I9" s="253">
        <f t="shared" si="2"/>
        <v>0</v>
      </c>
      <c r="J9" s="253">
        <f t="shared" si="2"/>
        <v>0</v>
      </c>
      <c r="K9" s="253">
        <f t="shared" si="2"/>
        <v>0</v>
      </c>
      <c r="L9" s="253">
        <f t="shared" si="2"/>
        <v>0</v>
      </c>
      <c r="M9" s="253">
        <f t="shared" si="2"/>
        <v>0</v>
      </c>
      <c r="N9" s="253">
        <f t="shared" si="2"/>
        <v>0</v>
      </c>
      <c r="O9" s="253">
        <f t="shared" si="2"/>
        <v>0</v>
      </c>
      <c r="P9" s="253">
        <f t="shared" si="2"/>
        <v>0</v>
      </c>
      <c r="Q9" s="253">
        <f t="shared" si="2"/>
        <v>0</v>
      </c>
      <c r="R9" s="253">
        <f t="shared" si="2"/>
        <v>0</v>
      </c>
      <c r="S9" s="253">
        <f t="shared" si="2"/>
        <v>0</v>
      </c>
      <c r="T9" s="253">
        <f t="shared" si="2"/>
        <v>0</v>
      </c>
      <c r="U9" s="253">
        <f t="shared" si="2"/>
        <v>0</v>
      </c>
      <c r="V9" s="253">
        <f t="shared" si="2"/>
        <v>0</v>
      </c>
      <c r="W9" s="253">
        <f t="shared" si="2"/>
        <v>0</v>
      </c>
      <c r="X9" s="253">
        <f t="shared" si="2"/>
        <v>0</v>
      </c>
      <c r="Y9" s="253">
        <f t="shared" si="2"/>
        <v>0</v>
      </c>
      <c r="Z9" s="253">
        <f t="shared" si="2"/>
        <v>0</v>
      </c>
      <c r="AA9" s="253">
        <f t="shared" si="2"/>
        <v>0</v>
      </c>
      <c r="AB9" s="253">
        <f t="shared" si="2"/>
        <v>0</v>
      </c>
      <c r="AC9" s="253">
        <f t="shared" si="2"/>
        <v>0</v>
      </c>
      <c r="AD9" s="253">
        <f t="shared" si="2"/>
        <v>0</v>
      </c>
      <c r="AE9" s="253">
        <f t="shared" si="2"/>
        <v>0</v>
      </c>
      <c r="AF9" s="253">
        <f t="shared" si="2"/>
        <v>0</v>
      </c>
      <c r="AG9" s="253">
        <f t="shared" si="2"/>
        <v>0</v>
      </c>
      <c r="AH9" s="253">
        <f t="shared" si="2"/>
        <v>0</v>
      </c>
      <c r="AI9" s="253">
        <f t="shared" ref="AI9:AM9" si="3">AI8*$D$3</f>
        <v>0</v>
      </c>
      <c r="AJ9" s="253">
        <f t="shared" si="3"/>
        <v>0</v>
      </c>
      <c r="AK9" s="253">
        <f t="shared" si="3"/>
        <v>0</v>
      </c>
      <c r="AL9" s="253">
        <f t="shared" si="3"/>
        <v>0</v>
      </c>
      <c r="AM9" s="253">
        <f t="shared" si="3"/>
        <v>0</v>
      </c>
    </row>
    <row r="10" spans="1:39" x14ac:dyDescent="0.25">
      <c r="A10" s="46"/>
      <c r="B10" s="1168" t="s">
        <v>317</v>
      </c>
      <c r="C10" s="1168"/>
      <c r="D10" s="1168"/>
      <c r="E10" s="255">
        <f t="shared" ref="E10:AM10" si="4">E7+E9</f>
        <v>0</v>
      </c>
      <c r="F10" s="255">
        <f t="shared" si="4"/>
        <v>0</v>
      </c>
      <c r="G10" s="255">
        <f t="shared" si="4"/>
        <v>0</v>
      </c>
      <c r="H10" s="255">
        <f t="shared" si="4"/>
        <v>0</v>
      </c>
      <c r="I10" s="255">
        <f t="shared" si="4"/>
        <v>0</v>
      </c>
      <c r="J10" s="255">
        <f t="shared" si="4"/>
        <v>0</v>
      </c>
      <c r="K10" s="255">
        <f t="shared" si="4"/>
        <v>0</v>
      </c>
      <c r="L10" s="255">
        <f t="shared" si="4"/>
        <v>0</v>
      </c>
      <c r="M10" s="255">
        <f t="shared" si="4"/>
        <v>0</v>
      </c>
      <c r="N10" s="255">
        <f t="shared" si="4"/>
        <v>0</v>
      </c>
      <c r="O10" s="255">
        <f t="shared" si="4"/>
        <v>0</v>
      </c>
      <c r="P10" s="255">
        <f t="shared" si="4"/>
        <v>0</v>
      </c>
      <c r="Q10" s="255">
        <f t="shared" si="4"/>
        <v>0</v>
      </c>
      <c r="R10" s="255">
        <f t="shared" si="4"/>
        <v>0</v>
      </c>
      <c r="S10" s="255">
        <f t="shared" si="4"/>
        <v>0</v>
      </c>
      <c r="T10" s="255">
        <f t="shared" si="4"/>
        <v>0</v>
      </c>
      <c r="U10" s="255">
        <f t="shared" si="4"/>
        <v>0</v>
      </c>
      <c r="V10" s="255">
        <f t="shared" si="4"/>
        <v>0</v>
      </c>
      <c r="W10" s="255">
        <f t="shared" si="4"/>
        <v>0</v>
      </c>
      <c r="X10" s="255">
        <f t="shared" si="4"/>
        <v>0</v>
      </c>
      <c r="Y10" s="255">
        <f t="shared" si="4"/>
        <v>0</v>
      </c>
      <c r="Z10" s="255">
        <f t="shared" si="4"/>
        <v>0</v>
      </c>
      <c r="AA10" s="255">
        <f t="shared" si="4"/>
        <v>0</v>
      </c>
      <c r="AB10" s="255">
        <f t="shared" si="4"/>
        <v>0</v>
      </c>
      <c r="AC10" s="255">
        <f t="shared" si="4"/>
        <v>0</v>
      </c>
      <c r="AD10" s="255">
        <f t="shared" si="4"/>
        <v>0</v>
      </c>
      <c r="AE10" s="255">
        <f t="shared" si="4"/>
        <v>0</v>
      </c>
      <c r="AF10" s="255">
        <f t="shared" si="4"/>
        <v>0</v>
      </c>
      <c r="AG10" s="255">
        <f t="shared" si="4"/>
        <v>0</v>
      </c>
      <c r="AH10" s="255">
        <f t="shared" si="4"/>
        <v>0</v>
      </c>
      <c r="AI10" s="255">
        <f t="shared" si="4"/>
        <v>0</v>
      </c>
      <c r="AJ10" s="255">
        <f t="shared" si="4"/>
        <v>0</v>
      </c>
      <c r="AK10" s="255">
        <f t="shared" si="4"/>
        <v>0</v>
      </c>
      <c r="AL10" s="255">
        <f t="shared" si="4"/>
        <v>0</v>
      </c>
      <c r="AM10" s="255">
        <f t="shared" si="4"/>
        <v>0</v>
      </c>
    </row>
    <row r="11" spans="1:39" x14ac:dyDescent="0.25">
      <c r="B11" s="18"/>
      <c r="C11" s="18"/>
      <c r="D11" s="18"/>
      <c r="E11" s="23"/>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23"/>
      <c r="AL11" s="23"/>
      <c r="AM11" s="23"/>
    </row>
    <row r="12" spans="1:39" x14ac:dyDescent="0.25">
      <c r="B12" s="18"/>
      <c r="C12" s="18"/>
      <c r="D12" s="18"/>
      <c r="E12" s="83"/>
      <c r="F12" s="83"/>
      <c r="G12" s="83"/>
      <c r="H12" s="83"/>
      <c r="I12" s="83"/>
      <c r="J12" s="83"/>
      <c r="K12" s="83"/>
      <c r="L12" s="83"/>
      <c r="M12" s="83"/>
      <c r="N12" s="83"/>
      <c r="O12" s="83"/>
      <c r="P12" s="83"/>
      <c r="Q12" s="83"/>
      <c r="R12" s="83"/>
      <c r="S12" s="83"/>
      <c r="T12" s="83"/>
      <c r="U12" s="83"/>
      <c r="V12" s="83"/>
      <c r="W12" s="83"/>
      <c r="X12" s="83"/>
      <c r="Y12" s="83"/>
      <c r="Z12" s="83"/>
      <c r="AA12" s="83"/>
      <c r="AB12" s="83"/>
      <c r="AC12" s="83"/>
      <c r="AD12" s="83"/>
      <c r="AE12" s="83"/>
      <c r="AF12" s="83"/>
      <c r="AG12" s="83"/>
      <c r="AH12" s="83"/>
      <c r="AI12" s="83"/>
      <c r="AJ12" s="83"/>
      <c r="AK12" s="83"/>
      <c r="AL12" s="83"/>
      <c r="AM12" s="83"/>
    </row>
    <row r="13" spans="1:39" x14ac:dyDescent="0.25">
      <c r="B13" s="18"/>
      <c r="C13" s="18"/>
      <c r="D13" s="18"/>
      <c r="E13" s="23"/>
      <c r="F13" s="23"/>
      <c r="G13" s="23"/>
      <c r="H13" s="75"/>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row>
    <row r="14" spans="1:39" x14ac:dyDescent="0.25">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8"/>
      <c r="AH14" s="18"/>
    </row>
    <row r="15" spans="1:39" x14ac:dyDescent="0.25">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8"/>
      <c r="AH15" s="18"/>
    </row>
    <row r="16" spans="1:39" x14ac:dyDescent="0.25">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8"/>
    </row>
    <row r="17" spans="2:34" x14ac:dyDescent="0.25">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8"/>
      <c r="AH17" s="18"/>
    </row>
    <row r="18" spans="2:34" x14ac:dyDescent="0.25">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8"/>
      <c r="AH18" s="18"/>
    </row>
    <row r="19" spans="2:34" x14ac:dyDescent="0.25">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8"/>
      <c r="AH19" s="18"/>
    </row>
    <row r="20" spans="2:34" x14ac:dyDescent="0.25">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row>
    <row r="21" spans="2:34" x14ac:dyDescent="0.25">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8"/>
      <c r="AH21" s="18"/>
    </row>
  </sheetData>
  <mergeCells count="6">
    <mergeCell ref="B1:C1"/>
    <mergeCell ref="B6:B7"/>
    <mergeCell ref="B8:B9"/>
    <mergeCell ref="B10:D10"/>
    <mergeCell ref="B4:C5"/>
    <mergeCell ref="D4:D5"/>
  </mergeCells>
  <pageMargins left="0.511811024" right="0.511811024" top="0.78740157499999996" bottom="0.78740157499999996" header="0.31496062000000002" footer="0.3149606200000000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BB46"/>
  <sheetViews>
    <sheetView showGridLines="0" topLeftCell="A10" zoomScaleNormal="100" workbookViewId="0">
      <selection activeCell="D31" sqref="D31:AL31"/>
    </sheetView>
  </sheetViews>
  <sheetFormatPr defaultRowHeight="15" x14ac:dyDescent="0.25"/>
  <cols>
    <col min="1" max="1" width="23.28515625" customWidth="1"/>
    <col min="2" max="2" width="55.85546875" bestFit="1" customWidth="1"/>
    <col min="3" max="3" width="5.140625" customWidth="1"/>
    <col min="4" max="33" width="18.7109375" customWidth="1"/>
    <col min="34" max="38" width="22.42578125" customWidth="1"/>
    <col min="39" max="44" width="16.42578125" bestFit="1" customWidth="1"/>
    <col min="45" max="46" width="15.42578125" bestFit="1" customWidth="1"/>
    <col min="47" max="47" width="10.7109375" bestFit="1" customWidth="1"/>
  </cols>
  <sheetData>
    <row r="1" spans="1:54" x14ac:dyDescent="0.25">
      <c r="A1" s="309" t="s">
        <v>520</v>
      </c>
      <c r="D1" s="213" t="s">
        <v>522</v>
      </c>
    </row>
    <row r="2" spans="1:54" x14ac:dyDescent="0.25">
      <c r="A2" s="145" t="s">
        <v>521</v>
      </c>
    </row>
    <row r="3" spans="1:54" x14ac:dyDescent="0.25">
      <c r="A3" s="1176" t="s">
        <v>236</v>
      </c>
      <c r="B3" s="1176"/>
      <c r="C3" s="40"/>
      <c r="D3" s="40" t="s">
        <v>237</v>
      </c>
      <c r="E3" s="40" t="s">
        <v>238</v>
      </c>
      <c r="F3" s="94" t="s">
        <v>239</v>
      </c>
      <c r="G3" s="40" t="s">
        <v>240</v>
      </c>
      <c r="H3" s="4"/>
      <c r="I3" s="40" t="s">
        <v>241</v>
      </c>
    </row>
    <row r="4" spans="1:54" x14ac:dyDescent="0.25">
      <c r="A4" s="987" t="s">
        <v>242</v>
      </c>
      <c r="B4" s="4" t="s">
        <v>243</v>
      </c>
      <c r="C4" s="4"/>
      <c r="D4" s="425">
        <v>5.0000000000000001E-3</v>
      </c>
      <c r="E4" s="425">
        <v>1</v>
      </c>
      <c r="F4" s="4" t="s">
        <v>266</v>
      </c>
      <c r="G4" s="4" t="s">
        <v>244</v>
      </c>
      <c r="H4" s="4"/>
      <c r="I4" s="264">
        <f>D4*E4+D5*E5</f>
        <v>5.3500000000000006E-3</v>
      </c>
      <c r="K4" s="70"/>
    </row>
    <row r="5" spans="1:54" x14ac:dyDescent="0.25">
      <c r="A5" s="987"/>
      <c r="B5" s="4" t="s">
        <v>245</v>
      </c>
      <c r="C5" s="4"/>
      <c r="D5" s="425">
        <v>5.0000000000000001E-3</v>
      </c>
      <c r="E5" s="425">
        <v>7.0000000000000007E-2</v>
      </c>
      <c r="F5" s="4" t="s">
        <v>266</v>
      </c>
      <c r="G5" s="4" t="s">
        <v>244</v>
      </c>
      <c r="H5" s="4"/>
      <c r="I5" s="261"/>
      <c r="AW5" s="71"/>
      <c r="AX5" s="71"/>
      <c r="AY5" s="71"/>
      <c r="AZ5" s="71"/>
      <c r="BA5" s="71"/>
      <c r="BB5" s="71"/>
    </row>
    <row r="6" spans="1:54" x14ac:dyDescent="0.25">
      <c r="A6" s="987"/>
      <c r="B6" s="4" t="s">
        <v>246</v>
      </c>
      <c r="C6" s="4"/>
      <c r="D6" s="425">
        <v>8.8000000000000005E-3</v>
      </c>
      <c r="E6" s="425">
        <v>0.16</v>
      </c>
      <c r="F6" s="4" t="s">
        <v>265</v>
      </c>
      <c r="G6" s="4" t="s">
        <v>265</v>
      </c>
      <c r="H6" s="4"/>
      <c r="I6" s="264">
        <f>+D6*E6</f>
        <v>1.4080000000000002E-3</v>
      </c>
      <c r="AW6" s="71"/>
      <c r="AX6" s="71"/>
      <c r="AY6" s="71"/>
      <c r="AZ6" s="71"/>
      <c r="BA6" s="71"/>
      <c r="BB6" s="71"/>
    </row>
    <row r="7" spans="1:54" x14ac:dyDescent="0.25">
      <c r="A7" s="987"/>
      <c r="B7" s="4" t="s">
        <v>247</v>
      </c>
      <c r="C7" s="4"/>
      <c r="D7" s="425">
        <v>5.0000000000000001E-3</v>
      </c>
      <c r="E7" s="425">
        <v>0.01</v>
      </c>
      <c r="F7" s="4" t="s">
        <v>264</v>
      </c>
      <c r="G7" s="4" t="s">
        <v>248</v>
      </c>
      <c r="H7" s="4"/>
      <c r="I7" s="264">
        <f>D7*E7</f>
        <v>5.0000000000000002E-5</v>
      </c>
      <c r="K7" s="70"/>
      <c r="AW7" s="71"/>
      <c r="AX7" s="71"/>
      <c r="AY7" s="71"/>
      <c r="AZ7" s="71"/>
      <c r="BA7" s="71"/>
      <c r="BB7" s="71"/>
    </row>
    <row r="8" spans="1:54" x14ac:dyDescent="0.25">
      <c r="A8" s="987" t="s">
        <v>249</v>
      </c>
      <c r="B8" s="1177" t="s">
        <v>250</v>
      </c>
      <c r="C8" s="262"/>
      <c r="D8" s="425">
        <v>7.4999999999999997E-3</v>
      </c>
      <c r="E8" s="425">
        <v>0.05</v>
      </c>
      <c r="F8" s="4" t="s">
        <v>264</v>
      </c>
      <c r="G8" s="4" t="s">
        <v>251</v>
      </c>
      <c r="H8" s="4"/>
      <c r="I8" s="264">
        <f>D8*E8</f>
        <v>3.7500000000000001E-4</v>
      </c>
      <c r="J8" s="72"/>
      <c r="AW8" s="71"/>
      <c r="AX8" s="71"/>
      <c r="AY8" s="71"/>
      <c r="AZ8" s="71"/>
      <c r="BA8" s="71"/>
      <c r="BB8" s="71"/>
    </row>
    <row r="9" spans="1:54" x14ac:dyDescent="0.25">
      <c r="A9" s="987"/>
      <c r="B9" s="1177"/>
      <c r="C9" s="262"/>
      <c r="D9" s="425">
        <v>7.4999999999999997E-3</v>
      </c>
      <c r="E9" s="425">
        <v>0.02</v>
      </c>
      <c r="F9" s="4" t="s">
        <v>264</v>
      </c>
      <c r="G9" s="4" t="s">
        <v>255</v>
      </c>
      <c r="H9" s="263"/>
      <c r="I9" s="264">
        <f>D9*E9</f>
        <v>1.4999999999999999E-4</v>
      </c>
      <c r="AW9" s="71"/>
      <c r="AX9" s="71"/>
      <c r="AY9" s="71"/>
      <c r="AZ9" s="71"/>
      <c r="BA9" s="71"/>
      <c r="BB9" s="71"/>
    </row>
    <row r="10" spans="1:54" x14ac:dyDescent="0.25">
      <c r="A10" s="987"/>
      <c r="B10" s="1177"/>
      <c r="C10" s="262"/>
      <c r="D10" s="425">
        <v>7.4999999999999997E-3</v>
      </c>
      <c r="E10" s="425">
        <v>0.03</v>
      </c>
      <c r="F10" s="4" t="s">
        <v>264</v>
      </c>
      <c r="G10" s="4" t="s">
        <v>528</v>
      </c>
      <c r="H10" s="4"/>
      <c r="I10" s="264">
        <f>D10*E10</f>
        <v>2.2499999999999999E-4</v>
      </c>
    </row>
    <row r="19" spans="2:40" x14ac:dyDescent="0.25">
      <c r="D19" s="71"/>
      <c r="E19" s="71"/>
      <c r="F19" s="71"/>
      <c r="G19" s="71"/>
      <c r="H19" s="71"/>
      <c r="I19" s="71"/>
      <c r="J19" s="71"/>
      <c r="K19" s="71"/>
      <c r="L19" s="71"/>
      <c r="M19" s="71"/>
      <c r="N19" s="71"/>
      <c r="O19" s="71"/>
      <c r="P19" s="71"/>
      <c r="Q19" s="71"/>
      <c r="R19" s="71"/>
      <c r="S19" s="71"/>
      <c r="T19" s="71"/>
      <c r="U19" s="71"/>
      <c r="V19" s="71"/>
      <c r="W19" s="71"/>
      <c r="X19" s="71"/>
      <c r="Y19" s="71"/>
      <c r="Z19" s="71"/>
      <c r="AA19" s="71"/>
      <c r="AB19" s="71"/>
      <c r="AC19" s="71"/>
      <c r="AD19" s="71"/>
      <c r="AE19" s="71"/>
      <c r="AF19" s="71"/>
      <c r="AG19" s="71"/>
      <c r="AH19" s="71"/>
      <c r="AI19" s="71"/>
      <c r="AJ19" s="71"/>
      <c r="AK19" s="71"/>
      <c r="AL19" s="71"/>
      <c r="AM19" s="71"/>
      <c r="AN19" s="71"/>
    </row>
    <row r="20" spans="2:40" x14ac:dyDescent="0.25">
      <c r="D20" s="71"/>
      <c r="E20" s="71"/>
      <c r="F20" s="71"/>
      <c r="G20" s="71"/>
      <c r="H20" s="71"/>
      <c r="I20" s="71"/>
      <c r="J20" s="71"/>
      <c r="K20" s="71"/>
      <c r="L20" s="71"/>
      <c r="M20" s="71"/>
      <c r="N20" s="71"/>
      <c r="O20" s="71"/>
      <c r="P20" s="71"/>
      <c r="Q20" s="71"/>
      <c r="R20" s="71"/>
      <c r="S20" s="71"/>
      <c r="T20" s="71"/>
      <c r="U20" s="71"/>
      <c r="V20" s="71"/>
      <c r="W20" s="71"/>
      <c r="X20" s="71"/>
      <c r="Y20" s="71"/>
      <c r="Z20" s="71"/>
      <c r="AA20" s="71"/>
      <c r="AB20" s="71"/>
      <c r="AC20" s="71"/>
      <c r="AD20" s="71"/>
      <c r="AE20" s="71"/>
      <c r="AF20" s="71"/>
      <c r="AG20" s="71"/>
      <c r="AH20" s="71"/>
      <c r="AI20" s="71"/>
      <c r="AJ20" s="71"/>
      <c r="AK20" s="71"/>
      <c r="AL20" s="71"/>
      <c r="AM20" s="71"/>
      <c r="AN20" s="71"/>
    </row>
    <row r="21" spans="2:40" ht="25.5" customHeight="1" x14ac:dyDescent="0.25">
      <c r="B21" s="125" t="s">
        <v>63</v>
      </c>
      <c r="C21" s="125"/>
      <c r="D21" s="126">
        <f>Cronograma!C3</f>
        <v>1</v>
      </c>
      <c r="E21" s="126">
        <f>D21+1</f>
        <v>2</v>
      </c>
      <c r="F21" s="126">
        <f t="shared" ref="F21:AG21" si="0">E21+1</f>
        <v>3</v>
      </c>
      <c r="G21" s="126">
        <f t="shared" si="0"/>
        <v>4</v>
      </c>
      <c r="H21" s="126">
        <f t="shared" si="0"/>
        <v>5</v>
      </c>
      <c r="I21" s="126">
        <f t="shared" si="0"/>
        <v>6</v>
      </c>
      <c r="J21" s="126">
        <f t="shared" si="0"/>
        <v>7</v>
      </c>
      <c r="K21" s="126">
        <f t="shared" si="0"/>
        <v>8</v>
      </c>
      <c r="L21" s="126">
        <f t="shared" si="0"/>
        <v>9</v>
      </c>
      <c r="M21" s="126">
        <f t="shared" si="0"/>
        <v>10</v>
      </c>
      <c r="N21" s="126">
        <f t="shared" si="0"/>
        <v>11</v>
      </c>
      <c r="O21" s="126">
        <f t="shared" si="0"/>
        <v>12</v>
      </c>
      <c r="P21" s="126">
        <f t="shared" si="0"/>
        <v>13</v>
      </c>
      <c r="Q21" s="126">
        <f t="shared" si="0"/>
        <v>14</v>
      </c>
      <c r="R21" s="126">
        <f t="shared" si="0"/>
        <v>15</v>
      </c>
      <c r="S21" s="126">
        <f t="shared" si="0"/>
        <v>16</v>
      </c>
      <c r="T21" s="126">
        <f t="shared" si="0"/>
        <v>17</v>
      </c>
      <c r="U21" s="126">
        <f t="shared" si="0"/>
        <v>18</v>
      </c>
      <c r="V21" s="126">
        <f t="shared" si="0"/>
        <v>19</v>
      </c>
      <c r="W21" s="126">
        <f t="shared" si="0"/>
        <v>20</v>
      </c>
      <c r="X21" s="126">
        <f t="shared" si="0"/>
        <v>21</v>
      </c>
      <c r="Y21" s="126">
        <f t="shared" si="0"/>
        <v>22</v>
      </c>
      <c r="Z21" s="126">
        <f t="shared" si="0"/>
        <v>23</v>
      </c>
      <c r="AA21" s="126">
        <f t="shared" si="0"/>
        <v>24</v>
      </c>
      <c r="AB21" s="126">
        <f t="shared" si="0"/>
        <v>25</v>
      </c>
      <c r="AC21" s="126">
        <f t="shared" si="0"/>
        <v>26</v>
      </c>
      <c r="AD21" s="126">
        <f t="shared" si="0"/>
        <v>27</v>
      </c>
      <c r="AE21" s="126">
        <f t="shared" si="0"/>
        <v>28</v>
      </c>
      <c r="AF21" s="126">
        <f t="shared" si="0"/>
        <v>29</v>
      </c>
      <c r="AG21" s="126">
        <f t="shared" si="0"/>
        <v>30</v>
      </c>
      <c r="AH21" s="126">
        <f t="shared" ref="AH21" si="1">AG21+1</f>
        <v>31</v>
      </c>
      <c r="AI21" s="126">
        <f t="shared" ref="AI21" si="2">AH21+1</f>
        <v>32</v>
      </c>
      <c r="AJ21" s="126">
        <f t="shared" ref="AJ21" si="3">AI21+1</f>
        <v>33</v>
      </c>
      <c r="AK21" s="126">
        <f t="shared" ref="AK21:AL21" si="4">AJ21+1</f>
        <v>34</v>
      </c>
      <c r="AL21" s="126">
        <f t="shared" si="4"/>
        <v>35</v>
      </c>
      <c r="AM21" s="14"/>
      <c r="AN21" s="71"/>
    </row>
    <row r="22" spans="2:40" x14ac:dyDescent="0.25">
      <c r="B22" s="265" t="s">
        <v>98</v>
      </c>
      <c r="C22" s="266"/>
      <c r="D22" s="146" t="e">
        <f>'FCD PROJETO'!F42</f>
        <v>#DIV/0!</v>
      </c>
      <c r="E22" s="146" t="e">
        <f>'FCD PROJETO'!G42</f>
        <v>#DIV/0!</v>
      </c>
      <c r="F22" s="146" t="e">
        <f>'FCD PROJETO'!H42</f>
        <v>#DIV/0!</v>
      </c>
      <c r="G22" s="146" t="e">
        <f>'FCD PROJETO'!I42</f>
        <v>#DIV/0!</v>
      </c>
      <c r="H22" s="146" t="e">
        <f>'FCD PROJETO'!J42</f>
        <v>#DIV/0!</v>
      </c>
      <c r="I22" s="146" t="e">
        <f>'FCD PROJETO'!K42</f>
        <v>#DIV/0!</v>
      </c>
      <c r="J22" s="146" t="e">
        <f>'FCD PROJETO'!L42</f>
        <v>#DIV/0!</v>
      </c>
      <c r="K22" s="146" t="e">
        <f>'FCD PROJETO'!M42</f>
        <v>#DIV/0!</v>
      </c>
      <c r="L22" s="146" t="e">
        <f>'FCD PROJETO'!N42</f>
        <v>#DIV/0!</v>
      </c>
      <c r="M22" s="146" t="e">
        <f>'FCD PROJETO'!O42</f>
        <v>#DIV/0!</v>
      </c>
      <c r="N22" s="146" t="e">
        <f>'FCD PROJETO'!P42</f>
        <v>#DIV/0!</v>
      </c>
      <c r="O22" s="146" t="e">
        <f>'FCD PROJETO'!Q42</f>
        <v>#DIV/0!</v>
      </c>
      <c r="P22" s="146" t="e">
        <f>'FCD PROJETO'!R42</f>
        <v>#DIV/0!</v>
      </c>
      <c r="Q22" s="146" t="e">
        <f>'FCD PROJETO'!S42</f>
        <v>#DIV/0!</v>
      </c>
      <c r="R22" s="146" t="e">
        <f>'FCD PROJETO'!T42</f>
        <v>#DIV/0!</v>
      </c>
      <c r="S22" s="146" t="e">
        <f>'FCD PROJETO'!U42</f>
        <v>#DIV/0!</v>
      </c>
      <c r="T22" s="146" t="e">
        <f>'FCD PROJETO'!V42</f>
        <v>#DIV/0!</v>
      </c>
      <c r="U22" s="146" t="e">
        <f>'FCD PROJETO'!W42</f>
        <v>#DIV/0!</v>
      </c>
      <c r="V22" s="146" t="e">
        <f>'FCD PROJETO'!X42</f>
        <v>#DIV/0!</v>
      </c>
      <c r="W22" s="146" t="e">
        <f>'FCD PROJETO'!Y42</f>
        <v>#DIV/0!</v>
      </c>
      <c r="X22" s="146" t="e">
        <f>'FCD PROJETO'!Z42</f>
        <v>#DIV/0!</v>
      </c>
      <c r="Y22" s="146" t="e">
        <f>'FCD PROJETO'!AA42</f>
        <v>#DIV/0!</v>
      </c>
      <c r="Z22" s="146" t="e">
        <f>'FCD PROJETO'!AB42</f>
        <v>#DIV/0!</v>
      </c>
      <c r="AA22" s="146" t="e">
        <f>'FCD PROJETO'!AC42</f>
        <v>#DIV/0!</v>
      </c>
      <c r="AB22" s="146" t="e">
        <f>'FCD PROJETO'!AD42</f>
        <v>#DIV/0!</v>
      </c>
      <c r="AC22" s="146" t="e">
        <f>'FCD PROJETO'!AE42</f>
        <v>#DIV/0!</v>
      </c>
      <c r="AD22" s="146" t="e">
        <f>'FCD PROJETO'!AF42</f>
        <v>#DIV/0!</v>
      </c>
      <c r="AE22" s="146" t="e">
        <f>'FCD PROJETO'!AG42</f>
        <v>#DIV/0!</v>
      </c>
      <c r="AF22" s="146" t="e">
        <f>'FCD PROJETO'!AH42</f>
        <v>#DIV/0!</v>
      </c>
      <c r="AG22" s="146" t="e">
        <f>'FCD PROJETO'!AI42</f>
        <v>#DIV/0!</v>
      </c>
      <c r="AH22" s="146" t="e">
        <f>'FCD PROJETO'!AJ42</f>
        <v>#DIV/0!</v>
      </c>
      <c r="AI22" s="146" t="e">
        <f>'FCD PROJETO'!AK42</f>
        <v>#DIV/0!</v>
      </c>
      <c r="AJ22" s="146" t="e">
        <f>'FCD PROJETO'!AL42</f>
        <v>#DIV/0!</v>
      </c>
      <c r="AK22" s="146" t="e">
        <f>'FCD PROJETO'!AM42</f>
        <v>#DIV/0!</v>
      </c>
      <c r="AL22" s="146" t="e">
        <f>'FCD PROJETO'!AN42</f>
        <v>#DIV/0!</v>
      </c>
      <c r="AM22" s="71"/>
      <c r="AN22" s="71"/>
    </row>
    <row r="23" spans="2:40" x14ac:dyDescent="0.25">
      <c r="B23" s="274" t="e">
        <f>SUM(D22:AL22)</f>
        <v>#DIV/0!</v>
      </c>
      <c r="C23" s="267"/>
      <c r="D23" s="146" t="e">
        <f>D22</f>
        <v>#DIV/0!</v>
      </c>
      <c r="E23" s="146" t="e">
        <f>E22+D23</f>
        <v>#DIV/0!</v>
      </c>
      <c r="F23" s="146" t="e">
        <f t="shared" ref="F23:AG23" si="5">F22+E23</f>
        <v>#DIV/0!</v>
      </c>
      <c r="G23" s="146" t="e">
        <f t="shared" si="5"/>
        <v>#DIV/0!</v>
      </c>
      <c r="H23" s="146" t="e">
        <f t="shared" si="5"/>
        <v>#DIV/0!</v>
      </c>
      <c r="I23" s="146" t="e">
        <f t="shared" si="5"/>
        <v>#DIV/0!</v>
      </c>
      <c r="J23" s="146" t="e">
        <f t="shared" si="5"/>
        <v>#DIV/0!</v>
      </c>
      <c r="K23" s="146" t="e">
        <f t="shared" si="5"/>
        <v>#DIV/0!</v>
      </c>
      <c r="L23" s="146" t="e">
        <f t="shared" si="5"/>
        <v>#DIV/0!</v>
      </c>
      <c r="M23" s="146" t="e">
        <f t="shared" si="5"/>
        <v>#DIV/0!</v>
      </c>
      <c r="N23" s="146" t="e">
        <f t="shared" si="5"/>
        <v>#DIV/0!</v>
      </c>
      <c r="O23" s="146" t="e">
        <f t="shared" si="5"/>
        <v>#DIV/0!</v>
      </c>
      <c r="P23" s="146" t="e">
        <f t="shared" si="5"/>
        <v>#DIV/0!</v>
      </c>
      <c r="Q23" s="146" t="e">
        <f t="shared" si="5"/>
        <v>#DIV/0!</v>
      </c>
      <c r="R23" s="146" t="e">
        <f t="shared" si="5"/>
        <v>#DIV/0!</v>
      </c>
      <c r="S23" s="146" t="e">
        <f t="shared" si="5"/>
        <v>#DIV/0!</v>
      </c>
      <c r="T23" s="146" t="e">
        <f t="shared" si="5"/>
        <v>#DIV/0!</v>
      </c>
      <c r="U23" s="146" t="e">
        <f t="shared" si="5"/>
        <v>#DIV/0!</v>
      </c>
      <c r="V23" s="146" t="e">
        <f t="shared" si="5"/>
        <v>#DIV/0!</v>
      </c>
      <c r="W23" s="146" t="e">
        <f t="shared" si="5"/>
        <v>#DIV/0!</v>
      </c>
      <c r="X23" s="146" t="e">
        <f t="shared" si="5"/>
        <v>#DIV/0!</v>
      </c>
      <c r="Y23" s="146" t="e">
        <f t="shared" si="5"/>
        <v>#DIV/0!</v>
      </c>
      <c r="Z23" s="146" t="e">
        <f t="shared" si="5"/>
        <v>#DIV/0!</v>
      </c>
      <c r="AA23" s="146" t="e">
        <f t="shared" si="5"/>
        <v>#DIV/0!</v>
      </c>
      <c r="AB23" s="146" t="e">
        <f t="shared" si="5"/>
        <v>#DIV/0!</v>
      </c>
      <c r="AC23" s="146" t="e">
        <f t="shared" si="5"/>
        <v>#DIV/0!</v>
      </c>
      <c r="AD23" s="146" t="e">
        <f t="shared" si="5"/>
        <v>#DIV/0!</v>
      </c>
      <c r="AE23" s="146" t="e">
        <f t="shared" si="5"/>
        <v>#DIV/0!</v>
      </c>
      <c r="AF23" s="146" t="e">
        <f t="shared" si="5"/>
        <v>#DIV/0!</v>
      </c>
      <c r="AG23" s="146" t="e">
        <f t="shared" si="5"/>
        <v>#DIV/0!</v>
      </c>
      <c r="AH23" s="146" t="e">
        <f t="shared" ref="AH23" si="6">AH22+AG23</f>
        <v>#DIV/0!</v>
      </c>
      <c r="AI23" s="146" t="e">
        <f t="shared" ref="AI23" si="7">AI22+AH23</f>
        <v>#DIV/0!</v>
      </c>
      <c r="AJ23" s="146" t="e">
        <f t="shared" ref="AJ23" si="8">AJ22+AI23</f>
        <v>#DIV/0!</v>
      </c>
      <c r="AK23" s="146" t="e">
        <f t="shared" ref="AK23:AL23" si="9">AK22+AJ23</f>
        <v>#DIV/0!</v>
      </c>
      <c r="AL23" s="146" t="e">
        <f t="shared" si="9"/>
        <v>#DIV/0!</v>
      </c>
      <c r="AM23" s="71"/>
      <c r="AN23" s="71"/>
    </row>
    <row r="24" spans="2:40" x14ac:dyDescent="0.25">
      <c r="B24" s="265" t="s">
        <v>256</v>
      </c>
      <c r="C24" s="266"/>
      <c r="D24" s="146" t="e">
        <f>B23</f>
        <v>#DIV/0!</v>
      </c>
      <c r="E24" s="146" t="e">
        <f>D24-D22</f>
        <v>#DIV/0!</v>
      </c>
      <c r="F24" s="146" t="e">
        <f t="shared" ref="F24:AG24" si="10">E24-E22</f>
        <v>#DIV/0!</v>
      </c>
      <c r="G24" s="146" t="e">
        <f t="shared" si="10"/>
        <v>#DIV/0!</v>
      </c>
      <c r="H24" s="146" t="e">
        <f t="shared" si="10"/>
        <v>#DIV/0!</v>
      </c>
      <c r="I24" s="146" t="e">
        <f t="shared" si="10"/>
        <v>#DIV/0!</v>
      </c>
      <c r="J24" s="146" t="e">
        <f t="shared" si="10"/>
        <v>#DIV/0!</v>
      </c>
      <c r="K24" s="146" t="e">
        <f t="shared" si="10"/>
        <v>#DIV/0!</v>
      </c>
      <c r="L24" s="146" t="e">
        <f t="shared" si="10"/>
        <v>#DIV/0!</v>
      </c>
      <c r="M24" s="146" t="e">
        <f t="shared" si="10"/>
        <v>#DIV/0!</v>
      </c>
      <c r="N24" s="146" t="e">
        <f t="shared" si="10"/>
        <v>#DIV/0!</v>
      </c>
      <c r="O24" s="146" t="e">
        <f t="shared" si="10"/>
        <v>#DIV/0!</v>
      </c>
      <c r="P24" s="146" t="e">
        <f t="shared" si="10"/>
        <v>#DIV/0!</v>
      </c>
      <c r="Q24" s="146" t="e">
        <f t="shared" si="10"/>
        <v>#DIV/0!</v>
      </c>
      <c r="R24" s="146" t="e">
        <f t="shared" si="10"/>
        <v>#DIV/0!</v>
      </c>
      <c r="S24" s="146" t="e">
        <f t="shared" si="10"/>
        <v>#DIV/0!</v>
      </c>
      <c r="T24" s="146" t="e">
        <f t="shared" si="10"/>
        <v>#DIV/0!</v>
      </c>
      <c r="U24" s="146" t="e">
        <f t="shared" si="10"/>
        <v>#DIV/0!</v>
      </c>
      <c r="V24" s="146" t="e">
        <f t="shared" si="10"/>
        <v>#DIV/0!</v>
      </c>
      <c r="W24" s="146" t="e">
        <f t="shared" si="10"/>
        <v>#DIV/0!</v>
      </c>
      <c r="X24" s="146" t="e">
        <f t="shared" si="10"/>
        <v>#DIV/0!</v>
      </c>
      <c r="Y24" s="146" t="e">
        <f t="shared" si="10"/>
        <v>#DIV/0!</v>
      </c>
      <c r="Z24" s="146" t="e">
        <f t="shared" si="10"/>
        <v>#DIV/0!</v>
      </c>
      <c r="AA24" s="146" t="e">
        <f t="shared" si="10"/>
        <v>#DIV/0!</v>
      </c>
      <c r="AB24" s="146" t="e">
        <f t="shared" si="10"/>
        <v>#DIV/0!</v>
      </c>
      <c r="AC24" s="146" t="e">
        <f t="shared" si="10"/>
        <v>#DIV/0!</v>
      </c>
      <c r="AD24" s="146" t="e">
        <f t="shared" si="10"/>
        <v>#DIV/0!</v>
      </c>
      <c r="AE24" s="146" t="e">
        <f t="shared" si="10"/>
        <v>#DIV/0!</v>
      </c>
      <c r="AF24" s="146" t="e">
        <f t="shared" si="10"/>
        <v>#DIV/0!</v>
      </c>
      <c r="AG24" s="146" t="e">
        <f t="shared" si="10"/>
        <v>#DIV/0!</v>
      </c>
      <c r="AH24" s="146" t="e">
        <f t="shared" ref="AH24" si="11">AG24-AG22</f>
        <v>#DIV/0!</v>
      </c>
      <c r="AI24" s="146" t="e">
        <f t="shared" ref="AI24" si="12">AH24-AH22</f>
        <v>#DIV/0!</v>
      </c>
      <c r="AJ24" s="146" t="e">
        <f t="shared" ref="AJ24" si="13">AI24-AI22</f>
        <v>#DIV/0!</v>
      </c>
      <c r="AK24" s="146" t="e">
        <f t="shared" ref="AK24:AL24" si="14">AJ24-AJ22</f>
        <v>#DIV/0!</v>
      </c>
      <c r="AL24" s="146" t="e">
        <f t="shared" si="14"/>
        <v>#DIV/0!</v>
      </c>
      <c r="AM24" s="71"/>
      <c r="AN24" s="71"/>
    </row>
    <row r="25" spans="2:40" x14ac:dyDescent="0.25">
      <c r="B25" s="265"/>
      <c r="C25" s="266"/>
      <c r="D25" s="99"/>
      <c r="E25" s="99"/>
      <c r="F25" s="99"/>
      <c r="G25" s="99"/>
      <c r="H25" s="99"/>
      <c r="I25" s="99"/>
      <c r="J25" s="99"/>
      <c r="K25" s="99"/>
      <c r="L25" s="99"/>
      <c r="M25" s="99"/>
      <c r="N25" s="99"/>
      <c r="O25" s="99"/>
      <c r="P25" s="99"/>
      <c r="Q25" s="99"/>
      <c r="R25" s="99"/>
      <c r="S25" s="99"/>
      <c r="T25" s="99"/>
      <c r="U25" s="99"/>
      <c r="V25" s="99"/>
      <c r="W25" s="99"/>
      <c r="X25" s="99"/>
      <c r="Y25" s="99"/>
      <c r="Z25" s="99"/>
      <c r="AA25" s="99"/>
      <c r="AB25" s="99"/>
      <c r="AC25" s="99"/>
      <c r="AD25" s="99"/>
      <c r="AE25" s="99"/>
      <c r="AF25" s="99"/>
      <c r="AG25" s="99"/>
      <c r="AH25" s="99"/>
      <c r="AI25" s="99"/>
      <c r="AJ25" s="99"/>
      <c r="AK25" s="99"/>
      <c r="AL25" s="99"/>
      <c r="AM25" s="71"/>
      <c r="AN25" s="71"/>
    </row>
    <row r="26" spans="2:40" x14ac:dyDescent="0.25">
      <c r="B26" s="265" t="s">
        <v>247</v>
      </c>
      <c r="C26" s="266"/>
      <c r="D26" s="275" t="e">
        <f>$I$7*$B$23</f>
        <v>#DIV/0!</v>
      </c>
      <c r="E26" s="275" t="e">
        <f t="shared" ref="E26:AL26" si="15">$I$7*$B$23</f>
        <v>#DIV/0!</v>
      </c>
      <c r="F26" s="275" t="e">
        <f t="shared" si="15"/>
        <v>#DIV/0!</v>
      </c>
      <c r="G26" s="275" t="e">
        <f t="shared" si="15"/>
        <v>#DIV/0!</v>
      </c>
      <c r="H26" s="275" t="e">
        <f t="shared" si="15"/>
        <v>#DIV/0!</v>
      </c>
      <c r="I26" s="275" t="e">
        <f t="shared" si="15"/>
        <v>#DIV/0!</v>
      </c>
      <c r="J26" s="275" t="e">
        <f t="shared" si="15"/>
        <v>#DIV/0!</v>
      </c>
      <c r="K26" s="275" t="e">
        <f t="shared" si="15"/>
        <v>#DIV/0!</v>
      </c>
      <c r="L26" s="275" t="e">
        <f t="shared" si="15"/>
        <v>#DIV/0!</v>
      </c>
      <c r="M26" s="275" t="e">
        <f t="shared" si="15"/>
        <v>#DIV/0!</v>
      </c>
      <c r="N26" s="275" t="e">
        <f t="shared" si="15"/>
        <v>#DIV/0!</v>
      </c>
      <c r="O26" s="275" t="e">
        <f t="shared" si="15"/>
        <v>#DIV/0!</v>
      </c>
      <c r="P26" s="275" t="e">
        <f t="shared" si="15"/>
        <v>#DIV/0!</v>
      </c>
      <c r="Q26" s="275" t="e">
        <f t="shared" si="15"/>
        <v>#DIV/0!</v>
      </c>
      <c r="R26" s="275" t="e">
        <f t="shared" si="15"/>
        <v>#DIV/0!</v>
      </c>
      <c r="S26" s="275" t="e">
        <f t="shared" si="15"/>
        <v>#DIV/0!</v>
      </c>
      <c r="T26" s="275" t="e">
        <f t="shared" si="15"/>
        <v>#DIV/0!</v>
      </c>
      <c r="U26" s="275" t="e">
        <f t="shared" si="15"/>
        <v>#DIV/0!</v>
      </c>
      <c r="V26" s="275" t="e">
        <f t="shared" si="15"/>
        <v>#DIV/0!</v>
      </c>
      <c r="W26" s="275" t="e">
        <f t="shared" si="15"/>
        <v>#DIV/0!</v>
      </c>
      <c r="X26" s="275" t="e">
        <f t="shared" si="15"/>
        <v>#DIV/0!</v>
      </c>
      <c r="Y26" s="275" t="e">
        <f t="shared" si="15"/>
        <v>#DIV/0!</v>
      </c>
      <c r="Z26" s="275" t="e">
        <f t="shared" si="15"/>
        <v>#DIV/0!</v>
      </c>
      <c r="AA26" s="275" t="e">
        <f t="shared" si="15"/>
        <v>#DIV/0!</v>
      </c>
      <c r="AB26" s="275" t="e">
        <f t="shared" si="15"/>
        <v>#DIV/0!</v>
      </c>
      <c r="AC26" s="275" t="e">
        <f t="shared" si="15"/>
        <v>#DIV/0!</v>
      </c>
      <c r="AD26" s="275" t="e">
        <f t="shared" si="15"/>
        <v>#DIV/0!</v>
      </c>
      <c r="AE26" s="275" t="e">
        <f t="shared" si="15"/>
        <v>#DIV/0!</v>
      </c>
      <c r="AF26" s="275" t="e">
        <f t="shared" si="15"/>
        <v>#DIV/0!</v>
      </c>
      <c r="AG26" s="275" t="e">
        <f t="shared" si="15"/>
        <v>#DIV/0!</v>
      </c>
      <c r="AH26" s="275" t="e">
        <f t="shared" si="15"/>
        <v>#DIV/0!</v>
      </c>
      <c r="AI26" s="275" t="e">
        <f t="shared" si="15"/>
        <v>#DIV/0!</v>
      </c>
      <c r="AJ26" s="275" t="e">
        <f t="shared" si="15"/>
        <v>#DIV/0!</v>
      </c>
      <c r="AK26" s="275" t="e">
        <f t="shared" si="15"/>
        <v>#DIV/0!</v>
      </c>
      <c r="AL26" s="275" t="e">
        <f t="shared" si="15"/>
        <v>#DIV/0!</v>
      </c>
      <c r="AM26" s="3"/>
      <c r="AN26" s="3"/>
    </row>
    <row r="27" spans="2:40" x14ac:dyDescent="0.25">
      <c r="B27" s="265"/>
      <c r="C27" s="266"/>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3"/>
      <c r="AN27" s="3"/>
    </row>
    <row r="28" spans="2:40" x14ac:dyDescent="0.25">
      <c r="B28" s="265" t="s">
        <v>252</v>
      </c>
      <c r="C28" s="266"/>
      <c r="D28" s="1197">
        <v>0.05</v>
      </c>
      <c r="E28" s="1197">
        <v>0.05</v>
      </c>
      <c r="F28" s="1197">
        <v>0.05</v>
      </c>
      <c r="G28" s="1197">
        <v>0.05</v>
      </c>
      <c r="H28" s="1197">
        <v>0.05</v>
      </c>
      <c r="I28" s="1197">
        <v>0.05</v>
      </c>
      <c r="J28" s="1197">
        <v>0.05</v>
      </c>
      <c r="K28" s="1197">
        <v>0.05</v>
      </c>
      <c r="L28" s="1197">
        <v>0.05</v>
      </c>
      <c r="M28" s="1197">
        <v>0.05</v>
      </c>
      <c r="N28" s="1197">
        <v>0.02</v>
      </c>
      <c r="O28" s="1197">
        <v>0.02</v>
      </c>
      <c r="P28" s="1197">
        <v>0.02</v>
      </c>
      <c r="Q28" s="1197">
        <v>0.02</v>
      </c>
      <c r="R28" s="1197">
        <v>0.02</v>
      </c>
      <c r="S28" s="1197">
        <v>0.02</v>
      </c>
      <c r="T28" s="1197">
        <v>0.02</v>
      </c>
      <c r="U28" s="1197">
        <v>0.02</v>
      </c>
      <c r="V28" s="1197">
        <v>0.02</v>
      </c>
      <c r="W28" s="1197">
        <v>0.02</v>
      </c>
      <c r="X28" s="1197">
        <v>0.02</v>
      </c>
      <c r="Y28" s="1197">
        <v>0.02</v>
      </c>
      <c r="Z28" s="1197">
        <v>0.02</v>
      </c>
      <c r="AA28" s="1197">
        <v>0.02</v>
      </c>
      <c r="AB28" s="1197">
        <v>0.02</v>
      </c>
      <c r="AC28" s="1197">
        <v>0.03</v>
      </c>
      <c r="AD28" s="1197">
        <f>AC28</f>
        <v>0.03</v>
      </c>
      <c r="AE28" s="1197">
        <f>AD28</f>
        <v>0.03</v>
      </c>
      <c r="AF28" s="1197">
        <f>AE28</f>
        <v>0.03</v>
      </c>
      <c r="AG28" s="1197">
        <f>AF28</f>
        <v>0.03</v>
      </c>
      <c r="AH28" s="1197">
        <f t="shared" ref="AH28:AK28" si="16">AG28</f>
        <v>0.03</v>
      </c>
      <c r="AI28" s="1197">
        <f t="shared" si="16"/>
        <v>0.03</v>
      </c>
      <c r="AJ28" s="1197">
        <f t="shared" si="16"/>
        <v>0.03</v>
      </c>
      <c r="AK28" s="1197">
        <f t="shared" si="16"/>
        <v>0.03</v>
      </c>
      <c r="AL28" s="1197">
        <f t="shared" ref="AL28" si="17">AK28</f>
        <v>0.03</v>
      </c>
      <c r="AM28" s="73"/>
    </row>
    <row r="29" spans="2:40" x14ac:dyDescent="0.25">
      <c r="B29" s="265" t="s">
        <v>253</v>
      </c>
      <c r="C29" s="266"/>
      <c r="D29" s="146" t="e">
        <f>D28*$B$23</f>
        <v>#DIV/0!</v>
      </c>
      <c r="E29" s="146" t="e">
        <f t="shared" ref="E29:AK29" si="18">E28*$B$23</f>
        <v>#DIV/0!</v>
      </c>
      <c r="F29" s="146" t="e">
        <f t="shared" si="18"/>
        <v>#DIV/0!</v>
      </c>
      <c r="G29" s="146" t="e">
        <f t="shared" si="18"/>
        <v>#DIV/0!</v>
      </c>
      <c r="H29" s="146" t="e">
        <f t="shared" si="18"/>
        <v>#DIV/0!</v>
      </c>
      <c r="I29" s="146" t="e">
        <f t="shared" si="18"/>
        <v>#DIV/0!</v>
      </c>
      <c r="J29" s="146" t="e">
        <f t="shared" si="18"/>
        <v>#DIV/0!</v>
      </c>
      <c r="K29" s="146" t="e">
        <f t="shared" si="18"/>
        <v>#DIV/0!</v>
      </c>
      <c r="L29" s="146" t="e">
        <f t="shared" si="18"/>
        <v>#DIV/0!</v>
      </c>
      <c r="M29" s="146" t="e">
        <f t="shared" si="18"/>
        <v>#DIV/0!</v>
      </c>
      <c r="N29" s="146" t="e">
        <f t="shared" si="18"/>
        <v>#DIV/0!</v>
      </c>
      <c r="O29" s="146" t="e">
        <f t="shared" si="18"/>
        <v>#DIV/0!</v>
      </c>
      <c r="P29" s="146" t="e">
        <f t="shared" si="18"/>
        <v>#DIV/0!</v>
      </c>
      <c r="Q29" s="146" t="e">
        <f t="shared" si="18"/>
        <v>#DIV/0!</v>
      </c>
      <c r="R29" s="146" t="e">
        <f t="shared" si="18"/>
        <v>#DIV/0!</v>
      </c>
      <c r="S29" s="146" t="e">
        <f t="shared" si="18"/>
        <v>#DIV/0!</v>
      </c>
      <c r="T29" s="146" t="e">
        <f t="shared" si="18"/>
        <v>#DIV/0!</v>
      </c>
      <c r="U29" s="146" t="e">
        <f t="shared" si="18"/>
        <v>#DIV/0!</v>
      </c>
      <c r="V29" s="146" t="e">
        <f t="shared" si="18"/>
        <v>#DIV/0!</v>
      </c>
      <c r="W29" s="146" t="e">
        <f t="shared" si="18"/>
        <v>#DIV/0!</v>
      </c>
      <c r="X29" s="146" t="e">
        <f t="shared" si="18"/>
        <v>#DIV/0!</v>
      </c>
      <c r="Y29" s="146" t="e">
        <f t="shared" si="18"/>
        <v>#DIV/0!</v>
      </c>
      <c r="Z29" s="146" t="e">
        <f t="shared" si="18"/>
        <v>#DIV/0!</v>
      </c>
      <c r="AA29" s="146" t="e">
        <f t="shared" si="18"/>
        <v>#DIV/0!</v>
      </c>
      <c r="AB29" s="146" t="e">
        <f t="shared" si="18"/>
        <v>#DIV/0!</v>
      </c>
      <c r="AC29" s="146" t="e">
        <f t="shared" si="18"/>
        <v>#DIV/0!</v>
      </c>
      <c r="AD29" s="146" t="e">
        <f t="shared" si="18"/>
        <v>#DIV/0!</v>
      </c>
      <c r="AE29" s="146" t="e">
        <f t="shared" si="18"/>
        <v>#DIV/0!</v>
      </c>
      <c r="AF29" s="146" t="e">
        <f t="shared" si="18"/>
        <v>#DIV/0!</v>
      </c>
      <c r="AG29" s="146" t="e">
        <f t="shared" si="18"/>
        <v>#DIV/0!</v>
      </c>
      <c r="AH29" s="146" t="e">
        <f t="shared" si="18"/>
        <v>#DIV/0!</v>
      </c>
      <c r="AI29" s="146" t="e">
        <f t="shared" si="18"/>
        <v>#DIV/0!</v>
      </c>
      <c r="AJ29" s="146" t="e">
        <f t="shared" si="18"/>
        <v>#DIV/0!</v>
      </c>
      <c r="AK29" s="146" t="e">
        <f t="shared" si="18"/>
        <v>#DIV/0!</v>
      </c>
      <c r="AL29" s="146" t="e">
        <f>AL28*$B$23</f>
        <v>#DIV/0!</v>
      </c>
      <c r="AM29" s="73"/>
    </row>
    <row r="30" spans="2:40" x14ac:dyDescent="0.25">
      <c r="B30" s="265"/>
      <c r="C30" s="266"/>
      <c r="D30" s="4"/>
      <c r="E30" s="263"/>
      <c r="F30" s="263"/>
      <c r="G30" s="263"/>
      <c r="H30" s="263"/>
      <c r="I30" s="263"/>
      <c r="J30" s="263"/>
      <c r="K30" s="263"/>
      <c r="L30" s="263"/>
      <c r="M30" s="263"/>
      <c r="N30" s="263"/>
      <c r="O30" s="263"/>
      <c r="P30" s="263"/>
      <c r="Q30" s="263"/>
      <c r="R30" s="263"/>
      <c r="S30" s="263"/>
      <c r="T30" s="263"/>
      <c r="U30" s="263"/>
      <c r="V30" s="263"/>
      <c r="W30" s="263"/>
      <c r="X30" s="263"/>
      <c r="Y30" s="263"/>
      <c r="Z30" s="263"/>
      <c r="AA30" s="263"/>
      <c r="AB30" s="263"/>
      <c r="AC30" s="263"/>
      <c r="AD30" s="263"/>
      <c r="AE30" s="263"/>
      <c r="AF30" s="263"/>
      <c r="AG30" s="263"/>
      <c r="AH30" s="263"/>
      <c r="AI30" s="263"/>
      <c r="AJ30" s="263"/>
      <c r="AK30" s="263"/>
      <c r="AL30" s="263"/>
      <c r="AM30" s="3"/>
    </row>
    <row r="31" spans="2:40" x14ac:dyDescent="0.25">
      <c r="B31" s="268" t="s">
        <v>237</v>
      </c>
      <c r="C31" s="269"/>
      <c r="D31" s="425">
        <v>7.4999999999999997E-3</v>
      </c>
      <c r="E31" s="425">
        <v>7.4999999999999997E-3</v>
      </c>
      <c r="F31" s="425">
        <v>7.4999999999999997E-3</v>
      </c>
      <c r="G31" s="425">
        <v>7.4999999999999997E-3</v>
      </c>
      <c r="H31" s="425">
        <v>7.4999999999999997E-3</v>
      </c>
      <c r="I31" s="425">
        <v>7.4999999999999997E-3</v>
      </c>
      <c r="J31" s="425">
        <v>7.4999999999999997E-3</v>
      </c>
      <c r="K31" s="425">
        <v>7.4999999999999997E-3</v>
      </c>
      <c r="L31" s="425">
        <v>7.4999999999999997E-3</v>
      </c>
      <c r="M31" s="425">
        <v>7.4999999999999997E-3</v>
      </c>
      <c r="N31" s="425">
        <v>7.4999999999999997E-3</v>
      </c>
      <c r="O31" s="425">
        <v>7.4999999999999997E-3</v>
      </c>
      <c r="P31" s="425">
        <v>7.4999999999999997E-3</v>
      </c>
      <c r="Q31" s="425">
        <v>7.4999999999999997E-3</v>
      </c>
      <c r="R31" s="425">
        <v>7.4999999999999997E-3</v>
      </c>
      <c r="S31" s="425">
        <v>7.4999999999999997E-3</v>
      </c>
      <c r="T31" s="425">
        <v>7.4999999999999997E-3</v>
      </c>
      <c r="U31" s="425">
        <v>7.4999999999999997E-3</v>
      </c>
      <c r="V31" s="425">
        <v>7.4999999999999997E-3</v>
      </c>
      <c r="W31" s="425">
        <v>7.4999999999999997E-3</v>
      </c>
      <c r="X31" s="425">
        <v>7.4999999999999997E-3</v>
      </c>
      <c r="Y31" s="425">
        <v>7.4999999999999997E-3</v>
      </c>
      <c r="Z31" s="425">
        <v>7.4999999999999997E-3</v>
      </c>
      <c r="AA31" s="425">
        <v>7.4999999999999997E-3</v>
      </c>
      <c r="AB31" s="425">
        <v>7.4999999999999997E-3</v>
      </c>
      <c r="AC31" s="425">
        <v>7.4999999999999997E-3</v>
      </c>
      <c r="AD31" s="425">
        <v>7.4999999999999997E-3</v>
      </c>
      <c r="AE31" s="425">
        <v>7.4999999999999997E-3</v>
      </c>
      <c r="AF31" s="425">
        <v>7.4999999999999997E-3</v>
      </c>
      <c r="AG31" s="425">
        <v>7.4999999999999997E-3</v>
      </c>
      <c r="AH31" s="425">
        <v>7.4999999999999997E-3</v>
      </c>
      <c r="AI31" s="425">
        <v>7.4999999999999997E-3</v>
      </c>
      <c r="AJ31" s="425">
        <v>7.4999999999999997E-3</v>
      </c>
      <c r="AK31" s="425">
        <v>7.4999999999999997E-3</v>
      </c>
      <c r="AL31" s="425">
        <v>7.4999999999999997E-3</v>
      </c>
      <c r="AM31" s="3"/>
    </row>
    <row r="32" spans="2:40" x14ac:dyDescent="0.25">
      <c r="B32" s="265"/>
      <c r="C32" s="266"/>
      <c r="D32" s="146" t="e">
        <f>D31*D29</f>
        <v>#DIV/0!</v>
      </c>
      <c r="E32" s="146" t="e">
        <f t="shared" ref="E32:AG32" si="19">E31*E29</f>
        <v>#DIV/0!</v>
      </c>
      <c r="F32" s="146" t="e">
        <f t="shared" si="19"/>
        <v>#DIV/0!</v>
      </c>
      <c r="G32" s="146" t="e">
        <f t="shared" si="19"/>
        <v>#DIV/0!</v>
      </c>
      <c r="H32" s="146" t="e">
        <f t="shared" si="19"/>
        <v>#DIV/0!</v>
      </c>
      <c r="I32" s="146" t="e">
        <f t="shared" si="19"/>
        <v>#DIV/0!</v>
      </c>
      <c r="J32" s="146" t="e">
        <f t="shared" si="19"/>
        <v>#DIV/0!</v>
      </c>
      <c r="K32" s="146" t="e">
        <f t="shared" si="19"/>
        <v>#DIV/0!</v>
      </c>
      <c r="L32" s="146" t="e">
        <f t="shared" si="19"/>
        <v>#DIV/0!</v>
      </c>
      <c r="M32" s="146" t="e">
        <f t="shared" si="19"/>
        <v>#DIV/0!</v>
      </c>
      <c r="N32" s="146" t="e">
        <f t="shared" si="19"/>
        <v>#DIV/0!</v>
      </c>
      <c r="O32" s="146" t="e">
        <f t="shared" si="19"/>
        <v>#DIV/0!</v>
      </c>
      <c r="P32" s="146" t="e">
        <f t="shared" si="19"/>
        <v>#DIV/0!</v>
      </c>
      <c r="Q32" s="146" t="e">
        <f t="shared" si="19"/>
        <v>#DIV/0!</v>
      </c>
      <c r="R32" s="146" t="e">
        <f t="shared" si="19"/>
        <v>#DIV/0!</v>
      </c>
      <c r="S32" s="146" t="e">
        <f t="shared" si="19"/>
        <v>#DIV/0!</v>
      </c>
      <c r="T32" s="146" t="e">
        <f t="shared" si="19"/>
        <v>#DIV/0!</v>
      </c>
      <c r="U32" s="146" t="e">
        <f t="shared" si="19"/>
        <v>#DIV/0!</v>
      </c>
      <c r="V32" s="146" t="e">
        <f t="shared" si="19"/>
        <v>#DIV/0!</v>
      </c>
      <c r="W32" s="146" t="e">
        <f t="shared" si="19"/>
        <v>#DIV/0!</v>
      </c>
      <c r="X32" s="146" t="e">
        <f t="shared" si="19"/>
        <v>#DIV/0!</v>
      </c>
      <c r="Y32" s="146" t="e">
        <f t="shared" si="19"/>
        <v>#DIV/0!</v>
      </c>
      <c r="Z32" s="146" t="e">
        <f t="shared" si="19"/>
        <v>#DIV/0!</v>
      </c>
      <c r="AA32" s="146" t="e">
        <f t="shared" si="19"/>
        <v>#DIV/0!</v>
      </c>
      <c r="AB32" s="146" t="e">
        <f t="shared" si="19"/>
        <v>#DIV/0!</v>
      </c>
      <c r="AC32" s="146" t="e">
        <f t="shared" si="19"/>
        <v>#DIV/0!</v>
      </c>
      <c r="AD32" s="146" t="e">
        <f t="shared" si="19"/>
        <v>#DIV/0!</v>
      </c>
      <c r="AE32" s="146" t="e">
        <f t="shared" si="19"/>
        <v>#DIV/0!</v>
      </c>
      <c r="AF32" s="146" t="e">
        <f t="shared" si="19"/>
        <v>#DIV/0!</v>
      </c>
      <c r="AG32" s="146" t="e">
        <f t="shared" si="19"/>
        <v>#DIV/0!</v>
      </c>
      <c r="AH32" s="146" t="e">
        <f t="shared" ref="AH32:AK32" si="20">AH31*AH29</f>
        <v>#DIV/0!</v>
      </c>
      <c r="AI32" s="146" t="e">
        <f t="shared" si="20"/>
        <v>#DIV/0!</v>
      </c>
      <c r="AJ32" s="146" t="e">
        <f t="shared" si="20"/>
        <v>#DIV/0!</v>
      </c>
      <c r="AK32" s="146" t="e">
        <f t="shared" si="20"/>
        <v>#DIV/0!</v>
      </c>
      <c r="AL32" s="146" t="e">
        <f t="shared" ref="AL32" si="21">AL31*AL29</f>
        <v>#DIV/0!</v>
      </c>
      <c r="AM32" s="3"/>
    </row>
    <row r="33" spans="2:39" x14ac:dyDescent="0.25">
      <c r="B33" s="265"/>
      <c r="C33" s="266"/>
      <c r="D33" s="4"/>
      <c r="E33" s="270"/>
      <c r="F33" s="270"/>
      <c r="G33" s="270"/>
      <c r="H33" s="270"/>
      <c r="I33" s="270"/>
      <c r="J33" s="270"/>
      <c r="K33" s="271"/>
      <c r="L33" s="271"/>
      <c r="M33" s="271"/>
      <c r="N33" s="271"/>
      <c r="O33" s="271"/>
      <c r="P33" s="271"/>
      <c r="Q33" s="271"/>
      <c r="R33" s="271"/>
      <c r="S33" s="271"/>
      <c r="T33" s="271"/>
      <c r="U33" s="271"/>
      <c r="V33" s="271"/>
      <c r="W33" s="271"/>
      <c r="X33" s="271"/>
      <c r="Y33" s="271"/>
      <c r="Z33" s="271"/>
      <c r="AA33" s="271"/>
      <c r="AB33" s="271"/>
      <c r="AC33" s="271"/>
      <c r="AD33" s="271"/>
      <c r="AE33" s="271"/>
      <c r="AF33" s="271"/>
      <c r="AG33" s="271"/>
      <c r="AH33" s="271"/>
      <c r="AI33" s="271"/>
      <c r="AJ33" s="271"/>
      <c r="AK33" s="271"/>
      <c r="AL33" s="271"/>
      <c r="AM33" s="3"/>
    </row>
    <row r="34" spans="2:39" x14ac:dyDescent="0.25">
      <c r="B34" s="272" t="s">
        <v>254</v>
      </c>
      <c r="C34" s="273"/>
      <c r="D34" s="276" t="e">
        <f>D32/$B$23</f>
        <v>#DIV/0!</v>
      </c>
      <c r="E34" s="276" t="e">
        <f t="shared" ref="E34:AF34" si="22">E32/$B$23</f>
        <v>#DIV/0!</v>
      </c>
      <c r="F34" s="276" t="e">
        <f t="shared" si="22"/>
        <v>#DIV/0!</v>
      </c>
      <c r="G34" s="276" t="e">
        <f t="shared" si="22"/>
        <v>#DIV/0!</v>
      </c>
      <c r="H34" s="276" t="e">
        <f t="shared" si="22"/>
        <v>#DIV/0!</v>
      </c>
      <c r="I34" s="276" t="e">
        <f t="shared" si="22"/>
        <v>#DIV/0!</v>
      </c>
      <c r="J34" s="276" t="e">
        <f t="shared" si="22"/>
        <v>#DIV/0!</v>
      </c>
      <c r="K34" s="276" t="e">
        <f t="shared" si="22"/>
        <v>#DIV/0!</v>
      </c>
      <c r="L34" s="276" t="e">
        <f t="shared" si="22"/>
        <v>#DIV/0!</v>
      </c>
      <c r="M34" s="276" t="e">
        <f t="shared" si="22"/>
        <v>#DIV/0!</v>
      </c>
      <c r="N34" s="276" t="e">
        <f t="shared" si="22"/>
        <v>#DIV/0!</v>
      </c>
      <c r="O34" s="276" t="e">
        <f t="shared" si="22"/>
        <v>#DIV/0!</v>
      </c>
      <c r="P34" s="276" t="e">
        <f t="shared" si="22"/>
        <v>#DIV/0!</v>
      </c>
      <c r="Q34" s="276" t="e">
        <f t="shared" si="22"/>
        <v>#DIV/0!</v>
      </c>
      <c r="R34" s="276" t="e">
        <f t="shared" si="22"/>
        <v>#DIV/0!</v>
      </c>
      <c r="S34" s="276" t="e">
        <f t="shared" si="22"/>
        <v>#DIV/0!</v>
      </c>
      <c r="T34" s="276" t="e">
        <f t="shared" si="22"/>
        <v>#DIV/0!</v>
      </c>
      <c r="U34" s="276" t="e">
        <f t="shared" si="22"/>
        <v>#DIV/0!</v>
      </c>
      <c r="V34" s="276" t="e">
        <f t="shared" si="22"/>
        <v>#DIV/0!</v>
      </c>
      <c r="W34" s="276" t="e">
        <f t="shared" si="22"/>
        <v>#DIV/0!</v>
      </c>
      <c r="X34" s="276" t="e">
        <f t="shared" si="22"/>
        <v>#DIV/0!</v>
      </c>
      <c r="Y34" s="276" t="e">
        <f t="shared" si="22"/>
        <v>#DIV/0!</v>
      </c>
      <c r="Z34" s="276" t="e">
        <f t="shared" si="22"/>
        <v>#DIV/0!</v>
      </c>
      <c r="AA34" s="276" t="e">
        <f t="shared" si="22"/>
        <v>#DIV/0!</v>
      </c>
      <c r="AB34" s="276" t="e">
        <f t="shared" si="22"/>
        <v>#DIV/0!</v>
      </c>
      <c r="AC34" s="276" t="e">
        <f t="shared" si="22"/>
        <v>#DIV/0!</v>
      </c>
      <c r="AD34" s="276" t="e">
        <f t="shared" si="22"/>
        <v>#DIV/0!</v>
      </c>
      <c r="AE34" s="276" t="e">
        <f t="shared" si="22"/>
        <v>#DIV/0!</v>
      </c>
      <c r="AF34" s="276" t="e">
        <f t="shared" si="22"/>
        <v>#DIV/0!</v>
      </c>
      <c r="AG34" s="276" t="e">
        <f>AG32/$B$23</f>
        <v>#DIV/0!</v>
      </c>
      <c r="AH34" s="276" t="e">
        <f t="shared" ref="AH34:AK34" si="23">AH32/$B$23</f>
        <v>#DIV/0!</v>
      </c>
      <c r="AI34" s="276" t="e">
        <f t="shared" si="23"/>
        <v>#DIV/0!</v>
      </c>
      <c r="AJ34" s="276" t="e">
        <f t="shared" si="23"/>
        <v>#DIV/0!</v>
      </c>
      <c r="AK34" s="276" t="e">
        <f t="shared" si="23"/>
        <v>#DIV/0!</v>
      </c>
      <c r="AL34" s="276" t="e">
        <f t="shared" ref="AL34" si="24">AL32/$B$23</f>
        <v>#DIV/0!</v>
      </c>
      <c r="AM34" s="3"/>
    </row>
    <row r="35" spans="2:39" x14ac:dyDescent="0.25">
      <c r="B35" s="74"/>
      <c r="C35" s="74"/>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row>
    <row r="37" spans="2:39" x14ac:dyDescent="0.25">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row>
    <row r="39" spans="2:39" x14ac:dyDescent="0.25">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row>
    <row r="41" spans="2:39" x14ac:dyDescent="0.25">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row>
    <row r="42" spans="2:39" x14ac:dyDescent="0.25">
      <c r="E42" s="71"/>
      <c r="F42" s="71"/>
      <c r="G42" s="71"/>
      <c r="H42" s="71"/>
      <c r="I42" s="71"/>
      <c r="J42" s="71"/>
      <c r="K42" s="71"/>
      <c r="L42" s="71"/>
      <c r="M42" s="71"/>
      <c r="N42" s="71"/>
      <c r="O42" s="71"/>
      <c r="P42" s="71"/>
      <c r="Q42" s="71"/>
      <c r="R42" s="71"/>
      <c r="S42" s="71"/>
      <c r="T42" s="71"/>
      <c r="U42" s="71"/>
      <c r="V42" s="71"/>
      <c r="W42" s="71"/>
      <c r="X42" s="71"/>
      <c r="Y42" s="71"/>
      <c r="Z42" s="71"/>
      <c r="AA42" s="71"/>
      <c r="AB42" s="71"/>
      <c r="AC42" s="71"/>
      <c r="AD42" s="71"/>
      <c r="AE42" s="71"/>
      <c r="AF42" s="71"/>
      <c r="AG42" s="71"/>
      <c r="AH42" s="71"/>
      <c r="AI42" s="71"/>
      <c r="AJ42" s="71"/>
      <c r="AK42" s="71"/>
      <c r="AL42" s="71"/>
      <c r="AM42" s="71"/>
    </row>
    <row r="44" spans="2:39" x14ac:dyDescent="0.25">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row>
    <row r="46" spans="2:39" x14ac:dyDescent="0.25">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row>
  </sheetData>
  <mergeCells count="4">
    <mergeCell ref="A3:B3"/>
    <mergeCell ref="A4:A7"/>
    <mergeCell ref="A8:A10"/>
    <mergeCell ref="B8:B10"/>
  </mergeCells>
  <pageMargins left="0.511811024" right="0.511811024" top="0.78740157499999996" bottom="0.78740157499999996" header="0.31496062000000002" footer="0.31496062000000002"/>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BB157"/>
  <sheetViews>
    <sheetView showGridLines="0" zoomScaleNormal="100" workbookViewId="0">
      <selection activeCell="A3" sqref="A3"/>
    </sheetView>
  </sheetViews>
  <sheetFormatPr defaultColWidth="0" defaultRowHeight="15" x14ac:dyDescent="0.25"/>
  <cols>
    <col min="1" max="1" width="12" style="279" customWidth="1"/>
    <col min="2" max="2" width="16.5703125" style="279" bestFit="1" customWidth="1"/>
    <col min="3" max="3" width="42.5703125" style="292" bestFit="1" customWidth="1"/>
    <col min="4" max="4" width="2.85546875" style="279" bestFit="1" customWidth="1"/>
    <col min="5" max="5" width="8.140625" style="279" customWidth="1"/>
    <col min="6" max="6" width="15.7109375" style="279" bestFit="1" customWidth="1"/>
    <col min="7" max="7" width="17" style="279" bestFit="1" customWidth="1"/>
    <col min="8" max="8" width="15" style="279" bestFit="1" customWidth="1"/>
    <col min="9" max="10" width="15.28515625" style="279" bestFit="1" customWidth="1"/>
    <col min="11" max="11" width="16.28515625" style="279" bestFit="1" customWidth="1"/>
    <col min="12" max="15" width="15.28515625" style="279" bestFit="1" customWidth="1"/>
    <col min="16" max="16" width="15" style="279" bestFit="1" customWidth="1"/>
    <col min="17" max="23" width="15.28515625" style="279" bestFit="1" customWidth="1"/>
    <col min="24" max="25" width="15" style="279" bestFit="1" customWidth="1"/>
    <col min="26" max="35" width="15.28515625" style="279" bestFit="1" customWidth="1"/>
    <col min="36" max="36" width="16" style="279" bestFit="1" customWidth="1"/>
    <col min="37" max="37" width="15.28515625" style="279" bestFit="1" customWidth="1"/>
    <col min="38" max="42" width="15.28515625" style="279" customWidth="1"/>
    <col min="43" max="43" width="16" style="279" bestFit="1" customWidth="1"/>
    <col min="44" max="44" width="8.7109375" style="279" customWidth="1"/>
    <col min="45" max="48" width="14" style="279" bestFit="1" customWidth="1"/>
    <col min="49" max="49" width="8.7109375" style="279" customWidth="1"/>
    <col min="50" max="54" width="0" style="279" hidden="1" customWidth="1"/>
    <col min="55" max="16384" width="2.5703125" style="279" hidden="1"/>
  </cols>
  <sheetData>
    <row r="1" spans="1:49" x14ac:dyDescent="0.25">
      <c r="A1" s="309" t="s">
        <v>520</v>
      </c>
      <c r="B1" s="1184">
        <f>AP4</f>
        <v>2061</v>
      </c>
      <c r="C1" s="1185" t="s">
        <v>383</v>
      </c>
      <c r="D1" s="1185"/>
      <c r="E1" s="1185"/>
      <c r="F1" s="1185"/>
      <c r="G1" s="1185"/>
      <c r="H1" s="293">
        <f>H4</f>
        <v>2027</v>
      </c>
      <c r="I1" s="293">
        <f t="shared" ref="I1:AJ1" si="0">I4</f>
        <v>2028</v>
      </c>
      <c r="J1" s="293">
        <f t="shared" si="0"/>
        <v>2029</v>
      </c>
      <c r="K1" s="293">
        <f t="shared" si="0"/>
        <v>2030</v>
      </c>
      <c r="L1" s="293">
        <f t="shared" si="0"/>
        <v>2031</v>
      </c>
      <c r="M1" s="293">
        <f t="shared" si="0"/>
        <v>2032</v>
      </c>
      <c r="N1" s="293">
        <f t="shared" si="0"/>
        <v>2033</v>
      </c>
      <c r="O1" s="293">
        <f t="shared" si="0"/>
        <v>2034</v>
      </c>
      <c r="P1" s="293">
        <f t="shared" si="0"/>
        <v>2035</v>
      </c>
      <c r="Q1" s="293">
        <f t="shared" si="0"/>
        <v>2036</v>
      </c>
      <c r="R1" s="293">
        <f t="shared" si="0"/>
        <v>2037</v>
      </c>
      <c r="S1" s="293">
        <f t="shared" si="0"/>
        <v>2038</v>
      </c>
      <c r="T1" s="293">
        <f t="shared" si="0"/>
        <v>2039</v>
      </c>
      <c r="U1" s="293">
        <f t="shared" si="0"/>
        <v>2040</v>
      </c>
      <c r="V1" s="293">
        <f t="shared" si="0"/>
        <v>2041</v>
      </c>
      <c r="W1" s="293">
        <f t="shared" si="0"/>
        <v>2042</v>
      </c>
      <c r="X1" s="293">
        <f t="shared" si="0"/>
        <v>2043</v>
      </c>
      <c r="Y1" s="293">
        <f t="shared" si="0"/>
        <v>2044</v>
      </c>
      <c r="Z1" s="293">
        <f t="shared" si="0"/>
        <v>2045</v>
      </c>
      <c r="AA1" s="293">
        <f t="shared" si="0"/>
        <v>2046</v>
      </c>
      <c r="AB1" s="293">
        <f t="shared" si="0"/>
        <v>2047</v>
      </c>
      <c r="AC1" s="293">
        <f t="shared" si="0"/>
        <v>2048</v>
      </c>
      <c r="AD1" s="293">
        <f t="shared" si="0"/>
        <v>2049</v>
      </c>
      <c r="AE1" s="293">
        <f t="shared" si="0"/>
        <v>2050</v>
      </c>
      <c r="AF1" s="293">
        <f t="shared" si="0"/>
        <v>2051</v>
      </c>
      <c r="AG1" s="293">
        <f t="shared" si="0"/>
        <v>2052</v>
      </c>
      <c r="AH1" s="293">
        <f t="shared" si="0"/>
        <v>2053</v>
      </c>
      <c r="AI1" s="293">
        <f t="shared" si="0"/>
        <v>2054</v>
      </c>
      <c r="AJ1" s="293">
        <f t="shared" si="0"/>
        <v>2055</v>
      </c>
      <c r="AK1" s="293">
        <f>AK4</f>
        <v>2056</v>
      </c>
      <c r="AL1" s="293">
        <f t="shared" ref="AL1:AP1" si="1">AL4</f>
        <v>2057</v>
      </c>
      <c r="AM1" s="293">
        <f t="shared" si="1"/>
        <v>2058</v>
      </c>
      <c r="AN1" s="293">
        <f t="shared" si="1"/>
        <v>2059</v>
      </c>
      <c r="AO1" s="293">
        <f t="shared" si="1"/>
        <v>2060</v>
      </c>
      <c r="AP1" s="293">
        <f t="shared" si="1"/>
        <v>2061</v>
      </c>
      <c r="AQ1" s="294" t="s">
        <v>5</v>
      </c>
    </row>
    <row r="2" spans="1:49" ht="15.75" thickBot="1" x14ac:dyDescent="0.3">
      <c r="A2" s="145" t="s">
        <v>526</v>
      </c>
      <c r="B2" s="1184"/>
      <c r="C2" s="1186"/>
      <c r="D2" s="1186"/>
      <c r="E2" s="1186"/>
      <c r="F2" s="1186"/>
      <c r="G2" s="1186"/>
      <c r="H2" s="295">
        <f>H40</f>
        <v>0</v>
      </c>
      <c r="I2" s="295">
        <f t="shared" ref="I2:AK2" si="2">I40</f>
        <v>0</v>
      </c>
      <c r="J2" s="295">
        <f t="shared" si="2"/>
        <v>0</v>
      </c>
      <c r="K2" s="295">
        <f t="shared" si="2"/>
        <v>0</v>
      </c>
      <c r="L2" s="295">
        <f t="shared" si="2"/>
        <v>0</v>
      </c>
      <c r="M2" s="295">
        <f t="shared" si="2"/>
        <v>0</v>
      </c>
      <c r="N2" s="295">
        <f t="shared" si="2"/>
        <v>0</v>
      </c>
      <c r="O2" s="295">
        <f t="shared" si="2"/>
        <v>0</v>
      </c>
      <c r="P2" s="295">
        <f t="shared" si="2"/>
        <v>0</v>
      </c>
      <c r="Q2" s="295">
        <f t="shared" si="2"/>
        <v>0</v>
      </c>
      <c r="R2" s="295">
        <f t="shared" si="2"/>
        <v>0</v>
      </c>
      <c r="S2" s="295">
        <f t="shared" si="2"/>
        <v>0</v>
      </c>
      <c r="T2" s="295">
        <f t="shared" si="2"/>
        <v>0</v>
      </c>
      <c r="U2" s="295">
        <f t="shared" si="2"/>
        <v>0</v>
      </c>
      <c r="V2" s="295">
        <f t="shared" si="2"/>
        <v>0</v>
      </c>
      <c r="W2" s="295">
        <f t="shared" si="2"/>
        <v>0</v>
      </c>
      <c r="X2" s="295">
        <f t="shared" si="2"/>
        <v>0</v>
      </c>
      <c r="Y2" s="295">
        <f t="shared" si="2"/>
        <v>0</v>
      </c>
      <c r="Z2" s="295">
        <f t="shared" si="2"/>
        <v>0</v>
      </c>
      <c r="AA2" s="295">
        <f t="shared" si="2"/>
        <v>0</v>
      </c>
      <c r="AB2" s="295">
        <f t="shared" si="2"/>
        <v>0</v>
      </c>
      <c r="AC2" s="295">
        <f t="shared" si="2"/>
        <v>0</v>
      </c>
      <c r="AD2" s="295">
        <f t="shared" si="2"/>
        <v>0</v>
      </c>
      <c r="AE2" s="295">
        <f t="shared" si="2"/>
        <v>0</v>
      </c>
      <c r="AF2" s="295">
        <f t="shared" si="2"/>
        <v>0</v>
      </c>
      <c r="AG2" s="295">
        <f t="shared" si="2"/>
        <v>0</v>
      </c>
      <c r="AH2" s="295">
        <f t="shared" si="2"/>
        <v>0</v>
      </c>
      <c r="AI2" s="295">
        <f t="shared" si="2"/>
        <v>0</v>
      </c>
      <c r="AJ2" s="295">
        <f t="shared" si="2"/>
        <v>0</v>
      </c>
      <c r="AK2" s="295">
        <f t="shared" si="2"/>
        <v>0</v>
      </c>
      <c r="AL2" s="295">
        <f t="shared" ref="AL2:AP2" si="3">AL40</f>
        <v>0</v>
      </c>
      <c r="AM2" s="295">
        <f t="shared" si="3"/>
        <v>0</v>
      </c>
      <c r="AN2" s="295">
        <f t="shared" si="3"/>
        <v>0</v>
      </c>
      <c r="AO2" s="295">
        <f t="shared" si="3"/>
        <v>0</v>
      </c>
      <c r="AP2" s="295">
        <f t="shared" si="3"/>
        <v>0</v>
      </c>
      <c r="AQ2" s="296">
        <f>AQ40</f>
        <v>0</v>
      </c>
    </row>
    <row r="3" spans="1:49" ht="15.75" thickBot="1" x14ac:dyDescent="0.3">
      <c r="A3" s="213" t="s">
        <v>522</v>
      </c>
      <c r="B3" s="1184"/>
      <c r="C3" s="1187" t="s">
        <v>384</v>
      </c>
      <c r="D3" s="1187"/>
      <c r="E3" s="1187"/>
      <c r="F3" s="1187"/>
      <c r="G3" s="1188"/>
      <c r="H3" s="282"/>
      <c r="AQ3" s="283"/>
    </row>
    <row r="4" spans="1:49" s="284" customFormat="1" x14ac:dyDescent="0.25">
      <c r="B4" s="1189">
        <v>35</v>
      </c>
      <c r="C4" s="1191" t="s">
        <v>502</v>
      </c>
      <c r="D4" s="277"/>
      <c r="E4" s="277"/>
      <c r="F4" s="277" t="s">
        <v>380</v>
      </c>
      <c r="G4" s="277" t="s">
        <v>206</v>
      </c>
      <c r="H4" s="277">
        <f>'FCD PROJETO'!F24</f>
        <v>2027</v>
      </c>
      <c r="I4" s="277">
        <f>'FCD PROJETO'!G24</f>
        <v>2028</v>
      </c>
      <c r="J4" s="277">
        <f>'FCD PROJETO'!H24</f>
        <v>2029</v>
      </c>
      <c r="K4" s="277">
        <f>'FCD PROJETO'!I24</f>
        <v>2030</v>
      </c>
      <c r="L4" s="277">
        <f>'FCD PROJETO'!J24</f>
        <v>2031</v>
      </c>
      <c r="M4" s="277">
        <f>'FCD PROJETO'!K24</f>
        <v>2032</v>
      </c>
      <c r="N4" s="277">
        <f>'FCD PROJETO'!L24</f>
        <v>2033</v>
      </c>
      <c r="O4" s="277">
        <f>'FCD PROJETO'!M24</f>
        <v>2034</v>
      </c>
      <c r="P4" s="277">
        <f>'FCD PROJETO'!N24</f>
        <v>2035</v>
      </c>
      <c r="Q4" s="277">
        <f>'FCD PROJETO'!O24</f>
        <v>2036</v>
      </c>
      <c r="R4" s="277">
        <f>'FCD PROJETO'!P24</f>
        <v>2037</v>
      </c>
      <c r="S4" s="277">
        <f>'FCD PROJETO'!Q24</f>
        <v>2038</v>
      </c>
      <c r="T4" s="277">
        <f>'FCD PROJETO'!R24</f>
        <v>2039</v>
      </c>
      <c r="U4" s="277">
        <f>'FCD PROJETO'!S24</f>
        <v>2040</v>
      </c>
      <c r="V4" s="277">
        <f>'FCD PROJETO'!T24</f>
        <v>2041</v>
      </c>
      <c r="W4" s="277">
        <f>'FCD PROJETO'!U24</f>
        <v>2042</v>
      </c>
      <c r="X4" s="277">
        <f>'FCD PROJETO'!V24</f>
        <v>2043</v>
      </c>
      <c r="Y4" s="277">
        <f>'FCD PROJETO'!W24</f>
        <v>2044</v>
      </c>
      <c r="Z4" s="277">
        <f>'FCD PROJETO'!X24</f>
        <v>2045</v>
      </c>
      <c r="AA4" s="277">
        <f>'FCD PROJETO'!Y24</f>
        <v>2046</v>
      </c>
      <c r="AB4" s="277">
        <f>'FCD PROJETO'!Z24</f>
        <v>2047</v>
      </c>
      <c r="AC4" s="277">
        <f>'FCD PROJETO'!AA24</f>
        <v>2048</v>
      </c>
      <c r="AD4" s="277">
        <f>'FCD PROJETO'!AB24</f>
        <v>2049</v>
      </c>
      <c r="AE4" s="277">
        <f>'FCD PROJETO'!AC24</f>
        <v>2050</v>
      </c>
      <c r="AF4" s="277">
        <f>'FCD PROJETO'!AD24</f>
        <v>2051</v>
      </c>
      <c r="AG4" s="277">
        <f>'FCD PROJETO'!AE24</f>
        <v>2052</v>
      </c>
      <c r="AH4" s="277">
        <f>'FCD PROJETO'!AF24</f>
        <v>2053</v>
      </c>
      <c r="AI4" s="277">
        <f>'FCD PROJETO'!AG24</f>
        <v>2054</v>
      </c>
      <c r="AJ4" s="277">
        <f>'FCD PROJETO'!AH24</f>
        <v>2055</v>
      </c>
      <c r="AK4" s="277">
        <f>'FCD PROJETO'!AI24</f>
        <v>2056</v>
      </c>
      <c r="AL4" s="277">
        <f>'FCD PROJETO'!AJ24</f>
        <v>2057</v>
      </c>
      <c r="AM4" s="277">
        <f>'FCD PROJETO'!AK24</f>
        <v>2058</v>
      </c>
      <c r="AN4" s="277">
        <f>'FCD PROJETO'!AL24</f>
        <v>2059</v>
      </c>
      <c r="AO4" s="277">
        <f>'FCD PROJETO'!AM24</f>
        <v>2060</v>
      </c>
      <c r="AP4" s="277">
        <f>'FCD PROJETO'!AN24</f>
        <v>2061</v>
      </c>
      <c r="AQ4" s="278" t="str">
        <f>$AQ$1</f>
        <v>Total</v>
      </c>
      <c r="AR4" s="279"/>
      <c r="AS4" s="279"/>
      <c r="AT4" s="279"/>
      <c r="AU4" s="279"/>
      <c r="AV4" s="279"/>
      <c r="AW4" s="279"/>
    </row>
    <row r="5" spans="1:49" x14ac:dyDescent="0.25">
      <c r="B5" s="1189"/>
      <c r="C5" s="1192"/>
      <c r="D5" s="297">
        <f>IF(E5=0,0,$B$1-E5+1)</f>
        <v>35</v>
      </c>
      <c r="E5" s="297">
        <f t="array" ref="E5:E39">TRANSPOSE(H4:AP4)</f>
        <v>2027</v>
      </c>
      <c r="F5" s="297">
        <f>IF(D5&gt;$B$4,$B$4,D5)</f>
        <v>35</v>
      </c>
      <c r="G5" s="298">
        <f t="array" ref="G5:G39">-TRANSPOSE('FCD PROJETO'!F48:AN48)</f>
        <v>0</v>
      </c>
      <c r="H5" s="298">
        <f t="shared" ref="H5:W20" si="4">IF($F5=0,0,IF(H$4&lt;$E5,0,IF(OR(H$4=$E5,H$4&lt;$E5+$F5),$G5/$F5,0)))</f>
        <v>0</v>
      </c>
      <c r="I5" s="298">
        <f t="shared" si="4"/>
        <v>0</v>
      </c>
      <c r="J5" s="298">
        <f t="shared" si="4"/>
        <v>0</v>
      </c>
      <c r="K5" s="298">
        <f t="shared" si="4"/>
        <v>0</v>
      </c>
      <c r="L5" s="298">
        <f t="shared" si="4"/>
        <v>0</v>
      </c>
      <c r="M5" s="298">
        <f t="shared" si="4"/>
        <v>0</v>
      </c>
      <c r="N5" s="298">
        <f t="shared" si="4"/>
        <v>0</v>
      </c>
      <c r="O5" s="298">
        <f t="shared" si="4"/>
        <v>0</v>
      </c>
      <c r="P5" s="298">
        <f t="shared" si="4"/>
        <v>0</v>
      </c>
      <c r="Q5" s="298">
        <f t="shared" si="4"/>
        <v>0</v>
      </c>
      <c r="R5" s="298">
        <f t="shared" si="4"/>
        <v>0</v>
      </c>
      <c r="S5" s="298">
        <f t="shared" si="4"/>
        <v>0</v>
      </c>
      <c r="T5" s="298">
        <f t="shared" si="4"/>
        <v>0</v>
      </c>
      <c r="U5" s="298">
        <f t="shared" si="4"/>
        <v>0</v>
      </c>
      <c r="V5" s="298">
        <f t="shared" si="4"/>
        <v>0</v>
      </c>
      <c r="W5" s="298">
        <f t="shared" si="4"/>
        <v>0</v>
      </c>
      <c r="X5" s="298">
        <f t="shared" ref="X5:AM18" si="5">IF($F5=0,0,IF(X$4&lt;$E5,0,IF(OR(X$4=$E5,X$4&lt;$E5+$F5),$G5/$F5,0)))</f>
        <v>0</v>
      </c>
      <c r="Y5" s="298">
        <f t="shared" si="5"/>
        <v>0</v>
      </c>
      <c r="Z5" s="298">
        <f t="shared" si="5"/>
        <v>0</v>
      </c>
      <c r="AA5" s="298">
        <f t="shared" si="5"/>
        <v>0</v>
      </c>
      <c r="AB5" s="298">
        <f t="shared" si="5"/>
        <v>0</v>
      </c>
      <c r="AC5" s="298">
        <f t="shared" si="5"/>
        <v>0</v>
      </c>
      <c r="AD5" s="298">
        <f t="shared" si="5"/>
        <v>0</v>
      </c>
      <c r="AE5" s="298">
        <f t="shared" si="5"/>
        <v>0</v>
      </c>
      <c r="AF5" s="298">
        <f t="shared" si="5"/>
        <v>0</v>
      </c>
      <c r="AG5" s="298">
        <f t="shared" si="5"/>
        <v>0</v>
      </c>
      <c r="AH5" s="298">
        <f t="shared" si="5"/>
        <v>0</v>
      </c>
      <c r="AI5" s="298">
        <f t="shared" si="5"/>
        <v>0</v>
      </c>
      <c r="AJ5" s="298">
        <f t="shared" si="5"/>
        <v>0</v>
      </c>
      <c r="AK5" s="298">
        <f t="shared" si="5"/>
        <v>0</v>
      </c>
      <c r="AL5" s="298">
        <f t="shared" si="5"/>
        <v>0</v>
      </c>
      <c r="AM5" s="298">
        <f t="shared" si="5"/>
        <v>0</v>
      </c>
      <c r="AN5" s="298">
        <f t="shared" ref="AL5:AP17" si="6">IF($F5=0,0,IF(AN$4&lt;$E5,0,IF(OR(AN$4=$E5,AN$4&lt;$E5+$F5),$G5/$F5,0)))</f>
        <v>0</v>
      </c>
      <c r="AO5" s="298">
        <f t="shared" si="6"/>
        <v>0</v>
      </c>
      <c r="AP5" s="298">
        <f t="shared" si="6"/>
        <v>0</v>
      </c>
      <c r="AQ5" s="299">
        <f>G5-SUM(H5:AP5)</f>
        <v>0</v>
      </c>
      <c r="AS5" s="288"/>
      <c r="AT5" s="288"/>
      <c r="AU5" s="288"/>
      <c r="AV5" s="288"/>
    </row>
    <row r="6" spans="1:49" x14ac:dyDescent="0.25">
      <c r="B6" s="1189"/>
      <c r="C6" s="1192"/>
      <c r="D6" s="297">
        <f t="shared" ref="D6:D39" si="7">IF(E6=0,0,$B$1-E6+1)</f>
        <v>34</v>
      </c>
      <c r="E6" s="297">
        <v>2028</v>
      </c>
      <c r="F6" s="297">
        <f t="shared" ref="F6:F39" si="8">IF(D6&gt;$B$4,$B$4,D6)</f>
        <v>34</v>
      </c>
      <c r="G6" s="298">
        <v>0</v>
      </c>
      <c r="H6" s="298">
        <f t="shared" si="4"/>
        <v>0</v>
      </c>
      <c r="I6" s="298">
        <f t="shared" si="4"/>
        <v>0</v>
      </c>
      <c r="J6" s="298">
        <f t="shared" si="4"/>
        <v>0</v>
      </c>
      <c r="K6" s="298">
        <f t="shared" si="4"/>
        <v>0</v>
      </c>
      <c r="L6" s="298">
        <f t="shared" si="4"/>
        <v>0</v>
      </c>
      <c r="M6" s="298">
        <f t="shared" si="4"/>
        <v>0</v>
      </c>
      <c r="N6" s="298">
        <f t="shared" si="4"/>
        <v>0</v>
      </c>
      <c r="O6" s="298">
        <f t="shared" si="4"/>
        <v>0</v>
      </c>
      <c r="P6" s="298">
        <f t="shared" si="4"/>
        <v>0</v>
      </c>
      <c r="Q6" s="298">
        <f t="shared" si="4"/>
        <v>0</v>
      </c>
      <c r="R6" s="298">
        <f t="shared" si="4"/>
        <v>0</v>
      </c>
      <c r="S6" s="298">
        <f t="shared" si="4"/>
        <v>0</v>
      </c>
      <c r="T6" s="298">
        <f t="shared" si="4"/>
        <v>0</v>
      </c>
      <c r="U6" s="298">
        <f t="shared" si="4"/>
        <v>0</v>
      </c>
      <c r="V6" s="298">
        <f t="shared" si="4"/>
        <v>0</v>
      </c>
      <c r="W6" s="298">
        <f t="shared" si="4"/>
        <v>0</v>
      </c>
      <c r="X6" s="298">
        <f t="shared" si="5"/>
        <v>0</v>
      </c>
      <c r="Y6" s="298">
        <f t="shared" si="5"/>
        <v>0</v>
      </c>
      <c r="Z6" s="298">
        <f t="shared" si="5"/>
        <v>0</v>
      </c>
      <c r="AA6" s="298">
        <f t="shared" si="5"/>
        <v>0</v>
      </c>
      <c r="AB6" s="298">
        <f t="shared" si="5"/>
        <v>0</v>
      </c>
      <c r="AC6" s="298">
        <f t="shared" si="5"/>
        <v>0</v>
      </c>
      <c r="AD6" s="298">
        <f t="shared" si="5"/>
        <v>0</v>
      </c>
      <c r="AE6" s="298">
        <f t="shared" si="5"/>
        <v>0</v>
      </c>
      <c r="AF6" s="298">
        <f t="shared" si="5"/>
        <v>0</v>
      </c>
      <c r="AG6" s="298">
        <f t="shared" si="5"/>
        <v>0</v>
      </c>
      <c r="AH6" s="298">
        <f t="shared" si="5"/>
        <v>0</v>
      </c>
      <c r="AI6" s="298">
        <f t="shared" si="5"/>
        <v>0</v>
      </c>
      <c r="AJ6" s="298">
        <f t="shared" si="5"/>
        <v>0</v>
      </c>
      <c r="AK6" s="298">
        <f t="shared" si="5"/>
        <v>0</v>
      </c>
      <c r="AL6" s="298">
        <f t="shared" si="6"/>
        <v>0</v>
      </c>
      <c r="AM6" s="298">
        <f t="shared" si="6"/>
        <v>0</v>
      </c>
      <c r="AN6" s="298">
        <f t="shared" si="6"/>
        <v>0</v>
      </c>
      <c r="AO6" s="298">
        <f t="shared" si="6"/>
        <v>0</v>
      </c>
      <c r="AP6" s="298">
        <f t="shared" si="6"/>
        <v>0</v>
      </c>
      <c r="AQ6" s="299">
        <f t="shared" ref="AQ6:AQ39" si="9">G6-SUM(H6:AP6)</f>
        <v>0</v>
      </c>
      <c r="AS6" s="288"/>
      <c r="AT6" s="288"/>
      <c r="AU6" s="288"/>
      <c r="AV6" s="288"/>
    </row>
    <row r="7" spans="1:49" x14ac:dyDescent="0.25">
      <c r="B7" s="1189"/>
      <c r="C7" s="1192"/>
      <c r="D7" s="297">
        <f t="shared" si="7"/>
        <v>33</v>
      </c>
      <c r="E7" s="297">
        <v>2029</v>
      </c>
      <c r="F7" s="297">
        <f t="shared" si="8"/>
        <v>33</v>
      </c>
      <c r="G7" s="298">
        <v>0</v>
      </c>
      <c r="H7" s="298">
        <f t="shared" si="4"/>
        <v>0</v>
      </c>
      <c r="I7" s="298">
        <f t="shared" si="4"/>
        <v>0</v>
      </c>
      <c r="J7" s="298">
        <f t="shared" si="4"/>
        <v>0</v>
      </c>
      <c r="K7" s="298">
        <f t="shared" si="4"/>
        <v>0</v>
      </c>
      <c r="L7" s="298">
        <f t="shared" si="4"/>
        <v>0</v>
      </c>
      <c r="M7" s="298">
        <f t="shared" si="4"/>
        <v>0</v>
      </c>
      <c r="N7" s="298">
        <f t="shared" si="4"/>
        <v>0</v>
      </c>
      <c r="O7" s="298">
        <f t="shared" si="4"/>
        <v>0</v>
      </c>
      <c r="P7" s="298">
        <f t="shared" si="4"/>
        <v>0</v>
      </c>
      <c r="Q7" s="298">
        <f t="shared" si="4"/>
        <v>0</v>
      </c>
      <c r="R7" s="298">
        <f t="shared" si="4"/>
        <v>0</v>
      </c>
      <c r="S7" s="298">
        <f t="shared" si="4"/>
        <v>0</v>
      </c>
      <c r="T7" s="298">
        <f t="shared" si="4"/>
        <v>0</v>
      </c>
      <c r="U7" s="298">
        <f t="shared" si="4"/>
        <v>0</v>
      </c>
      <c r="V7" s="298">
        <f t="shared" si="4"/>
        <v>0</v>
      </c>
      <c r="W7" s="298">
        <f t="shared" si="4"/>
        <v>0</v>
      </c>
      <c r="X7" s="298">
        <f t="shared" si="5"/>
        <v>0</v>
      </c>
      <c r="Y7" s="298">
        <f t="shared" si="5"/>
        <v>0</v>
      </c>
      <c r="Z7" s="298">
        <f t="shared" si="5"/>
        <v>0</v>
      </c>
      <c r="AA7" s="298">
        <f t="shared" si="5"/>
        <v>0</v>
      </c>
      <c r="AB7" s="298">
        <f t="shared" si="5"/>
        <v>0</v>
      </c>
      <c r="AC7" s="298">
        <f t="shared" si="5"/>
        <v>0</v>
      </c>
      <c r="AD7" s="298">
        <f t="shared" si="5"/>
        <v>0</v>
      </c>
      <c r="AE7" s="298">
        <f t="shared" si="5"/>
        <v>0</v>
      </c>
      <c r="AF7" s="298">
        <f t="shared" si="5"/>
        <v>0</v>
      </c>
      <c r="AG7" s="298">
        <f t="shared" si="5"/>
        <v>0</v>
      </c>
      <c r="AH7" s="298">
        <f t="shared" si="5"/>
        <v>0</v>
      </c>
      <c r="AI7" s="298">
        <f t="shared" si="5"/>
        <v>0</v>
      </c>
      <c r="AJ7" s="298">
        <f t="shared" si="5"/>
        <v>0</v>
      </c>
      <c r="AK7" s="298">
        <f t="shared" si="5"/>
        <v>0</v>
      </c>
      <c r="AL7" s="298">
        <f t="shared" si="6"/>
        <v>0</v>
      </c>
      <c r="AM7" s="298">
        <f t="shared" si="6"/>
        <v>0</v>
      </c>
      <c r="AN7" s="298">
        <f t="shared" si="6"/>
        <v>0</v>
      </c>
      <c r="AO7" s="298">
        <f t="shared" si="6"/>
        <v>0</v>
      </c>
      <c r="AP7" s="298">
        <f t="shared" si="6"/>
        <v>0</v>
      </c>
      <c r="AQ7" s="299">
        <f t="shared" si="9"/>
        <v>0</v>
      </c>
      <c r="AS7" s="288"/>
      <c r="AT7" s="288"/>
      <c r="AU7" s="288"/>
      <c r="AV7" s="288"/>
    </row>
    <row r="8" spans="1:49" x14ac:dyDescent="0.25">
      <c r="B8" s="1189"/>
      <c r="C8" s="1192"/>
      <c r="D8" s="297">
        <f t="shared" si="7"/>
        <v>32</v>
      </c>
      <c r="E8" s="297">
        <v>2030</v>
      </c>
      <c r="F8" s="297">
        <f t="shared" si="8"/>
        <v>32</v>
      </c>
      <c r="G8" s="298">
        <v>0</v>
      </c>
      <c r="H8" s="298">
        <f t="shared" si="4"/>
        <v>0</v>
      </c>
      <c r="I8" s="298">
        <f t="shared" si="4"/>
        <v>0</v>
      </c>
      <c r="J8" s="298">
        <f t="shared" si="4"/>
        <v>0</v>
      </c>
      <c r="K8" s="298">
        <f t="shared" si="4"/>
        <v>0</v>
      </c>
      <c r="L8" s="298">
        <f t="shared" si="4"/>
        <v>0</v>
      </c>
      <c r="M8" s="298">
        <f t="shared" si="4"/>
        <v>0</v>
      </c>
      <c r="N8" s="298">
        <f t="shared" si="4"/>
        <v>0</v>
      </c>
      <c r="O8" s="298">
        <f t="shared" si="4"/>
        <v>0</v>
      </c>
      <c r="P8" s="298">
        <f t="shared" si="4"/>
        <v>0</v>
      </c>
      <c r="Q8" s="298">
        <f t="shared" si="4"/>
        <v>0</v>
      </c>
      <c r="R8" s="298">
        <f t="shared" si="4"/>
        <v>0</v>
      </c>
      <c r="S8" s="298">
        <f t="shared" si="4"/>
        <v>0</v>
      </c>
      <c r="T8" s="298">
        <f t="shared" si="4"/>
        <v>0</v>
      </c>
      <c r="U8" s="298">
        <f t="shared" si="4"/>
        <v>0</v>
      </c>
      <c r="V8" s="298">
        <f t="shared" si="4"/>
        <v>0</v>
      </c>
      <c r="W8" s="298">
        <f t="shared" si="4"/>
        <v>0</v>
      </c>
      <c r="X8" s="298">
        <f t="shared" si="5"/>
        <v>0</v>
      </c>
      <c r="Y8" s="298">
        <f t="shared" si="5"/>
        <v>0</v>
      </c>
      <c r="Z8" s="298">
        <f t="shared" si="5"/>
        <v>0</v>
      </c>
      <c r="AA8" s="298">
        <f t="shared" si="5"/>
        <v>0</v>
      </c>
      <c r="AB8" s="298">
        <f t="shared" si="5"/>
        <v>0</v>
      </c>
      <c r="AC8" s="298">
        <f t="shared" si="5"/>
        <v>0</v>
      </c>
      <c r="AD8" s="298">
        <f t="shared" si="5"/>
        <v>0</v>
      </c>
      <c r="AE8" s="298">
        <f t="shared" si="5"/>
        <v>0</v>
      </c>
      <c r="AF8" s="298">
        <f t="shared" si="5"/>
        <v>0</v>
      </c>
      <c r="AG8" s="298">
        <f t="shared" si="5"/>
        <v>0</v>
      </c>
      <c r="AH8" s="298">
        <f t="shared" si="5"/>
        <v>0</v>
      </c>
      <c r="AI8" s="298">
        <f t="shared" si="5"/>
        <v>0</v>
      </c>
      <c r="AJ8" s="298">
        <f t="shared" si="5"/>
        <v>0</v>
      </c>
      <c r="AK8" s="298">
        <f t="shared" si="5"/>
        <v>0</v>
      </c>
      <c r="AL8" s="298">
        <f t="shared" si="6"/>
        <v>0</v>
      </c>
      <c r="AM8" s="298">
        <f t="shared" si="6"/>
        <v>0</v>
      </c>
      <c r="AN8" s="298">
        <f t="shared" si="6"/>
        <v>0</v>
      </c>
      <c r="AO8" s="298">
        <f t="shared" si="6"/>
        <v>0</v>
      </c>
      <c r="AP8" s="298">
        <f t="shared" si="6"/>
        <v>0</v>
      </c>
      <c r="AQ8" s="299">
        <f t="shared" si="9"/>
        <v>0</v>
      </c>
      <c r="AS8" s="288"/>
      <c r="AT8" s="288"/>
      <c r="AU8" s="288"/>
      <c r="AV8" s="288"/>
    </row>
    <row r="9" spans="1:49" x14ac:dyDescent="0.25">
      <c r="B9" s="1189"/>
      <c r="C9" s="1192"/>
      <c r="D9" s="297">
        <f t="shared" si="7"/>
        <v>31</v>
      </c>
      <c r="E9" s="297">
        <v>2031</v>
      </c>
      <c r="F9" s="297">
        <f t="shared" si="8"/>
        <v>31</v>
      </c>
      <c r="G9" s="298">
        <v>0</v>
      </c>
      <c r="H9" s="298">
        <f t="shared" si="4"/>
        <v>0</v>
      </c>
      <c r="I9" s="298">
        <f t="shared" si="4"/>
        <v>0</v>
      </c>
      <c r="J9" s="298">
        <f t="shared" si="4"/>
        <v>0</v>
      </c>
      <c r="K9" s="298">
        <f t="shared" si="4"/>
        <v>0</v>
      </c>
      <c r="L9" s="298">
        <f t="shared" si="4"/>
        <v>0</v>
      </c>
      <c r="M9" s="298">
        <f t="shared" si="4"/>
        <v>0</v>
      </c>
      <c r="N9" s="298">
        <f t="shared" si="4"/>
        <v>0</v>
      </c>
      <c r="O9" s="298">
        <f t="shared" si="4"/>
        <v>0</v>
      </c>
      <c r="P9" s="298">
        <f t="shared" si="4"/>
        <v>0</v>
      </c>
      <c r="Q9" s="298">
        <f t="shared" si="4"/>
        <v>0</v>
      </c>
      <c r="R9" s="298">
        <f t="shared" si="4"/>
        <v>0</v>
      </c>
      <c r="S9" s="298">
        <f t="shared" si="4"/>
        <v>0</v>
      </c>
      <c r="T9" s="298">
        <f t="shared" si="4"/>
        <v>0</v>
      </c>
      <c r="U9" s="298">
        <f t="shared" si="4"/>
        <v>0</v>
      </c>
      <c r="V9" s="298">
        <f t="shared" si="4"/>
        <v>0</v>
      </c>
      <c r="W9" s="298">
        <f t="shared" si="4"/>
        <v>0</v>
      </c>
      <c r="X9" s="298">
        <f t="shared" si="5"/>
        <v>0</v>
      </c>
      <c r="Y9" s="298">
        <f t="shared" si="5"/>
        <v>0</v>
      </c>
      <c r="Z9" s="298">
        <f t="shared" si="5"/>
        <v>0</v>
      </c>
      <c r="AA9" s="298">
        <f t="shared" si="5"/>
        <v>0</v>
      </c>
      <c r="AB9" s="298">
        <f t="shared" si="5"/>
        <v>0</v>
      </c>
      <c r="AC9" s="298">
        <f t="shared" si="5"/>
        <v>0</v>
      </c>
      <c r="AD9" s="298">
        <f t="shared" si="5"/>
        <v>0</v>
      </c>
      <c r="AE9" s="298">
        <f t="shared" si="5"/>
        <v>0</v>
      </c>
      <c r="AF9" s="298">
        <f t="shared" si="5"/>
        <v>0</v>
      </c>
      <c r="AG9" s="298">
        <f t="shared" si="5"/>
        <v>0</v>
      </c>
      <c r="AH9" s="298">
        <f t="shared" si="5"/>
        <v>0</v>
      </c>
      <c r="AI9" s="298">
        <f t="shared" si="5"/>
        <v>0</v>
      </c>
      <c r="AJ9" s="298">
        <f t="shared" si="5"/>
        <v>0</v>
      </c>
      <c r="AK9" s="298">
        <f t="shared" si="5"/>
        <v>0</v>
      </c>
      <c r="AL9" s="298">
        <f t="shared" si="6"/>
        <v>0</v>
      </c>
      <c r="AM9" s="298">
        <f t="shared" si="6"/>
        <v>0</v>
      </c>
      <c r="AN9" s="298">
        <f t="shared" si="6"/>
        <v>0</v>
      </c>
      <c r="AO9" s="298">
        <f t="shared" si="6"/>
        <v>0</v>
      </c>
      <c r="AP9" s="298">
        <f t="shared" si="6"/>
        <v>0</v>
      </c>
      <c r="AQ9" s="299">
        <f t="shared" si="9"/>
        <v>0</v>
      </c>
      <c r="AS9" s="288"/>
      <c r="AT9" s="288"/>
      <c r="AU9" s="288"/>
      <c r="AV9" s="288"/>
    </row>
    <row r="10" spans="1:49" x14ac:dyDescent="0.25">
      <c r="B10" s="1189"/>
      <c r="C10" s="1192"/>
      <c r="D10" s="297">
        <f t="shared" si="7"/>
        <v>30</v>
      </c>
      <c r="E10" s="297">
        <v>2032</v>
      </c>
      <c r="F10" s="297">
        <f t="shared" si="8"/>
        <v>30</v>
      </c>
      <c r="G10" s="298">
        <v>0</v>
      </c>
      <c r="H10" s="298">
        <f t="shared" si="4"/>
        <v>0</v>
      </c>
      <c r="I10" s="298">
        <f t="shared" si="4"/>
        <v>0</v>
      </c>
      <c r="J10" s="298">
        <f t="shared" si="4"/>
        <v>0</v>
      </c>
      <c r="K10" s="298">
        <f t="shared" si="4"/>
        <v>0</v>
      </c>
      <c r="L10" s="298">
        <f t="shared" si="4"/>
        <v>0</v>
      </c>
      <c r="M10" s="298">
        <f t="shared" si="4"/>
        <v>0</v>
      </c>
      <c r="N10" s="298">
        <f t="shared" si="4"/>
        <v>0</v>
      </c>
      <c r="O10" s="298">
        <f t="shared" si="4"/>
        <v>0</v>
      </c>
      <c r="P10" s="298">
        <f t="shared" si="4"/>
        <v>0</v>
      </c>
      <c r="Q10" s="298">
        <f t="shared" si="4"/>
        <v>0</v>
      </c>
      <c r="R10" s="298">
        <f t="shared" si="4"/>
        <v>0</v>
      </c>
      <c r="S10" s="298">
        <f t="shared" si="4"/>
        <v>0</v>
      </c>
      <c r="T10" s="298">
        <f t="shared" si="4"/>
        <v>0</v>
      </c>
      <c r="U10" s="298">
        <f t="shared" si="4"/>
        <v>0</v>
      </c>
      <c r="V10" s="298">
        <f t="shared" si="4"/>
        <v>0</v>
      </c>
      <c r="W10" s="298">
        <f t="shared" si="4"/>
        <v>0</v>
      </c>
      <c r="X10" s="298">
        <f t="shared" si="5"/>
        <v>0</v>
      </c>
      <c r="Y10" s="298">
        <f t="shared" si="5"/>
        <v>0</v>
      </c>
      <c r="Z10" s="298">
        <f t="shared" si="5"/>
        <v>0</v>
      </c>
      <c r="AA10" s="298">
        <f t="shared" si="5"/>
        <v>0</v>
      </c>
      <c r="AB10" s="298">
        <f t="shared" si="5"/>
        <v>0</v>
      </c>
      <c r="AC10" s="298">
        <f t="shared" si="5"/>
        <v>0</v>
      </c>
      <c r="AD10" s="298">
        <f t="shared" si="5"/>
        <v>0</v>
      </c>
      <c r="AE10" s="298">
        <f t="shared" si="5"/>
        <v>0</v>
      </c>
      <c r="AF10" s="298">
        <f t="shared" si="5"/>
        <v>0</v>
      </c>
      <c r="AG10" s="298">
        <f t="shared" si="5"/>
        <v>0</v>
      </c>
      <c r="AH10" s="298">
        <f t="shared" si="5"/>
        <v>0</v>
      </c>
      <c r="AI10" s="298">
        <f t="shared" si="5"/>
        <v>0</v>
      </c>
      <c r="AJ10" s="298">
        <f t="shared" si="5"/>
        <v>0</v>
      </c>
      <c r="AK10" s="298">
        <f t="shared" si="5"/>
        <v>0</v>
      </c>
      <c r="AL10" s="298">
        <f t="shared" si="6"/>
        <v>0</v>
      </c>
      <c r="AM10" s="298">
        <f t="shared" si="6"/>
        <v>0</v>
      </c>
      <c r="AN10" s="298">
        <f t="shared" si="6"/>
        <v>0</v>
      </c>
      <c r="AO10" s="298">
        <f t="shared" si="6"/>
        <v>0</v>
      </c>
      <c r="AP10" s="298">
        <f t="shared" si="6"/>
        <v>0</v>
      </c>
      <c r="AQ10" s="299">
        <f t="shared" si="9"/>
        <v>0</v>
      </c>
      <c r="AS10" s="288"/>
      <c r="AT10" s="288"/>
      <c r="AU10" s="288"/>
      <c r="AV10" s="288"/>
    </row>
    <row r="11" spans="1:49" x14ac:dyDescent="0.25">
      <c r="B11" s="1189"/>
      <c r="C11" s="1192"/>
      <c r="D11" s="297">
        <f t="shared" si="7"/>
        <v>29</v>
      </c>
      <c r="E11" s="297">
        <v>2033</v>
      </c>
      <c r="F11" s="297">
        <f t="shared" si="8"/>
        <v>29</v>
      </c>
      <c r="G11" s="298">
        <v>0</v>
      </c>
      <c r="H11" s="298">
        <f t="shared" si="4"/>
        <v>0</v>
      </c>
      <c r="I11" s="298">
        <f t="shared" si="4"/>
        <v>0</v>
      </c>
      <c r="J11" s="298">
        <f t="shared" si="4"/>
        <v>0</v>
      </c>
      <c r="K11" s="298">
        <f t="shared" si="4"/>
        <v>0</v>
      </c>
      <c r="L11" s="298">
        <f t="shared" si="4"/>
        <v>0</v>
      </c>
      <c r="M11" s="298">
        <f t="shared" si="4"/>
        <v>0</v>
      </c>
      <c r="N11" s="298">
        <f t="shared" si="4"/>
        <v>0</v>
      </c>
      <c r="O11" s="298">
        <f t="shared" si="4"/>
        <v>0</v>
      </c>
      <c r="P11" s="298">
        <f t="shared" si="4"/>
        <v>0</v>
      </c>
      <c r="Q11" s="298">
        <f t="shared" si="4"/>
        <v>0</v>
      </c>
      <c r="R11" s="298">
        <f t="shared" si="4"/>
        <v>0</v>
      </c>
      <c r="S11" s="298">
        <f t="shared" si="4"/>
        <v>0</v>
      </c>
      <c r="T11" s="298">
        <f t="shared" si="4"/>
        <v>0</v>
      </c>
      <c r="U11" s="298">
        <f t="shared" si="4"/>
        <v>0</v>
      </c>
      <c r="V11" s="298">
        <f t="shared" si="4"/>
        <v>0</v>
      </c>
      <c r="W11" s="298">
        <f t="shared" si="4"/>
        <v>0</v>
      </c>
      <c r="X11" s="298">
        <f t="shared" si="5"/>
        <v>0</v>
      </c>
      <c r="Y11" s="298">
        <f t="shared" si="5"/>
        <v>0</v>
      </c>
      <c r="Z11" s="298">
        <f t="shared" si="5"/>
        <v>0</v>
      </c>
      <c r="AA11" s="298">
        <f t="shared" si="5"/>
        <v>0</v>
      </c>
      <c r="AB11" s="298">
        <f t="shared" si="5"/>
        <v>0</v>
      </c>
      <c r="AC11" s="298">
        <f t="shared" si="5"/>
        <v>0</v>
      </c>
      <c r="AD11" s="298">
        <f t="shared" si="5"/>
        <v>0</v>
      </c>
      <c r="AE11" s="298">
        <f t="shared" si="5"/>
        <v>0</v>
      </c>
      <c r="AF11" s="298">
        <f t="shared" si="5"/>
        <v>0</v>
      </c>
      <c r="AG11" s="298">
        <f t="shared" si="5"/>
        <v>0</v>
      </c>
      <c r="AH11" s="298">
        <f t="shared" si="5"/>
        <v>0</v>
      </c>
      <c r="AI11" s="298">
        <f t="shared" si="5"/>
        <v>0</v>
      </c>
      <c r="AJ11" s="298">
        <f t="shared" si="5"/>
        <v>0</v>
      </c>
      <c r="AK11" s="298">
        <f t="shared" si="5"/>
        <v>0</v>
      </c>
      <c r="AL11" s="298">
        <f t="shared" si="6"/>
        <v>0</v>
      </c>
      <c r="AM11" s="298">
        <f t="shared" si="6"/>
        <v>0</v>
      </c>
      <c r="AN11" s="298">
        <f t="shared" si="6"/>
        <v>0</v>
      </c>
      <c r="AO11" s="298">
        <f t="shared" si="6"/>
        <v>0</v>
      </c>
      <c r="AP11" s="298">
        <f t="shared" si="6"/>
        <v>0</v>
      </c>
      <c r="AQ11" s="299">
        <f t="shared" si="9"/>
        <v>0</v>
      </c>
      <c r="AS11" s="288"/>
      <c r="AT11" s="288"/>
      <c r="AU11" s="288"/>
      <c r="AV11" s="288"/>
    </row>
    <row r="12" spans="1:49" x14ac:dyDescent="0.25">
      <c r="B12" s="1189"/>
      <c r="C12" s="1192"/>
      <c r="D12" s="297">
        <f t="shared" si="7"/>
        <v>28</v>
      </c>
      <c r="E12" s="297">
        <v>2034</v>
      </c>
      <c r="F12" s="297">
        <f t="shared" si="8"/>
        <v>28</v>
      </c>
      <c r="G12" s="298">
        <v>0</v>
      </c>
      <c r="H12" s="298">
        <f t="shared" si="4"/>
        <v>0</v>
      </c>
      <c r="I12" s="298">
        <f t="shared" si="4"/>
        <v>0</v>
      </c>
      <c r="J12" s="298">
        <f t="shared" si="4"/>
        <v>0</v>
      </c>
      <c r="K12" s="298">
        <f t="shared" si="4"/>
        <v>0</v>
      </c>
      <c r="L12" s="298">
        <f t="shared" si="4"/>
        <v>0</v>
      </c>
      <c r="M12" s="298">
        <f t="shared" si="4"/>
        <v>0</v>
      </c>
      <c r="N12" s="298">
        <f t="shared" si="4"/>
        <v>0</v>
      </c>
      <c r="O12" s="298">
        <f t="shared" si="4"/>
        <v>0</v>
      </c>
      <c r="P12" s="298">
        <f t="shared" si="4"/>
        <v>0</v>
      </c>
      <c r="Q12" s="298">
        <f t="shared" si="4"/>
        <v>0</v>
      </c>
      <c r="R12" s="298">
        <f t="shared" si="4"/>
        <v>0</v>
      </c>
      <c r="S12" s="298">
        <f t="shared" si="4"/>
        <v>0</v>
      </c>
      <c r="T12" s="298">
        <f t="shared" si="4"/>
        <v>0</v>
      </c>
      <c r="U12" s="298">
        <f t="shared" si="4"/>
        <v>0</v>
      </c>
      <c r="V12" s="298">
        <f t="shared" si="4"/>
        <v>0</v>
      </c>
      <c r="W12" s="298">
        <f t="shared" si="4"/>
        <v>0</v>
      </c>
      <c r="X12" s="298">
        <f t="shared" si="5"/>
        <v>0</v>
      </c>
      <c r="Y12" s="298">
        <f t="shared" si="5"/>
        <v>0</v>
      </c>
      <c r="Z12" s="298">
        <f t="shared" si="5"/>
        <v>0</v>
      </c>
      <c r="AA12" s="298">
        <f t="shared" si="5"/>
        <v>0</v>
      </c>
      <c r="AB12" s="298">
        <f t="shared" si="5"/>
        <v>0</v>
      </c>
      <c r="AC12" s="298">
        <f t="shared" si="5"/>
        <v>0</v>
      </c>
      <c r="AD12" s="298">
        <f t="shared" si="5"/>
        <v>0</v>
      </c>
      <c r="AE12" s="298">
        <f t="shared" si="5"/>
        <v>0</v>
      </c>
      <c r="AF12" s="298">
        <f t="shared" si="5"/>
        <v>0</v>
      </c>
      <c r="AG12" s="298">
        <f t="shared" si="5"/>
        <v>0</v>
      </c>
      <c r="AH12" s="298">
        <f t="shared" si="5"/>
        <v>0</v>
      </c>
      <c r="AI12" s="298">
        <f t="shared" si="5"/>
        <v>0</v>
      </c>
      <c r="AJ12" s="298">
        <f t="shared" si="5"/>
        <v>0</v>
      </c>
      <c r="AK12" s="298">
        <f t="shared" si="5"/>
        <v>0</v>
      </c>
      <c r="AL12" s="298">
        <f t="shared" si="6"/>
        <v>0</v>
      </c>
      <c r="AM12" s="298">
        <f t="shared" si="6"/>
        <v>0</v>
      </c>
      <c r="AN12" s="298">
        <f t="shared" si="6"/>
        <v>0</v>
      </c>
      <c r="AO12" s="298">
        <f t="shared" si="6"/>
        <v>0</v>
      </c>
      <c r="AP12" s="298">
        <f t="shared" si="6"/>
        <v>0</v>
      </c>
      <c r="AQ12" s="299">
        <f t="shared" si="9"/>
        <v>0</v>
      </c>
      <c r="AS12" s="288"/>
      <c r="AT12" s="288"/>
      <c r="AU12" s="288"/>
      <c r="AV12" s="288"/>
    </row>
    <row r="13" spans="1:49" x14ac:dyDescent="0.25">
      <c r="B13" s="1189"/>
      <c r="C13" s="1192"/>
      <c r="D13" s="297">
        <f t="shared" si="7"/>
        <v>27</v>
      </c>
      <c r="E13" s="297">
        <v>2035</v>
      </c>
      <c r="F13" s="297">
        <f t="shared" si="8"/>
        <v>27</v>
      </c>
      <c r="G13" s="298">
        <v>0</v>
      </c>
      <c r="H13" s="298">
        <f t="shared" si="4"/>
        <v>0</v>
      </c>
      <c r="I13" s="298">
        <f t="shared" si="4"/>
        <v>0</v>
      </c>
      <c r="J13" s="298">
        <f t="shared" si="4"/>
        <v>0</v>
      </c>
      <c r="K13" s="298">
        <f t="shared" si="4"/>
        <v>0</v>
      </c>
      <c r="L13" s="298">
        <f t="shared" si="4"/>
        <v>0</v>
      </c>
      <c r="M13" s="298">
        <f t="shared" si="4"/>
        <v>0</v>
      </c>
      <c r="N13" s="298">
        <f t="shared" si="4"/>
        <v>0</v>
      </c>
      <c r="O13" s="298">
        <f t="shared" si="4"/>
        <v>0</v>
      </c>
      <c r="P13" s="298">
        <f t="shared" si="4"/>
        <v>0</v>
      </c>
      <c r="Q13" s="298">
        <f t="shared" si="4"/>
        <v>0</v>
      </c>
      <c r="R13" s="298">
        <f t="shared" si="4"/>
        <v>0</v>
      </c>
      <c r="S13" s="298">
        <f t="shared" si="4"/>
        <v>0</v>
      </c>
      <c r="T13" s="298">
        <f t="shared" si="4"/>
        <v>0</v>
      </c>
      <c r="U13" s="298">
        <f t="shared" si="4"/>
        <v>0</v>
      </c>
      <c r="V13" s="298">
        <f t="shared" si="4"/>
        <v>0</v>
      </c>
      <c r="W13" s="298">
        <f t="shared" si="4"/>
        <v>0</v>
      </c>
      <c r="X13" s="298">
        <f t="shared" si="5"/>
        <v>0</v>
      </c>
      <c r="Y13" s="298">
        <f t="shared" si="5"/>
        <v>0</v>
      </c>
      <c r="Z13" s="298">
        <f t="shared" si="5"/>
        <v>0</v>
      </c>
      <c r="AA13" s="298">
        <f t="shared" si="5"/>
        <v>0</v>
      </c>
      <c r="AB13" s="298">
        <f t="shared" si="5"/>
        <v>0</v>
      </c>
      <c r="AC13" s="298">
        <f t="shared" si="5"/>
        <v>0</v>
      </c>
      <c r="AD13" s="298">
        <f t="shared" si="5"/>
        <v>0</v>
      </c>
      <c r="AE13" s="298">
        <f t="shared" si="5"/>
        <v>0</v>
      </c>
      <c r="AF13" s="298">
        <f t="shared" si="5"/>
        <v>0</v>
      </c>
      <c r="AG13" s="298">
        <f t="shared" si="5"/>
        <v>0</v>
      </c>
      <c r="AH13" s="298">
        <f t="shared" si="5"/>
        <v>0</v>
      </c>
      <c r="AI13" s="298">
        <f t="shared" si="5"/>
        <v>0</v>
      </c>
      <c r="AJ13" s="298">
        <f t="shared" si="5"/>
        <v>0</v>
      </c>
      <c r="AK13" s="298">
        <f t="shared" si="5"/>
        <v>0</v>
      </c>
      <c r="AL13" s="298">
        <f t="shared" si="6"/>
        <v>0</v>
      </c>
      <c r="AM13" s="298">
        <f t="shared" si="6"/>
        <v>0</v>
      </c>
      <c r="AN13" s="298">
        <f t="shared" si="6"/>
        <v>0</v>
      </c>
      <c r="AO13" s="298">
        <f t="shared" si="6"/>
        <v>0</v>
      </c>
      <c r="AP13" s="298">
        <f t="shared" si="6"/>
        <v>0</v>
      </c>
      <c r="AQ13" s="299">
        <f t="shared" si="9"/>
        <v>0</v>
      </c>
      <c r="AS13" s="288"/>
      <c r="AT13" s="288"/>
      <c r="AU13" s="288"/>
      <c r="AV13" s="288"/>
    </row>
    <row r="14" spans="1:49" x14ac:dyDescent="0.25">
      <c r="B14" s="1189"/>
      <c r="C14" s="1192"/>
      <c r="D14" s="297">
        <f t="shared" si="7"/>
        <v>26</v>
      </c>
      <c r="E14" s="297">
        <v>2036</v>
      </c>
      <c r="F14" s="297">
        <f t="shared" si="8"/>
        <v>26</v>
      </c>
      <c r="G14" s="298">
        <v>0</v>
      </c>
      <c r="H14" s="298">
        <f t="shared" si="4"/>
        <v>0</v>
      </c>
      <c r="I14" s="298">
        <f t="shared" si="4"/>
        <v>0</v>
      </c>
      <c r="J14" s="298">
        <f t="shared" si="4"/>
        <v>0</v>
      </c>
      <c r="K14" s="298">
        <f t="shared" si="4"/>
        <v>0</v>
      </c>
      <c r="L14" s="298">
        <f t="shared" si="4"/>
        <v>0</v>
      </c>
      <c r="M14" s="298">
        <f t="shared" si="4"/>
        <v>0</v>
      </c>
      <c r="N14" s="298">
        <f t="shared" si="4"/>
        <v>0</v>
      </c>
      <c r="O14" s="298">
        <f t="shared" si="4"/>
        <v>0</v>
      </c>
      <c r="P14" s="298">
        <f t="shared" si="4"/>
        <v>0</v>
      </c>
      <c r="Q14" s="298">
        <f t="shared" si="4"/>
        <v>0</v>
      </c>
      <c r="R14" s="298">
        <f t="shared" si="4"/>
        <v>0</v>
      </c>
      <c r="S14" s="298">
        <f t="shared" si="4"/>
        <v>0</v>
      </c>
      <c r="T14" s="298">
        <f t="shared" si="4"/>
        <v>0</v>
      </c>
      <c r="U14" s="298">
        <f t="shared" si="4"/>
        <v>0</v>
      </c>
      <c r="V14" s="298">
        <f t="shared" si="4"/>
        <v>0</v>
      </c>
      <c r="W14" s="298">
        <f t="shared" si="4"/>
        <v>0</v>
      </c>
      <c r="X14" s="298">
        <f t="shared" si="5"/>
        <v>0</v>
      </c>
      <c r="Y14" s="298">
        <f t="shared" si="5"/>
        <v>0</v>
      </c>
      <c r="Z14" s="298">
        <f t="shared" si="5"/>
        <v>0</v>
      </c>
      <c r="AA14" s="298">
        <f t="shared" si="5"/>
        <v>0</v>
      </c>
      <c r="AB14" s="298">
        <f t="shared" si="5"/>
        <v>0</v>
      </c>
      <c r="AC14" s="298">
        <f t="shared" si="5"/>
        <v>0</v>
      </c>
      <c r="AD14" s="298">
        <f t="shared" si="5"/>
        <v>0</v>
      </c>
      <c r="AE14" s="298">
        <f t="shared" si="5"/>
        <v>0</v>
      </c>
      <c r="AF14" s="298">
        <f t="shared" si="5"/>
        <v>0</v>
      </c>
      <c r="AG14" s="298">
        <f t="shared" si="5"/>
        <v>0</v>
      </c>
      <c r="AH14" s="298">
        <f t="shared" si="5"/>
        <v>0</v>
      </c>
      <c r="AI14" s="298">
        <f t="shared" si="5"/>
        <v>0</v>
      </c>
      <c r="AJ14" s="298">
        <f t="shared" si="5"/>
        <v>0</v>
      </c>
      <c r="AK14" s="298">
        <f t="shared" si="5"/>
        <v>0</v>
      </c>
      <c r="AL14" s="298">
        <f t="shared" si="6"/>
        <v>0</v>
      </c>
      <c r="AM14" s="298">
        <f t="shared" si="6"/>
        <v>0</v>
      </c>
      <c r="AN14" s="298">
        <f t="shared" si="6"/>
        <v>0</v>
      </c>
      <c r="AO14" s="298">
        <f t="shared" si="6"/>
        <v>0</v>
      </c>
      <c r="AP14" s="298">
        <f t="shared" si="6"/>
        <v>0</v>
      </c>
      <c r="AQ14" s="299">
        <f t="shared" si="9"/>
        <v>0</v>
      </c>
      <c r="AS14" s="288"/>
      <c r="AT14" s="288"/>
      <c r="AU14" s="288"/>
      <c r="AV14" s="288"/>
    </row>
    <row r="15" spans="1:49" x14ac:dyDescent="0.25">
      <c r="B15" s="1189"/>
      <c r="C15" s="1192"/>
      <c r="D15" s="297">
        <f t="shared" si="7"/>
        <v>25</v>
      </c>
      <c r="E15" s="297">
        <v>2037</v>
      </c>
      <c r="F15" s="297">
        <f t="shared" si="8"/>
        <v>25</v>
      </c>
      <c r="G15" s="298">
        <v>0</v>
      </c>
      <c r="H15" s="298">
        <f t="shared" si="4"/>
        <v>0</v>
      </c>
      <c r="I15" s="298">
        <f t="shared" si="4"/>
        <v>0</v>
      </c>
      <c r="J15" s="298">
        <f t="shared" si="4"/>
        <v>0</v>
      </c>
      <c r="K15" s="298">
        <f t="shared" si="4"/>
        <v>0</v>
      </c>
      <c r="L15" s="298">
        <f t="shared" si="4"/>
        <v>0</v>
      </c>
      <c r="M15" s="298">
        <f t="shared" si="4"/>
        <v>0</v>
      </c>
      <c r="N15" s="298">
        <f t="shared" si="4"/>
        <v>0</v>
      </c>
      <c r="O15" s="298">
        <f t="shared" si="4"/>
        <v>0</v>
      </c>
      <c r="P15" s="298">
        <f t="shared" si="4"/>
        <v>0</v>
      </c>
      <c r="Q15" s="298">
        <f t="shared" si="4"/>
        <v>0</v>
      </c>
      <c r="R15" s="298">
        <f t="shared" si="4"/>
        <v>0</v>
      </c>
      <c r="S15" s="298">
        <f t="shared" si="4"/>
        <v>0</v>
      </c>
      <c r="T15" s="298">
        <f t="shared" si="4"/>
        <v>0</v>
      </c>
      <c r="U15" s="298">
        <f t="shared" si="4"/>
        <v>0</v>
      </c>
      <c r="V15" s="298">
        <f t="shared" si="4"/>
        <v>0</v>
      </c>
      <c r="W15" s="298">
        <f t="shared" si="4"/>
        <v>0</v>
      </c>
      <c r="X15" s="298">
        <f t="shared" si="5"/>
        <v>0</v>
      </c>
      <c r="Y15" s="298">
        <f t="shared" si="5"/>
        <v>0</v>
      </c>
      <c r="Z15" s="298">
        <f t="shared" si="5"/>
        <v>0</v>
      </c>
      <c r="AA15" s="298">
        <f t="shared" si="5"/>
        <v>0</v>
      </c>
      <c r="AB15" s="298">
        <f t="shared" si="5"/>
        <v>0</v>
      </c>
      <c r="AC15" s="298">
        <f t="shared" si="5"/>
        <v>0</v>
      </c>
      <c r="AD15" s="298">
        <f t="shared" si="5"/>
        <v>0</v>
      </c>
      <c r="AE15" s="298">
        <f t="shared" si="5"/>
        <v>0</v>
      </c>
      <c r="AF15" s="298">
        <f t="shared" si="5"/>
        <v>0</v>
      </c>
      <c r="AG15" s="298">
        <f t="shared" si="5"/>
        <v>0</v>
      </c>
      <c r="AH15" s="298">
        <f t="shared" si="5"/>
        <v>0</v>
      </c>
      <c r="AI15" s="298">
        <f t="shared" si="5"/>
        <v>0</v>
      </c>
      <c r="AJ15" s="298">
        <f t="shared" si="5"/>
        <v>0</v>
      </c>
      <c r="AK15" s="298">
        <f t="shared" si="5"/>
        <v>0</v>
      </c>
      <c r="AL15" s="298">
        <f t="shared" si="6"/>
        <v>0</v>
      </c>
      <c r="AM15" s="298">
        <f t="shared" si="6"/>
        <v>0</v>
      </c>
      <c r="AN15" s="298">
        <f t="shared" si="6"/>
        <v>0</v>
      </c>
      <c r="AO15" s="298">
        <f t="shared" si="6"/>
        <v>0</v>
      </c>
      <c r="AP15" s="298">
        <f t="shared" si="6"/>
        <v>0</v>
      </c>
      <c r="AQ15" s="299">
        <f t="shared" si="9"/>
        <v>0</v>
      </c>
      <c r="AS15" s="288"/>
      <c r="AT15" s="288"/>
      <c r="AU15" s="288"/>
      <c r="AV15" s="288"/>
    </row>
    <row r="16" spans="1:49" x14ac:dyDescent="0.25">
      <c r="B16" s="1189"/>
      <c r="C16" s="1192"/>
      <c r="D16" s="297">
        <f t="shared" si="7"/>
        <v>24</v>
      </c>
      <c r="E16" s="297">
        <v>2038</v>
      </c>
      <c r="F16" s="297">
        <f t="shared" si="8"/>
        <v>24</v>
      </c>
      <c r="G16" s="298">
        <v>0</v>
      </c>
      <c r="H16" s="298">
        <f t="shared" si="4"/>
        <v>0</v>
      </c>
      <c r="I16" s="298">
        <f t="shared" si="4"/>
        <v>0</v>
      </c>
      <c r="J16" s="298">
        <f t="shared" si="4"/>
        <v>0</v>
      </c>
      <c r="K16" s="298">
        <f t="shared" si="4"/>
        <v>0</v>
      </c>
      <c r="L16" s="298">
        <f t="shared" si="4"/>
        <v>0</v>
      </c>
      <c r="M16" s="298">
        <f t="shared" si="4"/>
        <v>0</v>
      </c>
      <c r="N16" s="298">
        <f t="shared" si="4"/>
        <v>0</v>
      </c>
      <c r="O16" s="298">
        <f t="shared" si="4"/>
        <v>0</v>
      </c>
      <c r="P16" s="298">
        <f t="shared" si="4"/>
        <v>0</v>
      </c>
      <c r="Q16" s="298">
        <f t="shared" si="4"/>
        <v>0</v>
      </c>
      <c r="R16" s="298">
        <f t="shared" si="4"/>
        <v>0</v>
      </c>
      <c r="S16" s="298">
        <f t="shared" si="4"/>
        <v>0</v>
      </c>
      <c r="T16" s="298">
        <f t="shared" si="4"/>
        <v>0</v>
      </c>
      <c r="U16" s="298">
        <f t="shared" si="4"/>
        <v>0</v>
      </c>
      <c r="V16" s="298">
        <f t="shared" si="4"/>
        <v>0</v>
      </c>
      <c r="W16" s="298">
        <f t="shared" si="4"/>
        <v>0</v>
      </c>
      <c r="X16" s="298">
        <f t="shared" si="5"/>
        <v>0</v>
      </c>
      <c r="Y16" s="298">
        <f t="shared" si="5"/>
        <v>0</v>
      </c>
      <c r="Z16" s="298">
        <f t="shared" si="5"/>
        <v>0</v>
      </c>
      <c r="AA16" s="298">
        <f t="shared" si="5"/>
        <v>0</v>
      </c>
      <c r="AB16" s="298">
        <f t="shared" si="5"/>
        <v>0</v>
      </c>
      <c r="AC16" s="298">
        <f t="shared" si="5"/>
        <v>0</v>
      </c>
      <c r="AD16" s="298">
        <f t="shared" si="5"/>
        <v>0</v>
      </c>
      <c r="AE16" s="298">
        <f t="shared" si="5"/>
        <v>0</v>
      </c>
      <c r="AF16" s="298">
        <f t="shared" si="5"/>
        <v>0</v>
      </c>
      <c r="AG16" s="298">
        <f t="shared" si="5"/>
        <v>0</v>
      </c>
      <c r="AH16" s="298">
        <f t="shared" si="5"/>
        <v>0</v>
      </c>
      <c r="AI16" s="298">
        <f t="shared" si="5"/>
        <v>0</v>
      </c>
      <c r="AJ16" s="298">
        <f t="shared" si="5"/>
        <v>0</v>
      </c>
      <c r="AK16" s="298">
        <f t="shared" si="5"/>
        <v>0</v>
      </c>
      <c r="AL16" s="298">
        <f t="shared" si="6"/>
        <v>0</v>
      </c>
      <c r="AM16" s="298">
        <f t="shared" si="6"/>
        <v>0</v>
      </c>
      <c r="AN16" s="298">
        <f t="shared" si="6"/>
        <v>0</v>
      </c>
      <c r="AO16" s="298">
        <f t="shared" si="6"/>
        <v>0</v>
      </c>
      <c r="AP16" s="298">
        <f t="shared" si="6"/>
        <v>0</v>
      </c>
      <c r="AQ16" s="299">
        <f t="shared" si="9"/>
        <v>0</v>
      </c>
      <c r="AS16" s="288"/>
      <c r="AT16" s="288"/>
      <c r="AU16" s="288"/>
      <c r="AV16" s="288"/>
    </row>
    <row r="17" spans="2:48" x14ac:dyDescent="0.25">
      <c r="B17" s="1189"/>
      <c r="C17" s="1192"/>
      <c r="D17" s="297">
        <f t="shared" si="7"/>
        <v>23</v>
      </c>
      <c r="E17" s="297">
        <v>2039</v>
      </c>
      <c r="F17" s="297">
        <f t="shared" si="8"/>
        <v>23</v>
      </c>
      <c r="G17" s="298">
        <v>0</v>
      </c>
      <c r="H17" s="298">
        <f t="shared" si="4"/>
        <v>0</v>
      </c>
      <c r="I17" s="298">
        <f t="shared" si="4"/>
        <v>0</v>
      </c>
      <c r="J17" s="298">
        <f t="shared" si="4"/>
        <v>0</v>
      </c>
      <c r="K17" s="298">
        <f t="shared" si="4"/>
        <v>0</v>
      </c>
      <c r="L17" s="298">
        <f t="shared" si="4"/>
        <v>0</v>
      </c>
      <c r="M17" s="298">
        <f t="shared" si="4"/>
        <v>0</v>
      </c>
      <c r="N17" s="298">
        <f t="shared" si="4"/>
        <v>0</v>
      </c>
      <c r="O17" s="298">
        <f t="shared" si="4"/>
        <v>0</v>
      </c>
      <c r="P17" s="298">
        <f t="shared" si="4"/>
        <v>0</v>
      </c>
      <c r="Q17" s="298">
        <f t="shared" si="4"/>
        <v>0</v>
      </c>
      <c r="R17" s="298">
        <f t="shared" si="4"/>
        <v>0</v>
      </c>
      <c r="S17" s="298">
        <f t="shared" si="4"/>
        <v>0</v>
      </c>
      <c r="T17" s="298">
        <f t="shared" si="4"/>
        <v>0</v>
      </c>
      <c r="U17" s="298">
        <f t="shared" si="4"/>
        <v>0</v>
      </c>
      <c r="V17" s="298">
        <f t="shared" si="4"/>
        <v>0</v>
      </c>
      <c r="W17" s="298">
        <f t="shared" si="4"/>
        <v>0</v>
      </c>
      <c r="X17" s="298">
        <f t="shared" si="5"/>
        <v>0</v>
      </c>
      <c r="Y17" s="298">
        <f t="shared" si="5"/>
        <v>0</v>
      </c>
      <c r="Z17" s="298">
        <f t="shared" si="5"/>
        <v>0</v>
      </c>
      <c r="AA17" s="298">
        <f t="shared" si="5"/>
        <v>0</v>
      </c>
      <c r="AB17" s="298">
        <f t="shared" si="5"/>
        <v>0</v>
      </c>
      <c r="AC17" s="298">
        <f t="shared" si="5"/>
        <v>0</v>
      </c>
      <c r="AD17" s="298">
        <f t="shared" si="5"/>
        <v>0</v>
      </c>
      <c r="AE17" s="298">
        <f t="shared" si="5"/>
        <v>0</v>
      </c>
      <c r="AF17" s="298">
        <f t="shared" si="5"/>
        <v>0</v>
      </c>
      <c r="AG17" s="298">
        <f t="shared" si="5"/>
        <v>0</v>
      </c>
      <c r="AH17" s="298">
        <f t="shared" si="5"/>
        <v>0</v>
      </c>
      <c r="AI17" s="298">
        <f t="shared" si="5"/>
        <v>0</v>
      </c>
      <c r="AJ17" s="298">
        <f t="shared" si="5"/>
        <v>0</v>
      </c>
      <c r="AK17" s="298">
        <f t="shared" si="5"/>
        <v>0</v>
      </c>
      <c r="AL17" s="298">
        <f t="shared" si="6"/>
        <v>0</v>
      </c>
      <c r="AM17" s="298">
        <f t="shared" si="6"/>
        <v>0</v>
      </c>
      <c r="AN17" s="298">
        <f t="shared" si="6"/>
        <v>0</v>
      </c>
      <c r="AO17" s="298">
        <f t="shared" si="6"/>
        <v>0</v>
      </c>
      <c r="AP17" s="298">
        <f t="shared" si="6"/>
        <v>0</v>
      </c>
      <c r="AQ17" s="299">
        <f t="shared" si="9"/>
        <v>0</v>
      </c>
      <c r="AS17" s="288"/>
      <c r="AT17" s="288"/>
      <c r="AU17" s="288"/>
      <c r="AV17" s="288"/>
    </row>
    <row r="18" spans="2:48" x14ac:dyDescent="0.25">
      <c r="B18" s="1189"/>
      <c r="C18" s="1192"/>
      <c r="D18" s="297">
        <f t="shared" si="7"/>
        <v>22</v>
      </c>
      <c r="E18" s="297">
        <v>2040</v>
      </c>
      <c r="F18" s="297">
        <f t="shared" si="8"/>
        <v>22</v>
      </c>
      <c r="G18" s="298">
        <v>0</v>
      </c>
      <c r="H18" s="298">
        <f t="shared" si="4"/>
        <v>0</v>
      </c>
      <c r="I18" s="298">
        <f t="shared" si="4"/>
        <v>0</v>
      </c>
      <c r="J18" s="298">
        <f t="shared" si="4"/>
        <v>0</v>
      </c>
      <c r="K18" s="298">
        <f t="shared" si="4"/>
        <v>0</v>
      </c>
      <c r="L18" s="298">
        <f t="shared" si="4"/>
        <v>0</v>
      </c>
      <c r="M18" s="298">
        <f t="shared" si="4"/>
        <v>0</v>
      </c>
      <c r="N18" s="298">
        <f t="shared" si="4"/>
        <v>0</v>
      </c>
      <c r="O18" s="298">
        <f t="shared" si="4"/>
        <v>0</v>
      </c>
      <c r="P18" s="298">
        <f t="shared" si="4"/>
        <v>0</v>
      </c>
      <c r="Q18" s="298">
        <f t="shared" si="4"/>
        <v>0</v>
      </c>
      <c r="R18" s="298">
        <f t="shared" si="4"/>
        <v>0</v>
      </c>
      <c r="S18" s="298">
        <f t="shared" si="4"/>
        <v>0</v>
      </c>
      <c r="T18" s="298">
        <f t="shared" si="4"/>
        <v>0</v>
      </c>
      <c r="U18" s="298">
        <f t="shared" si="4"/>
        <v>0</v>
      </c>
      <c r="V18" s="298">
        <f t="shared" si="4"/>
        <v>0</v>
      </c>
      <c r="W18" s="298">
        <f t="shared" si="4"/>
        <v>0</v>
      </c>
      <c r="X18" s="298">
        <f t="shared" si="5"/>
        <v>0</v>
      </c>
      <c r="Y18" s="298">
        <f t="shared" si="5"/>
        <v>0</v>
      </c>
      <c r="Z18" s="298">
        <f t="shared" si="5"/>
        <v>0</v>
      </c>
      <c r="AA18" s="298">
        <f t="shared" si="5"/>
        <v>0</v>
      </c>
      <c r="AB18" s="298">
        <f t="shared" si="5"/>
        <v>0</v>
      </c>
      <c r="AC18" s="298">
        <f t="shared" si="5"/>
        <v>0</v>
      </c>
      <c r="AD18" s="298">
        <f t="shared" si="5"/>
        <v>0</v>
      </c>
      <c r="AE18" s="298">
        <f t="shared" si="5"/>
        <v>0</v>
      </c>
      <c r="AF18" s="298">
        <f t="shared" ref="AF18:AP33" si="10">IF($F18=0,0,IF(AF$4&lt;$E18,0,IF(OR(AF$4=$E18,AF$4&lt;$E18+$F18),$G18/$F18,0)))</f>
        <v>0</v>
      </c>
      <c r="AG18" s="298">
        <f t="shared" si="10"/>
        <v>0</v>
      </c>
      <c r="AH18" s="298">
        <f t="shared" si="10"/>
        <v>0</v>
      </c>
      <c r="AI18" s="298">
        <f t="shared" si="10"/>
        <v>0</v>
      </c>
      <c r="AJ18" s="298">
        <f t="shared" si="10"/>
        <v>0</v>
      </c>
      <c r="AK18" s="298">
        <f t="shared" si="10"/>
        <v>0</v>
      </c>
      <c r="AL18" s="298">
        <f t="shared" si="10"/>
        <v>0</v>
      </c>
      <c r="AM18" s="298">
        <f t="shared" si="10"/>
        <v>0</v>
      </c>
      <c r="AN18" s="298">
        <f t="shared" si="10"/>
        <v>0</v>
      </c>
      <c r="AO18" s="298">
        <f t="shared" si="10"/>
        <v>0</v>
      </c>
      <c r="AP18" s="298">
        <f t="shared" si="10"/>
        <v>0</v>
      </c>
      <c r="AQ18" s="299">
        <f t="shared" si="9"/>
        <v>0</v>
      </c>
      <c r="AS18" s="288"/>
      <c r="AT18" s="288"/>
      <c r="AU18" s="288"/>
      <c r="AV18" s="288"/>
    </row>
    <row r="19" spans="2:48" x14ac:dyDescent="0.25">
      <c r="B19" s="1189"/>
      <c r="C19" s="1192"/>
      <c r="D19" s="297">
        <f t="shared" si="7"/>
        <v>21</v>
      </c>
      <c r="E19" s="297">
        <v>2041</v>
      </c>
      <c r="F19" s="297">
        <f t="shared" si="8"/>
        <v>21</v>
      </c>
      <c r="G19" s="298">
        <v>0</v>
      </c>
      <c r="H19" s="298">
        <f t="shared" si="4"/>
        <v>0</v>
      </c>
      <c r="I19" s="298">
        <f t="shared" si="4"/>
        <v>0</v>
      </c>
      <c r="J19" s="298">
        <f t="shared" si="4"/>
        <v>0</v>
      </c>
      <c r="K19" s="298">
        <f t="shared" si="4"/>
        <v>0</v>
      </c>
      <c r="L19" s="298">
        <f t="shared" si="4"/>
        <v>0</v>
      </c>
      <c r="M19" s="298">
        <f t="shared" si="4"/>
        <v>0</v>
      </c>
      <c r="N19" s="298">
        <f t="shared" si="4"/>
        <v>0</v>
      </c>
      <c r="O19" s="298">
        <f t="shared" si="4"/>
        <v>0</v>
      </c>
      <c r="P19" s="298">
        <f t="shared" si="4"/>
        <v>0</v>
      </c>
      <c r="Q19" s="298">
        <f t="shared" si="4"/>
        <v>0</v>
      </c>
      <c r="R19" s="298">
        <f t="shared" si="4"/>
        <v>0</v>
      </c>
      <c r="S19" s="298">
        <f t="shared" si="4"/>
        <v>0</v>
      </c>
      <c r="T19" s="298">
        <f t="shared" si="4"/>
        <v>0</v>
      </c>
      <c r="U19" s="298">
        <f t="shared" si="4"/>
        <v>0</v>
      </c>
      <c r="V19" s="298">
        <f t="shared" si="4"/>
        <v>0</v>
      </c>
      <c r="W19" s="298">
        <f t="shared" si="4"/>
        <v>0</v>
      </c>
      <c r="X19" s="298">
        <f t="shared" ref="X19:AH20" si="11">IF($F19=0,0,IF(X$4&lt;$E19,0,IF(OR(X$4=$E19,X$4&lt;$E19+$F19),$G19/$F19,0)))</f>
        <v>0</v>
      </c>
      <c r="Y19" s="298">
        <f t="shared" si="11"/>
        <v>0</v>
      </c>
      <c r="Z19" s="298">
        <f t="shared" si="11"/>
        <v>0</v>
      </c>
      <c r="AA19" s="298">
        <f t="shared" si="11"/>
        <v>0</v>
      </c>
      <c r="AB19" s="298">
        <f t="shared" si="11"/>
        <v>0</v>
      </c>
      <c r="AC19" s="298">
        <f t="shared" si="11"/>
        <v>0</v>
      </c>
      <c r="AD19" s="298">
        <f t="shared" si="11"/>
        <v>0</v>
      </c>
      <c r="AE19" s="298">
        <f t="shared" si="11"/>
        <v>0</v>
      </c>
      <c r="AF19" s="298">
        <f t="shared" si="11"/>
        <v>0</v>
      </c>
      <c r="AG19" s="298">
        <f t="shared" si="11"/>
        <v>0</v>
      </c>
      <c r="AH19" s="298">
        <f t="shared" si="11"/>
        <v>0</v>
      </c>
      <c r="AI19" s="298">
        <f t="shared" si="10"/>
        <v>0</v>
      </c>
      <c r="AJ19" s="298">
        <f t="shared" si="10"/>
        <v>0</v>
      </c>
      <c r="AK19" s="298">
        <f t="shared" si="10"/>
        <v>0</v>
      </c>
      <c r="AL19" s="298">
        <f t="shared" si="10"/>
        <v>0</v>
      </c>
      <c r="AM19" s="298">
        <f t="shared" si="10"/>
        <v>0</v>
      </c>
      <c r="AN19" s="298">
        <f t="shared" si="10"/>
        <v>0</v>
      </c>
      <c r="AO19" s="298">
        <f t="shared" si="10"/>
        <v>0</v>
      </c>
      <c r="AP19" s="298">
        <f t="shared" si="10"/>
        <v>0</v>
      </c>
      <c r="AQ19" s="299">
        <f t="shared" si="9"/>
        <v>0</v>
      </c>
      <c r="AS19" s="288"/>
      <c r="AT19" s="288"/>
      <c r="AU19" s="288"/>
      <c r="AV19" s="288"/>
    </row>
    <row r="20" spans="2:48" x14ac:dyDescent="0.25">
      <c r="B20" s="1189"/>
      <c r="C20" s="1192"/>
      <c r="D20" s="297">
        <f t="shared" si="7"/>
        <v>20</v>
      </c>
      <c r="E20" s="297">
        <v>2042</v>
      </c>
      <c r="F20" s="297">
        <f t="shared" si="8"/>
        <v>20</v>
      </c>
      <c r="G20" s="298">
        <v>0</v>
      </c>
      <c r="H20" s="298">
        <f t="shared" si="4"/>
        <v>0</v>
      </c>
      <c r="I20" s="298">
        <f t="shared" si="4"/>
        <v>0</v>
      </c>
      <c r="J20" s="298">
        <f t="shared" si="4"/>
        <v>0</v>
      </c>
      <c r="K20" s="298">
        <f t="shared" si="4"/>
        <v>0</v>
      </c>
      <c r="L20" s="298">
        <f t="shared" si="4"/>
        <v>0</v>
      </c>
      <c r="M20" s="298">
        <f t="shared" si="4"/>
        <v>0</v>
      </c>
      <c r="N20" s="298">
        <f t="shared" si="4"/>
        <v>0</v>
      </c>
      <c r="O20" s="298">
        <f t="shared" si="4"/>
        <v>0</v>
      </c>
      <c r="P20" s="298">
        <f t="shared" si="4"/>
        <v>0</v>
      </c>
      <c r="Q20" s="298">
        <f t="shared" si="4"/>
        <v>0</v>
      </c>
      <c r="R20" s="298">
        <f t="shared" si="4"/>
        <v>0</v>
      </c>
      <c r="S20" s="298">
        <f t="shared" si="4"/>
        <v>0</v>
      </c>
      <c r="T20" s="298">
        <f t="shared" si="4"/>
        <v>0</v>
      </c>
      <c r="U20" s="298">
        <f t="shared" si="4"/>
        <v>0</v>
      </c>
      <c r="V20" s="298">
        <f t="shared" si="4"/>
        <v>0</v>
      </c>
      <c r="W20" s="298">
        <f t="shared" ref="W20:AL35" si="12">IF($F20=0,0,IF(W$4&lt;$E20,0,IF(OR(W$4=$E20,W$4&lt;$E20+$F20),$G20/$F20,0)))</f>
        <v>0</v>
      </c>
      <c r="X20" s="298">
        <f t="shared" si="12"/>
        <v>0</v>
      </c>
      <c r="Y20" s="298">
        <f t="shared" si="12"/>
        <v>0</v>
      </c>
      <c r="Z20" s="298">
        <f t="shared" si="12"/>
        <v>0</v>
      </c>
      <c r="AA20" s="298">
        <f t="shared" si="12"/>
        <v>0</v>
      </c>
      <c r="AB20" s="298">
        <f t="shared" si="12"/>
        <v>0</v>
      </c>
      <c r="AC20" s="298">
        <f t="shared" si="11"/>
        <v>0</v>
      </c>
      <c r="AD20" s="298">
        <f t="shared" si="11"/>
        <v>0</v>
      </c>
      <c r="AE20" s="298">
        <f t="shared" si="11"/>
        <v>0</v>
      </c>
      <c r="AF20" s="298">
        <f t="shared" si="11"/>
        <v>0</v>
      </c>
      <c r="AG20" s="298">
        <f t="shared" si="11"/>
        <v>0</v>
      </c>
      <c r="AH20" s="298">
        <f t="shared" si="11"/>
        <v>0</v>
      </c>
      <c r="AI20" s="298">
        <f t="shared" si="10"/>
        <v>0</v>
      </c>
      <c r="AJ20" s="298">
        <f t="shared" si="10"/>
        <v>0</v>
      </c>
      <c r="AK20" s="298">
        <f t="shared" si="10"/>
        <v>0</v>
      </c>
      <c r="AL20" s="298">
        <f t="shared" si="10"/>
        <v>0</v>
      </c>
      <c r="AM20" s="298">
        <f t="shared" si="10"/>
        <v>0</v>
      </c>
      <c r="AN20" s="298">
        <f t="shared" si="10"/>
        <v>0</v>
      </c>
      <c r="AO20" s="298">
        <f t="shared" si="10"/>
        <v>0</v>
      </c>
      <c r="AP20" s="298">
        <f t="shared" si="10"/>
        <v>0</v>
      </c>
      <c r="AQ20" s="299">
        <f t="shared" si="9"/>
        <v>0</v>
      </c>
      <c r="AS20" s="288"/>
      <c r="AT20" s="288"/>
      <c r="AU20" s="288"/>
      <c r="AV20" s="288"/>
    </row>
    <row r="21" spans="2:48" x14ac:dyDescent="0.25">
      <c r="B21" s="1189"/>
      <c r="C21" s="1192"/>
      <c r="D21" s="297">
        <f t="shared" si="7"/>
        <v>19</v>
      </c>
      <c r="E21" s="297">
        <v>2043</v>
      </c>
      <c r="F21" s="297">
        <f t="shared" si="8"/>
        <v>19</v>
      </c>
      <c r="G21" s="298">
        <v>0</v>
      </c>
      <c r="H21" s="298">
        <f t="shared" ref="H21:W36" si="13">IF($F21=0,0,IF(H$4&lt;$E21,0,IF(OR(H$4=$E21,H$4&lt;$E21+$F21),$G21/$F21,0)))</f>
        <v>0</v>
      </c>
      <c r="I21" s="298">
        <f t="shared" si="13"/>
        <v>0</v>
      </c>
      <c r="J21" s="298">
        <f t="shared" si="13"/>
        <v>0</v>
      </c>
      <c r="K21" s="298">
        <f t="shared" si="13"/>
        <v>0</v>
      </c>
      <c r="L21" s="298">
        <f t="shared" si="13"/>
        <v>0</v>
      </c>
      <c r="M21" s="298">
        <f t="shared" si="13"/>
        <v>0</v>
      </c>
      <c r="N21" s="298">
        <f t="shared" si="13"/>
        <v>0</v>
      </c>
      <c r="O21" s="298">
        <f t="shared" si="13"/>
        <v>0</v>
      </c>
      <c r="P21" s="298">
        <f t="shared" si="13"/>
        <v>0</v>
      </c>
      <c r="Q21" s="298">
        <f t="shared" si="13"/>
        <v>0</v>
      </c>
      <c r="R21" s="298">
        <f t="shared" si="13"/>
        <v>0</v>
      </c>
      <c r="S21" s="298">
        <f t="shared" si="13"/>
        <v>0</v>
      </c>
      <c r="T21" s="298">
        <f t="shared" si="13"/>
        <v>0</v>
      </c>
      <c r="U21" s="298">
        <f t="shared" si="13"/>
        <v>0</v>
      </c>
      <c r="V21" s="298">
        <f t="shared" si="13"/>
        <v>0</v>
      </c>
      <c r="W21" s="298">
        <f t="shared" si="13"/>
        <v>0</v>
      </c>
      <c r="X21" s="298">
        <f t="shared" si="12"/>
        <v>0</v>
      </c>
      <c r="Y21" s="298">
        <f t="shared" si="12"/>
        <v>0</v>
      </c>
      <c r="Z21" s="298">
        <f t="shared" si="12"/>
        <v>0</v>
      </c>
      <c r="AA21" s="298">
        <f t="shared" si="12"/>
        <v>0</v>
      </c>
      <c r="AB21" s="298">
        <f t="shared" si="12"/>
        <v>0</v>
      </c>
      <c r="AC21" s="298">
        <f t="shared" si="12"/>
        <v>0</v>
      </c>
      <c r="AD21" s="298">
        <f t="shared" si="12"/>
        <v>0</v>
      </c>
      <c r="AE21" s="298">
        <f t="shared" si="12"/>
        <v>0</v>
      </c>
      <c r="AF21" s="298">
        <f t="shared" si="12"/>
        <v>0</v>
      </c>
      <c r="AG21" s="298">
        <f t="shared" si="12"/>
        <v>0</v>
      </c>
      <c r="AH21" s="298">
        <f t="shared" si="12"/>
        <v>0</v>
      </c>
      <c r="AI21" s="298">
        <f t="shared" si="12"/>
        <v>0</v>
      </c>
      <c r="AJ21" s="298">
        <f t="shared" si="12"/>
        <v>0</v>
      </c>
      <c r="AK21" s="298">
        <f t="shared" si="12"/>
        <v>0</v>
      </c>
      <c r="AL21" s="298">
        <f t="shared" si="12"/>
        <v>0</v>
      </c>
      <c r="AM21" s="298">
        <f t="shared" si="10"/>
        <v>0</v>
      </c>
      <c r="AN21" s="298">
        <f t="shared" si="10"/>
        <v>0</v>
      </c>
      <c r="AO21" s="298">
        <f t="shared" si="10"/>
        <v>0</v>
      </c>
      <c r="AP21" s="298">
        <f t="shared" si="10"/>
        <v>0</v>
      </c>
      <c r="AQ21" s="299">
        <f t="shared" si="9"/>
        <v>0</v>
      </c>
      <c r="AS21" s="288"/>
      <c r="AT21" s="288"/>
      <c r="AU21" s="288"/>
      <c r="AV21" s="288"/>
    </row>
    <row r="22" spans="2:48" x14ac:dyDescent="0.25">
      <c r="B22" s="1189"/>
      <c r="C22" s="1192"/>
      <c r="D22" s="297">
        <f t="shared" si="7"/>
        <v>18</v>
      </c>
      <c r="E22" s="297">
        <v>2044</v>
      </c>
      <c r="F22" s="297">
        <f t="shared" si="8"/>
        <v>18</v>
      </c>
      <c r="G22" s="298">
        <v>0</v>
      </c>
      <c r="H22" s="298">
        <f t="shared" si="13"/>
        <v>0</v>
      </c>
      <c r="I22" s="298">
        <f t="shared" si="13"/>
        <v>0</v>
      </c>
      <c r="J22" s="298">
        <f t="shared" si="13"/>
        <v>0</v>
      </c>
      <c r="K22" s="298">
        <f t="shared" si="13"/>
        <v>0</v>
      </c>
      <c r="L22" s="298">
        <f t="shared" si="13"/>
        <v>0</v>
      </c>
      <c r="M22" s="298">
        <f t="shared" si="13"/>
        <v>0</v>
      </c>
      <c r="N22" s="298">
        <f t="shared" si="13"/>
        <v>0</v>
      </c>
      <c r="O22" s="298">
        <f t="shared" si="13"/>
        <v>0</v>
      </c>
      <c r="P22" s="298">
        <f t="shared" si="13"/>
        <v>0</v>
      </c>
      <c r="Q22" s="298">
        <f t="shared" si="13"/>
        <v>0</v>
      </c>
      <c r="R22" s="298">
        <f t="shared" si="13"/>
        <v>0</v>
      </c>
      <c r="S22" s="298">
        <f t="shared" si="13"/>
        <v>0</v>
      </c>
      <c r="T22" s="298">
        <f t="shared" si="13"/>
        <v>0</v>
      </c>
      <c r="U22" s="298">
        <f t="shared" si="13"/>
        <v>0</v>
      </c>
      <c r="V22" s="298">
        <f t="shared" si="13"/>
        <v>0</v>
      </c>
      <c r="W22" s="298">
        <f t="shared" si="13"/>
        <v>0</v>
      </c>
      <c r="X22" s="298">
        <f t="shared" si="12"/>
        <v>0</v>
      </c>
      <c r="Y22" s="298">
        <f t="shared" si="12"/>
        <v>0</v>
      </c>
      <c r="Z22" s="298">
        <f t="shared" si="12"/>
        <v>0</v>
      </c>
      <c r="AA22" s="298">
        <f t="shared" si="12"/>
        <v>0</v>
      </c>
      <c r="AB22" s="298">
        <f t="shared" si="12"/>
        <v>0</v>
      </c>
      <c r="AC22" s="298">
        <f t="shared" si="12"/>
        <v>0</v>
      </c>
      <c r="AD22" s="298">
        <f t="shared" si="12"/>
        <v>0</v>
      </c>
      <c r="AE22" s="298">
        <f t="shared" si="12"/>
        <v>0</v>
      </c>
      <c r="AF22" s="298">
        <f t="shared" si="12"/>
        <v>0</v>
      </c>
      <c r="AG22" s="298">
        <f t="shared" si="12"/>
        <v>0</v>
      </c>
      <c r="AH22" s="298">
        <f t="shared" si="12"/>
        <v>0</v>
      </c>
      <c r="AI22" s="298">
        <f t="shared" si="12"/>
        <v>0</v>
      </c>
      <c r="AJ22" s="298">
        <f t="shared" si="12"/>
        <v>0</v>
      </c>
      <c r="AK22" s="298">
        <f t="shared" si="12"/>
        <v>0</v>
      </c>
      <c r="AL22" s="298">
        <f t="shared" si="10"/>
        <v>0</v>
      </c>
      <c r="AM22" s="298">
        <f t="shared" si="10"/>
        <v>0</v>
      </c>
      <c r="AN22" s="298">
        <f t="shared" si="10"/>
        <v>0</v>
      </c>
      <c r="AO22" s="298">
        <f t="shared" si="10"/>
        <v>0</v>
      </c>
      <c r="AP22" s="298">
        <f t="shared" si="10"/>
        <v>0</v>
      </c>
      <c r="AQ22" s="299">
        <f t="shared" si="9"/>
        <v>0</v>
      </c>
      <c r="AS22" s="288"/>
      <c r="AT22" s="288"/>
      <c r="AU22" s="288"/>
      <c r="AV22" s="288"/>
    </row>
    <row r="23" spans="2:48" x14ac:dyDescent="0.25">
      <c r="B23" s="1189"/>
      <c r="C23" s="1192"/>
      <c r="D23" s="297">
        <f t="shared" si="7"/>
        <v>17</v>
      </c>
      <c r="E23" s="297">
        <v>2045</v>
      </c>
      <c r="F23" s="297">
        <f t="shared" si="8"/>
        <v>17</v>
      </c>
      <c r="G23" s="298">
        <v>0</v>
      </c>
      <c r="H23" s="298">
        <f t="shared" si="13"/>
        <v>0</v>
      </c>
      <c r="I23" s="298">
        <f t="shared" si="13"/>
        <v>0</v>
      </c>
      <c r="J23" s="298">
        <f t="shared" si="13"/>
        <v>0</v>
      </c>
      <c r="K23" s="298">
        <f t="shared" si="13"/>
        <v>0</v>
      </c>
      <c r="L23" s="298">
        <f t="shared" si="13"/>
        <v>0</v>
      </c>
      <c r="M23" s="298">
        <f t="shared" si="13"/>
        <v>0</v>
      </c>
      <c r="N23" s="298">
        <f t="shared" si="13"/>
        <v>0</v>
      </c>
      <c r="O23" s="298">
        <f t="shared" si="13"/>
        <v>0</v>
      </c>
      <c r="P23" s="298">
        <f t="shared" si="13"/>
        <v>0</v>
      </c>
      <c r="Q23" s="298">
        <f t="shared" si="13"/>
        <v>0</v>
      </c>
      <c r="R23" s="298">
        <f t="shared" si="13"/>
        <v>0</v>
      </c>
      <c r="S23" s="298">
        <f t="shared" si="13"/>
        <v>0</v>
      </c>
      <c r="T23" s="298">
        <f t="shared" si="13"/>
        <v>0</v>
      </c>
      <c r="U23" s="298">
        <f t="shared" si="13"/>
        <v>0</v>
      </c>
      <c r="V23" s="298">
        <f t="shared" si="13"/>
        <v>0</v>
      </c>
      <c r="W23" s="298">
        <f t="shared" si="13"/>
        <v>0</v>
      </c>
      <c r="X23" s="298">
        <f t="shared" si="12"/>
        <v>0</v>
      </c>
      <c r="Y23" s="298">
        <f t="shared" si="12"/>
        <v>0</v>
      </c>
      <c r="Z23" s="298">
        <f t="shared" si="12"/>
        <v>0</v>
      </c>
      <c r="AA23" s="298">
        <f t="shared" si="12"/>
        <v>0</v>
      </c>
      <c r="AB23" s="298">
        <f t="shared" si="12"/>
        <v>0</v>
      </c>
      <c r="AC23" s="298">
        <f t="shared" si="12"/>
        <v>0</v>
      </c>
      <c r="AD23" s="298">
        <f t="shared" si="12"/>
        <v>0</v>
      </c>
      <c r="AE23" s="298">
        <f t="shared" si="12"/>
        <v>0</v>
      </c>
      <c r="AF23" s="298">
        <f t="shared" si="12"/>
        <v>0</v>
      </c>
      <c r="AG23" s="298">
        <f t="shared" si="12"/>
        <v>0</v>
      </c>
      <c r="AH23" s="298">
        <f t="shared" si="12"/>
        <v>0</v>
      </c>
      <c r="AI23" s="298">
        <f t="shared" si="12"/>
        <v>0</v>
      </c>
      <c r="AJ23" s="298">
        <f t="shared" si="12"/>
        <v>0</v>
      </c>
      <c r="AK23" s="298">
        <f t="shared" si="12"/>
        <v>0</v>
      </c>
      <c r="AL23" s="298">
        <f t="shared" si="10"/>
        <v>0</v>
      </c>
      <c r="AM23" s="298">
        <f t="shared" si="10"/>
        <v>0</v>
      </c>
      <c r="AN23" s="298">
        <f t="shared" si="10"/>
        <v>0</v>
      </c>
      <c r="AO23" s="298">
        <f t="shared" si="10"/>
        <v>0</v>
      </c>
      <c r="AP23" s="298">
        <f t="shared" si="10"/>
        <v>0</v>
      </c>
      <c r="AQ23" s="299">
        <f t="shared" si="9"/>
        <v>0</v>
      </c>
      <c r="AS23" s="288"/>
      <c r="AT23" s="288"/>
      <c r="AU23" s="288"/>
      <c r="AV23" s="288"/>
    </row>
    <row r="24" spans="2:48" x14ac:dyDescent="0.25">
      <c r="B24" s="1189"/>
      <c r="C24" s="1192"/>
      <c r="D24" s="297">
        <f t="shared" si="7"/>
        <v>16</v>
      </c>
      <c r="E24" s="297">
        <v>2046</v>
      </c>
      <c r="F24" s="297">
        <f t="shared" si="8"/>
        <v>16</v>
      </c>
      <c r="G24" s="298">
        <v>0</v>
      </c>
      <c r="H24" s="298">
        <f t="shared" si="13"/>
        <v>0</v>
      </c>
      <c r="I24" s="298">
        <f t="shared" si="13"/>
        <v>0</v>
      </c>
      <c r="J24" s="298">
        <f t="shared" si="13"/>
        <v>0</v>
      </c>
      <c r="K24" s="298">
        <f t="shared" si="13"/>
        <v>0</v>
      </c>
      <c r="L24" s="298">
        <f t="shared" si="13"/>
        <v>0</v>
      </c>
      <c r="M24" s="298">
        <f t="shared" si="13"/>
        <v>0</v>
      </c>
      <c r="N24" s="298">
        <f t="shared" si="13"/>
        <v>0</v>
      </c>
      <c r="O24" s="298">
        <f t="shared" si="13"/>
        <v>0</v>
      </c>
      <c r="P24" s="298">
        <f t="shared" si="13"/>
        <v>0</v>
      </c>
      <c r="Q24" s="298">
        <f t="shared" si="13"/>
        <v>0</v>
      </c>
      <c r="R24" s="298">
        <f t="shared" si="13"/>
        <v>0</v>
      </c>
      <c r="S24" s="298">
        <f t="shared" si="13"/>
        <v>0</v>
      </c>
      <c r="T24" s="298">
        <f t="shared" si="13"/>
        <v>0</v>
      </c>
      <c r="U24" s="298">
        <f t="shared" si="13"/>
        <v>0</v>
      </c>
      <c r="V24" s="298">
        <f t="shared" si="13"/>
        <v>0</v>
      </c>
      <c r="W24" s="298">
        <f t="shared" si="13"/>
        <v>0</v>
      </c>
      <c r="X24" s="298">
        <f t="shared" si="12"/>
        <v>0</v>
      </c>
      <c r="Y24" s="298">
        <f t="shared" si="12"/>
        <v>0</v>
      </c>
      <c r="Z24" s="298">
        <f t="shared" si="12"/>
        <v>0</v>
      </c>
      <c r="AA24" s="298">
        <f t="shared" si="12"/>
        <v>0</v>
      </c>
      <c r="AB24" s="298">
        <f t="shared" si="12"/>
        <v>0</v>
      </c>
      <c r="AC24" s="298">
        <f t="shared" si="12"/>
        <v>0</v>
      </c>
      <c r="AD24" s="298">
        <f t="shared" si="12"/>
        <v>0</v>
      </c>
      <c r="AE24" s="298">
        <f t="shared" si="12"/>
        <v>0</v>
      </c>
      <c r="AF24" s="298">
        <f t="shared" si="12"/>
        <v>0</v>
      </c>
      <c r="AG24" s="298">
        <f t="shared" si="12"/>
        <v>0</v>
      </c>
      <c r="AH24" s="298">
        <f t="shared" si="12"/>
        <v>0</v>
      </c>
      <c r="AI24" s="298">
        <f t="shared" si="12"/>
        <v>0</v>
      </c>
      <c r="AJ24" s="298">
        <f t="shared" si="12"/>
        <v>0</v>
      </c>
      <c r="AK24" s="298">
        <f t="shared" si="12"/>
        <v>0</v>
      </c>
      <c r="AL24" s="298">
        <f t="shared" si="10"/>
        <v>0</v>
      </c>
      <c r="AM24" s="298">
        <f t="shared" si="10"/>
        <v>0</v>
      </c>
      <c r="AN24" s="298">
        <f t="shared" si="10"/>
        <v>0</v>
      </c>
      <c r="AO24" s="298">
        <f t="shared" si="10"/>
        <v>0</v>
      </c>
      <c r="AP24" s="298">
        <f t="shared" si="10"/>
        <v>0</v>
      </c>
      <c r="AQ24" s="299">
        <f t="shared" si="9"/>
        <v>0</v>
      </c>
      <c r="AS24" s="288"/>
      <c r="AT24" s="288"/>
      <c r="AU24" s="288"/>
      <c r="AV24" s="288"/>
    </row>
    <row r="25" spans="2:48" x14ac:dyDescent="0.25">
      <c r="B25" s="1189"/>
      <c r="C25" s="1192"/>
      <c r="D25" s="297">
        <f t="shared" si="7"/>
        <v>15</v>
      </c>
      <c r="E25" s="297">
        <v>2047</v>
      </c>
      <c r="F25" s="297">
        <f t="shared" si="8"/>
        <v>15</v>
      </c>
      <c r="G25" s="298">
        <v>0</v>
      </c>
      <c r="H25" s="298">
        <f t="shared" si="13"/>
        <v>0</v>
      </c>
      <c r="I25" s="298">
        <f t="shared" si="13"/>
        <v>0</v>
      </c>
      <c r="J25" s="298">
        <f t="shared" si="13"/>
        <v>0</v>
      </c>
      <c r="K25" s="298">
        <f t="shared" si="13"/>
        <v>0</v>
      </c>
      <c r="L25" s="298">
        <f t="shared" si="13"/>
        <v>0</v>
      </c>
      <c r="M25" s="298">
        <f t="shared" si="13"/>
        <v>0</v>
      </c>
      <c r="N25" s="298">
        <f t="shared" si="13"/>
        <v>0</v>
      </c>
      <c r="O25" s="298">
        <f t="shared" si="13"/>
        <v>0</v>
      </c>
      <c r="P25" s="298">
        <f t="shared" si="13"/>
        <v>0</v>
      </c>
      <c r="Q25" s="298">
        <f t="shared" si="13"/>
        <v>0</v>
      </c>
      <c r="R25" s="298">
        <f t="shared" si="13"/>
        <v>0</v>
      </c>
      <c r="S25" s="298">
        <f t="shared" si="13"/>
        <v>0</v>
      </c>
      <c r="T25" s="298">
        <f t="shared" si="13"/>
        <v>0</v>
      </c>
      <c r="U25" s="298">
        <f t="shared" si="13"/>
        <v>0</v>
      </c>
      <c r="V25" s="298">
        <f t="shared" si="13"/>
        <v>0</v>
      </c>
      <c r="W25" s="298">
        <f t="shared" si="13"/>
        <v>0</v>
      </c>
      <c r="X25" s="298">
        <f t="shared" si="12"/>
        <v>0</v>
      </c>
      <c r="Y25" s="298">
        <f t="shared" si="12"/>
        <v>0</v>
      </c>
      <c r="Z25" s="298">
        <f t="shared" si="12"/>
        <v>0</v>
      </c>
      <c r="AA25" s="298">
        <f t="shared" si="12"/>
        <v>0</v>
      </c>
      <c r="AB25" s="298">
        <f t="shared" si="12"/>
        <v>0</v>
      </c>
      <c r="AC25" s="298">
        <f t="shared" si="12"/>
        <v>0</v>
      </c>
      <c r="AD25" s="298">
        <f t="shared" si="12"/>
        <v>0</v>
      </c>
      <c r="AE25" s="298">
        <f t="shared" si="12"/>
        <v>0</v>
      </c>
      <c r="AF25" s="298">
        <f t="shared" si="12"/>
        <v>0</v>
      </c>
      <c r="AG25" s="298">
        <f t="shared" si="12"/>
        <v>0</v>
      </c>
      <c r="AH25" s="298">
        <f t="shared" si="12"/>
        <v>0</v>
      </c>
      <c r="AI25" s="298">
        <f t="shared" si="12"/>
        <v>0</v>
      </c>
      <c r="AJ25" s="298">
        <f t="shared" si="12"/>
        <v>0</v>
      </c>
      <c r="AK25" s="298">
        <f t="shared" si="12"/>
        <v>0</v>
      </c>
      <c r="AL25" s="298">
        <f t="shared" si="10"/>
        <v>0</v>
      </c>
      <c r="AM25" s="298">
        <f t="shared" si="10"/>
        <v>0</v>
      </c>
      <c r="AN25" s="298">
        <f t="shared" si="10"/>
        <v>0</v>
      </c>
      <c r="AO25" s="298">
        <f t="shared" si="10"/>
        <v>0</v>
      </c>
      <c r="AP25" s="298">
        <f t="shared" si="10"/>
        <v>0</v>
      </c>
      <c r="AQ25" s="299">
        <f t="shared" si="9"/>
        <v>0</v>
      </c>
      <c r="AS25" s="288"/>
      <c r="AT25" s="288"/>
      <c r="AU25" s="288"/>
      <c r="AV25" s="288"/>
    </row>
    <row r="26" spans="2:48" x14ac:dyDescent="0.25">
      <c r="B26" s="1189"/>
      <c r="C26" s="1192"/>
      <c r="D26" s="297">
        <f t="shared" si="7"/>
        <v>14</v>
      </c>
      <c r="E26" s="297">
        <v>2048</v>
      </c>
      <c r="F26" s="297">
        <f t="shared" si="8"/>
        <v>14</v>
      </c>
      <c r="G26" s="298">
        <v>0</v>
      </c>
      <c r="H26" s="298">
        <f t="shared" si="13"/>
        <v>0</v>
      </c>
      <c r="I26" s="298">
        <f t="shared" si="13"/>
        <v>0</v>
      </c>
      <c r="J26" s="298">
        <f t="shared" si="13"/>
        <v>0</v>
      </c>
      <c r="K26" s="298">
        <f t="shared" si="13"/>
        <v>0</v>
      </c>
      <c r="L26" s="298">
        <f t="shared" si="13"/>
        <v>0</v>
      </c>
      <c r="M26" s="298">
        <f t="shared" si="13"/>
        <v>0</v>
      </c>
      <c r="N26" s="298">
        <f t="shared" si="13"/>
        <v>0</v>
      </c>
      <c r="O26" s="298">
        <f t="shared" si="13"/>
        <v>0</v>
      </c>
      <c r="P26" s="298">
        <f t="shared" si="13"/>
        <v>0</v>
      </c>
      <c r="Q26" s="298">
        <f t="shared" si="13"/>
        <v>0</v>
      </c>
      <c r="R26" s="298">
        <f t="shared" si="13"/>
        <v>0</v>
      </c>
      <c r="S26" s="298">
        <f t="shared" si="13"/>
        <v>0</v>
      </c>
      <c r="T26" s="298">
        <f t="shared" si="13"/>
        <v>0</v>
      </c>
      <c r="U26" s="298">
        <f t="shared" si="13"/>
        <v>0</v>
      </c>
      <c r="V26" s="298">
        <f t="shared" si="13"/>
        <v>0</v>
      </c>
      <c r="W26" s="298">
        <f t="shared" si="13"/>
        <v>0</v>
      </c>
      <c r="X26" s="298">
        <f t="shared" si="12"/>
        <v>0</v>
      </c>
      <c r="Y26" s="298">
        <f t="shared" si="12"/>
        <v>0</v>
      </c>
      <c r="Z26" s="298">
        <f t="shared" si="12"/>
        <v>0</v>
      </c>
      <c r="AA26" s="298">
        <f t="shared" si="12"/>
        <v>0</v>
      </c>
      <c r="AB26" s="298">
        <f t="shared" si="12"/>
        <v>0</v>
      </c>
      <c r="AC26" s="298">
        <f t="shared" si="12"/>
        <v>0</v>
      </c>
      <c r="AD26" s="298">
        <f t="shared" si="12"/>
        <v>0</v>
      </c>
      <c r="AE26" s="298">
        <f t="shared" si="12"/>
        <v>0</v>
      </c>
      <c r="AF26" s="298">
        <f t="shared" si="12"/>
        <v>0</v>
      </c>
      <c r="AG26" s="298">
        <f t="shared" si="12"/>
        <v>0</v>
      </c>
      <c r="AH26" s="298">
        <f t="shared" si="12"/>
        <v>0</v>
      </c>
      <c r="AI26" s="298">
        <f t="shared" si="12"/>
        <v>0</v>
      </c>
      <c r="AJ26" s="298">
        <f t="shared" si="12"/>
        <v>0</v>
      </c>
      <c r="AK26" s="298">
        <f t="shared" si="12"/>
        <v>0</v>
      </c>
      <c r="AL26" s="298">
        <f t="shared" si="10"/>
        <v>0</v>
      </c>
      <c r="AM26" s="298">
        <f t="shared" si="10"/>
        <v>0</v>
      </c>
      <c r="AN26" s="298">
        <f t="shared" si="10"/>
        <v>0</v>
      </c>
      <c r="AO26" s="298">
        <f t="shared" si="10"/>
        <v>0</v>
      </c>
      <c r="AP26" s="298">
        <f t="shared" si="10"/>
        <v>0</v>
      </c>
      <c r="AQ26" s="299">
        <f t="shared" si="9"/>
        <v>0</v>
      </c>
      <c r="AS26" s="288"/>
      <c r="AT26" s="288"/>
      <c r="AU26" s="288"/>
      <c r="AV26" s="288"/>
    </row>
    <row r="27" spans="2:48" x14ac:dyDescent="0.25">
      <c r="B27" s="1189"/>
      <c r="C27" s="1192"/>
      <c r="D27" s="297">
        <f t="shared" si="7"/>
        <v>13</v>
      </c>
      <c r="E27" s="297">
        <v>2049</v>
      </c>
      <c r="F27" s="297">
        <f t="shared" si="8"/>
        <v>13</v>
      </c>
      <c r="G27" s="298">
        <v>0</v>
      </c>
      <c r="H27" s="298">
        <f t="shared" si="13"/>
        <v>0</v>
      </c>
      <c r="I27" s="298">
        <f t="shared" si="13"/>
        <v>0</v>
      </c>
      <c r="J27" s="298">
        <f t="shared" si="13"/>
        <v>0</v>
      </c>
      <c r="K27" s="298">
        <f t="shared" si="13"/>
        <v>0</v>
      </c>
      <c r="L27" s="298">
        <f t="shared" si="13"/>
        <v>0</v>
      </c>
      <c r="M27" s="298">
        <f t="shared" si="13"/>
        <v>0</v>
      </c>
      <c r="N27" s="298">
        <f t="shared" si="13"/>
        <v>0</v>
      </c>
      <c r="O27" s="298">
        <f t="shared" si="13"/>
        <v>0</v>
      </c>
      <c r="P27" s="298">
        <f t="shared" si="13"/>
        <v>0</v>
      </c>
      <c r="Q27" s="298">
        <f t="shared" si="13"/>
        <v>0</v>
      </c>
      <c r="R27" s="298">
        <f t="shared" si="13"/>
        <v>0</v>
      </c>
      <c r="S27" s="298">
        <f t="shared" si="13"/>
        <v>0</v>
      </c>
      <c r="T27" s="298">
        <f t="shared" si="13"/>
        <v>0</v>
      </c>
      <c r="U27" s="298">
        <f t="shared" si="13"/>
        <v>0</v>
      </c>
      <c r="V27" s="298">
        <f t="shared" si="13"/>
        <v>0</v>
      </c>
      <c r="W27" s="298">
        <f t="shared" si="13"/>
        <v>0</v>
      </c>
      <c r="X27" s="298">
        <f t="shared" si="12"/>
        <v>0</v>
      </c>
      <c r="Y27" s="298">
        <f t="shared" si="12"/>
        <v>0</v>
      </c>
      <c r="Z27" s="298">
        <f t="shared" si="12"/>
        <v>0</v>
      </c>
      <c r="AA27" s="298">
        <f t="shared" si="12"/>
        <v>0</v>
      </c>
      <c r="AB27" s="298">
        <f t="shared" si="12"/>
        <v>0</v>
      </c>
      <c r="AC27" s="298">
        <f t="shared" si="12"/>
        <v>0</v>
      </c>
      <c r="AD27" s="298">
        <f t="shared" si="12"/>
        <v>0</v>
      </c>
      <c r="AE27" s="298">
        <f t="shared" si="12"/>
        <v>0</v>
      </c>
      <c r="AF27" s="298">
        <f t="shared" si="12"/>
        <v>0</v>
      </c>
      <c r="AG27" s="298">
        <f t="shared" si="12"/>
        <v>0</v>
      </c>
      <c r="AH27" s="298">
        <f t="shared" si="12"/>
        <v>0</v>
      </c>
      <c r="AI27" s="298">
        <f t="shared" si="12"/>
        <v>0</v>
      </c>
      <c r="AJ27" s="298">
        <f t="shared" si="12"/>
        <v>0</v>
      </c>
      <c r="AK27" s="298">
        <f t="shared" si="12"/>
        <v>0</v>
      </c>
      <c r="AL27" s="298">
        <f t="shared" si="10"/>
        <v>0</v>
      </c>
      <c r="AM27" s="298">
        <f t="shared" si="10"/>
        <v>0</v>
      </c>
      <c r="AN27" s="298">
        <f t="shared" si="10"/>
        <v>0</v>
      </c>
      <c r="AO27" s="298">
        <f t="shared" si="10"/>
        <v>0</v>
      </c>
      <c r="AP27" s="298">
        <f t="shared" si="10"/>
        <v>0</v>
      </c>
      <c r="AQ27" s="299">
        <f t="shared" si="9"/>
        <v>0</v>
      </c>
      <c r="AS27" s="288"/>
      <c r="AT27" s="288"/>
      <c r="AU27" s="288"/>
      <c r="AV27" s="288"/>
    </row>
    <row r="28" spans="2:48" x14ac:dyDescent="0.25">
      <c r="B28" s="1189"/>
      <c r="C28" s="1192"/>
      <c r="D28" s="297">
        <f t="shared" si="7"/>
        <v>12</v>
      </c>
      <c r="E28" s="297">
        <v>2050</v>
      </c>
      <c r="F28" s="297">
        <f t="shared" si="8"/>
        <v>12</v>
      </c>
      <c r="G28" s="298">
        <v>0</v>
      </c>
      <c r="H28" s="298">
        <f t="shared" si="13"/>
        <v>0</v>
      </c>
      <c r="I28" s="298">
        <f t="shared" si="13"/>
        <v>0</v>
      </c>
      <c r="J28" s="298">
        <f t="shared" si="13"/>
        <v>0</v>
      </c>
      <c r="K28" s="298">
        <f t="shared" si="13"/>
        <v>0</v>
      </c>
      <c r="L28" s="298">
        <f t="shared" si="13"/>
        <v>0</v>
      </c>
      <c r="M28" s="298">
        <f t="shared" si="13"/>
        <v>0</v>
      </c>
      <c r="N28" s="298">
        <f t="shared" si="13"/>
        <v>0</v>
      </c>
      <c r="O28" s="298">
        <f t="shared" si="13"/>
        <v>0</v>
      </c>
      <c r="P28" s="298">
        <f t="shared" si="13"/>
        <v>0</v>
      </c>
      <c r="Q28" s="298">
        <f t="shared" si="13"/>
        <v>0</v>
      </c>
      <c r="R28" s="298">
        <f t="shared" si="13"/>
        <v>0</v>
      </c>
      <c r="S28" s="298">
        <f t="shared" si="13"/>
        <v>0</v>
      </c>
      <c r="T28" s="298">
        <f t="shared" si="13"/>
        <v>0</v>
      </c>
      <c r="U28" s="298">
        <f t="shared" si="13"/>
        <v>0</v>
      </c>
      <c r="V28" s="298">
        <f t="shared" si="13"/>
        <v>0</v>
      </c>
      <c r="W28" s="298">
        <f t="shared" si="13"/>
        <v>0</v>
      </c>
      <c r="X28" s="298">
        <f t="shared" si="12"/>
        <v>0</v>
      </c>
      <c r="Y28" s="298">
        <f t="shared" si="12"/>
        <v>0</v>
      </c>
      <c r="Z28" s="298">
        <f t="shared" si="12"/>
        <v>0</v>
      </c>
      <c r="AA28" s="298">
        <f t="shared" si="12"/>
        <v>0</v>
      </c>
      <c r="AB28" s="298">
        <f t="shared" si="12"/>
        <v>0</v>
      </c>
      <c r="AC28" s="298">
        <f t="shared" si="12"/>
        <v>0</v>
      </c>
      <c r="AD28" s="298">
        <f t="shared" si="12"/>
        <v>0</v>
      </c>
      <c r="AE28" s="298">
        <f t="shared" si="12"/>
        <v>0</v>
      </c>
      <c r="AF28" s="298">
        <f t="shared" si="12"/>
        <v>0</v>
      </c>
      <c r="AG28" s="298">
        <f t="shared" si="12"/>
        <v>0</v>
      </c>
      <c r="AH28" s="298">
        <f t="shared" si="12"/>
        <v>0</v>
      </c>
      <c r="AI28" s="298">
        <f t="shared" si="12"/>
        <v>0</v>
      </c>
      <c r="AJ28" s="298">
        <f t="shared" si="12"/>
        <v>0</v>
      </c>
      <c r="AK28" s="298">
        <f t="shared" si="12"/>
        <v>0</v>
      </c>
      <c r="AL28" s="298">
        <f t="shared" si="10"/>
        <v>0</v>
      </c>
      <c r="AM28" s="298">
        <f t="shared" si="10"/>
        <v>0</v>
      </c>
      <c r="AN28" s="298">
        <f t="shared" si="10"/>
        <v>0</v>
      </c>
      <c r="AO28" s="298">
        <f t="shared" si="10"/>
        <v>0</v>
      </c>
      <c r="AP28" s="298">
        <f t="shared" si="10"/>
        <v>0</v>
      </c>
      <c r="AQ28" s="299">
        <f t="shared" si="9"/>
        <v>0</v>
      </c>
      <c r="AS28" s="288"/>
      <c r="AT28" s="288"/>
      <c r="AU28" s="288"/>
      <c r="AV28" s="288"/>
    </row>
    <row r="29" spans="2:48" x14ac:dyDescent="0.25">
      <c r="B29" s="1189"/>
      <c r="C29" s="1192"/>
      <c r="D29" s="297">
        <f t="shared" si="7"/>
        <v>11</v>
      </c>
      <c r="E29" s="297">
        <v>2051</v>
      </c>
      <c r="F29" s="297">
        <f t="shared" si="8"/>
        <v>11</v>
      </c>
      <c r="G29" s="298">
        <v>0</v>
      </c>
      <c r="H29" s="298">
        <f t="shared" si="13"/>
        <v>0</v>
      </c>
      <c r="I29" s="298">
        <f t="shared" si="13"/>
        <v>0</v>
      </c>
      <c r="J29" s="298">
        <f t="shared" si="13"/>
        <v>0</v>
      </c>
      <c r="K29" s="298">
        <f t="shared" si="13"/>
        <v>0</v>
      </c>
      <c r="L29" s="298">
        <f t="shared" si="13"/>
        <v>0</v>
      </c>
      <c r="M29" s="298">
        <f t="shared" si="13"/>
        <v>0</v>
      </c>
      <c r="N29" s="298">
        <f t="shared" si="13"/>
        <v>0</v>
      </c>
      <c r="O29" s="298">
        <f t="shared" si="13"/>
        <v>0</v>
      </c>
      <c r="P29" s="298">
        <f t="shared" si="13"/>
        <v>0</v>
      </c>
      <c r="Q29" s="298">
        <f t="shared" si="13"/>
        <v>0</v>
      </c>
      <c r="R29" s="298">
        <f t="shared" si="13"/>
        <v>0</v>
      </c>
      <c r="S29" s="298">
        <f t="shared" si="13"/>
        <v>0</v>
      </c>
      <c r="T29" s="298">
        <f t="shared" si="13"/>
        <v>0</v>
      </c>
      <c r="U29" s="298">
        <f t="shared" si="13"/>
        <v>0</v>
      </c>
      <c r="V29" s="298">
        <f t="shared" si="13"/>
        <v>0</v>
      </c>
      <c r="W29" s="298">
        <f t="shared" si="13"/>
        <v>0</v>
      </c>
      <c r="X29" s="298">
        <f t="shared" si="12"/>
        <v>0</v>
      </c>
      <c r="Y29" s="298">
        <f t="shared" si="12"/>
        <v>0</v>
      </c>
      <c r="Z29" s="298">
        <f t="shared" si="12"/>
        <v>0</v>
      </c>
      <c r="AA29" s="298">
        <f t="shared" si="12"/>
        <v>0</v>
      </c>
      <c r="AB29" s="298">
        <f t="shared" si="12"/>
        <v>0</v>
      </c>
      <c r="AC29" s="298">
        <f t="shared" si="12"/>
        <v>0</v>
      </c>
      <c r="AD29" s="298">
        <f t="shared" si="12"/>
        <v>0</v>
      </c>
      <c r="AE29" s="298">
        <f t="shared" si="12"/>
        <v>0</v>
      </c>
      <c r="AF29" s="298">
        <f t="shared" si="12"/>
        <v>0</v>
      </c>
      <c r="AG29" s="298">
        <f t="shared" si="12"/>
        <v>0</v>
      </c>
      <c r="AH29" s="298">
        <f t="shared" si="12"/>
        <v>0</v>
      </c>
      <c r="AI29" s="298">
        <f t="shared" si="12"/>
        <v>0</v>
      </c>
      <c r="AJ29" s="298">
        <f t="shared" si="12"/>
        <v>0</v>
      </c>
      <c r="AK29" s="298">
        <f t="shared" si="12"/>
        <v>0</v>
      </c>
      <c r="AL29" s="298">
        <f t="shared" si="10"/>
        <v>0</v>
      </c>
      <c r="AM29" s="298">
        <f t="shared" si="10"/>
        <v>0</v>
      </c>
      <c r="AN29" s="298">
        <f t="shared" si="10"/>
        <v>0</v>
      </c>
      <c r="AO29" s="298">
        <f t="shared" si="10"/>
        <v>0</v>
      </c>
      <c r="AP29" s="298">
        <f t="shared" si="10"/>
        <v>0</v>
      </c>
      <c r="AQ29" s="299">
        <f t="shared" si="9"/>
        <v>0</v>
      </c>
      <c r="AS29" s="288"/>
      <c r="AT29" s="288"/>
      <c r="AU29" s="288"/>
      <c r="AV29" s="288"/>
    </row>
    <row r="30" spans="2:48" x14ac:dyDescent="0.25">
      <c r="B30" s="1189"/>
      <c r="C30" s="1192"/>
      <c r="D30" s="297">
        <f t="shared" si="7"/>
        <v>10</v>
      </c>
      <c r="E30" s="297">
        <v>2052</v>
      </c>
      <c r="F30" s="297">
        <f t="shared" si="8"/>
        <v>10</v>
      </c>
      <c r="G30" s="298">
        <v>0</v>
      </c>
      <c r="H30" s="298">
        <f t="shared" si="13"/>
        <v>0</v>
      </c>
      <c r="I30" s="298">
        <f t="shared" si="13"/>
        <v>0</v>
      </c>
      <c r="J30" s="298">
        <f t="shared" si="13"/>
        <v>0</v>
      </c>
      <c r="K30" s="298">
        <f t="shared" si="13"/>
        <v>0</v>
      </c>
      <c r="L30" s="298">
        <f t="shared" si="13"/>
        <v>0</v>
      </c>
      <c r="M30" s="298">
        <f t="shared" si="13"/>
        <v>0</v>
      </c>
      <c r="N30" s="298">
        <f t="shared" si="13"/>
        <v>0</v>
      </c>
      <c r="O30" s="298">
        <f t="shared" si="13"/>
        <v>0</v>
      </c>
      <c r="P30" s="298">
        <f t="shared" si="13"/>
        <v>0</v>
      </c>
      <c r="Q30" s="298">
        <f t="shared" si="13"/>
        <v>0</v>
      </c>
      <c r="R30" s="298">
        <f t="shared" si="13"/>
        <v>0</v>
      </c>
      <c r="S30" s="298">
        <f t="shared" si="13"/>
        <v>0</v>
      </c>
      <c r="T30" s="298">
        <f t="shared" si="13"/>
        <v>0</v>
      </c>
      <c r="U30" s="298">
        <f t="shared" si="13"/>
        <v>0</v>
      </c>
      <c r="V30" s="298">
        <f t="shared" si="13"/>
        <v>0</v>
      </c>
      <c r="W30" s="298">
        <f t="shared" si="13"/>
        <v>0</v>
      </c>
      <c r="X30" s="298">
        <f t="shared" si="12"/>
        <v>0</v>
      </c>
      <c r="Y30" s="298">
        <f t="shared" si="12"/>
        <v>0</v>
      </c>
      <c r="Z30" s="298">
        <f t="shared" si="12"/>
        <v>0</v>
      </c>
      <c r="AA30" s="298">
        <f t="shared" si="12"/>
        <v>0</v>
      </c>
      <c r="AB30" s="298">
        <f t="shared" si="12"/>
        <v>0</v>
      </c>
      <c r="AC30" s="298">
        <f t="shared" si="12"/>
        <v>0</v>
      </c>
      <c r="AD30" s="298">
        <f t="shared" si="12"/>
        <v>0</v>
      </c>
      <c r="AE30" s="298">
        <f t="shared" si="12"/>
        <v>0</v>
      </c>
      <c r="AF30" s="298">
        <f t="shared" si="12"/>
        <v>0</v>
      </c>
      <c r="AG30" s="298">
        <f t="shared" si="12"/>
        <v>0</v>
      </c>
      <c r="AH30" s="298">
        <f t="shared" si="12"/>
        <v>0</v>
      </c>
      <c r="AI30" s="298">
        <f t="shared" si="12"/>
        <v>0</v>
      </c>
      <c r="AJ30" s="298">
        <f t="shared" si="12"/>
        <v>0</v>
      </c>
      <c r="AK30" s="298">
        <f t="shared" si="12"/>
        <v>0</v>
      </c>
      <c r="AL30" s="298">
        <f t="shared" si="10"/>
        <v>0</v>
      </c>
      <c r="AM30" s="298">
        <f t="shared" si="10"/>
        <v>0</v>
      </c>
      <c r="AN30" s="298">
        <f t="shared" si="10"/>
        <v>0</v>
      </c>
      <c r="AO30" s="298">
        <f t="shared" si="10"/>
        <v>0</v>
      </c>
      <c r="AP30" s="298">
        <f t="shared" si="10"/>
        <v>0</v>
      </c>
      <c r="AQ30" s="299">
        <f t="shared" si="9"/>
        <v>0</v>
      </c>
      <c r="AS30" s="288"/>
      <c r="AT30" s="288"/>
      <c r="AU30" s="288"/>
      <c r="AV30" s="288"/>
    </row>
    <row r="31" spans="2:48" x14ac:dyDescent="0.25">
      <c r="B31" s="1189"/>
      <c r="C31" s="1192"/>
      <c r="D31" s="297">
        <f t="shared" si="7"/>
        <v>9</v>
      </c>
      <c r="E31" s="297">
        <v>2053</v>
      </c>
      <c r="F31" s="297">
        <f t="shared" si="8"/>
        <v>9</v>
      </c>
      <c r="G31" s="298">
        <v>0</v>
      </c>
      <c r="H31" s="298">
        <f t="shared" si="13"/>
        <v>0</v>
      </c>
      <c r="I31" s="298">
        <f t="shared" si="13"/>
        <v>0</v>
      </c>
      <c r="J31" s="298">
        <f t="shared" si="13"/>
        <v>0</v>
      </c>
      <c r="K31" s="298">
        <f t="shared" si="13"/>
        <v>0</v>
      </c>
      <c r="L31" s="298">
        <f t="shared" si="13"/>
        <v>0</v>
      </c>
      <c r="M31" s="298">
        <f t="shared" si="13"/>
        <v>0</v>
      </c>
      <c r="N31" s="298">
        <f t="shared" si="13"/>
        <v>0</v>
      </c>
      <c r="O31" s="298">
        <f t="shared" si="13"/>
        <v>0</v>
      </c>
      <c r="P31" s="298">
        <f t="shared" si="13"/>
        <v>0</v>
      </c>
      <c r="Q31" s="298">
        <f t="shared" si="13"/>
        <v>0</v>
      </c>
      <c r="R31" s="298">
        <f t="shared" si="13"/>
        <v>0</v>
      </c>
      <c r="S31" s="298">
        <f t="shared" si="13"/>
        <v>0</v>
      </c>
      <c r="T31" s="298">
        <f t="shared" si="13"/>
        <v>0</v>
      </c>
      <c r="U31" s="298">
        <f t="shared" si="13"/>
        <v>0</v>
      </c>
      <c r="V31" s="298">
        <f t="shared" si="13"/>
        <v>0</v>
      </c>
      <c r="W31" s="298">
        <f t="shared" si="13"/>
        <v>0</v>
      </c>
      <c r="X31" s="298">
        <f t="shared" si="12"/>
        <v>0</v>
      </c>
      <c r="Y31" s="298">
        <f t="shared" si="12"/>
        <v>0</v>
      </c>
      <c r="Z31" s="298">
        <f t="shared" si="12"/>
        <v>0</v>
      </c>
      <c r="AA31" s="298">
        <f t="shared" si="12"/>
        <v>0</v>
      </c>
      <c r="AB31" s="298">
        <f t="shared" si="12"/>
        <v>0</v>
      </c>
      <c r="AC31" s="298">
        <f t="shared" si="12"/>
        <v>0</v>
      </c>
      <c r="AD31" s="298">
        <f t="shared" si="12"/>
        <v>0</v>
      </c>
      <c r="AE31" s="298">
        <f t="shared" si="12"/>
        <v>0</v>
      </c>
      <c r="AF31" s="298">
        <f t="shared" si="12"/>
        <v>0</v>
      </c>
      <c r="AG31" s="298">
        <f t="shared" si="12"/>
        <v>0</v>
      </c>
      <c r="AH31" s="298">
        <f t="shared" si="12"/>
        <v>0</v>
      </c>
      <c r="AI31" s="298">
        <f t="shared" si="12"/>
        <v>0</v>
      </c>
      <c r="AJ31" s="298">
        <f t="shared" si="12"/>
        <v>0</v>
      </c>
      <c r="AK31" s="298">
        <f t="shared" si="12"/>
        <v>0</v>
      </c>
      <c r="AL31" s="298">
        <f t="shared" si="10"/>
        <v>0</v>
      </c>
      <c r="AM31" s="298">
        <f t="shared" si="10"/>
        <v>0</v>
      </c>
      <c r="AN31" s="298">
        <f t="shared" si="10"/>
        <v>0</v>
      </c>
      <c r="AO31" s="298">
        <f t="shared" si="10"/>
        <v>0</v>
      </c>
      <c r="AP31" s="298">
        <f t="shared" si="10"/>
        <v>0</v>
      </c>
      <c r="AQ31" s="299">
        <f t="shared" si="9"/>
        <v>0</v>
      </c>
      <c r="AS31" s="288"/>
      <c r="AT31" s="288"/>
      <c r="AU31" s="288"/>
      <c r="AV31" s="288"/>
    </row>
    <row r="32" spans="2:48" x14ac:dyDescent="0.25">
      <c r="B32" s="1189"/>
      <c r="C32" s="1192"/>
      <c r="D32" s="297">
        <f t="shared" si="7"/>
        <v>8</v>
      </c>
      <c r="E32" s="297">
        <v>2054</v>
      </c>
      <c r="F32" s="297">
        <f t="shared" si="8"/>
        <v>8</v>
      </c>
      <c r="G32" s="298">
        <v>0</v>
      </c>
      <c r="H32" s="298">
        <f t="shared" si="13"/>
        <v>0</v>
      </c>
      <c r="I32" s="298">
        <f t="shared" si="13"/>
        <v>0</v>
      </c>
      <c r="J32" s="298">
        <f t="shared" si="13"/>
        <v>0</v>
      </c>
      <c r="K32" s="298">
        <f t="shared" si="13"/>
        <v>0</v>
      </c>
      <c r="L32" s="298">
        <f t="shared" si="13"/>
        <v>0</v>
      </c>
      <c r="M32" s="298">
        <f t="shared" si="13"/>
        <v>0</v>
      </c>
      <c r="N32" s="298">
        <f t="shared" si="13"/>
        <v>0</v>
      </c>
      <c r="O32" s="298">
        <f t="shared" si="13"/>
        <v>0</v>
      </c>
      <c r="P32" s="298">
        <f t="shared" si="13"/>
        <v>0</v>
      </c>
      <c r="Q32" s="298">
        <f t="shared" si="13"/>
        <v>0</v>
      </c>
      <c r="R32" s="298">
        <f t="shared" si="13"/>
        <v>0</v>
      </c>
      <c r="S32" s="298">
        <f t="shared" si="13"/>
        <v>0</v>
      </c>
      <c r="T32" s="298">
        <f t="shared" si="13"/>
        <v>0</v>
      </c>
      <c r="U32" s="298">
        <f t="shared" si="13"/>
        <v>0</v>
      </c>
      <c r="V32" s="298">
        <f t="shared" si="13"/>
        <v>0</v>
      </c>
      <c r="W32" s="298">
        <f t="shared" si="13"/>
        <v>0</v>
      </c>
      <c r="X32" s="298">
        <f t="shared" si="12"/>
        <v>0</v>
      </c>
      <c r="Y32" s="298">
        <f t="shared" si="12"/>
        <v>0</v>
      </c>
      <c r="Z32" s="298">
        <f t="shared" si="12"/>
        <v>0</v>
      </c>
      <c r="AA32" s="298">
        <f t="shared" si="12"/>
        <v>0</v>
      </c>
      <c r="AB32" s="298">
        <f t="shared" si="12"/>
        <v>0</v>
      </c>
      <c r="AC32" s="298">
        <f t="shared" si="12"/>
        <v>0</v>
      </c>
      <c r="AD32" s="298">
        <f t="shared" si="12"/>
        <v>0</v>
      </c>
      <c r="AE32" s="298">
        <f t="shared" si="12"/>
        <v>0</v>
      </c>
      <c r="AF32" s="298">
        <f t="shared" si="12"/>
        <v>0</v>
      </c>
      <c r="AG32" s="298">
        <f t="shared" si="12"/>
        <v>0</v>
      </c>
      <c r="AH32" s="298">
        <f t="shared" si="12"/>
        <v>0</v>
      </c>
      <c r="AI32" s="298">
        <f t="shared" si="12"/>
        <v>0</v>
      </c>
      <c r="AJ32" s="298">
        <f t="shared" si="12"/>
        <v>0</v>
      </c>
      <c r="AK32" s="298">
        <f t="shared" si="12"/>
        <v>0</v>
      </c>
      <c r="AL32" s="298">
        <f t="shared" si="10"/>
        <v>0</v>
      </c>
      <c r="AM32" s="298">
        <f t="shared" si="10"/>
        <v>0</v>
      </c>
      <c r="AN32" s="298">
        <f t="shared" si="10"/>
        <v>0</v>
      </c>
      <c r="AO32" s="298">
        <f t="shared" si="10"/>
        <v>0</v>
      </c>
      <c r="AP32" s="298">
        <f t="shared" si="10"/>
        <v>0</v>
      </c>
      <c r="AQ32" s="299">
        <f t="shared" si="9"/>
        <v>0</v>
      </c>
      <c r="AS32" s="288"/>
      <c r="AT32" s="288"/>
      <c r="AU32" s="288"/>
      <c r="AV32" s="288"/>
    </row>
    <row r="33" spans="2:49" x14ac:dyDescent="0.25">
      <c r="B33" s="1189"/>
      <c r="C33" s="1192"/>
      <c r="D33" s="297">
        <f t="shared" si="7"/>
        <v>7</v>
      </c>
      <c r="E33" s="297">
        <v>2055</v>
      </c>
      <c r="F33" s="297">
        <f t="shared" si="8"/>
        <v>7</v>
      </c>
      <c r="G33" s="298">
        <v>0</v>
      </c>
      <c r="H33" s="298">
        <f t="shared" si="13"/>
        <v>0</v>
      </c>
      <c r="I33" s="298">
        <f t="shared" si="13"/>
        <v>0</v>
      </c>
      <c r="J33" s="298">
        <f t="shared" si="13"/>
        <v>0</v>
      </c>
      <c r="K33" s="298">
        <f t="shared" si="13"/>
        <v>0</v>
      </c>
      <c r="L33" s="298">
        <f t="shared" si="13"/>
        <v>0</v>
      </c>
      <c r="M33" s="298">
        <f t="shared" si="13"/>
        <v>0</v>
      </c>
      <c r="N33" s="298">
        <f t="shared" si="13"/>
        <v>0</v>
      </c>
      <c r="O33" s="298">
        <f t="shared" si="13"/>
        <v>0</v>
      </c>
      <c r="P33" s="298">
        <f t="shared" si="13"/>
        <v>0</v>
      </c>
      <c r="Q33" s="298">
        <f t="shared" si="13"/>
        <v>0</v>
      </c>
      <c r="R33" s="298">
        <f t="shared" si="13"/>
        <v>0</v>
      </c>
      <c r="S33" s="298">
        <f t="shared" si="13"/>
        <v>0</v>
      </c>
      <c r="T33" s="298">
        <f t="shared" si="13"/>
        <v>0</v>
      </c>
      <c r="U33" s="298">
        <f t="shared" si="13"/>
        <v>0</v>
      </c>
      <c r="V33" s="298">
        <f t="shared" si="13"/>
        <v>0</v>
      </c>
      <c r="W33" s="298">
        <f t="shared" si="13"/>
        <v>0</v>
      </c>
      <c r="X33" s="298">
        <f t="shared" si="12"/>
        <v>0</v>
      </c>
      <c r="Y33" s="298">
        <f t="shared" si="12"/>
        <v>0</v>
      </c>
      <c r="Z33" s="298">
        <f t="shared" si="12"/>
        <v>0</v>
      </c>
      <c r="AA33" s="298">
        <f t="shared" si="12"/>
        <v>0</v>
      </c>
      <c r="AB33" s="298">
        <f t="shared" si="12"/>
        <v>0</v>
      </c>
      <c r="AC33" s="298">
        <f t="shared" si="12"/>
        <v>0</v>
      </c>
      <c r="AD33" s="298">
        <f t="shared" si="12"/>
        <v>0</v>
      </c>
      <c r="AE33" s="298">
        <f t="shared" si="12"/>
        <v>0</v>
      </c>
      <c r="AF33" s="298">
        <f t="shared" si="12"/>
        <v>0</v>
      </c>
      <c r="AG33" s="298">
        <f t="shared" si="12"/>
        <v>0</v>
      </c>
      <c r="AH33" s="298">
        <f t="shared" si="12"/>
        <v>0</v>
      </c>
      <c r="AI33" s="298">
        <f t="shared" si="12"/>
        <v>0</v>
      </c>
      <c r="AJ33" s="298">
        <f t="shared" si="12"/>
        <v>0</v>
      </c>
      <c r="AK33" s="298">
        <f t="shared" si="12"/>
        <v>0</v>
      </c>
      <c r="AL33" s="298">
        <f t="shared" si="10"/>
        <v>0</v>
      </c>
      <c r="AM33" s="298">
        <f t="shared" si="10"/>
        <v>0</v>
      </c>
      <c r="AN33" s="298">
        <f t="shared" si="10"/>
        <v>0</v>
      </c>
      <c r="AO33" s="298">
        <f t="shared" si="10"/>
        <v>0</v>
      </c>
      <c r="AP33" s="298">
        <f t="shared" si="10"/>
        <v>0</v>
      </c>
      <c r="AQ33" s="299">
        <f t="shared" si="9"/>
        <v>0</v>
      </c>
      <c r="AS33" s="288"/>
      <c r="AT33" s="288"/>
      <c r="AU33" s="288"/>
      <c r="AV33" s="288"/>
    </row>
    <row r="34" spans="2:49" x14ac:dyDescent="0.25">
      <c r="B34" s="1189"/>
      <c r="C34" s="1192"/>
      <c r="D34" s="297">
        <f t="shared" si="7"/>
        <v>6</v>
      </c>
      <c r="E34" s="297">
        <v>2056</v>
      </c>
      <c r="F34" s="297">
        <f t="shared" si="8"/>
        <v>6</v>
      </c>
      <c r="G34" s="298">
        <v>0</v>
      </c>
      <c r="H34" s="298">
        <f t="shared" si="13"/>
        <v>0</v>
      </c>
      <c r="I34" s="298">
        <f t="shared" si="13"/>
        <v>0</v>
      </c>
      <c r="J34" s="298">
        <f t="shared" si="13"/>
        <v>0</v>
      </c>
      <c r="K34" s="298">
        <f t="shared" si="13"/>
        <v>0</v>
      </c>
      <c r="L34" s="298">
        <f t="shared" si="13"/>
        <v>0</v>
      </c>
      <c r="M34" s="298">
        <f t="shared" si="13"/>
        <v>0</v>
      </c>
      <c r="N34" s="298">
        <f t="shared" si="13"/>
        <v>0</v>
      </c>
      <c r="O34" s="298">
        <f t="shared" si="13"/>
        <v>0</v>
      </c>
      <c r="P34" s="298">
        <f t="shared" si="13"/>
        <v>0</v>
      </c>
      <c r="Q34" s="298">
        <f t="shared" si="13"/>
        <v>0</v>
      </c>
      <c r="R34" s="298">
        <f t="shared" si="13"/>
        <v>0</v>
      </c>
      <c r="S34" s="298">
        <f t="shared" si="13"/>
        <v>0</v>
      </c>
      <c r="T34" s="298">
        <f t="shared" si="13"/>
        <v>0</v>
      </c>
      <c r="U34" s="298">
        <f t="shared" si="13"/>
        <v>0</v>
      </c>
      <c r="V34" s="298">
        <f t="shared" si="13"/>
        <v>0</v>
      </c>
      <c r="W34" s="298">
        <f t="shared" si="13"/>
        <v>0</v>
      </c>
      <c r="X34" s="298">
        <f t="shared" si="12"/>
        <v>0</v>
      </c>
      <c r="Y34" s="298">
        <f t="shared" si="12"/>
        <v>0</v>
      </c>
      <c r="Z34" s="298">
        <f t="shared" si="12"/>
        <v>0</v>
      </c>
      <c r="AA34" s="298">
        <f t="shared" si="12"/>
        <v>0</v>
      </c>
      <c r="AB34" s="298">
        <f t="shared" si="12"/>
        <v>0</v>
      </c>
      <c r="AC34" s="298">
        <f t="shared" si="12"/>
        <v>0</v>
      </c>
      <c r="AD34" s="298">
        <f t="shared" si="12"/>
        <v>0</v>
      </c>
      <c r="AE34" s="298">
        <f t="shared" si="12"/>
        <v>0</v>
      </c>
      <c r="AF34" s="298">
        <f t="shared" si="12"/>
        <v>0</v>
      </c>
      <c r="AG34" s="298">
        <f t="shared" si="12"/>
        <v>0</v>
      </c>
      <c r="AH34" s="298">
        <f t="shared" si="12"/>
        <v>0</v>
      </c>
      <c r="AI34" s="298">
        <f t="shared" si="12"/>
        <v>0</v>
      </c>
      <c r="AJ34" s="298">
        <f t="shared" si="12"/>
        <v>0</v>
      </c>
      <c r="AK34" s="298">
        <f t="shared" si="12"/>
        <v>0</v>
      </c>
      <c r="AL34" s="298">
        <f t="shared" ref="AL34:AP39" si="14">IF($F34=0,0,IF(AL$4&lt;$E34,0,IF(OR(AL$4=$E34,AL$4&lt;$E34+$F34),$G34/$F34,0)))</f>
        <v>0</v>
      </c>
      <c r="AM34" s="298">
        <f t="shared" si="14"/>
        <v>0</v>
      </c>
      <c r="AN34" s="298">
        <f t="shared" si="14"/>
        <v>0</v>
      </c>
      <c r="AO34" s="298">
        <f t="shared" si="14"/>
        <v>0</v>
      </c>
      <c r="AP34" s="298">
        <f t="shared" si="14"/>
        <v>0</v>
      </c>
      <c r="AQ34" s="299">
        <f t="shared" si="9"/>
        <v>0</v>
      </c>
      <c r="AS34" s="288"/>
      <c r="AT34" s="288"/>
      <c r="AU34" s="288"/>
      <c r="AV34" s="288"/>
    </row>
    <row r="35" spans="2:49" x14ac:dyDescent="0.25">
      <c r="B35" s="1189"/>
      <c r="C35" s="1192"/>
      <c r="D35" s="297">
        <f t="shared" si="7"/>
        <v>5</v>
      </c>
      <c r="E35" s="297">
        <v>2057</v>
      </c>
      <c r="F35" s="297">
        <f t="shared" si="8"/>
        <v>5</v>
      </c>
      <c r="G35" s="298">
        <v>0</v>
      </c>
      <c r="H35" s="298">
        <f t="shared" si="13"/>
        <v>0</v>
      </c>
      <c r="I35" s="298">
        <f t="shared" si="13"/>
        <v>0</v>
      </c>
      <c r="J35" s="298">
        <f t="shared" si="13"/>
        <v>0</v>
      </c>
      <c r="K35" s="298">
        <f t="shared" si="13"/>
        <v>0</v>
      </c>
      <c r="L35" s="298">
        <f t="shared" si="13"/>
        <v>0</v>
      </c>
      <c r="M35" s="298">
        <f t="shared" si="13"/>
        <v>0</v>
      </c>
      <c r="N35" s="298">
        <f t="shared" si="13"/>
        <v>0</v>
      </c>
      <c r="O35" s="298">
        <f t="shared" si="13"/>
        <v>0</v>
      </c>
      <c r="P35" s="298">
        <f t="shared" si="13"/>
        <v>0</v>
      </c>
      <c r="Q35" s="298">
        <f t="shared" si="13"/>
        <v>0</v>
      </c>
      <c r="R35" s="298">
        <f t="shared" si="13"/>
        <v>0</v>
      </c>
      <c r="S35" s="298">
        <f t="shared" si="13"/>
        <v>0</v>
      </c>
      <c r="T35" s="298">
        <f t="shared" si="13"/>
        <v>0</v>
      </c>
      <c r="U35" s="298">
        <f t="shared" si="13"/>
        <v>0</v>
      </c>
      <c r="V35" s="298">
        <f t="shared" si="13"/>
        <v>0</v>
      </c>
      <c r="W35" s="298">
        <f t="shared" si="13"/>
        <v>0</v>
      </c>
      <c r="X35" s="298">
        <f t="shared" si="12"/>
        <v>0</v>
      </c>
      <c r="Y35" s="298">
        <f t="shared" si="12"/>
        <v>0</v>
      </c>
      <c r="Z35" s="298">
        <f t="shared" si="12"/>
        <v>0</v>
      </c>
      <c r="AA35" s="298">
        <f t="shared" si="12"/>
        <v>0</v>
      </c>
      <c r="AB35" s="298">
        <f t="shared" si="12"/>
        <v>0</v>
      </c>
      <c r="AC35" s="298">
        <f t="shared" si="12"/>
        <v>0</v>
      </c>
      <c r="AD35" s="298">
        <f t="shared" si="12"/>
        <v>0</v>
      </c>
      <c r="AE35" s="298">
        <f t="shared" si="12"/>
        <v>0</v>
      </c>
      <c r="AF35" s="298">
        <f t="shared" si="12"/>
        <v>0</v>
      </c>
      <c r="AG35" s="298">
        <f t="shared" si="12"/>
        <v>0</v>
      </c>
      <c r="AH35" s="298">
        <f t="shared" si="12"/>
        <v>0</v>
      </c>
      <c r="AI35" s="298">
        <f t="shared" si="12"/>
        <v>0</v>
      </c>
      <c r="AJ35" s="298">
        <f t="shared" si="12"/>
        <v>0</v>
      </c>
      <c r="AK35" s="298">
        <f t="shared" si="12"/>
        <v>0</v>
      </c>
      <c r="AL35" s="298">
        <f t="shared" si="14"/>
        <v>0</v>
      </c>
      <c r="AM35" s="298">
        <f t="shared" si="14"/>
        <v>0</v>
      </c>
      <c r="AN35" s="298">
        <f t="shared" si="14"/>
        <v>0</v>
      </c>
      <c r="AO35" s="298">
        <f t="shared" si="14"/>
        <v>0</v>
      </c>
      <c r="AP35" s="298">
        <f t="shared" si="14"/>
        <v>0</v>
      </c>
      <c r="AQ35" s="299">
        <f t="shared" si="9"/>
        <v>0</v>
      </c>
      <c r="AS35" s="288"/>
      <c r="AT35" s="288"/>
      <c r="AU35" s="288"/>
      <c r="AV35" s="288"/>
    </row>
    <row r="36" spans="2:49" x14ac:dyDescent="0.25">
      <c r="B36" s="1189"/>
      <c r="C36" s="1192"/>
      <c r="D36" s="297">
        <f t="shared" si="7"/>
        <v>4</v>
      </c>
      <c r="E36" s="297">
        <v>2058</v>
      </c>
      <c r="F36" s="297">
        <f t="shared" si="8"/>
        <v>4</v>
      </c>
      <c r="G36" s="298">
        <v>0</v>
      </c>
      <c r="H36" s="298">
        <f t="shared" si="13"/>
        <v>0</v>
      </c>
      <c r="I36" s="298">
        <f t="shared" si="13"/>
        <v>0</v>
      </c>
      <c r="J36" s="298">
        <f t="shared" si="13"/>
        <v>0</v>
      </c>
      <c r="K36" s="298">
        <f t="shared" si="13"/>
        <v>0</v>
      </c>
      <c r="L36" s="298">
        <f t="shared" si="13"/>
        <v>0</v>
      </c>
      <c r="M36" s="298">
        <f t="shared" si="13"/>
        <v>0</v>
      </c>
      <c r="N36" s="298">
        <f t="shared" si="13"/>
        <v>0</v>
      </c>
      <c r="O36" s="298">
        <f t="shared" si="13"/>
        <v>0</v>
      </c>
      <c r="P36" s="298">
        <f t="shared" si="13"/>
        <v>0</v>
      </c>
      <c r="Q36" s="298">
        <f t="shared" si="13"/>
        <v>0</v>
      </c>
      <c r="R36" s="298">
        <f t="shared" si="13"/>
        <v>0</v>
      </c>
      <c r="S36" s="298">
        <f t="shared" si="13"/>
        <v>0</v>
      </c>
      <c r="T36" s="298">
        <f t="shared" si="13"/>
        <v>0</v>
      </c>
      <c r="U36" s="298">
        <f t="shared" si="13"/>
        <v>0</v>
      </c>
      <c r="V36" s="298">
        <f t="shared" si="13"/>
        <v>0</v>
      </c>
      <c r="W36" s="298">
        <f t="shared" ref="W36:AK39" si="15">IF($F36=0,0,IF(W$4&lt;$E36,0,IF(OR(W$4=$E36,W$4&lt;$E36+$F36),$G36/$F36,0)))</f>
        <v>0</v>
      </c>
      <c r="X36" s="298">
        <f t="shared" si="15"/>
        <v>0</v>
      </c>
      <c r="Y36" s="298">
        <f t="shared" si="15"/>
        <v>0</v>
      </c>
      <c r="Z36" s="298">
        <f t="shared" si="15"/>
        <v>0</v>
      </c>
      <c r="AA36" s="298">
        <f t="shared" si="15"/>
        <v>0</v>
      </c>
      <c r="AB36" s="298">
        <f t="shared" si="15"/>
        <v>0</v>
      </c>
      <c r="AC36" s="298">
        <f t="shared" si="15"/>
        <v>0</v>
      </c>
      <c r="AD36" s="298">
        <f t="shared" si="15"/>
        <v>0</v>
      </c>
      <c r="AE36" s="298">
        <f t="shared" si="15"/>
        <v>0</v>
      </c>
      <c r="AF36" s="298">
        <f t="shared" si="15"/>
        <v>0</v>
      </c>
      <c r="AG36" s="298">
        <f t="shared" si="15"/>
        <v>0</v>
      </c>
      <c r="AH36" s="298">
        <f t="shared" si="15"/>
        <v>0</v>
      </c>
      <c r="AI36" s="298">
        <f t="shared" si="15"/>
        <v>0</v>
      </c>
      <c r="AJ36" s="298">
        <f t="shared" si="15"/>
        <v>0</v>
      </c>
      <c r="AK36" s="298">
        <f t="shared" si="15"/>
        <v>0</v>
      </c>
      <c r="AL36" s="298">
        <f t="shared" si="14"/>
        <v>0</v>
      </c>
      <c r="AM36" s="298">
        <f t="shared" si="14"/>
        <v>0</v>
      </c>
      <c r="AN36" s="298">
        <f t="shared" si="14"/>
        <v>0</v>
      </c>
      <c r="AO36" s="298">
        <f t="shared" si="14"/>
        <v>0</v>
      </c>
      <c r="AP36" s="298">
        <f t="shared" si="14"/>
        <v>0</v>
      </c>
      <c r="AQ36" s="299">
        <f t="shared" si="9"/>
        <v>0</v>
      </c>
      <c r="AS36" s="288"/>
      <c r="AT36" s="288"/>
      <c r="AU36" s="288"/>
      <c r="AV36" s="288"/>
    </row>
    <row r="37" spans="2:49" x14ac:dyDescent="0.25">
      <c r="B37" s="1189"/>
      <c r="C37" s="1192"/>
      <c r="D37" s="297">
        <f t="shared" si="7"/>
        <v>3</v>
      </c>
      <c r="E37" s="297">
        <v>2059</v>
      </c>
      <c r="F37" s="297">
        <f t="shared" si="8"/>
        <v>3</v>
      </c>
      <c r="G37" s="298">
        <v>0</v>
      </c>
      <c r="H37" s="298">
        <f t="shared" ref="H37:W39" si="16">IF($F37=0,0,IF(H$4&lt;$E37,0,IF(OR(H$4=$E37,H$4&lt;$E37+$F37),$G37/$F37,0)))</f>
        <v>0</v>
      </c>
      <c r="I37" s="298">
        <f t="shared" si="16"/>
        <v>0</v>
      </c>
      <c r="J37" s="298">
        <f t="shared" si="16"/>
        <v>0</v>
      </c>
      <c r="K37" s="298">
        <f t="shared" si="16"/>
        <v>0</v>
      </c>
      <c r="L37" s="298">
        <f t="shared" si="16"/>
        <v>0</v>
      </c>
      <c r="M37" s="298">
        <f t="shared" si="16"/>
        <v>0</v>
      </c>
      <c r="N37" s="298">
        <f t="shared" si="16"/>
        <v>0</v>
      </c>
      <c r="O37" s="298">
        <f t="shared" si="16"/>
        <v>0</v>
      </c>
      <c r="P37" s="298">
        <f t="shared" si="16"/>
        <v>0</v>
      </c>
      <c r="Q37" s="298">
        <f t="shared" si="16"/>
        <v>0</v>
      </c>
      <c r="R37" s="298">
        <f t="shared" si="16"/>
        <v>0</v>
      </c>
      <c r="S37" s="298">
        <f t="shared" si="16"/>
        <v>0</v>
      </c>
      <c r="T37" s="298">
        <f t="shared" si="16"/>
        <v>0</v>
      </c>
      <c r="U37" s="298">
        <f t="shared" si="16"/>
        <v>0</v>
      </c>
      <c r="V37" s="298">
        <f t="shared" si="16"/>
        <v>0</v>
      </c>
      <c r="W37" s="298">
        <f t="shared" si="16"/>
        <v>0</v>
      </c>
      <c r="X37" s="298">
        <f t="shared" si="15"/>
        <v>0</v>
      </c>
      <c r="Y37" s="298">
        <f t="shared" si="15"/>
        <v>0</v>
      </c>
      <c r="Z37" s="298">
        <f t="shared" si="15"/>
        <v>0</v>
      </c>
      <c r="AA37" s="298">
        <f t="shared" si="15"/>
        <v>0</v>
      </c>
      <c r="AB37" s="298">
        <f t="shared" si="15"/>
        <v>0</v>
      </c>
      <c r="AC37" s="298">
        <f t="shared" si="15"/>
        <v>0</v>
      </c>
      <c r="AD37" s="298">
        <f t="shared" si="15"/>
        <v>0</v>
      </c>
      <c r="AE37" s="298">
        <f t="shared" si="15"/>
        <v>0</v>
      </c>
      <c r="AF37" s="298">
        <f t="shared" si="15"/>
        <v>0</v>
      </c>
      <c r="AG37" s="298">
        <f t="shared" si="15"/>
        <v>0</v>
      </c>
      <c r="AH37" s="298">
        <f t="shared" si="15"/>
        <v>0</v>
      </c>
      <c r="AI37" s="298">
        <f t="shared" si="15"/>
        <v>0</v>
      </c>
      <c r="AJ37" s="298">
        <f t="shared" si="15"/>
        <v>0</v>
      </c>
      <c r="AK37" s="298">
        <f t="shared" si="15"/>
        <v>0</v>
      </c>
      <c r="AL37" s="298">
        <f t="shared" si="14"/>
        <v>0</v>
      </c>
      <c r="AM37" s="298">
        <f t="shared" si="14"/>
        <v>0</v>
      </c>
      <c r="AN37" s="298">
        <f t="shared" si="14"/>
        <v>0</v>
      </c>
      <c r="AO37" s="298">
        <f t="shared" si="14"/>
        <v>0</v>
      </c>
      <c r="AP37" s="298">
        <f t="shared" si="14"/>
        <v>0</v>
      </c>
      <c r="AQ37" s="299">
        <f t="shared" si="9"/>
        <v>0</v>
      </c>
      <c r="AS37" s="288"/>
      <c r="AT37" s="288"/>
      <c r="AU37" s="288"/>
      <c r="AV37" s="288"/>
    </row>
    <row r="38" spans="2:49" x14ac:dyDescent="0.25">
      <c r="B38" s="1189"/>
      <c r="C38" s="1192"/>
      <c r="D38" s="297">
        <f t="shared" si="7"/>
        <v>2</v>
      </c>
      <c r="E38" s="297">
        <v>2060</v>
      </c>
      <c r="F38" s="297">
        <f t="shared" si="8"/>
        <v>2</v>
      </c>
      <c r="G38" s="298">
        <v>0</v>
      </c>
      <c r="H38" s="298">
        <f t="shared" si="16"/>
        <v>0</v>
      </c>
      <c r="I38" s="298">
        <f t="shared" si="16"/>
        <v>0</v>
      </c>
      <c r="J38" s="298">
        <f t="shared" si="16"/>
        <v>0</v>
      </c>
      <c r="K38" s="298">
        <f t="shared" si="16"/>
        <v>0</v>
      </c>
      <c r="L38" s="298">
        <f t="shared" si="16"/>
        <v>0</v>
      </c>
      <c r="M38" s="298">
        <f t="shared" si="16"/>
        <v>0</v>
      </c>
      <c r="N38" s="298">
        <f t="shared" si="16"/>
        <v>0</v>
      </c>
      <c r="O38" s="298">
        <f t="shared" si="16"/>
        <v>0</v>
      </c>
      <c r="P38" s="298">
        <f t="shared" si="16"/>
        <v>0</v>
      </c>
      <c r="Q38" s="298">
        <f t="shared" si="16"/>
        <v>0</v>
      </c>
      <c r="R38" s="298">
        <f t="shared" si="16"/>
        <v>0</v>
      </c>
      <c r="S38" s="298">
        <f t="shared" si="16"/>
        <v>0</v>
      </c>
      <c r="T38" s="298">
        <f t="shared" si="16"/>
        <v>0</v>
      </c>
      <c r="U38" s="298">
        <f t="shared" si="16"/>
        <v>0</v>
      </c>
      <c r="V38" s="298">
        <f t="shared" si="16"/>
        <v>0</v>
      </c>
      <c r="W38" s="298">
        <f t="shared" si="16"/>
        <v>0</v>
      </c>
      <c r="X38" s="298">
        <f t="shared" si="15"/>
        <v>0</v>
      </c>
      <c r="Y38" s="298">
        <f t="shared" si="15"/>
        <v>0</v>
      </c>
      <c r="Z38" s="298">
        <f t="shared" si="15"/>
        <v>0</v>
      </c>
      <c r="AA38" s="298">
        <f t="shared" si="15"/>
        <v>0</v>
      </c>
      <c r="AB38" s="298">
        <f t="shared" si="15"/>
        <v>0</v>
      </c>
      <c r="AC38" s="298">
        <f t="shared" si="15"/>
        <v>0</v>
      </c>
      <c r="AD38" s="298">
        <f t="shared" si="15"/>
        <v>0</v>
      </c>
      <c r="AE38" s="298">
        <f t="shared" si="15"/>
        <v>0</v>
      </c>
      <c r="AF38" s="298">
        <f t="shared" si="15"/>
        <v>0</v>
      </c>
      <c r="AG38" s="298">
        <f t="shared" si="15"/>
        <v>0</v>
      </c>
      <c r="AH38" s="298">
        <f t="shared" si="15"/>
        <v>0</v>
      </c>
      <c r="AI38" s="298">
        <f t="shared" si="15"/>
        <v>0</v>
      </c>
      <c r="AJ38" s="298">
        <f t="shared" si="15"/>
        <v>0</v>
      </c>
      <c r="AK38" s="298">
        <f t="shared" si="15"/>
        <v>0</v>
      </c>
      <c r="AL38" s="298">
        <f t="shared" si="14"/>
        <v>0</v>
      </c>
      <c r="AM38" s="298">
        <f t="shared" si="14"/>
        <v>0</v>
      </c>
      <c r="AN38" s="298">
        <f t="shared" si="14"/>
        <v>0</v>
      </c>
      <c r="AO38" s="298">
        <f t="shared" si="14"/>
        <v>0</v>
      </c>
      <c r="AP38" s="298">
        <f t="shared" si="14"/>
        <v>0</v>
      </c>
      <c r="AQ38" s="299">
        <f t="shared" si="9"/>
        <v>0</v>
      </c>
      <c r="AS38" s="288"/>
      <c r="AT38" s="288"/>
      <c r="AU38" s="288"/>
      <c r="AV38" s="288"/>
    </row>
    <row r="39" spans="2:49" x14ac:dyDescent="0.25">
      <c r="B39" s="1189"/>
      <c r="C39" s="1192"/>
      <c r="D39" s="297">
        <f t="shared" si="7"/>
        <v>1</v>
      </c>
      <c r="E39" s="297">
        <v>2061</v>
      </c>
      <c r="F39" s="297">
        <f t="shared" si="8"/>
        <v>1</v>
      </c>
      <c r="G39" s="298">
        <v>0</v>
      </c>
      <c r="H39" s="298">
        <f t="shared" si="16"/>
        <v>0</v>
      </c>
      <c r="I39" s="298">
        <f t="shared" si="16"/>
        <v>0</v>
      </c>
      <c r="J39" s="298">
        <f t="shared" si="16"/>
        <v>0</v>
      </c>
      <c r="K39" s="298">
        <f t="shared" si="16"/>
        <v>0</v>
      </c>
      <c r="L39" s="298">
        <f t="shared" si="16"/>
        <v>0</v>
      </c>
      <c r="M39" s="298">
        <f t="shared" si="16"/>
        <v>0</v>
      </c>
      <c r="N39" s="298">
        <f t="shared" si="16"/>
        <v>0</v>
      </c>
      <c r="O39" s="298">
        <f t="shared" si="16"/>
        <v>0</v>
      </c>
      <c r="P39" s="298">
        <f t="shared" si="16"/>
        <v>0</v>
      </c>
      <c r="Q39" s="298">
        <f t="shared" si="16"/>
        <v>0</v>
      </c>
      <c r="R39" s="298">
        <f t="shared" si="16"/>
        <v>0</v>
      </c>
      <c r="S39" s="298">
        <f t="shared" si="16"/>
        <v>0</v>
      </c>
      <c r="T39" s="298">
        <f t="shared" si="16"/>
        <v>0</v>
      </c>
      <c r="U39" s="298">
        <f t="shared" si="16"/>
        <v>0</v>
      </c>
      <c r="V39" s="298">
        <f t="shared" si="16"/>
        <v>0</v>
      </c>
      <c r="W39" s="298">
        <f t="shared" si="16"/>
        <v>0</v>
      </c>
      <c r="X39" s="298">
        <f t="shared" si="15"/>
        <v>0</v>
      </c>
      <c r="Y39" s="298">
        <f t="shared" si="15"/>
        <v>0</v>
      </c>
      <c r="Z39" s="298">
        <f t="shared" si="15"/>
        <v>0</v>
      </c>
      <c r="AA39" s="298">
        <f t="shared" si="15"/>
        <v>0</v>
      </c>
      <c r="AB39" s="298">
        <f t="shared" si="15"/>
        <v>0</v>
      </c>
      <c r="AC39" s="298">
        <f t="shared" si="15"/>
        <v>0</v>
      </c>
      <c r="AD39" s="298">
        <f t="shared" si="15"/>
        <v>0</v>
      </c>
      <c r="AE39" s="298">
        <f t="shared" si="15"/>
        <v>0</v>
      </c>
      <c r="AF39" s="298">
        <f t="shared" si="15"/>
        <v>0</v>
      </c>
      <c r="AG39" s="298">
        <f t="shared" si="15"/>
        <v>0</v>
      </c>
      <c r="AH39" s="298">
        <f t="shared" si="15"/>
        <v>0</v>
      </c>
      <c r="AI39" s="298">
        <f t="shared" si="15"/>
        <v>0</v>
      </c>
      <c r="AJ39" s="298">
        <f t="shared" si="15"/>
        <v>0</v>
      </c>
      <c r="AK39" s="298">
        <f t="shared" si="15"/>
        <v>0</v>
      </c>
      <c r="AL39" s="298">
        <f t="shared" si="14"/>
        <v>0</v>
      </c>
      <c r="AM39" s="298">
        <f t="shared" si="14"/>
        <v>0</v>
      </c>
      <c r="AN39" s="298">
        <f t="shared" si="14"/>
        <v>0</v>
      </c>
      <c r="AO39" s="298">
        <f t="shared" si="14"/>
        <v>0</v>
      </c>
      <c r="AP39" s="298">
        <f t="shared" si="14"/>
        <v>0</v>
      </c>
      <c r="AQ39" s="299">
        <f t="shared" si="9"/>
        <v>0</v>
      </c>
      <c r="AS39" s="288"/>
      <c r="AT39" s="288"/>
      <c r="AU39" s="288"/>
      <c r="AV39" s="288"/>
    </row>
    <row r="40" spans="2:49" s="290" customFormat="1" ht="15.75" thickBot="1" x14ac:dyDescent="0.3">
      <c r="B40" s="1190"/>
      <c r="C40" s="1193"/>
      <c r="D40" s="289"/>
      <c r="E40" s="289" t="s">
        <v>5</v>
      </c>
      <c r="F40" s="289"/>
      <c r="G40" s="295">
        <f>SUM(G5:G39)</f>
        <v>0</v>
      </c>
      <c r="H40" s="295">
        <f>SUM(H5:H39)</f>
        <v>0</v>
      </c>
      <c r="I40" s="295">
        <f t="shared" ref="I40:AP40" si="17">SUM(I5:I39)</f>
        <v>0</v>
      </c>
      <c r="J40" s="295">
        <f t="shared" si="17"/>
        <v>0</v>
      </c>
      <c r="K40" s="295">
        <f t="shared" si="17"/>
        <v>0</v>
      </c>
      <c r="L40" s="295">
        <f t="shared" si="17"/>
        <v>0</v>
      </c>
      <c r="M40" s="295">
        <f t="shared" si="17"/>
        <v>0</v>
      </c>
      <c r="N40" s="295">
        <f t="shared" si="17"/>
        <v>0</v>
      </c>
      <c r="O40" s="295">
        <f t="shared" si="17"/>
        <v>0</v>
      </c>
      <c r="P40" s="295">
        <f t="shared" si="17"/>
        <v>0</v>
      </c>
      <c r="Q40" s="295">
        <f t="shared" si="17"/>
        <v>0</v>
      </c>
      <c r="R40" s="295">
        <f t="shared" si="17"/>
        <v>0</v>
      </c>
      <c r="S40" s="295">
        <f t="shared" si="17"/>
        <v>0</v>
      </c>
      <c r="T40" s="295">
        <f t="shared" si="17"/>
        <v>0</v>
      </c>
      <c r="U40" s="295">
        <f t="shared" si="17"/>
        <v>0</v>
      </c>
      <c r="V40" s="295">
        <f t="shared" si="17"/>
        <v>0</v>
      </c>
      <c r="W40" s="295">
        <f t="shared" si="17"/>
        <v>0</v>
      </c>
      <c r="X40" s="295">
        <f t="shared" si="17"/>
        <v>0</v>
      </c>
      <c r="Y40" s="295">
        <f t="shared" si="17"/>
        <v>0</v>
      </c>
      <c r="Z40" s="295">
        <f t="shared" si="17"/>
        <v>0</v>
      </c>
      <c r="AA40" s="295">
        <f t="shared" si="17"/>
        <v>0</v>
      </c>
      <c r="AB40" s="295">
        <f t="shared" si="17"/>
        <v>0</v>
      </c>
      <c r="AC40" s="295">
        <f t="shared" si="17"/>
        <v>0</v>
      </c>
      <c r="AD40" s="295">
        <f t="shared" si="17"/>
        <v>0</v>
      </c>
      <c r="AE40" s="295">
        <f t="shared" si="17"/>
        <v>0</v>
      </c>
      <c r="AF40" s="295">
        <f t="shared" si="17"/>
        <v>0</v>
      </c>
      <c r="AG40" s="295">
        <f t="shared" si="17"/>
        <v>0</v>
      </c>
      <c r="AH40" s="295">
        <f t="shared" si="17"/>
        <v>0</v>
      </c>
      <c r="AI40" s="295">
        <f t="shared" si="17"/>
        <v>0</v>
      </c>
      <c r="AJ40" s="295">
        <f t="shared" si="17"/>
        <v>0</v>
      </c>
      <c r="AK40" s="295">
        <f t="shared" si="17"/>
        <v>0</v>
      </c>
      <c r="AL40" s="295">
        <f t="shared" si="17"/>
        <v>0</v>
      </c>
      <c r="AM40" s="295">
        <f t="shared" si="17"/>
        <v>0</v>
      </c>
      <c r="AN40" s="295">
        <f t="shared" si="17"/>
        <v>0</v>
      </c>
      <c r="AO40" s="295">
        <f t="shared" si="17"/>
        <v>0</v>
      </c>
      <c r="AP40" s="295">
        <f t="shared" si="17"/>
        <v>0</v>
      </c>
      <c r="AQ40" s="296">
        <f>G40-SUM(H40:AP40)</f>
        <v>0</v>
      </c>
      <c r="AR40" s="279"/>
      <c r="AS40" s="288"/>
      <c r="AT40" s="288"/>
      <c r="AU40" s="288"/>
      <c r="AV40" s="288"/>
      <c r="AW40" s="279"/>
    </row>
    <row r="41" spans="2:49" x14ac:dyDescent="0.25">
      <c r="C41" s="279"/>
    </row>
    <row r="42" spans="2:49" ht="15.75" thickBot="1" x14ac:dyDescent="0.3">
      <c r="C42" s="279"/>
    </row>
    <row r="43" spans="2:49" x14ac:dyDescent="0.25">
      <c r="C43" s="1178" t="s">
        <v>385</v>
      </c>
      <c r="D43" s="277"/>
      <c r="E43" s="277"/>
      <c r="F43" s="277"/>
      <c r="G43" s="277" t="s">
        <v>206</v>
      </c>
      <c r="H43" s="277">
        <f>H4</f>
        <v>2027</v>
      </c>
      <c r="I43" s="277">
        <f t="shared" ref="I43:AK43" si="18">I4</f>
        <v>2028</v>
      </c>
      <c r="J43" s="277">
        <f t="shared" si="18"/>
        <v>2029</v>
      </c>
      <c r="K43" s="277">
        <f t="shared" si="18"/>
        <v>2030</v>
      </c>
      <c r="L43" s="277">
        <f t="shared" si="18"/>
        <v>2031</v>
      </c>
      <c r="M43" s="277">
        <f t="shared" si="18"/>
        <v>2032</v>
      </c>
      <c r="N43" s="277">
        <f t="shared" si="18"/>
        <v>2033</v>
      </c>
      <c r="O43" s="277">
        <f t="shared" si="18"/>
        <v>2034</v>
      </c>
      <c r="P43" s="277">
        <f t="shared" si="18"/>
        <v>2035</v>
      </c>
      <c r="Q43" s="277">
        <f t="shared" si="18"/>
        <v>2036</v>
      </c>
      <c r="R43" s="277">
        <f t="shared" si="18"/>
        <v>2037</v>
      </c>
      <c r="S43" s="277">
        <f t="shared" si="18"/>
        <v>2038</v>
      </c>
      <c r="T43" s="277">
        <f t="shared" si="18"/>
        <v>2039</v>
      </c>
      <c r="U43" s="277">
        <f t="shared" si="18"/>
        <v>2040</v>
      </c>
      <c r="V43" s="277">
        <f t="shared" si="18"/>
        <v>2041</v>
      </c>
      <c r="W43" s="277">
        <f t="shared" si="18"/>
        <v>2042</v>
      </c>
      <c r="X43" s="277">
        <f t="shared" si="18"/>
        <v>2043</v>
      </c>
      <c r="Y43" s="277">
        <f t="shared" si="18"/>
        <v>2044</v>
      </c>
      <c r="Z43" s="277">
        <f t="shared" si="18"/>
        <v>2045</v>
      </c>
      <c r="AA43" s="277">
        <f t="shared" si="18"/>
        <v>2046</v>
      </c>
      <c r="AB43" s="277">
        <f t="shared" si="18"/>
        <v>2047</v>
      </c>
      <c r="AC43" s="277">
        <f t="shared" si="18"/>
        <v>2048</v>
      </c>
      <c r="AD43" s="277">
        <f t="shared" si="18"/>
        <v>2049</v>
      </c>
      <c r="AE43" s="277">
        <f t="shared" si="18"/>
        <v>2050</v>
      </c>
      <c r="AF43" s="277">
        <f t="shared" si="18"/>
        <v>2051</v>
      </c>
      <c r="AG43" s="277">
        <f t="shared" si="18"/>
        <v>2052</v>
      </c>
      <c r="AH43" s="277">
        <f t="shared" si="18"/>
        <v>2053</v>
      </c>
      <c r="AI43" s="277">
        <f t="shared" si="18"/>
        <v>2054</v>
      </c>
      <c r="AJ43" s="277">
        <f t="shared" si="18"/>
        <v>2055</v>
      </c>
      <c r="AK43" s="277">
        <f t="shared" si="18"/>
        <v>2056</v>
      </c>
      <c r="AL43" s="277">
        <f t="shared" ref="AL43:AP43" si="19">AL4</f>
        <v>2057</v>
      </c>
      <c r="AM43" s="277">
        <f t="shared" si="19"/>
        <v>2058</v>
      </c>
      <c r="AN43" s="277">
        <f t="shared" si="19"/>
        <v>2059</v>
      </c>
      <c r="AO43" s="277">
        <f t="shared" si="19"/>
        <v>2060</v>
      </c>
      <c r="AP43" s="277">
        <f t="shared" si="19"/>
        <v>2061</v>
      </c>
      <c r="AQ43" s="278" t="s">
        <v>5</v>
      </c>
    </row>
    <row r="44" spans="2:49" x14ac:dyDescent="0.25">
      <c r="C44" s="1179"/>
      <c r="D44" s="285"/>
      <c r="E44" s="297">
        <f t="shared" ref="E44:E73" si="20">E5</f>
        <v>2027</v>
      </c>
      <c r="F44" s="297"/>
      <c r="G44" s="298">
        <f t="shared" ref="G44:G73" si="21">G5</f>
        <v>0</v>
      </c>
      <c r="H44" s="298">
        <f t="shared" ref="H44:AK44" si="22">IFERROR((H5)/H122,0)</f>
        <v>0</v>
      </c>
      <c r="I44" s="298">
        <f t="shared" si="22"/>
        <v>0</v>
      </c>
      <c r="J44" s="298">
        <f t="shared" si="22"/>
        <v>0</v>
      </c>
      <c r="K44" s="298">
        <f t="shared" si="22"/>
        <v>0</v>
      </c>
      <c r="L44" s="298">
        <f t="shared" si="22"/>
        <v>0</v>
      </c>
      <c r="M44" s="298">
        <f t="shared" si="22"/>
        <v>0</v>
      </c>
      <c r="N44" s="298">
        <f t="shared" si="22"/>
        <v>0</v>
      </c>
      <c r="O44" s="298">
        <f t="shared" si="22"/>
        <v>0</v>
      </c>
      <c r="P44" s="298">
        <f t="shared" si="22"/>
        <v>0</v>
      </c>
      <c r="Q44" s="298">
        <f t="shared" si="22"/>
        <v>0</v>
      </c>
      <c r="R44" s="298">
        <f t="shared" si="22"/>
        <v>0</v>
      </c>
      <c r="S44" s="298">
        <f t="shared" si="22"/>
        <v>0</v>
      </c>
      <c r="T44" s="298">
        <f t="shared" si="22"/>
        <v>0</v>
      </c>
      <c r="U44" s="298">
        <f t="shared" si="22"/>
        <v>0</v>
      </c>
      <c r="V44" s="298">
        <f t="shared" si="22"/>
        <v>0</v>
      </c>
      <c r="W44" s="298">
        <f t="shared" si="22"/>
        <v>0</v>
      </c>
      <c r="X44" s="298">
        <f t="shared" si="22"/>
        <v>0</v>
      </c>
      <c r="Y44" s="298">
        <f t="shared" si="22"/>
        <v>0</v>
      </c>
      <c r="Z44" s="298">
        <f t="shared" si="22"/>
        <v>0</v>
      </c>
      <c r="AA44" s="298">
        <f t="shared" si="22"/>
        <v>0</v>
      </c>
      <c r="AB44" s="298">
        <f t="shared" si="22"/>
        <v>0</v>
      </c>
      <c r="AC44" s="298">
        <f t="shared" si="22"/>
        <v>0</v>
      </c>
      <c r="AD44" s="298">
        <f t="shared" si="22"/>
        <v>0</v>
      </c>
      <c r="AE44" s="298">
        <f t="shared" si="22"/>
        <v>0</v>
      </c>
      <c r="AF44" s="298">
        <f t="shared" si="22"/>
        <v>0</v>
      </c>
      <c r="AG44" s="298">
        <f t="shared" si="22"/>
        <v>0</v>
      </c>
      <c r="AH44" s="298">
        <f t="shared" si="22"/>
        <v>0</v>
      </c>
      <c r="AI44" s="298">
        <f t="shared" si="22"/>
        <v>0</v>
      </c>
      <c r="AJ44" s="298">
        <f t="shared" si="22"/>
        <v>0</v>
      </c>
      <c r="AK44" s="298">
        <f t="shared" si="22"/>
        <v>0</v>
      </c>
      <c r="AL44" s="298">
        <f t="shared" ref="AL44:AP44" si="23">IFERROR((AL5)/AL122,0)</f>
        <v>0</v>
      </c>
      <c r="AM44" s="298">
        <f t="shared" si="23"/>
        <v>0</v>
      </c>
      <c r="AN44" s="298">
        <f t="shared" si="23"/>
        <v>0</v>
      </c>
      <c r="AO44" s="298">
        <f t="shared" si="23"/>
        <v>0</v>
      </c>
      <c r="AP44" s="298">
        <f t="shared" si="23"/>
        <v>0</v>
      </c>
      <c r="AQ44" s="299">
        <f>G44-SUM(H44:AP44)</f>
        <v>0</v>
      </c>
    </row>
    <row r="45" spans="2:49" x14ac:dyDescent="0.25">
      <c r="C45" s="1179"/>
      <c r="D45" s="285"/>
      <c r="E45" s="297">
        <f t="shared" si="20"/>
        <v>2028</v>
      </c>
      <c r="F45" s="297"/>
      <c r="G45" s="298">
        <f t="shared" si="21"/>
        <v>0</v>
      </c>
      <c r="H45" s="298">
        <f t="shared" ref="H45:AK45" si="24">IFERROR((H6)/H123,0)</f>
        <v>0</v>
      </c>
      <c r="I45" s="298">
        <f t="shared" si="24"/>
        <v>0</v>
      </c>
      <c r="J45" s="298">
        <f t="shared" si="24"/>
        <v>0</v>
      </c>
      <c r="K45" s="298">
        <f t="shared" si="24"/>
        <v>0</v>
      </c>
      <c r="L45" s="298">
        <f t="shared" si="24"/>
        <v>0</v>
      </c>
      <c r="M45" s="298">
        <f t="shared" si="24"/>
        <v>0</v>
      </c>
      <c r="N45" s="298">
        <f t="shared" si="24"/>
        <v>0</v>
      </c>
      <c r="O45" s="298">
        <f t="shared" si="24"/>
        <v>0</v>
      </c>
      <c r="P45" s="298">
        <f t="shared" si="24"/>
        <v>0</v>
      </c>
      <c r="Q45" s="298">
        <f t="shared" si="24"/>
        <v>0</v>
      </c>
      <c r="R45" s="298">
        <f t="shared" si="24"/>
        <v>0</v>
      </c>
      <c r="S45" s="298">
        <f t="shared" si="24"/>
        <v>0</v>
      </c>
      <c r="T45" s="298">
        <f t="shared" si="24"/>
        <v>0</v>
      </c>
      <c r="U45" s="298">
        <f t="shared" si="24"/>
        <v>0</v>
      </c>
      <c r="V45" s="298">
        <f t="shared" si="24"/>
        <v>0</v>
      </c>
      <c r="W45" s="298">
        <f t="shared" si="24"/>
        <v>0</v>
      </c>
      <c r="X45" s="298">
        <f t="shared" si="24"/>
        <v>0</v>
      </c>
      <c r="Y45" s="298">
        <f t="shared" si="24"/>
        <v>0</v>
      </c>
      <c r="Z45" s="298">
        <f t="shared" si="24"/>
        <v>0</v>
      </c>
      <c r="AA45" s="298">
        <f t="shared" si="24"/>
        <v>0</v>
      </c>
      <c r="AB45" s="298">
        <f t="shared" si="24"/>
        <v>0</v>
      </c>
      <c r="AC45" s="298">
        <f t="shared" si="24"/>
        <v>0</v>
      </c>
      <c r="AD45" s="298">
        <f t="shared" si="24"/>
        <v>0</v>
      </c>
      <c r="AE45" s="298">
        <f t="shared" si="24"/>
        <v>0</v>
      </c>
      <c r="AF45" s="298">
        <f t="shared" si="24"/>
        <v>0</v>
      </c>
      <c r="AG45" s="298">
        <f t="shared" si="24"/>
        <v>0</v>
      </c>
      <c r="AH45" s="298">
        <f t="shared" si="24"/>
        <v>0</v>
      </c>
      <c r="AI45" s="298">
        <f t="shared" si="24"/>
        <v>0</v>
      </c>
      <c r="AJ45" s="298">
        <f t="shared" si="24"/>
        <v>0</v>
      </c>
      <c r="AK45" s="298">
        <f t="shared" si="24"/>
        <v>0</v>
      </c>
      <c r="AL45" s="298">
        <f t="shared" ref="AL45:AP45" si="25">IFERROR((AL6)/AL123,0)</f>
        <v>0</v>
      </c>
      <c r="AM45" s="298">
        <f t="shared" si="25"/>
        <v>0</v>
      </c>
      <c r="AN45" s="298">
        <f t="shared" si="25"/>
        <v>0</v>
      </c>
      <c r="AO45" s="298">
        <f t="shared" si="25"/>
        <v>0</v>
      </c>
      <c r="AP45" s="298">
        <f t="shared" si="25"/>
        <v>0</v>
      </c>
      <c r="AQ45" s="299">
        <f t="shared" ref="AQ45:AQ78" si="26">G45-SUM(H45:AP45)</f>
        <v>0</v>
      </c>
    </row>
    <row r="46" spans="2:49" x14ac:dyDescent="0.25">
      <c r="C46" s="1179"/>
      <c r="D46" s="285"/>
      <c r="E46" s="297">
        <f t="shared" si="20"/>
        <v>2029</v>
      </c>
      <c r="F46" s="297"/>
      <c r="G46" s="298">
        <f t="shared" si="21"/>
        <v>0</v>
      </c>
      <c r="H46" s="298">
        <f t="shared" ref="H46:AK46" si="27">IFERROR((H7)/H124,0)</f>
        <v>0</v>
      </c>
      <c r="I46" s="298">
        <f t="shared" si="27"/>
        <v>0</v>
      </c>
      <c r="J46" s="298">
        <f t="shared" si="27"/>
        <v>0</v>
      </c>
      <c r="K46" s="298">
        <f t="shared" si="27"/>
        <v>0</v>
      </c>
      <c r="L46" s="298">
        <f t="shared" si="27"/>
        <v>0</v>
      </c>
      <c r="M46" s="298">
        <f t="shared" si="27"/>
        <v>0</v>
      </c>
      <c r="N46" s="298">
        <f t="shared" si="27"/>
        <v>0</v>
      </c>
      <c r="O46" s="298">
        <f t="shared" si="27"/>
        <v>0</v>
      </c>
      <c r="P46" s="298">
        <f t="shared" si="27"/>
        <v>0</v>
      </c>
      <c r="Q46" s="298">
        <f t="shared" si="27"/>
        <v>0</v>
      </c>
      <c r="R46" s="298">
        <f t="shared" si="27"/>
        <v>0</v>
      </c>
      <c r="S46" s="298">
        <f t="shared" si="27"/>
        <v>0</v>
      </c>
      <c r="T46" s="298">
        <f t="shared" si="27"/>
        <v>0</v>
      </c>
      <c r="U46" s="298">
        <f t="shared" si="27"/>
        <v>0</v>
      </c>
      <c r="V46" s="298">
        <f t="shared" si="27"/>
        <v>0</v>
      </c>
      <c r="W46" s="298">
        <f t="shared" si="27"/>
        <v>0</v>
      </c>
      <c r="X46" s="298">
        <f t="shared" si="27"/>
        <v>0</v>
      </c>
      <c r="Y46" s="298">
        <f t="shared" si="27"/>
        <v>0</v>
      </c>
      <c r="Z46" s="298">
        <f t="shared" si="27"/>
        <v>0</v>
      </c>
      <c r="AA46" s="298">
        <f t="shared" si="27"/>
        <v>0</v>
      </c>
      <c r="AB46" s="298">
        <f t="shared" si="27"/>
        <v>0</v>
      </c>
      <c r="AC46" s="298">
        <f t="shared" si="27"/>
        <v>0</v>
      </c>
      <c r="AD46" s="298">
        <f t="shared" si="27"/>
        <v>0</v>
      </c>
      <c r="AE46" s="298">
        <f t="shared" si="27"/>
        <v>0</v>
      </c>
      <c r="AF46" s="298">
        <f t="shared" si="27"/>
        <v>0</v>
      </c>
      <c r="AG46" s="298">
        <f t="shared" si="27"/>
        <v>0</v>
      </c>
      <c r="AH46" s="298">
        <f t="shared" si="27"/>
        <v>0</v>
      </c>
      <c r="AI46" s="298">
        <f t="shared" si="27"/>
        <v>0</v>
      </c>
      <c r="AJ46" s="298">
        <f t="shared" si="27"/>
        <v>0</v>
      </c>
      <c r="AK46" s="298">
        <f t="shared" si="27"/>
        <v>0</v>
      </c>
      <c r="AL46" s="298">
        <f t="shared" ref="AL46:AP46" si="28">IFERROR((AL7)/AL124,0)</f>
        <v>0</v>
      </c>
      <c r="AM46" s="298">
        <f t="shared" si="28"/>
        <v>0</v>
      </c>
      <c r="AN46" s="298">
        <f t="shared" si="28"/>
        <v>0</v>
      </c>
      <c r="AO46" s="298">
        <f t="shared" si="28"/>
        <v>0</v>
      </c>
      <c r="AP46" s="298">
        <f t="shared" si="28"/>
        <v>0</v>
      </c>
      <c r="AQ46" s="299">
        <f t="shared" si="26"/>
        <v>0</v>
      </c>
    </row>
    <row r="47" spans="2:49" x14ac:dyDescent="0.25">
      <c r="C47" s="1179"/>
      <c r="D47" s="285"/>
      <c r="E47" s="297">
        <f t="shared" si="20"/>
        <v>2030</v>
      </c>
      <c r="F47" s="297"/>
      <c r="G47" s="298">
        <f t="shared" si="21"/>
        <v>0</v>
      </c>
      <c r="H47" s="298">
        <f t="shared" ref="H47:AK47" si="29">IFERROR((H8)/H125,0)</f>
        <v>0</v>
      </c>
      <c r="I47" s="298">
        <f t="shared" si="29"/>
        <v>0</v>
      </c>
      <c r="J47" s="298">
        <f t="shared" si="29"/>
        <v>0</v>
      </c>
      <c r="K47" s="298">
        <f t="shared" si="29"/>
        <v>0</v>
      </c>
      <c r="L47" s="298">
        <f t="shared" si="29"/>
        <v>0</v>
      </c>
      <c r="M47" s="298">
        <f t="shared" si="29"/>
        <v>0</v>
      </c>
      <c r="N47" s="298">
        <f t="shared" si="29"/>
        <v>0</v>
      </c>
      <c r="O47" s="298">
        <f t="shared" si="29"/>
        <v>0</v>
      </c>
      <c r="P47" s="298">
        <f t="shared" si="29"/>
        <v>0</v>
      </c>
      <c r="Q47" s="298">
        <f t="shared" si="29"/>
        <v>0</v>
      </c>
      <c r="R47" s="298">
        <f t="shared" si="29"/>
        <v>0</v>
      </c>
      <c r="S47" s="298">
        <f t="shared" si="29"/>
        <v>0</v>
      </c>
      <c r="T47" s="298">
        <f t="shared" si="29"/>
        <v>0</v>
      </c>
      <c r="U47" s="298">
        <f t="shared" si="29"/>
        <v>0</v>
      </c>
      <c r="V47" s="298">
        <f t="shared" si="29"/>
        <v>0</v>
      </c>
      <c r="W47" s="298">
        <f t="shared" si="29"/>
        <v>0</v>
      </c>
      <c r="X47" s="298">
        <f t="shared" si="29"/>
        <v>0</v>
      </c>
      <c r="Y47" s="298">
        <f t="shared" si="29"/>
        <v>0</v>
      </c>
      <c r="Z47" s="298">
        <f t="shared" si="29"/>
        <v>0</v>
      </c>
      <c r="AA47" s="298">
        <f t="shared" si="29"/>
        <v>0</v>
      </c>
      <c r="AB47" s="298">
        <f t="shared" si="29"/>
        <v>0</v>
      </c>
      <c r="AC47" s="298">
        <f t="shared" si="29"/>
        <v>0</v>
      </c>
      <c r="AD47" s="298">
        <f t="shared" si="29"/>
        <v>0</v>
      </c>
      <c r="AE47" s="298">
        <f t="shared" si="29"/>
        <v>0</v>
      </c>
      <c r="AF47" s="298">
        <f t="shared" si="29"/>
        <v>0</v>
      </c>
      <c r="AG47" s="298">
        <f t="shared" si="29"/>
        <v>0</v>
      </c>
      <c r="AH47" s="298">
        <f t="shared" si="29"/>
        <v>0</v>
      </c>
      <c r="AI47" s="298">
        <f t="shared" si="29"/>
        <v>0</v>
      </c>
      <c r="AJ47" s="298">
        <f t="shared" si="29"/>
        <v>0</v>
      </c>
      <c r="AK47" s="298">
        <f t="shared" si="29"/>
        <v>0</v>
      </c>
      <c r="AL47" s="298">
        <f t="shared" ref="AL47:AP47" si="30">IFERROR((AL8)/AL125,0)</f>
        <v>0</v>
      </c>
      <c r="AM47" s="298">
        <f t="shared" si="30"/>
        <v>0</v>
      </c>
      <c r="AN47" s="298">
        <f t="shared" si="30"/>
        <v>0</v>
      </c>
      <c r="AO47" s="298">
        <f t="shared" si="30"/>
        <v>0</v>
      </c>
      <c r="AP47" s="298">
        <f t="shared" si="30"/>
        <v>0</v>
      </c>
      <c r="AQ47" s="299">
        <f t="shared" si="26"/>
        <v>0</v>
      </c>
    </row>
    <row r="48" spans="2:49" x14ac:dyDescent="0.25">
      <c r="C48" s="1179"/>
      <c r="D48" s="285"/>
      <c r="E48" s="297">
        <f t="shared" si="20"/>
        <v>2031</v>
      </c>
      <c r="F48" s="297"/>
      <c r="G48" s="298">
        <f t="shared" si="21"/>
        <v>0</v>
      </c>
      <c r="H48" s="298">
        <f t="shared" ref="H48:AK48" si="31">IFERROR((H9)/H126,0)</f>
        <v>0</v>
      </c>
      <c r="I48" s="298">
        <f t="shared" si="31"/>
        <v>0</v>
      </c>
      <c r="J48" s="298">
        <f t="shared" si="31"/>
        <v>0</v>
      </c>
      <c r="K48" s="298">
        <f t="shared" si="31"/>
        <v>0</v>
      </c>
      <c r="L48" s="298">
        <f t="shared" si="31"/>
        <v>0</v>
      </c>
      <c r="M48" s="298">
        <f t="shared" si="31"/>
        <v>0</v>
      </c>
      <c r="N48" s="298">
        <f t="shared" si="31"/>
        <v>0</v>
      </c>
      <c r="O48" s="298">
        <f t="shared" si="31"/>
        <v>0</v>
      </c>
      <c r="P48" s="298">
        <f t="shared" si="31"/>
        <v>0</v>
      </c>
      <c r="Q48" s="298">
        <f t="shared" si="31"/>
        <v>0</v>
      </c>
      <c r="R48" s="298">
        <f t="shared" si="31"/>
        <v>0</v>
      </c>
      <c r="S48" s="298">
        <f t="shared" si="31"/>
        <v>0</v>
      </c>
      <c r="T48" s="298">
        <f t="shared" si="31"/>
        <v>0</v>
      </c>
      <c r="U48" s="298">
        <f t="shared" si="31"/>
        <v>0</v>
      </c>
      <c r="V48" s="298">
        <f t="shared" si="31"/>
        <v>0</v>
      </c>
      <c r="W48" s="298">
        <f t="shared" si="31"/>
        <v>0</v>
      </c>
      <c r="X48" s="298">
        <f t="shared" si="31"/>
        <v>0</v>
      </c>
      <c r="Y48" s="298">
        <f t="shared" si="31"/>
        <v>0</v>
      </c>
      <c r="Z48" s="298">
        <f t="shared" si="31"/>
        <v>0</v>
      </c>
      <c r="AA48" s="298">
        <f t="shared" si="31"/>
        <v>0</v>
      </c>
      <c r="AB48" s="298">
        <f t="shared" si="31"/>
        <v>0</v>
      </c>
      <c r="AC48" s="298">
        <f t="shared" si="31"/>
        <v>0</v>
      </c>
      <c r="AD48" s="298">
        <f t="shared" si="31"/>
        <v>0</v>
      </c>
      <c r="AE48" s="298">
        <f t="shared" si="31"/>
        <v>0</v>
      </c>
      <c r="AF48" s="298">
        <f t="shared" si="31"/>
        <v>0</v>
      </c>
      <c r="AG48" s="298">
        <f t="shared" si="31"/>
        <v>0</v>
      </c>
      <c r="AH48" s="298">
        <f t="shared" si="31"/>
        <v>0</v>
      </c>
      <c r="AI48" s="298">
        <f t="shared" si="31"/>
        <v>0</v>
      </c>
      <c r="AJ48" s="298">
        <f t="shared" si="31"/>
        <v>0</v>
      </c>
      <c r="AK48" s="298">
        <f t="shared" si="31"/>
        <v>0</v>
      </c>
      <c r="AL48" s="298">
        <f t="shared" ref="AL48:AP48" si="32">IFERROR((AL9)/AL126,0)</f>
        <v>0</v>
      </c>
      <c r="AM48" s="298">
        <f t="shared" si="32"/>
        <v>0</v>
      </c>
      <c r="AN48" s="298">
        <f t="shared" si="32"/>
        <v>0</v>
      </c>
      <c r="AO48" s="298">
        <f t="shared" si="32"/>
        <v>0</v>
      </c>
      <c r="AP48" s="298">
        <f t="shared" si="32"/>
        <v>0</v>
      </c>
      <c r="AQ48" s="299">
        <f t="shared" si="26"/>
        <v>0</v>
      </c>
    </row>
    <row r="49" spans="3:43" x14ac:dyDescent="0.25">
      <c r="C49" s="1179"/>
      <c r="D49" s="285"/>
      <c r="E49" s="297">
        <f t="shared" si="20"/>
        <v>2032</v>
      </c>
      <c r="F49" s="297"/>
      <c r="G49" s="298">
        <f t="shared" si="21"/>
        <v>0</v>
      </c>
      <c r="H49" s="298">
        <f t="shared" ref="H49:AK49" si="33">IFERROR((H10)/H127,0)</f>
        <v>0</v>
      </c>
      <c r="I49" s="298">
        <f t="shared" si="33"/>
        <v>0</v>
      </c>
      <c r="J49" s="298">
        <f t="shared" si="33"/>
        <v>0</v>
      </c>
      <c r="K49" s="298">
        <f t="shared" si="33"/>
        <v>0</v>
      </c>
      <c r="L49" s="298">
        <f t="shared" si="33"/>
        <v>0</v>
      </c>
      <c r="M49" s="298">
        <f t="shared" si="33"/>
        <v>0</v>
      </c>
      <c r="N49" s="298">
        <f t="shared" si="33"/>
        <v>0</v>
      </c>
      <c r="O49" s="298">
        <f t="shared" si="33"/>
        <v>0</v>
      </c>
      <c r="P49" s="298">
        <f t="shared" si="33"/>
        <v>0</v>
      </c>
      <c r="Q49" s="298">
        <f t="shared" si="33"/>
        <v>0</v>
      </c>
      <c r="R49" s="298">
        <f t="shared" si="33"/>
        <v>0</v>
      </c>
      <c r="S49" s="298">
        <f t="shared" si="33"/>
        <v>0</v>
      </c>
      <c r="T49" s="298">
        <f t="shared" si="33"/>
        <v>0</v>
      </c>
      <c r="U49" s="298">
        <f t="shared" si="33"/>
        <v>0</v>
      </c>
      <c r="V49" s="298">
        <f t="shared" si="33"/>
        <v>0</v>
      </c>
      <c r="W49" s="298">
        <f t="shared" si="33"/>
        <v>0</v>
      </c>
      <c r="X49" s="298">
        <f t="shared" si="33"/>
        <v>0</v>
      </c>
      <c r="Y49" s="298">
        <f t="shared" si="33"/>
        <v>0</v>
      </c>
      <c r="Z49" s="298">
        <f t="shared" si="33"/>
        <v>0</v>
      </c>
      <c r="AA49" s="298">
        <f t="shared" si="33"/>
        <v>0</v>
      </c>
      <c r="AB49" s="298">
        <f t="shared" si="33"/>
        <v>0</v>
      </c>
      <c r="AC49" s="298">
        <f t="shared" si="33"/>
        <v>0</v>
      </c>
      <c r="AD49" s="298">
        <f t="shared" si="33"/>
        <v>0</v>
      </c>
      <c r="AE49" s="298">
        <f t="shared" si="33"/>
        <v>0</v>
      </c>
      <c r="AF49" s="298">
        <f t="shared" si="33"/>
        <v>0</v>
      </c>
      <c r="AG49" s="298">
        <f t="shared" si="33"/>
        <v>0</v>
      </c>
      <c r="AH49" s="298">
        <f t="shared" si="33"/>
        <v>0</v>
      </c>
      <c r="AI49" s="298">
        <f t="shared" si="33"/>
        <v>0</v>
      </c>
      <c r="AJ49" s="298">
        <f t="shared" si="33"/>
        <v>0</v>
      </c>
      <c r="AK49" s="298">
        <f t="shared" si="33"/>
        <v>0</v>
      </c>
      <c r="AL49" s="298">
        <f t="shared" ref="AL49:AP49" si="34">IFERROR((AL10)/AL127,0)</f>
        <v>0</v>
      </c>
      <c r="AM49" s="298">
        <f t="shared" si="34"/>
        <v>0</v>
      </c>
      <c r="AN49" s="298">
        <f t="shared" si="34"/>
        <v>0</v>
      </c>
      <c r="AO49" s="298">
        <f t="shared" si="34"/>
        <v>0</v>
      </c>
      <c r="AP49" s="298">
        <f t="shared" si="34"/>
        <v>0</v>
      </c>
      <c r="AQ49" s="299">
        <f t="shared" si="26"/>
        <v>0</v>
      </c>
    </row>
    <row r="50" spans="3:43" x14ac:dyDescent="0.25">
      <c r="C50" s="1179"/>
      <c r="D50" s="285"/>
      <c r="E50" s="297">
        <f t="shared" si="20"/>
        <v>2033</v>
      </c>
      <c r="F50" s="297"/>
      <c r="G50" s="298">
        <f t="shared" si="21"/>
        <v>0</v>
      </c>
      <c r="H50" s="298">
        <f t="shared" ref="H50:AK50" si="35">IFERROR((H11)/H128,0)</f>
        <v>0</v>
      </c>
      <c r="I50" s="298">
        <f t="shared" si="35"/>
        <v>0</v>
      </c>
      <c r="J50" s="298">
        <f t="shared" si="35"/>
        <v>0</v>
      </c>
      <c r="K50" s="298">
        <f t="shared" si="35"/>
        <v>0</v>
      </c>
      <c r="L50" s="298">
        <f t="shared" si="35"/>
        <v>0</v>
      </c>
      <c r="M50" s="298">
        <f t="shared" si="35"/>
        <v>0</v>
      </c>
      <c r="N50" s="298">
        <f t="shared" si="35"/>
        <v>0</v>
      </c>
      <c r="O50" s="298">
        <f t="shared" si="35"/>
        <v>0</v>
      </c>
      <c r="P50" s="298">
        <f t="shared" si="35"/>
        <v>0</v>
      </c>
      <c r="Q50" s="298">
        <f t="shared" si="35"/>
        <v>0</v>
      </c>
      <c r="R50" s="298">
        <f t="shared" si="35"/>
        <v>0</v>
      </c>
      <c r="S50" s="298">
        <f t="shared" si="35"/>
        <v>0</v>
      </c>
      <c r="T50" s="298">
        <f t="shared" si="35"/>
        <v>0</v>
      </c>
      <c r="U50" s="298">
        <f t="shared" si="35"/>
        <v>0</v>
      </c>
      <c r="V50" s="298">
        <f t="shared" si="35"/>
        <v>0</v>
      </c>
      <c r="W50" s="298">
        <f t="shared" si="35"/>
        <v>0</v>
      </c>
      <c r="X50" s="298">
        <f t="shared" si="35"/>
        <v>0</v>
      </c>
      <c r="Y50" s="298">
        <f t="shared" si="35"/>
        <v>0</v>
      </c>
      <c r="Z50" s="298">
        <f t="shared" si="35"/>
        <v>0</v>
      </c>
      <c r="AA50" s="298">
        <f t="shared" si="35"/>
        <v>0</v>
      </c>
      <c r="AB50" s="298">
        <f t="shared" si="35"/>
        <v>0</v>
      </c>
      <c r="AC50" s="298">
        <f t="shared" si="35"/>
        <v>0</v>
      </c>
      <c r="AD50" s="298">
        <f t="shared" si="35"/>
        <v>0</v>
      </c>
      <c r="AE50" s="298">
        <f t="shared" si="35"/>
        <v>0</v>
      </c>
      <c r="AF50" s="298">
        <f t="shared" si="35"/>
        <v>0</v>
      </c>
      <c r="AG50" s="298">
        <f t="shared" si="35"/>
        <v>0</v>
      </c>
      <c r="AH50" s="298">
        <f t="shared" si="35"/>
        <v>0</v>
      </c>
      <c r="AI50" s="298">
        <f t="shared" si="35"/>
        <v>0</v>
      </c>
      <c r="AJ50" s="298">
        <f t="shared" si="35"/>
        <v>0</v>
      </c>
      <c r="AK50" s="298">
        <f t="shared" si="35"/>
        <v>0</v>
      </c>
      <c r="AL50" s="298">
        <f t="shared" ref="AL50:AP50" si="36">IFERROR((AL11)/AL128,0)</f>
        <v>0</v>
      </c>
      <c r="AM50" s="298">
        <f t="shared" si="36"/>
        <v>0</v>
      </c>
      <c r="AN50" s="298">
        <f t="shared" si="36"/>
        <v>0</v>
      </c>
      <c r="AO50" s="298">
        <f t="shared" si="36"/>
        <v>0</v>
      </c>
      <c r="AP50" s="298">
        <f t="shared" si="36"/>
        <v>0</v>
      </c>
      <c r="AQ50" s="299">
        <f t="shared" si="26"/>
        <v>0</v>
      </c>
    </row>
    <row r="51" spans="3:43" x14ac:dyDescent="0.25">
      <c r="C51" s="1179"/>
      <c r="D51" s="285"/>
      <c r="E51" s="297">
        <f t="shared" si="20"/>
        <v>2034</v>
      </c>
      <c r="F51" s="297"/>
      <c r="G51" s="298">
        <f t="shared" si="21"/>
        <v>0</v>
      </c>
      <c r="H51" s="298">
        <f t="shared" ref="H51:AK51" si="37">IFERROR((H12)/H129,0)</f>
        <v>0</v>
      </c>
      <c r="I51" s="298">
        <f t="shared" si="37"/>
        <v>0</v>
      </c>
      <c r="J51" s="298">
        <f t="shared" si="37"/>
        <v>0</v>
      </c>
      <c r="K51" s="298">
        <f t="shared" si="37"/>
        <v>0</v>
      </c>
      <c r="L51" s="298">
        <f t="shared" si="37"/>
        <v>0</v>
      </c>
      <c r="M51" s="298">
        <f t="shared" si="37"/>
        <v>0</v>
      </c>
      <c r="N51" s="298">
        <f t="shared" si="37"/>
        <v>0</v>
      </c>
      <c r="O51" s="298">
        <f t="shared" si="37"/>
        <v>0</v>
      </c>
      <c r="P51" s="298">
        <f t="shared" si="37"/>
        <v>0</v>
      </c>
      <c r="Q51" s="298">
        <f t="shared" si="37"/>
        <v>0</v>
      </c>
      <c r="R51" s="298">
        <f t="shared" si="37"/>
        <v>0</v>
      </c>
      <c r="S51" s="298">
        <f t="shared" si="37"/>
        <v>0</v>
      </c>
      <c r="T51" s="298">
        <f t="shared" si="37"/>
        <v>0</v>
      </c>
      <c r="U51" s="298">
        <f t="shared" si="37"/>
        <v>0</v>
      </c>
      <c r="V51" s="298">
        <f t="shared" si="37"/>
        <v>0</v>
      </c>
      <c r="W51" s="298">
        <f t="shared" si="37"/>
        <v>0</v>
      </c>
      <c r="X51" s="298">
        <f t="shared" si="37"/>
        <v>0</v>
      </c>
      <c r="Y51" s="298">
        <f t="shared" si="37"/>
        <v>0</v>
      </c>
      <c r="Z51" s="298">
        <f t="shared" si="37"/>
        <v>0</v>
      </c>
      <c r="AA51" s="298">
        <f t="shared" si="37"/>
        <v>0</v>
      </c>
      <c r="AB51" s="298">
        <f t="shared" si="37"/>
        <v>0</v>
      </c>
      <c r="AC51" s="298">
        <f t="shared" si="37"/>
        <v>0</v>
      </c>
      <c r="AD51" s="298">
        <f t="shared" si="37"/>
        <v>0</v>
      </c>
      <c r="AE51" s="298">
        <f t="shared" si="37"/>
        <v>0</v>
      </c>
      <c r="AF51" s="298">
        <f t="shared" si="37"/>
        <v>0</v>
      </c>
      <c r="AG51" s="298">
        <f t="shared" si="37"/>
        <v>0</v>
      </c>
      <c r="AH51" s="298">
        <f t="shared" si="37"/>
        <v>0</v>
      </c>
      <c r="AI51" s="298">
        <f t="shared" si="37"/>
        <v>0</v>
      </c>
      <c r="AJ51" s="298">
        <f t="shared" si="37"/>
        <v>0</v>
      </c>
      <c r="AK51" s="298">
        <f t="shared" si="37"/>
        <v>0</v>
      </c>
      <c r="AL51" s="298">
        <f t="shared" ref="AL51:AP51" si="38">IFERROR((AL12)/AL129,0)</f>
        <v>0</v>
      </c>
      <c r="AM51" s="298">
        <f t="shared" si="38"/>
        <v>0</v>
      </c>
      <c r="AN51" s="298">
        <f t="shared" si="38"/>
        <v>0</v>
      </c>
      <c r="AO51" s="298">
        <f t="shared" si="38"/>
        <v>0</v>
      </c>
      <c r="AP51" s="298">
        <f t="shared" si="38"/>
        <v>0</v>
      </c>
      <c r="AQ51" s="299">
        <f t="shared" si="26"/>
        <v>0</v>
      </c>
    </row>
    <row r="52" spans="3:43" x14ac:dyDescent="0.25">
      <c r="C52" s="1179"/>
      <c r="D52" s="285"/>
      <c r="E52" s="297">
        <f t="shared" si="20"/>
        <v>2035</v>
      </c>
      <c r="F52" s="297"/>
      <c r="G52" s="298">
        <f t="shared" si="21"/>
        <v>0</v>
      </c>
      <c r="H52" s="298">
        <f t="shared" ref="H52:AK52" si="39">IFERROR((H13)/H130,0)</f>
        <v>0</v>
      </c>
      <c r="I52" s="298">
        <f t="shared" si="39"/>
        <v>0</v>
      </c>
      <c r="J52" s="298">
        <f t="shared" si="39"/>
        <v>0</v>
      </c>
      <c r="K52" s="298">
        <f t="shared" si="39"/>
        <v>0</v>
      </c>
      <c r="L52" s="298">
        <f t="shared" si="39"/>
        <v>0</v>
      </c>
      <c r="M52" s="298">
        <f t="shared" si="39"/>
        <v>0</v>
      </c>
      <c r="N52" s="298">
        <f t="shared" si="39"/>
        <v>0</v>
      </c>
      <c r="O52" s="298">
        <f t="shared" si="39"/>
        <v>0</v>
      </c>
      <c r="P52" s="298">
        <f t="shared" si="39"/>
        <v>0</v>
      </c>
      <c r="Q52" s="298">
        <f t="shared" si="39"/>
        <v>0</v>
      </c>
      <c r="R52" s="298">
        <f t="shared" si="39"/>
        <v>0</v>
      </c>
      <c r="S52" s="298">
        <f t="shared" si="39"/>
        <v>0</v>
      </c>
      <c r="T52" s="298">
        <f t="shared" si="39"/>
        <v>0</v>
      </c>
      <c r="U52" s="298">
        <f t="shared" si="39"/>
        <v>0</v>
      </c>
      <c r="V52" s="298">
        <f t="shared" si="39"/>
        <v>0</v>
      </c>
      <c r="W52" s="298">
        <f t="shared" si="39"/>
        <v>0</v>
      </c>
      <c r="X52" s="298">
        <f t="shared" si="39"/>
        <v>0</v>
      </c>
      <c r="Y52" s="298">
        <f t="shared" si="39"/>
        <v>0</v>
      </c>
      <c r="Z52" s="298">
        <f t="shared" si="39"/>
        <v>0</v>
      </c>
      <c r="AA52" s="298">
        <f t="shared" si="39"/>
        <v>0</v>
      </c>
      <c r="AB52" s="298">
        <f t="shared" si="39"/>
        <v>0</v>
      </c>
      <c r="AC52" s="298">
        <f t="shared" si="39"/>
        <v>0</v>
      </c>
      <c r="AD52" s="298">
        <f t="shared" si="39"/>
        <v>0</v>
      </c>
      <c r="AE52" s="298">
        <f t="shared" si="39"/>
        <v>0</v>
      </c>
      <c r="AF52" s="298">
        <f t="shared" si="39"/>
        <v>0</v>
      </c>
      <c r="AG52" s="298">
        <f t="shared" si="39"/>
        <v>0</v>
      </c>
      <c r="AH52" s="298">
        <f t="shared" si="39"/>
        <v>0</v>
      </c>
      <c r="AI52" s="298">
        <f t="shared" si="39"/>
        <v>0</v>
      </c>
      <c r="AJ52" s="298">
        <f t="shared" si="39"/>
        <v>0</v>
      </c>
      <c r="AK52" s="298">
        <f t="shared" si="39"/>
        <v>0</v>
      </c>
      <c r="AL52" s="298">
        <f t="shared" ref="AL52:AP52" si="40">IFERROR((AL13)/AL130,0)</f>
        <v>0</v>
      </c>
      <c r="AM52" s="298">
        <f t="shared" si="40"/>
        <v>0</v>
      </c>
      <c r="AN52" s="298">
        <f t="shared" si="40"/>
        <v>0</v>
      </c>
      <c r="AO52" s="298">
        <f t="shared" si="40"/>
        <v>0</v>
      </c>
      <c r="AP52" s="298">
        <f t="shared" si="40"/>
        <v>0</v>
      </c>
      <c r="AQ52" s="299">
        <f t="shared" si="26"/>
        <v>0</v>
      </c>
    </row>
    <row r="53" spans="3:43" x14ac:dyDescent="0.25">
      <c r="C53" s="1179"/>
      <c r="D53" s="285"/>
      <c r="E53" s="297">
        <f t="shared" si="20"/>
        <v>2036</v>
      </c>
      <c r="F53" s="297"/>
      <c r="G53" s="298">
        <f t="shared" si="21"/>
        <v>0</v>
      </c>
      <c r="H53" s="298">
        <f t="shared" ref="H53:AK53" si="41">IFERROR((H14)/H131,0)</f>
        <v>0</v>
      </c>
      <c r="I53" s="298">
        <f t="shared" si="41"/>
        <v>0</v>
      </c>
      <c r="J53" s="298">
        <f t="shared" si="41"/>
        <v>0</v>
      </c>
      <c r="K53" s="298">
        <f t="shared" si="41"/>
        <v>0</v>
      </c>
      <c r="L53" s="298">
        <f t="shared" si="41"/>
        <v>0</v>
      </c>
      <c r="M53" s="298">
        <f t="shared" si="41"/>
        <v>0</v>
      </c>
      <c r="N53" s="298">
        <f t="shared" si="41"/>
        <v>0</v>
      </c>
      <c r="O53" s="298">
        <f t="shared" si="41"/>
        <v>0</v>
      </c>
      <c r="P53" s="298">
        <f t="shared" si="41"/>
        <v>0</v>
      </c>
      <c r="Q53" s="298">
        <f t="shared" si="41"/>
        <v>0</v>
      </c>
      <c r="R53" s="298">
        <f t="shared" si="41"/>
        <v>0</v>
      </c>
      <c r="S53" s="298">
        <f t="shared" si="41"/>
        <v>0</v>
      </c>
      <c r="T53" s="298">
        <f t="shared" si="41"/>
        <v>0</v>
      </c>
      <c r="U53" s="298">
        <f t="shared" si="41"/>
        <v>0</v>
      </c>
      <c r="V53" s="298">
        <f t="shared" si="41"/>
        <v>0</v>
      </c>
      <c r="W53" s="298">
        <f t="shared" si="41"/>
        <v>0</v>
      </c>
      <c r="X53" s="298">
        <f t="shared" si="41"/>
        <v>0</v>
      </c>
      <c r="Y53" s="298">
        <f t="shared" si="41"/>
        <v>0</v>
      </c>
      <c r="Z53" s="298">
        <f t="shared" si="41"/>
        <v>0</v>
      </c>
      <c r="AA53" s="298">
        <f t="shared" si="41"/>
        <v>0</v>
      </c>
      <c r="AB53" s="298">
        <f t="shared" si="41"/>
        <v>0</v>
      </c>
      <c r="AC53" s="298">
        <f t="shared" si="41"/>
        <v>0</v>
      </c>
      <c r="AD53" s="298">
        <f t="shared" si="41"/>
        <v>0</v>
      </c>
      <c r="AE53" s="298">
        <f t="shared" si="41"/>
        <v>0</v>
      </c>
      <c r="AF53" s="298">
        <f t="shared" si="41"/>
        <v>0</v>
      </c>
      <c r="AG53" s="298">
        <f t="shared" si="41"/>
        <v>0</v>
      </c>
      <c r="AH53" s="298">
        <f t="shared" si="41"/>
        <v>0</v>
      </c>
      <c r="AI53" s="298">
        <f t="shared" si="41"/>
        <v>0</v>
      </c>
      <c r="AJ53" s="298">
        <f t="shared" si="41"/>
        <v>0</v>
      </c>
      <c r="AK53" s="298">
        <f t="shared" si="41"/>
        <v>0</v>
      </c>
      <c r="AL53" s="298">
        <f t="shared" ref="AL53:AP53" si="42">IFERROR((AL14)/AL131,0)</f>
        <v>0</v>
      </c>
      <c r="AM53" s="298">
        <f t="shared" si="42"/>
        <v>0</v>
      </c>
      <c r="AN53" s="298">
        <f t="shared" si="42"/>
        <v>0</v>
      </c>
      <c r="AO53" s="298">
        <f t="shared" si="42"/>
        <v>0</v>
      </c>
      <c r="AP53" s="298">
        <f t="shared" si="42"/>
        <v>0</v>
      </c>
      <c r="AQ53" s="299">
        <f t="shared" si="26"/>
        <v>0</v>
      </c>
    </row>
    <row r="54" spans="3:43" x14ac:dyDescent="0.25">
      <c r="C54" s="1179"/>
      <c r="D54" s="285"/>
      <c r="E54" s="297">
        <f t="shared" si="20"/>
        <v>2037</v>
      </c>
      <c r="F54" s="297"/>
      <c r="G54" s="298">
        <f t="shared" si="21"/>
        <v>0</v>
      </c>
      <c r="H54" s="298">
        <f t="shared" ref="H54:AK54" si="43">IFERROR((H15)/H132,0)</f>
        <v>0</v>
      </c>
      <c r="I54" s="298">
        <f t="shared" si="43"/>
        <v>0</v>
      </c>
      <c r="J54" s="298">
        <f t="shared" si="43"/>
        <v>0</v>
      </c>
      <c r="K54" s="298">
        <f t="shared" si="43"/>
        <v>0</v>
      </c>
      <c r="L54" s="298">
        <f t="shared" si="43"/>
        <v>0</v>
      </c>
      <c r="M54" s="298">
        <f t="shared" si="43"/>
        <v>0</v>
      </c>
      <c r="N54" s="298">
        <f t="shared" si="43"/>
        <v>0</v>
      </c>
      <c r="O54" s="298">
        <f t="shared" si="43"/>
        <v>0</v>
      </c>
      <c r="P54" s="298">
        <f t="shared" si="43"/>
        <v>0</v>
      </c>
      <c r="Q54" s="298">
        <f t="shared" si="43"/>
        <v>0</v>
      </c>
      <c r="R54" s="298">
        <f t="shared" si="43"/>
        <v>0</v>
      </c>
      <c r="S54" s="298">
        <f t="shared" si="43"/>
        <v>0</v>
      </c>
      <c r="T54" s="298">
        <f t="shared" si="43"/>
        <v>0</v>
      </c>
      <c r="U54" s="298">
        <f t="shared" si="43"/>
        <v>0</v>
      </c>
      <c r="V54" s="298">
        <f t="shared" si="43"/>
        <v>0</v>
      </c>
      <c r="W54" s="298">
        <f t="shared" si="43"/>
        <v>0</v>
      </c>
      <c r="X54" s="298">
        <f t="shared" si="43"/>
        <v>0</v>
      </c>
      <c r="Y54" s="298">
        <f t="shared" si="43"/>
        <v>0</v>
      </c>
      <c r="Z54" s="298">
        <f t="shared" si="43"/>
        <v>0</v>
      </c>
      <c r="AA54" s="298">
        <f t="shared" si="43"/>
        <v>0</v>
      </c>
      <c r="AB54" s="298">
        <f t="shared" si="43"/>
        <v>0</v>
      </c>
      <c r="AC54" s="298">
        <f t="shared" si="43"/>
        <v>0</v>
      </c>
      <c r="AD54" s="298">
        <f t="shared" si="43"/>
        <v>0</v>
      </c>
      <c r="AE54" s="298">
        <f t="shared" si="43"/>
        <v>0</v>
      </c>
      <c r="AF54" s="298">
        <f t="shared" si="43"/>
        <v>0</v>
      </c>
      <c r="AG54" s="298">
        <f t="shared" si="43"/>
        <v>0</v>
      </c>
      <c r="AH54" s="298">
        <f t="shared" si="43"/>
        <v>0</v>
      </c>
      <c r="AI54" s="298">
        <f t="shared" si="43"/>
        <v>0</v>
      </c>
      <c r="AJ54" s="298">
        <f t="shared" si="43"/>
        <v>0</v>
      </c>
      <c r="AK54" s="298">
        <f t="shared" si="43"/>
        <v>0</v>
      </c>
      <c r="AL54" s="298">
        <f t="shared" ref="AL54:AP54" si="44">IFERROR((AL15)/AL132,0)</f>
        <v>0</v>
      </c>
      <c r="AM54" s="298">
        <f t="shared" si="44"/>
        <v>0</v>
      </c>
      <c r="AN54" s="298">
        <f t="shared" si="44"/>
        <v>0</v>
      </c>
      <c r="AO54" s="298">
        <f t="shared" si="44"/>
        <v>0</v>
      </c>
      <c r="AP54" s="298">
        <f t="shared" si="44"/>
        <v>0</v>
      </c>
      <c r="AQ54" s="299">
        <f t="shared" si="26"/>
        <v>0</v>
      </c>
    </row>
    <row r="55" spans="3:43" x14ac:dyDescent="0.25">
      <c r="C55" s="1179"/>
      <c r="D55" s="285"/>
      <c r="E55" s="297">
        <f t="shared" si="20"/>
        <v>2038</v>
      </c>
      <c r="F55" s="297"/>
      <c r="G55" s="298">
        <f t="shared" si="21"/>
        <v>0</v>
      </c>
      <c r="H55" s="298">
        <f t="shared" ref="H55:AK55" si="45">IFERROR((H16)/H133,0)</f>
        <v>0</v>
      </c>
      <c r="I55" s="298">
        <f t="shared" si="45"/>
        <v>0</v>
      </c>
      <c r="J55" s="298">
        <f t="shared" si="45"/>
        <v>0</v>
      </c>
      <c r="K55" s="298">
        <f t="shared" si="45"/>
        <v>0</v>
      </c>
      <c r="L55" s="298">
        <f t="shared" si="45"/>
        <v>0</v>
      </c>
      <c r="M55" s="298">
        <f t="shared" si="45"/>
        <v>0</v>
      </c>
      <c r="N55" s="298">
        <f t="shared" si="45"/>
        <v>0</v>
      </c>
      <c r="O55" s="298">
        <f t="shared" si="45"/>
        <v>0</v>
      </c>
      <c r="P55" s="298">
        <f t="shared" si="45"/>
        <v>0</v>
      </c>
      <c r="Q55" s="298">
        <f t="shared" si="45"/>
        <v>0</v>
      </c>
      <c r="R55" s="298">
        <f t="shared" si="45"/>
        <v>0</v>
      </c>
      <c r="S55" s="298">
        <f t="shared" si="45"/>
        <v>0</v>
      </c>
      <c r="T55" s="298">
        <f t="shared" si="45"/>
        <v>0</v>
      </c>
      <c r="U55" s="298">
        <f t="shared" si="45"/>
        <v>0</v>
      </c>
      <c r="V55" s="298">
        <f t="shared" si="45"/>
        <v>0</v>
      </c>
      <c r="W55" s="298">
        <f t="shared" si="45"/>
        <v>0</v>
      </c>
      <c r="X55" s="298">
        <f t="shared" si="45"/>
        <v>0</v>
      </c>
      <c r="Y55" s="298">
        <f t="shared" si="45"/>
        <v>0</v>
      </c>
      <c r="Z55" s="298">
        <f t="shared" si="45"/>
        <v>0</v>
      </c>
      <c r="AA55" s="298">
        <f t="shared" si="45"/>
        <v>0</v>
      </c>
      <c r="AB55" s="298">
        <f t="shared" si="45"/>
        <v>0</v>
      </c>
      <c r="AC55" s="298">
        <f t="shared" si="45"/>
        <v>0</v>
      </c>
      <c r="AD55" s="298">
        <f t="shared" si="45"/>
        <v>0</v>
      </c>
      <c r="AE55" s="298">
        <f t="shared" si="45"/>
        <v>0</v>
      </c>
      <c r="AF55" s="298">
        <f t="shared" si="45"/>
        <v>0</v>
      </c>
      <c r="AG55" s="298">
        <f t="shared" si="45"/>
        <v>0</v>
      </c>
      <c r="AH55" s="298">
        <f t="shared" si="45"/>
        <v>0</v>
      </c>
      <c r="AI55" s="298">
        <f t="shared" si="45"/>
        <v>0</v>
      </c>
      <c r="AJ55" s="298">
        <f t="shared" si="45"/>
        <v>0</v>
      </c>
      <c r="AK55" s="298">
        <f t="shared" si="45"/>
        <v>0</v>
      </c>
      <c r="AL55" s="298">
        <f t="shared" ref="AL55:AP55" si="46">IFERROR((AL16)/AL133,0)</f>
        <v>0</v>
      </c>
      <c r="AM55" s="298">
        <f t="shared" si="46"/>
        <v>0</v>
      </c>
      <c r="AN55" s="298">
        <f t="shared" si="46"/>
        <v>0</v>
      </c>
      <c r="AO55" s="298">
        <f t="shared" si="46"/>
        <v>0</v>
      </c>
      <c r="AP55" s="298">
        <f t="shared" si="46"/>
        <v>0</v>
      </c>
      <c r="AQ55" s="299">
        <f t="shared" si="26"/>
        <v>0</v>
      </c>
    </row>
    <row r="56" spans="3:43" x14ac:dyDescent="0.25">
      <c r="C56" s="1179"/>
      <c r="D56" s="285"/>
      <c r="E56" s="297">
        <f t="shared" si="20"/>
        <v>2039</v>
      </c>
      <c r="F56" s="297"/>
      <c r="G56" s="298">
        <f t="shared" si="21"/>
        <v>0</v>
      </c>
      <c r="H56" s="298">
        <f t="shared" ref="H56:AK56" si="47">IFERROR((H17)/H134,0)</f>
        <v>0</v>
      </c>
      <c r="I56" s="298">
        <f t="shared" si="47"/>
        <v>0</v>
      </c>
      <c r="J56" s="298">
        <f t="shared" si="47"/>
        <v>0</v>
      </c>
      <c r="K56" s="298">
        <f t="shared" si="47"/>
        <v>0</v>
      </c>
      <c r="L56" s="298">
        <f t="shared" si="47"/>
        <v>0</v>
      </c>
      <c r="M56" s="298">
        <f t="shared" si="47"/>
        <v>0</v>
      </c>
      <c r="N56" s="298">
        <f t="shared" si="47"/>
        <v>0</v>
      </c>
      <c r="O56" s="298">
        <f t="shared" si="47"/>
        <v>0</v>
      </c>
      <c r="P56" s="298">
        <f t="shared" si="47"/>
        <v>0</v>
      </c>
      <c r="Q56" s="298">
        <f t="shared" si="47"/>
        <v>0</v>
      </c>
      <c r="R56" s="298">
        <f t="shared" si="47"/>
        <v>0</v>
      </c>
      <c r="S56" s="298">
        <f t="shared" si="47"/>
        <v>0</v>
      </c>
      <c r="T56" s="298">
        <f t="shared" si="47"/>
        <v>0</v>
      </c>
      <c r="U56" s="298">
        <f t="shared" si="47"/>
        <v>0</v>
      </c>
      <c r="V56" s="298">
        <f t="shared" si="47"/>
        <v>0</v>
      </c>
      <c r="W56" s="298">
        <f t="shared" si="47"/>
        <v>0</v>
      </c>
      <c r="X56" s="298">
        <f t="shared" si="47"/>
        <v>0</v>
      </c>
      <c r="Y56" s="298">
        <f t="shared" si="47"/>
        <v>0</v>
      </c>
      <c r="Z56" s="298">
        <f t="shared" si="47"/>
        <v>0</v>
      </c>
      <c r="AA56" s="298">
        <f t="shared" si="47"/>
        <v>0</v>
      </c>
      <c r="AB56" s="298">
        <f t="shared" si="47"/>
        <v>0</v>
      </c>
      <c r="AC56" s="298">
        <f t="shared" si="47"/>
        <v>0</v>
      </c>
      <c r="AD56" s="298">
        <f t="shared" si="47"/>
        <v>0</v>
      </c>
      <c r="AE56" s="298">
        <f t="shared" si="47"/>
        <v>0</v>
      </c>
      <c r="AF56" s="298">
        <f t="shared" si="47"/>
        <v>0</v>
      </c>
      <c r="AG56" s="298">
        <f t="shared" si="47"/>
        <v>0</v>
      </c>
      <c r="AH56" s="298">
        <f t="shared" si="47"/>
        <v>0</v>
      </c>
      <c r="AI56" s="298">
        <f t="shared" si="47"/>
        <v>0</v>
      </c>
      <c r="AJ56" s="298">
        <f t="shared" si="47"/>
        <v>0</v>
      </c>
      <c r="AK56" s="298">
        <f t="shared" si="47"/>
        <v>0</v>
      </c>
      <c r="AL56" s="298">
        <f t="shared" ref="AL56:AP56" si="48">IFERROR((AL17)/AL134,0)</f>
        <v>0</v>
      </c>
      <c r="AM56" s="298">
        <f t="shared" si="48"/>
        <v>0</v>
      </c>
      <c r="AN56" s="298">
        <f t="shared" si="48"/>
        <v>0</v>
      </c>
      <c r="AO56" s="298">
        <f t="shared" si="48"/>
        <v>0</v>
      </c>
      <c r="AP56" s="298">
        <f t="shared" si="48"/>
        <v>0</v>
      </c>
      <c r="AQ56" s="299">
        <f t="shared" si="26"/>
        <v>0</v>
      </c>
    </row>
    <row r="57" spans="3:43" x14ac:dyDescent="0.25">
      <c r="C57" s="1179"/>
      <c r="D57" s="285"/>
      <c r="E57" s="297">
        <f t="shared" si="20"/>
        <v>2040</v>
      </c>
      <c r="F57" s="297"/>
      <c r="G57" s="298">
        <f t="shared" si="21"/>
        <v>0</v>
      </c>
      <c r="H57" s="298">
        <f t="shared" ref="H57:AK57" si="49">IFERROR((H18)/H135,0)</f>
        <v>0</v>
      </c>
      <c r="I57" s="298">
        <f t="shared" si="49"/>
        <v>0</v>
      </c>
      <c r="J57" s="298">
        <f t="shared" si="49"/>
        <v>0</v>
      </c>
      <c r="K57" s="298">
        <f t="shared" si="49"/>
        <v>0</v>
      </c>
      <c r="L57" s="298">
        <f t="shared" si="49"/>
        <v>0</v>
      </c>
      <c r="M57" s="298">
        <f t="shared" si="49"/>
        <v>0</v>
      </c>
      <c r="N57" s="298">
        <f t="shared" si="49"/>
        <v>0</v>
      </c>
      <c r="O57" s="298">
        <f t="shared" si="49"/>
        <v>0</v>
      </c>
      <c r="P57" s="298">
        <f t="shared" si="49"/>
        <v>0</v>
      </c>
      <c r="Q57" s="298">
        <f t="shared" si="49"/>
        <v>0</v>
      </c>
      <c r="R57" s="298">
        <f t="shared" si="49"/>
        <v>0</v>
      </c>
      <c r="S57" s="298">
        <f t="shared" si="49"/>
        <v>0</v>
      </c>
      <c r="T57" s="298">
        <f t="shared" si="49"/>
        <v>0</v>
      </c>
      <c r="U57" s="298">
        <f t="shared" si="49"/>
        <v>0</v>
      </c>
      <c r="V57" s="298">
        <f t="shared" si="49"/>
        <v>0</v>
      </c>
      <c r="W57" s="298">
        <f t="shared" si="49"/>
        <v>0</v>
      </c>
      <c r="X57" s="298">
        <f t="shared" si="49"/>
        <v>0</v>
      </c>
      <c r="Y57" s="298">
        <f t="shared" si="49"/>
        <v>0</v>
      </c>
      <c r="Z57" s="298">
        <f t="shared" si="49"/>
        <v>0</v>
      </c>
      <c r="AA57" s="298">
        <f t="shared" si="49"/>
        <v>0</v>
      </c>
      <c r="AB57" s="298">
        <f t="shared" si="49"/>
        <v>0</v>
      </c>
      <c r="AC57" s="298">
        <f t="shared" si="49"/>
        <v>0</v>
      </c>
      <c r="AD57" s="298">
        <f t="shared" si="49"/>
        <v>0</v>
      </c>
      <c r="AE57" s="298">
        <f t="shared" si="49"/>
        <v>0</v>
      </c>
      <c r="AF57" s="298">
        <f t="shared" si="49"/>
        <v>0</v>
      </c>
      <c r="AG57" s="298">
        <f t="shared" si="49"/>
        <v>0</v>
      </c>
      <c r="AH57" s="298">
        <f t="shared" si="49"/>
        <v>0</v>
      </c>
      <c r="AI57" s="298">
        <f t="shared" si="49"/>
        <v>0</v>
      </c>
      <c r="AJ57" s="298">
        <f t="shared" si="49"/>
        <v>0</v>
      </c>
      <c r="AK57" s="298">
        <f t="shared" si="49"/>
        <v>0</v>
      </c>
      <c r="AL57" s="298">
        <f t="shared" ref="AL57:AP57" si="50">IFERROR((AL18)/AL135,0)</f>
        <v>0</v>
      </c>
      <c r="AM57" s="298">
        <f t="shared" si="50"/>
        <v>0</v>
      </c>
      <c r="AN57" s="298">
        <f t="shared" si="50"/>
        <v>0</v>
      </c>
      <c r="AO57" s="298">
        <f t="shared" si="50"/>
        <v>0</v>
      </c>
      <c r="AP57" s="298">
        <f t="shared" si="50"/>
        <v>0</v>
      </c>
      <c r="AQ57" s="299">
        <f t="shared" si="26"/>
        <v>0</v>
      </c>
    </row>
    <row r="58" spans="3:43" x14ac:dyDescent="0.25">
      <c r="C58" s="1179"/>
      <c r="D58" s="285"/>
      <c r="E58" s="297">
        <f t="shared" si="20"/>
        <v>2041</v>
      </c>
      <c r="F58" s="297"/>
      <c r="G58" s="298">
        <f t="shared" si="21"/>
        <v>0</v>
      </c>
      <c r="H58" s="298">
        <f t="shared" ref="H58:AK58" si="51">IFERROR((H19)/H136,0)</f>
        <v>0</v>
      </c>
      <c r="I58" s="298">
        <f t="shared" si="51"/>
        <v>0</v>
      </c>
      <c r="J58" s="298">
        <f t="shared" si="51"/>
        <v>0</v>
      </c>
      <c r="K58" s="298">
        <f t="shared" si="51"/>
        <v>0</v>
      </c>
      <c r="L58" s="298">
        <f t="shared" si="51"/>
        <v>0</v>
      </c>
      <c r="M58" s="298">
        <f t="shared" si="51"/>
        <v>0</v>
      </c>
      <c r="N58" s="298">
        <f t="shared" si="51"/>
        <v>0</v>
      </c>
      <c r="O58" s="298">
        <f t="shared" si="51"/>
        <v>0</v>
      </c>
      <c r="P58" s="298">
        <f t="shared" si="51"/>
        <v>0</v>
      </c>
      <c r="Q58" s="298">
        <f t="shared" si="51"/>
        <v>0</v>
      </c>
      <c r="R58" s="298">
        <f t="shared" si="51"/>
        <v>0</v>
      </c>
      <c r="S58" s="298">
        <f t="shared" si="51"/>
        <v>0</v>
      </c>
      <c r="T58" s="298">
        <f t="shared" si="51"/>
        <v>0</v>
      </c>
      <c r="U58" s="298">
        <f t="shared" si="51"/>
        <v>0</v>
      </c>
      <c r="V58" s="298">
        <f t="shared" si="51"/>
        <v>0</v>
      </c>
      <c r="W58" s="298">
        <f t="shared" si="51"/>
        <v>0</v>
      </c>
      <c r="X58" s="298">
        <f t="shared" si="51"/>
        <v>0</v>
      </c>
      <c r="Y58" s="298">
        <f t="shared" si="51"/>
        <v>0</v>
      </c>
      <c r="Z58" s="298">
        <f t="shared" si="51"/>
        <v>0</v>
      </c>
      <c r="AA58" s="298">
        <f t="shared" si="51"/>
        <v>0</v>
      </c>
      <c r="AB58" s="298">
        <f t="shared" si="51"/>
        <v>0</v>
      </c>
      <c r="AC58" s="298">
        <f t="shared" si="51"/>
        <v>0</v>
      </c>
      <c r="AD58" s="298">
        <f t="shared" si="51"/>
        <v>0</v>
      </c>
      <c r="AE58" s="298">
        <f t="shared" si="51"/>
        <v>0</v>
      </c>
      <c r="AF58" s="298">
        <f t="shared" si="51"/>
        <v>0</v>
      </c>
      <c r="AG58" s="298">
        <f t="shared" si="51"/>
        <v>0</v>
      </c>
      <c r="AH58" s="298">
        <f t="shared" si="51"/>
        <v>0</v>
      </c>
      <c r="AI58" s="298">
        <f t="shared" si="51"/>
        <v>0</v>
      </c>
      <c r="AJ58" s="298">
        <f t="shared" si="51"/>
        <v>0</v>
      </c>
      <c r="AK58" s="298">
        <f t="shared" si="51"/>
        <v>0</v>
      </c>
      <c r="AL58" s="298">
        <f t="shared" ref="AL58:AP58" si="52">IFERROR((AL19)/AL136,0)</f>
        <v>0</v>
      </c>
      <c r="AM58" s="298">
        <f t="shared" si="52"/>
        <v>0</v>
      </c>
      <c r="AN58" s="298">
        <f t="shared" si="52"/>
        <v>0</v>
      </c>
      <c r="AO58" s="298">
        <f t="shared" si="52"/>
        <v>0</v>
      </c>
      <c r="AP58" s="298">
        <f t="shared" si="52"/>
        <v>0</v>
      </c>
      <c r="AQ58" s="299">
        <f t="shared" si="26"/>
        <v>0</v>
      </c>
    </row>
    <row r="59" spans="3:43" x14ac:dyDescent="0.25">
      <c r="C59" s="1179"/>
      <c r="D59" s="285"/>
      <c r="E59" s="297">
        <f t="shared" si="20"/>
        <v>2042</v>
      </c>
      <c r="F59" s="297"/>
      <c r="G59" s="298">
        <f t="shared" si="21"/>
        <v>0</v>
      </c>
      <c r="H59" s="298">
        <f t="shared" ref="H59:AK59" si="53">IFERROR((H20)/H137,0)</f>
        <v>0</v>
      </c>
      <c r="I59" s="298">
        <f t="shared" si="53"/>
        <v>0</v>
      </c>
      <c r="J59" s="298">
        <f t="shared" si="53"/>
        <v>0</v>
      </c>
      <c r="K59" s="298">
        <f t="shared" si="53"/>
        <v>0</v>
      </c>
      <c r="L59" s="298">
        <f t="shared" si="53"/>
        <v>0</v>
      </c>
      <c r="M59" s="298">
        <f t="shared" si="53"/>
        <v>0</v>
      </c>
      <c r="N59" s="298">
        <f t="shared" si="53"/>
        <v>0</v>
      </c>
      <c r="O59" s="298">
        <f t="shared" si="53"/>
        <v>0</v>
      </c>
      <c r="P59" s="298">
        <f t="shared" si="53"/>
        <v>0</v>
      </c>
      <c r="Q59" s="298">
        <f t="shared" si="53"/>
        <v>0</v>
      </c>
      <c r="R59" s="298">
        <f t="shared" si="53"/>
        <v>0</v>
      </c>
      <c r="S59" s="298">
        <f t="shared" si="53"/>
        <v>0</v>
      </c>
      <c r="T59" s="298">
        <f t="shared" si="53"/>
        <v>0</v>
      </c>
      <c r="U59" s="298">
        <f t="shared" si="53"/>
        <v>0</v>
      </c>
      <c r="V59" s="298">
        <f t="shared" si="53"/>
        <v>0</v>
      </c>
      <c r="W59" s="298">
        <f t="shared" si="53"/>
        <v>0</v>
      </c>
      <c r="X59" s="298">
        <f t="shared" si="53"/>
        <v>0</v>
      </c>
      <c r="Y59" s="298">
        <f t="shared" si="53"/>
        <v>0</v>
      </c>
      <c r="Z59" s="298">
        <f t="shared" si="53"/>
        <v>0</v>
      </c>
      <c r="AA59" s="298">
        <f t="shared" si="53"/>
        <v>0</v>
      </c>
      <c r="AB59" s="298">
        <f t="shared" si="53"/>
        <v>0</v>
      </c>
      <c r="AC59" s="298">
        <f t="shared" si="53"/>
        <v>0</v>
      </c>
      <c r="AD59" s="298">
        <f t="shared" si="53"/>
        <v>0</v>
      </c>
      <c r="AE59" s="298">
        <f t="shared" si="53"/>
        <v>0</v>
      </c>
      <c r="AF59" s="298">
        <f t="shared" si="53"/>
        <v>0</v>
      </c>
      <c r="AG59" s="298">
        <f t="shared" si="53"/>
        <v>0</v>
      </c>
      <c r="AH59" s="298">
        <f t="shared" si="53"/>
        <v>0</v>
      </c>
      <c r="AI59" s="298">
        <f t="shared" si="53"/>
        <v>0</v>
      </c>
      <c r="AJ59" s="298">
        <f t="shared" si="53"/>
        <v>0</v>
      </c>
      <c r="AK59" s="298">
        <f t="shared" si="53"/>
        <v>0</v>
      </c>
      <c r="AL59" s="298">
        <f t="shared" ref="AL59:AP59" si="54">IFERROR((AL20)/AL137,0)</f>
        <v>0</v>
      </c>
      <c r="AM59" s="298">
        <f t="shared" si="54"/>
        <v>0</v>
      </c>
      <c r="AN59" s="298">
        <f t="shared" si="54"/>
        <v>0</v>
      </c>
      <c r="AO59" s="298">
        <f t="shared" si="54"/>
        <v>0</v>
      </c>
      <c r="AP59" s="298">
        <f t="shared" si="54"/>
        <v>0</v>
      </c>
      <c r="AQ59" s="299">
        <f t="shared" si="26"/>
        <v>0</v>
      </c>
    </row>
    <row r="60" spans="3:43" x14ac:dyDescent="0.25">
      <c r="C60" s="1179"/>
      <c r="D60" s="285"/>
      <c r="E60" s="297">
        <f t="shared" si="20"/>
        <v>2043</v>
      </c>
      <c r="F60" s="297"/>
      <c r="G60" s="298">
        <f t="shared" si="21"/>
        <v>0</v>
      </c>
      <c r="H60" s="298">
        <f t="shared" ref="H60:AK60" si="55">IFERROR((H21)/H138,0)</f>
        <v>0</v>
      </c>
      <c r="I60" s="298">
        <f t="shared" si="55"/>
        <v>0</v>
      </c>
      <c r="J60" s="298">
        <f t="shared" si="55"/>
        <v>0</v>
      </c>
      <c r="K60" s="298">
        <f t="shared" si="55"/>
        <v>0</v>
      </c>
      <c r="L60" s="298">
        <f t="shared" si="55"/>
        <v>0</v>
      </c>
      <c r="M60" s="298">
        <f t="shared" si="55"/>
        <v>0</v>
      </c>
      <c r="N60" s="298">
        <f t="shared" si="55"/>
        <v>0</v>
      </c>
      <c r="O60" s="298">
        <f t="shared" si="55"/>
        <v>0</v>
      </c>
      <c r="P60" s="298">
        <f t="shared" si="55"/>
        <v>0</v>
      </c>
      <c r="Q60" s="298">
        <f t="shared" si="55"/>
        <v>0</v>
      </c>
      <c r="R60" s="298">
        <f t="shared" si="55"/>
        <v>0</v>
      </c>
      <c r="S60" s="298">
        <f t="shared" si="55"/>
        <v>0</v>
      </c>
      <c r="T60" s="298">
        <f t="shared" si="55"/>
        <v>0</v>
      </c>
      <c r="U60" s="298">
        <f t="shared" si="55"/>
        <v>0</v>
      </c>
      <c r="V60" s="298">
        <f t="shared" si="55"/>
        <v>0</v>
      </c>
      <c r="W60" s="298">
        <f t="shared" si="55"/>
        <v>0</v>
      </c>
      <c r="X60" s="298">
        <f t="shared" si="55"/>
        <v>0</v>
      </c>
      <c r="Y60" s="298">
        <f t="shared" si="55"/>
        <v>0</v>
      </c>
      <c r="Z60" s="298">
        <f t="shared" si="55"/>
        <v>0</v>
      </c>
      <c r="AA60" s="298">
        <f t="shared" si="55"/>
        <v>0</v>
      </c>
      <c r="AB60" s="298">
        <f t="shared" si="55"/>
        <v>0</v>
      </c>
      <c r="AC60" s="298">
        <f t="shared" si="55"/>
        <v>0</v>
      </c>
      <c r="AD60" s="298">
        <f t="shared" si="55"/>
        <v>0</v>
      </c>
      <c r="AE60" s="298">
        <f t="shared" si="55"/>
        <v>0</v>
      </c>
      <c r="AF60" s="298">
        <f t="shared" si="55"/>
        <v>0</v>
      </c>
      <c r="AG60" s="298">
        <f t="shared" si="55"/>
        <v>0</v>
      </c>
      <c r="AH60" s="298">
        <f t="shared" si="55"/>
        <v>0</v>
      </c>
      <c r="AI60" s="298">
        <f t="shared" si="55"/>
        <v>0</v>
      </c>
      <c r="AJ60" s="298">
        <f t="shared" si="55"/>
        <v>0</v>
      </c>
      <c r="AK60" s="298">
        <f t="shared" si="55"/>
        <v>0</v>
      </c>
      <c r="AL60" s="298">
        <f t="shared" ref="AL60:AP60" si="56">IFERROR((AL21)/AL138,0)</f>
        <v>0</v>
      </c>
      <c r="AM60" s="298">
        <f t="shared" si="56"/>
        <v>0</v>
      </c>
      <c r="AN60" s="298">
        <f t="shared" si="56"/>
        <v>0</v>
      </c>
      <c r="AO60" s="298">
        <f t="shared" si="56"/>
        <v>0</v>
      </c>
      <c r="AP60" s="298">
        <f t="shared" si="56"/>
        <v>0</v>
      </c>
      <c r="AQ60" s="299">
        <f t="shared" si="26"/>
        <v>0</v>
      </c>
    </row>
    <row r="61" spans="3:43" x14ac:dyDescent="0.25">
      <c r="C61" s="1179"/>
      <c r="D61" s="285"/>
      <c r="E61" s="297">
        <f t="shared" si="20"/>
        <v>2044</v>
      </c>
      <c r="F61" s="297"/>
      <c r="G61" s="298">
        <f t="shared" si="21"/>
        <v>0</v>
      </c>
      <c r="H61" s="298">
        <f t="shared" ref="H61:AK61" si="57">IFERROR((H22)/H139,0)</f>
        <v>0</v>
      </c>
      <c r="I61" s="298">
        <f t="shared" si="57"/>
        <v>0</v>
      </c>
      <c r="J61" s="298">
        <f t="shared" si="57"/>
        <v>0</v>
      </c>
      <c r="K61" s="298">
        <f t="shared" si="57"/>
        <v>0</v>
      </c>
      <c r="L61" s="298">
        <f t="shared" si="57"/>
        <v>0</v>
      </c>
      <c r="M61" s="298">
        <f t="shared" si="57"/>
        <v>0</v>
      </c>
      <c r="N61" s="298">
        <f t="shared" si="57"/>
        <v>0</v>
      </c>
      <c r="O61" s="298">
        <f t="shared" si="57"/>
        <v>0</v>
      </c>
      <c r="P61" s="298">
        <f t="shared" si="57"/>
        <v>0</v>
      </c>
      <c r="Q61" s="298">
        <f t="shared" si="57"/>
        <v>0</v>
      </c>
      <c r="R61" s="298">
        <f t="shared" si="57"/>
        <v>0</v>
      </c>
      <c r="S61" s="298">
        <f t="shared" si="57"/>
        <v>0</v>
      </c>
      <c r="T61" s="298">
        <f t="shared" si="57"/>
        <v>0</v>
      </c>
      <c r="U61" s="298">
        <f t="shared" si="57"/>
        <v>0</v>
      </c>
      <c r="V61" s="298">
        <f t="shared" si="57"/>
        <v>0</v>
      </c>
      <c r="W61" s="298">
        <f t="shared" si="57"/>
        <v>0</v>
      </c>
      <c r="X61" s="298">
        <f t="shared" si="57"/>
        <v>0</v>
      </c>
      <c r="Y61" s="298">
        <f t="shared" si="57"/>
        <v>0</v>
      </c>
      <c r="Z61" s="298">
        <f t="shared" si="57"/>
        <v>0</v>
      </c>
      <c r="AA61" s="298">
        <f t="shared" si="57"/>
        <v>0</v>
      </c>
      <c r="AB61" s="298">
        <f t="shared" si="57"/>
        <v>0</v>
      </c>
      <c r="AC61" s="298">
        <f t="shared" si="57"/>
        <v>0</v>
      </c>
      <c r="AD61" s="298">
        <f t="shared" si="57"/>
        <v>0</v>
      </c>
      <c r="AE61" s="298">
        <f t="shared" si="57"/>
        <v>0</v>
      </c>
      <c r="AF61" s="298">
        <f t="shared" si="57"/>
        <v>0</v>
      </c>
      <c r="AG61" s="298">
        <f t="shared" si="57"/>
        <v>0</v>
      </c>
      <c r="AH61" s="298">
        <f t="shared" si="57"/>
        <v>0</v>
      </c>
      <c r="AI61" s="298">
        <f t="shared" si="57"/>
        <v>0</v>
      </c>
      <c r="AJ61" s="298">
        <f t="shared" si="57"/>
        <v>0</v>
      </c>
      <c r="AK61" s="298">
        <f t="shared" si="57"/>
        <v>0</v>
      </c>
      <c r="AL61" s="298">
        <f t="shared" ref="AL61:AP61" si="58">IFERROR((AL22)/AL139,0)</f>
        <v>0</v>
      </c>
      <c r="AM61" s="298">
        <f t="shared" si="58"/>
        <v>0</v>
      </c>
      <c r="AN61" s="298">
        <f t="shared" si="58"/>
        <v>0</v>
      </c>
      <c r="AO61" s="298">
        <f t="shared" si="58"/>
        <v>0</v>
      </c>
      <c r="AP61" s="298">
        <f t="shared" si="58"/>
        <v>0</v>
      </c>
      <c r="AQ61" s="299">
        <f t="shared" si="26"/>
        <v>0</v>
      </c>
    </row>
    <row r="62" spans="3:43" x14ac:dyDescent="0.25">
      <c r="C62" s="1179"/>
      <c r="D62" s="285"/>
      <c r="E62" s="297">
        <f t="shared" si="20"/>
        <v>2045</v>
      </c>
      <c r="F62" s="297"/>
      <c r="G62" s="298">
        <f t="shared" si="21"/>
        <v>0</v>
      </c>
      <c r="H62" s="298">
        <f t="shared" ref="H62:AK62" si="59">IFERROR((H23)/H140,0)</f>
        <v>0</v>
      </c>
      <c r="I62" s="298">
        <f t="shared" si="59"/>
        <v>0</v>
      </c>
      <c r="J62" s="298">
        <f t="shared" si="59"/>
        <v>0</v>
      </c>
      <c r="K62" s="298">
        <f t="shared" si="59"/>
        <v>0</v>
      </c>
      <c r="L62" s="298">
        <f t="shared" si="59"/>
        <v>0</v>
      </c>
      <c r="M62" s="298">
        <f t="shared" si="59"/>
        <v>0</v>
      </c>
      <c r="N62" s="298">
        <f t="shared" si="59"/>
        <v>0</v>
      </c>
      <c r="O62" s="298">
        <f t="shared" si="59"/>
        <v>0</v>
      </c>
      <c r="P62" s="298">
        <f t="shared" si="59"/>
        <v>0</v>
      </c>
      <c r="Q62" s="298">
        <f t="shared" si="59"/>
        <v>0</v>
      </c>
      <c r="R62" s="298">
        <f t="shared" si="59"/>
        <v>0</v>
      </c>
      <c r="S62" s="298">
        <f t="shared" si="59"/>
        <v>0</v>
      </c>
      <c r="T62" s="298">
        <f t="shared" si="59"/>
        <v>0</v>
      </c>
      <c r="U62" s="298">
        <f t="shared" si="59"/>
        <v>0</v>
      </c>
      <c r="V62" s="298">
        <f t="shared" si="59"/>
        <v>0</v>
      </c>
      <c r="W62" s="298">
        <f t="shared" si="59"/>
        <v>0</v>
      </c>
      <c r="X62" s="298">
        <f t="shared" si="59"/>
        <v>0</v>
      </c>
      <c r="Y62" s="298">
        <f t="shared" si="59"/>
        <v>0</v>
      </c>
      <c r="Z62" s="298">
        <f t="shared" si="59"/>
        <v>0</v>
      </c>
      <c r="AA62" s="298">
        <f t="shared" si="59"/>
        <v>0</v>
      </c>
      <c r="AB62" s="298">
        <f t="shared" si="59"/>
        <v>0</v>
      </c>
      <c r="AC62" s="298">
        <f t="shared" si="59"/>
        <v>0</v>
      </c>
      <c r="AD62" s="298">
        <f t="shared" si="59"/>
        <v>0</v>
      </c>
      <c r="AE62" s="298">
        <f t="shared" si="59"/>
        <v>0</v>
      </c>
      <c r="AF62" s="298">
        <f t="shared" si="59"/>
        <v>0</v>
      </c>
      <c r="AG62" s="298">
        <f t="shared" si="59"/>
        <v>0</v>
      </c>
      <c r="AH62" s="298">
        <f t="shared" si="59"/>
        <v>0</v>
      </c>
      <c r="AI62" s="298">
        <f t="shared" si="59"/>
        <v>0</v>
      </c>
      <c r="AJ62" s="298">
        <f t="shared" si="59"/>
        <v>0</v>
      </c>
      <c r="AK62" s="298">
        <f t="shared" si="59"/>
        <v>0</v>
      </c>
      <c r="AL62" s="298">
        <f t="shared" ref="AL62:AP62" si="60">IFERROR((AL23)/AL140,0)</f>
        <v>0</v>
      </c>
      <c r="AM62" s="298">
        <f t="shared" si="60"/>
        <v>0</v>
      </c>
      <c r="AN62" s="298">
        <f t="shared" si="60"/>
        <v>0</v>
      </c>
      <c r="AO62" s="298">
        <f t="shared" si="60"/>
        <v>0</v>
      </c>
      <c r="AP62" s="298">
        <f t="shared" si="60"/>
        <v>0</v>
      </c>
      <c r="AQ62" s="299">
        <f t="shared" si="26"/>
        <v>0</v>
      </c>
    </row>
    <row r="63" spans="3:43" x14ac:dyDescent="0.25">
      <c r="C63" s="1179"/>
      <c r="D63" s="285"/>
      <c r="E63" s="297">
        <f t="shared" si="20"/>
        <v>2046</v>
      </c>
      <c r="F63" s="297"/>
      <c r="G63" s="298">
        <f t="shared" si="21"/>
        <v>0</v>
      </c>
      <c r="H63" s="298">
        <f t="shared" ref="H63:AK63" si="61">IFERROR((H24)/H141,0)</f>
        <v>0</v>
      </c>
      <c r="I63" s="298">
        <f t="shared" si="61"/>
        <v>0</v>
      </c>
      <c r="J63" s="298">
        <f t="shared" si="61"/>
        <v>0</v>
      </c>
      <c r="K63" s="298">
        <f t="shared" si="61"/>
        <v>0</v>
      </c>
      <c r="L63" s="298">
        <f t="shared" si="61"/>
        <v>0</v>
      </c>
      <c r="M63" s="298">
        <f t="shared" si="61"/>
        <v>0</v>
      </c>
      <c r="N63" s="298">
        <f t="shared" si="61"/>
        <v>0</v>
      </c>
      <c r="O63" s="298">
        <f t="shared" si="61"/>
        <v>0</v>
      </c>
      <c r="P63" s="298">
        <f t="shared" si="61"/>
        <v>0</v>
      </c>
      <c r="Q63" s="298">
        <f t="shared" si="61"/>
        <v>0</v>
      </c>
      <c r="R63" s="298">
        <f t="shared" si="61"/>
        <v>0</v>
      </c>
      <c r="S63" s="298">
        <f t="shared" si="61"/>
        <v>0</v>
      </c>
      <c r="T63" s="298">
        <f t="shared" si="61"/>
        <v>0</v>
      </c>
      <c r="U63" s="298">
        <f t="shared" si="61"/>
        <v>0</v>
      </c>
      <c r="V63" s="298">
        <f t="shared" si="61"/>
        <v>0</v>
      </c>
      <c r="W63" s="298">
        <f t="shared" si="61"/>
        <v>0</v>
      </c>
      <c r="X63" s="298">
        <f t="shared" si="61"/>
        <v>0</v>
      </c>
      <c r="Y63" s="298">
        <f t="shared" si="61"/>
        <v>0</v>
      </c>
      <c r="Z63" s="298">
        <f t="shared" si="61"/>
        <v>0</v>
      </c>
      <c r="AA63" s="298">
        <f t="shared" si="61"/>
        <v>0</v>
      </c>
      <c r="AB63" s="298">
        <f t="shared" si="61"/>
        <v>0</v>
      </c>
      <c r="AC63" s="298">
        <f t="shared" si="61"/>
        <v>0</v>
      </c>
      <c r="AD63" s="298">
        <f t="shared" si="61"/>
        <v>0</v>
      </c>
      <c r="AE63" s="298">
        <f t="shared" si="61"/>
        <v>0</v>
      </c>
      <c r="AF63" s="298">
        <f t="shared" si="61"/>
        <v>0</v>
      </c>
      <c r="AG63" s="298">
        <f t="shared" si="61"/>
        <v>0</v>
      </c>
      <c r="AH63" s="298">
        <f t="shared" si="61"/>
        <v>0</v>
      </c>
      <c r="AI63" s="298">
        <f t="shared" si="61"/>
        <v>0</v>
      </c>
      <c r="AJ63" s="298">
        <f t="shared" si="61"/>
        <v>0</v>
      </c>
      <c r="AK63" s="298">
        <f t="shared" si="61"/>
        <v>0</v>
      </c>
      <c r="AL63" s="298">
        <f t="shared" ref="AL63:AP63" si="62">IFERROR((AL24)/AL141,0)</f>
        <v>0</v>
      </c>
      <c r="AM63" s="298">
        <f t="shared" si="62"/>
        <v>0</v>
      </c>
      <c r="AN63" s="298">
        <f t="shared" si="62"/>
        <v>0</v>
      </c>
      <c r="AO63" s="298">
        <f t="shared" si="62"/>
        <v>0</v>
      </c>
      <c r="AP63" s="298">
        <f t="shared" si="62"/>
        <v>0</v>
      </c>
      <c r="AQ63" s="299">
        <f t="shared" si="26"/>
        <v>0</v>
      </c>
    </row>
    <row r="64" spans="3:43" x14ac:dyDescent="0.25">
      <c r="C64" s="1179"/>
      <c r="D64" s="285"/>
      <c r="E64" s="297">
        <f t="shared" si="20"/>
        <v>2047</v>
      </c>
      <c r="F64" s="297"/>
      <c r="G64" s="298">
        <f t="shared" si="21"/>
        <v>0</v>
      </c>
      <c r="H64" s="298">
        <f t="shared" ref="H64:AK64" si="63">IFERROR((H25)/H142,0)</f>
        <v>0</v>
      </c>
      <c r="I64" s="298">
        <f t="shared" si="63"/>
        <v>0</v>
      </c>
      <c r="J64" s="298">
        <f t="shared" si="63"/>
        <v>0</v>
      </c>
      <c r="K64" s="298">
        <f t="shared" si="63"/>
        <v>0</v>
      </c>
      <c r="L64" s="298">
        <f t="shared" si="63"/>
        <v>0</v>
      </c>
      <c r="M64" s="298">
        <f t="shared" si="63"/>
        <v>0</v>
      </c>
      <c r="N64" s="298">
        <f t="shared" si="63"/>
        <v>0</v>
      </c>
      <c r="O64" s="298">
        <f t="shared" si="63"/>
        <v>0</v>
      </c>
      <c r="P64" s="298">
        <f t="shared" si="63"/>
        <v>0</v>
      </c>
      <c r="Q64" s="298">
        <f t="shared" si="63"/>
        <v>0</v>
      </c>
      <c r="R64" s="298">
        <f t="shared" si="63"/>
        <v>0</v>
      </c>
      <c r="S64" s="298">
        <f t="shared" si="63"/>
        <v>0</v>
      </c>
      <c r="T64" s="298">
        <f t="shared" si="63"/>
        <v>0</v>
      </c>
      <c r="U64" s="298">
        <f t="shared" si="63"/>
        <v>0</v>
      </c>
      <c r="V64" s="298">
        <f t="shared" si="63"/>
        <v>0</v>
      </c>
      <c r="W64" s="298">
        <f t="shared" si="63"/>
        <v>0</v>
      </c>
      <c r="X64" s="298">
        <f t="shared" si="63"/>
        <v>0</v>
      </c>
      <c r="Y64" s="298">
        <f t="shared" si="63"/>
        <v>0</v>
      </c>
      <c r="Z64" s="298">
        <f t="shared" si="63"/>
        <v>0</v>
      </c>
      <c r="AA64" s="298">
        <f t="shared" si="63"/>
        <v>0</v>
      </c>
      <c r="AB64" s="298">
        <f t="shared" si="63"/>
        <v>0</v>
      </c>
      <c r="AC64" s="298">
        <f t="shared" si="63"/>
        <v>0</v>
      </c>
      <c r="AD64" s="298">
        <f t="shared" si="63"/>
        <v>0</v>
      </c>
      <c r="AE64" s="298">
        <f t="shared" si="63"/>
        <v>0</v>
      </c>
      <c r="AF64" s="298">
        <f t="shared" si="63"/>
        <v>0</v>
      </c>
      <c r="AG64" s="298">
        <f t="shared" si="63"/>
        <v>0</v>
      </c>
      <c r="AH64" s="298">
        <f t="shared" si="63"/>
        <v>0</v>
      </c>
      <c r="AI64" s="298">
        <f t="shared" si="63"/>
        <v>0</v>
      </c>
      <c r="AJ64" s="298">
        <f t="shared" si="63"/>
        <v>0</v>
      </c>
      <c r="AK64" s="298">
        <f t="shared" si="63"/>
        <v>0</v>
      </c>
      <c r="AL64" s="298">
        <f t="shared" ref="AL64:AP64" si="64">IFERROR((AL25)/AL142,0)</f>
        <v>0</v>
      </c>
      <c r="AM64" s="298">
        <f t="shared" si="64"/>
        <v>0</v>
      </c>
      <c r="AN64" s="298">
        <f t="shared" si="64"/>
        <v>0</v>
      </c>
      <c r="AO64" s="298">
        <f t="shared" si="64"/>
        <v>0</v>
      </c>
      <c r="AP64" s="298">
        <f t="shared" si="64"/>
        <v>0</v>
      </c>
      <c r="AQ64" s="299">
        <f t="shared" si="26"/>
        <v>0</v>
      </c>
    </row>
    <row r="65" spans="2:43" x14ac:dyDescent="0.25">
      <c r="C65" s="1179"/>
      <c r="D65" s="285"/>
      <c r="E65" s="297">
        <f t="shared" si="20"/>
        <v>2048</v>
      </c>
      <c r="F65" s="297"/>
      <c r="G65" s="298">
        <f t="shared" si="21"/>
        <v>0</v>
      </c>
      <c r="H65" s="298">
        <f t="shared" ref="H65:AK65" si="65">IFERROR((H26)/H143,0)</f>
        <v>0</v>
      </c>
      <c r="I65" s="298">
        <f t="shared" si="65"/>
        <v>0</v>
      </c>
      <c r="J65" s="298">
        <f t="shared" si="65"/>
        <v>0</v>
      </c>
      <c r="K65" s="298">
        <f t="shared" si="65"/>
        <v>0</v>
      </c>
      <c r="L65" s="298">
        <f t="shared" si="65"/>
        <v>0</v>
      </c>
      <c r="M65" s="298">
        <f t="shared" si="65"/>
        <v>0</v>
      </c>
      <c r="N65" s="298">
        <f t="shared" si="65"/>
        <v>0</v>
      </c>
      <c r="O65" s="298">
        <f t="shared" si="65"/>
        <v>0</v>
      </c>
      <c r="P65" s="298">
        <f t="shared" si="65"/>
        <v>0</v>
      </c>
      <c r="Q65" s="298">
        <f t="shared" si="65"/>
        <v>0</v>
      </c>
      <c r="R65" s="298">
        <f t="shared" si="65"/>
        <v>0</v>
      </c>
      <c r="S65" s="298">
        <f t="shared" si="65"/>
        <v>0</v>
      </c>
      <c r="T65" s="298">
        <f t="shared" si="65"/>
        <v>0</v>
      </c>
      <c r="U65" s="298">
        <f t="shared" si="65"/>
        <v>0</v>
      </c>
      <c r="V65" s="298">
        <f t="shared" si="65"/>
        <v>0</v>
      </c>
      <c r="W65" s="298">
        <f t="shared" si="65"/>
        <v>0</v>
      </c>
      <c r="X65" s="298">
        <f t="shared" si="65"/>
        <v>0</v>
      </c>
      <c r="Y65" s="298">
        <f t="shared" si="65"/>
        <v>0</v>
      </c>
      <c r="Z65" s="298">
        <f t="shared" si="65"/>
        <v>0</v>
      </c>
      <c r="AA65" s="298">
        <f t="shared" si="65"/>
        <v>0</v>
      </c>
      <c r="AB65" s="298">
        <f t="shared" si="65"/>
        <v>0</v>
      </c>
      <c r="AC65" s="298">
        <f t="shared" si="65"/>
        <v>0</v>
      </c>
      <c r="AD65" s="298">
        <f t="shared" si="65"/>
        <v>0</v>
      </c>
      <c r="AE65" s="298">
        <f t="shared" si="65"/>
        <v>0</v>
      </c>
      <c r="AF65" s="298">
        <f t="shared" si="65"/>
        <v>0</v>
      </c>
      <c r="AG65" s="298">
        <f t="shared" si="65"/>
        <v>0</v>
      </c>
      <c r="AH65" s="298">
        <f t="shared" si="65"/>
        <v>0</v>
      </c>
      <c r="AI65" s="298">
        <f t="shared" si="65"/>
        <v>0</v>
      </c>
      <c r="AJ65" s="298">
        <f t="shared" si="65"/>
        <v>0</v>
      </c>
      <c r="AK65" s="298">
        <f t="shared" si="65"/>
        <v>0</v>
      </c>
      <c r="AL65" s="298">
        <f t="shared" ref="AL65:AP65" si="66">IFERROR((AL26)/AL143,0)</f>
        <v>0</v>
      </c>
      <c r="AM65" s="298">
        <f t="shared" si="66"/>
        <v>0</v>
      </c>
      <c r="AN65" s="298">
        <f t="shared" si="66"/>
        <v>0</v>
      </c>
      <c r="AO65" s="298">
        <f t="shared" si="66"/>
        <v>0</v>
      </c>
      <c r="AP65" s="298">
        <f t="shared" si="66"/>
        <v>0</v>
      </c>
      <c r="AQ65" s="299">
        <f t="shared" si="26"/>
        <v>0</v>
      </c>
    </row>
    <row r="66" spans="2:43" x14ac:dyDescent="0.25">
      <c r="C66" s="1179"/>
      <c r="D66" s="285"/>
      <c r="E66" s="297">
        <f t="shared" si="20"/>
        <v>2049</v>
      </c>
      <c r="F66" s="297"/>
      <c r="G66" s="298">
        <f t="shared" si="21"/>
        <v>0</v>
      </c>
      <c r="H66" s="298">
        <f t="shared" ref="H66:AK66" si="67">IFERROR((H27)/H144,0)</f>
        <v>0</v>
      </c>
      <c r="I66" s="298">
        <f t="shared" si="67"/>
        <v>0</v>
      </c>
      <c r="J66" s="298">
        <f t="shared" si="67"/>
        <v>0</v>
      </c>
      <c r="K66" s="298">
        <f t="shared" si="67"/>
        <v>0</v>
      </c>
      <c r="L66" s="298">
        <f t="shared" si="67"/>
        <v>0</v>
      </c>
      <c r="M66" s="298">
        <f t="shared" si="67"/>
        <v>0</v>
      </c>
      <c r="N66" s="298">
        <f t="shared" si="67"/>
        <v>0</v>
      </c>
      <c r="O66" s="298">
        <f t="shared" si="67"/>
        <v>0</v>
      </c>
      <c r="P66" s="298">
        <f t="shared" si="67"/>
        <v>0</v>
      </c>
      <c r="Q66" s="298">
        <f t="shared" si="67"/>
        <v>0</v>
      </c>
      <c r="R66" s="298">
        <f t="shared" si="67"/>
        <v>0</v>
      </c>
      <c r="S66" s="298">
        <f t="shared" si="67"/>
        <v>0</v>
      </c>
      <c r="T66" s="298">
        <f t="shared" si="67"/>
        <v>0</v>
      </c>
      <c r="U66" s="298">
        <f t="shared" si="67"/>
        <v>0</v>
      </c>
      <c r="V66" s="298">
        <f t="shared" si="67"/>
        <v>0</v>
      </c>
      <c r="W66" s="298">
        <f t="shared" si="67"/>
        <v>0</v>
      </c>
      <c r="X66" s="298">
        <f t="shared" si="67"/>
        <v>0</v>
      </c>
      <c r="Y66" s="298">
        <f t="shared" si="67"/>
        <v>0</v>
      </c>
      <c r="Z66" s="298">
        <f t="shared" si="67"/>
        <v>0</v>
      </c>
      <c r="AA66" s="298">
        <f t="shared" si="67"/>
        <v>0</v>
      </c>
      <c r="AB66" s="298">
        <f t="shared" si="67"/>
        <v>0</v>
      </c>
      <c r="AC66" s="298">
        <f t="shared" si="67"/>
        <v>0</v>
      </c>
      <c r="AD66" s="298">
        <f t="shared" si="67"/>
        <v>0</v>
      </c>
      <c r="AE66" s="298">
        <f t="shared" si="67"/>
        <v>0</v>
      </c>
      <c r="AF66" s="298">
        <f t="shared" si="67"/>
        <v>0</v>
      </c>
      <c r="AG66" s="298">
        <f t="shared" si="67"/>
        <v>0</v>
      </c>
      <c r="AH66" s="298">
        <f t="shared" si="67"/>
        <v>0</v>
      </c>
      <c r="AI66" s="298">
        <f t="shared" si="67"/>
        <v>0</v>
      </c>
      <c r="AJ66" s="298">
        <f t="shared" si="67"/>
        <v>0</v>
      </c>
      <c r="AK66" s="298">
        <f t="shared" si="67"/>
        <v>0</v>
      </c>
      <c r="AL66" s="298">
        <f t="shared" ref="AL66:AP66" si="68">IFERROR((AL27)/AL144,0)</f>
        <v>0</v>
      </c>
      <c r="AM66" s="298">
        <f t="shared" si="68"/>
        <v>0</v>
      </c>
      <c r="AN66" s="298">
        <f t="shared" si="68"/>
        <v>0</v>
      </c>
      <c r="AO66" s="298">
        <f t="shared" si="68"/>
        <v>0</v>
      </c>
      <c r="AP66" s="298">
        <f t="shared" si="68"/>
        <v>0</v>
      </c>
      <c r="AQ66" s="299">
        <f t="shared" si="26"/>
        <v>0</v>
      </c>
    </row>
    <row r="67" spans="2:43" x14ac:dyDescent="0.25">
      <c r="C67" s="1179"/>
      <c r="D67" s="285"/>
      <c r="E67" s="297">
        <f t="shared" si="20"/>
        <v>2050</v>
      </c>
      <c r="F67" s="297"/>
      <c r="G67" s="298">
        <f t="shared" si="21"/>
        <v>0</v>
      </c>
      <c r="H67" s="298">
        <f t="shared" ref="H67:AK67" si="69">IFERROR((H28)/H145,0)</f>
        <v>0</v>
      </c>
      <c r="I67" s="298">
        <f t="shared" si="69"/>
        <v>0</v>
      </c>
      <c r="J67" s="298">
        <f t="shared" si="69"/>
        <v>0</v>
      </c>
      <c r="K67" s="298">
        <f t="shared" si="69"/>
        <v>0</v>
      </c>
      <c r="L67" s="298">
        <f t="shared" si="69"/>
        <v>0</v>
      </c>
      <c r="M67" s="298">
        <f t="shared" si="69"/>
        <v>0</v>
      </c>
      <c r="N67" s="298">
        <f t="shared" si="69"/>
        <v>0</v>
      </c>
      <c r="O67" s="298">
        <f t="shared" si="69"/>
        <v>0</v>
      </c>
      <c r="P67" s="298">
        <f t="shared" si="69"/>
        <v>0</v>
      </c>
      <c r="Q67" s="298">
        <f t="shared" si="69"/>
        <v>0</v>
      </c>
      <c r="R67" s="298">
        <f t="shared" si="69"/>
        <v>0</v>
      </c>
      <c r="S67" s="298">
        <f t="shared" si="69"/>
        <v>0</v>
      </c>
      <c r="T67" s="298">
        <f t="shared" si="69"/>
        <v>0</v>
      </c>
      <c r="U67" s="298">
        <f t="shared" si="69"/>
        <v>0</v>
      </c>
      <c r="V67" s="298">
        <f t="shared" si="69"/>
        <v>0</v>
      </c>
      <c r="W67" s="298">
        <f t="shared" si="69"/>
        <v>0</v>
      </c>
      <c r="X67" s="298">
        <f t="shared" si="69"/>
        <v>0</v>
      </c>
      <c r="Y67" s="298">
        <f t="shared" si="69"/>
        <v>0</v>
      </c>
      <c r="Z67" s="298">
        <f t="shared" si="69"/>
        <v>0</v>
      </c>
      <c r="AA67" s="298">
        <f t="shared" si="69"/>
        <v>0</v>
      </c>
      <c r="AB67" s="298">
        <f t="shared" si="69"/>
        <v>0</v>
      </c>
      <c r="AC67" s="298">
        <f t="shared" si="69"/>
        <v>0</v>
      </c>
      <c r="AD67" s="298">
        <f t="shared" si="69"/>
        <v>0</v>
      </c>
      <c r="AE67" s="298">
        <f t="shared" si="69"/>
        <v>0</v>
      </c>
      <c r="AF67" s="298">
        <f t="shared" si="69"/>
        <v>0</v>
      </c>
      <c r="AG67" s="298">
        <f t="shared" si="69"/>
        <v>0</v>
      </c>
      <c r="AH67" s="298">
        <f t="shared" si="69"/>
        <v>0</v>
      </c>
      <c r="AI67" s="298">
        <f t="shared" si="69"/>
        <v>0</v>
      </c>
      <c r="AJ67" s="298">
        <f t="shared" si="69"/>
        <v>0</v>
      </c>
      <c r="AK67" s="298">
        <f t="shared" si="69"/>
        <v>0</v>
      </c>
      <c r="AL67" s="298">
        <f t="shared" ref="AL67:AP67" si="70">IFERROR((AL28)/AL145,0)</f>
        <v>0</v>
      </c>
      <c r="AM67" s="298">
        <f t="shared" si="70"/>
        <v>0</v>
      </c>
      <c r="AN67" s="298">
        <f t="shared" si="70"/>
        <v>0</v>
      </c>
      <c r="AO67" s="298">
        <f t="shared" si="70"/>
        <v>0</v>
      </c>
      <c r="AP67" s="298">
        <f t="shared" si="70"/>
        <v>0</v>
      </c>
      <c r="AQ67" s="299">
        <f t="shared" si="26"/>
        <v>0</v>
      </c>
    </row>
    <row r="68" spans="2:43" x14ac:dyDescent="0.25">
      <c r="C68" s="1179"/>
      <c r="D68" s="285"/>
      <c r="E68" s="297">
        <f t="shared" si="20"/>
        <v>2051</v>
      </c>
      <c r="F68" s="297"/>
      <c r="G68" s="298">
        <f t="shared" si="21"/>
        <v>0</v>
      </c>
      <c r="H68" s="298">
        <f t="shared" ref="H68:AK68" si="71">IFERROR((H29)/H146,0)</f>
        <v>0</v>
      </c>
      <c r="I68" s="298">
        <f t="shared" si="71"/>
        <v>0</v>
      </c>
      <c r="J68" s="298">
        <f t="shared" si="71"/>
        <v>0</v>
      </c>
      <c r="K68" s="298">
        <f t="shared" si="71"/>
        <v>0</v>
      </c>
      <c r="L68" s="298">
        <f t="shared" si="71"/>
        <v>0</v>
      </c>
      <c r="M68" s="298">
        <f t="shared" si="71"/>
        <v>0</v>
      </c>
      <c r="N68" s="298">
        <f t="shared" si="71"/>
        <v>0</v>
      </c>
      <c r="O68" s="298">
        <f t="shared" si="71"/>
        <v>0</v>
      </c>
      <c r="P68" s="298">
        <f t="shared" si="71"/>
        <v>0</v>
      </c>
      <c r="Q68" s="298">
        <f t="shared" si="71"/>
        <v>0</v>
      </c>
      <c r="R68" s="298">
        <f t="shared" si="71"/>
        <v>0</v>
      </c>
      <c r="S68" s="298">
        <f t="shared" si="71"/>
        <v>0</v>
      </c>
      <c r="T68" s="298">
        <f t="shared" si="71"/>
        <v>0</v>
      </c>
      <c r="U68" s="298">
        <f t="shared" si="71"/>
        <v>0</v>
      </c>
      <c r="V68" s="298">
        <f t="shared" si="71"/>
        <v>0</v>
      </c>
      <c r="W68" s="298">
        <f t="shared" si="71"/>
        <v>0</v>
      </c>
      <c r="X68" s="298">
        <f t="shared" si="71"/>
        <v>0</v>
      </c>
      <c r="Y68" s="298">
        <f t="shared" si="71"/>
        <v>0</v>
      </c>
      <c r="Z68" s="298">
        <f t="shared" si="71"/>
        <v>0</v>
      </c>
      <c r="AA68" s="298">
        <f t="shared" si="71"/>
        <v>0</v>
      </c>
      <c r="AB68" s="298">
        <f t="shared" si="71"/>
        <v>0</v>
      </c>
      <c r="AC68" s="298">
        <f t="shared" si="71"/>
        <v>0</v>
      </c>
      <c r="AD68" s="298">
        <f t="shared" si="71"/>
        <v>0</v>
      </c>
      <c r="AE68" s="298">
        <f t="shared" si="71"/>
        <v>0</v>
      </c>
      <c r="AF68" s="298">
        <f t="shared" si="71"/>
        <v>0</v>
      </c>
      <c r="AG68" s="298">
        <f t="shared" si="71"/>
        <v>0</v>
      </c>
      <c r="AH68" s="298">
        <f t="shared" si="71"/>
        <v>0</v>
      </c>
      <c r="AI68" s="298">
        <f t="shared" si="71"/>
        <v>0</v>
      </c>
      <c r="AJ68" s="298">
        <f t="shared" si="71"/>
        <v>0</v>
      </c>
      <c r="AK68" s="298">
        <f t="shared" si="71"/>
        <v>0</v>
      </c>
      <c r="AL68" s="298">
        <f t="shared" ref="AL68:AP68" si="72">IFERROR((AL29)/AL146,0)</f>
        <v>0</v>
      </c>
      <c r="AM68" s="298">
        <f t="shared" si="72"/>
        <v>0</v>
      </c>
      <c r="AN68" s="298">
        <f t="shared" si="72"/>
        <v>0</v>
      </c>
      <c r="AO68" s="298">
        <f t="shared" si="72"/>
        <v>0</v>
      </c>
      <c r="AP68" s="298">
        <f t="shared" si="72"/>
        <v>0</v>
      </c>
      <c r="AQ68" s="299">
        <f t="shared" si="26"/>
        <v>0</v>
      </c>
    </row>
    <row r="69" spans="2:43" x14ac:dyDescent="0.25">
      <c r="C69" s="1179"/>
      <c r="D69" s="285"/>
      <c r="E69" s="297">
        <f t="shared" si="20"/>
        <v>2052</v>
      </c>
      <c r="F69" s="297"/>
      <c r="G69" s="298">
        <f t="shared" si="21"/>
        <v>0</v>
      </c>
      <c r="H69" s="298">
        <f t="shared" ref="H69:AK69" si="73">IFERROR((H30)/H147,0)</f>
        <v>0</v>
      </c>
      <c r="I69" s="298">
        <f t="shared" si="73"/>
        <v>0</v>
      </c>
      <c r="J69" s="298">
        <f t="shared" si="73"/>
        <v>0</v>
      </c>
      <c r="K69" s="298">
        <f t="shared" si="73"/>
        <v>0</v>
      </c>
      <c r="L69" s="298">
        <f t="shared" si="73"/>
        <v>0</v>
      </c>
      <c r="M69" s="298">
        <f t="shared" si="73"/>
        <v>0</v>
      </c>
      <c r="N69" s="298">
        <f t="shared" si="73"/>
        <v>0</v>
      </c>
      <c r="O69" s="298">
        <f t="shared" si="73"/>
        <v>0</v>
      </c>
      <c r="P69" s="298">
        <f t="shared" si="73"/>
        <v>0</v>
      </c>
      <c r="Q69" s="298">
        <f t="shared" si="73"/>
        <v>0</v>
      </c>
      <c r="R69" s="298">
        <f t="shared" si="73"/>
        <v>0</v>
      </c>
      <c r="S69" s="298">
        <f t="shared" si="73"/>
        <v>0</v>
      </c>
      <c r="T69" s="298">
        <f t="shared" si="73"/>
        <v>0</v>
      </c>
      <c r="U69" s="298">
        <f t="shared" si="73"/>
        <v>0</v>
      </c>
      <c r="V69" s="298">
        <f t="shared" si="73"/>
        <v>0</v>
      </c>
      <c r="W69" s="298">
        <f t="shared" si="73"/>
        <v>0</v>
      </c>
      <c r="X69" s="298">
        <f t="shared" si="73"/>
        <v>0</v>
      </c>
      <c r="Y69" s="298">
        <f t="shared" si="73"/>
        <v>0</v>
      </c>
      <c r="Z69" s="298">
        <f t="shared" si="73"/>
        <v>0</v>
      </c>
      <c r="AA69" s="298">
        <f t="shared" si="73"/>
        <v>0</v>
      </c>
      <c r="AB69" s="298">
        <f t="shared" si="73"/>
        <v>0</v>
      </c>
      <c r="AC69" s="298">
        <f t="shared" si="73"/>
        <v>0</v>
      </c>
      <c r="AD69" s="298">
        <f t="shared" si="73"/>
        <v>0</v>
      </c>
      <c r="AE69" s="298">
        <f t="shared" si="73"/>
        <v>0</v>
      </c>
      <c r="AF69" s="298">
        <f t="shared" si="73"/>
        <v>0</v>
      </c>
      <c r="AG69" s="298">
        <f t="shared" si="73"/>
        <v>0</v>
      </c>
      <c r="AH69" s="298">
        <f t="shared" si="73"/>
        <v>0</v>
      </c>
      <c r="AI69" s="298">
        <f t="shared" si="73"/>
        <v>0</v>
      </c>
      <c r="AJ69" s="298">
        <f t="shared" si="73"/>
        <v>0</v>
      </c>
      <c r="AK69" s="298">
        <f t="shared" si="73"/>
        <v>0</v>
      </c>
      <c r="AL69" s="298">
        <f t="shared" ref="AL69:AP69" si="74">IFERROR((AL30)/AL147,0)</f>
        <v>0</v>
      </c>
      <c r="AM69" s="298">
        <f t="shared" si="74"/>
        <v>0</v>
      </c>
      <c r="AN69" s="298">
        <f t="shared" si="74"/>
        <v>0</v>
      </c>
      <c r="AO69" s="298">
        <f t="shared" si="74"/>
        <v>0</v>
      </c>
      <c r="AP69" s="298">
        <f t="shared" si="74"/>
        <v>0</v>
      </c>
      <c r="AQ69" s="299">
        <f t="shared" si="26"/>
        <v>0</v>
      </c>
    </row>
    <row r="70" spans="2:43" x14ac:dyDescent="0.25">
      <c r="C70" s="1179"/>
      <c r="D70" s="285"/>
      <c r="E70" s="297">
        <f t="shared" si="20"/>
        <v>2053</v>
      </c>
      <c r="F70" s="297"/>
      <c r="G70" s="298">
        <f t="shared" si="21"/>
        <v>0</v>
      </c>
      <c r="H70" s="298">
        <f t="shared" ref="H70:AK70" si="75">IFERROR((H31)/H148,0)</f>
        <v>0</v>
      </c>
      <c r="I70" s="298">
        <f t="shared" si="75"/>
        <v>0</v>
      </c>
      <c r="J70" s="298">
        <f t="shared" si="75"/>
        <v>0</v>
      </c>
      <c r="K70" s="298">
        <f t="shared" si="75"/>
        <v>0</v>
      </c>
      <c r="L70" s="298">
        <f t="shared" si="75"/>
        <v>0</v>
      </c>
      <c r="M70" s="298">
        <f t="shared" si="75"/>
        <v>0</v>
      </c>
      <c r="N70" s="298">
        <f t="shared" si="75"/>
        <v>0</v>
      </c>
      <c r="O70" s="298">
        <f t="shared" si="75"/>
        <v>0</v>
      </c>
      <c r="P70" s="298">
        <f t="shared" si="75"/>
        <v>0</v>
      </c>
      <c r="Q70" s="298">
        <f t="shared" si="75"/>
        <v>0</v>
      </c>
      <c r="R70" s="298">
        <f t="shared" si="75"/>
        <v>0</v>
      </c>
      <c r="S70" s="298">
        <f t="shared" si="75"/>
        <v>0</v>
      </c>
      <c r="T70" s="298">
        <f t="shared" si="75"/>
        <v>0</v>
      </c>
      <c r="U70" s="298">
        <f t="shared" si="75"/>
        <v>0</v>
      </c>
      <c r="V70" s="298">
        <f t="shared" si="75"/>
        <v>0</v>
      </c>
      <c r="W70" s="298">
        <f t="shared" si="75"/>
        <v>0</v>
      </c>
      <c r="X70" s="298">
        <f t="shared" si="75"/>
        <v>0</v>
      </c>
      <c r="Y70" s="298">
        <f t="shared" si="75"/>
        <v>0</v>
      </c>
      <c r="Z70" s="298">
        <f t="shared" si="75"/>
        <v>0</v>
      </c>
      <c r="AA70" s="298">
        <f t="shared" si="75"/>
        <v>0</v>
      </c>
      <c r="AB70" s="298">
        <f t="shared" si="75"/>
        <v>0</v>
      </c>
      <c r="AC70" s="298">
        <f t="shared" si="75"/>
        <v>0</v>
      </c>
      <c r="AD70" s="298">
        <f t="shared" si="75"/>
        <v>0</v>
      </c>
      <c r="AE70" s="298">
        <f t="shared" si="75"/>
        <v>0</v>
      </c>
      <c r="AF70" s="298">
        <f t="shared" si="75"/>
        <v>0</v>
      </c>
      <c r="AG70" s="298">
        <f t="shared" si="75"/>
        <v>0</v>
      </c>
      <c r="AH70" s="298">
        <f t="shared" si="75"/>
        <v>0</v>
      </c>
      <c r="AI70" s="298">
        <f t="shared" si="75"/>
        <v>0</v>
      </c>
      <c r="AJ70" s="298">
        <f t="shared" si="75"/>
        <v>0</v>
      </c>
      <c r="AK70" s="298">
        <f t="shared" si="75"/>
        <v>0</v>
      </c>
      <c r="AL70" s="298">
        <f t="shared" ref="AL70:AP70" si="76">IFERROR((AL31)/AL148,0)</f>
        <v>0</v>
      </c>
      <c r="AM70" s="298">
        <f t="shared" si="76"/>
        <v>0</v>
      </c>
      <c r="AN70" s="298">
        <f t="shared" si="76"/>
        <v>0</v>
      </c>
      <c r="AO70" s="298">
        <f t="shared" si="76"/>
        <v>0</v>
      </c>
      <c r="AP70" s="298">
        <f t="shared" si="76"/>
        <v>0</v>
      </c>
      <c r="AQ70" s="299">
        <f t="shared" si="26"/>
        <v>0</v>
      </c>
    </row>
    <row r="71" spans="2:43" x14ac:dyDescent="0.25">
      <c r="C71" s="1179"/>
      <c r="D71" s="285"/>
      <c r="E71" s="297">
        <f t="shared" si="20"/>
        <v>2054</v>
      </c>
      <c r="F71" s="297"/>
      <c r="G71" s="298">
        <f t="shared" si="21"/>
        <v>0</v>
      </c>
      <c r="H71" s="298">
        <f t="shared" ref="H71:AK71" si="77">IFERROR((H32)/H149,0)</f>
        <v>0</v>
      </c>
      <c r="I71" s="298">
        <f t="shared" si="77"/>
        <v>0</v>
      </c>
      <c r="J71" s="298">
        <f t="shared" si="77"/>
        <v>0</v>
      </c>
      <c r="K71" s="298">
        <f t="shared" si="77"/>
        <v>0</v>
      </c>
      <c r="L71" s="298">
        <f t="shared" si="77"/>
        <v>0</v>
      </c>
      <c r="M71" s="298">
        <f t="shared" si="77"/>
        <v>0</v>
      </c>
      <c r="N71" s="298">
        <f t="shared" si="77"/>
        <v>0</v>
      </c>
      <c r="O71" s="298">
        <f t="shared" si="77"/>
        <v>0</v>
      </c>
      <c r="P71" s="298">
        <f t="shared" si="77"/>
        <v>0</v>
      </c>
      <c r="Q71" s="298">
        <f t="shared" si="77"/>
        <v>0</v>
      </c>
      <c r="R71" s="298">
        <f t="shared" si="77"/>
        <v>0</v>
      </c>
      <c r="S71" s="298">
        <f t="shared" si="77"/>
        <v>0</v>
      </c>
      <c r="T71" s="298">
        <f t="shared" si="77"/>
        <v>0</v>
      </c>
      <c r="U71" s="298">
        <f t="shared" si="77"/>
        <v>0</v>
      </c>
      <c r="V71" s="298">
        <f t="shared" si="77"/>
        <v>0</v>
      </c>
      <c r="W71" s="298">
        <f t="shared" si="77"/>
        <v>0</v>
      </c>
      <c r="X71" s="298">
        <f t="shared" si="77"/>
        <v>0</v>
      </c>
      <c r="Y71" s="298">
        <f t="shared" si="77"/>
        <v>0</v>
      </c>
      <c r="Z71" s="298">
        <f t="shared" si="77"/>
        <v>0</v>
      </c>
      <c r="AA71" s="298">
        <f t="shared" si="77"/>
        <v>0</v>
      </c>
      <c r="AB71" s="298">
        <f t="shared" si="77"/>
        <v>0</v>
      </c>
      <c r="AC71" s="298">
        <f t="shared" si="77"/>
        <v>0</v>
      </c>
      <c r="AD71" s="298">
        <f t="shared" si="77"/>
        <v>0</v>
      </c>
      <c r="AE71" s="298">
        <f t="shared" si="77"/>
        <v>0</v>
      </c>
      <c r="AF71" s="298">
        <f t="shared" si="77"/>
        <v>0</v>
      </c>
      <c r="AG71" s="298">
        <f t="shared" si="77"/>
        <v>0</v>
      </c>
      <c r="AH71" s="298">
        <f t="shared" si="77"/>
        <v>0</v>
      </c>
      <c r="AI71" s="298">
        <f t="shared" si="77"/>
        <v>0</v>
      </c>
      <c r="AJ71" s="298">
        <f t="shared" si="77"/>
        <v>0</v>
      </c>
      <c r="AK71" s="298">
        <f t="shared" si="77"/>
        <v>0</v>
      </c>
      <c r="AL71" s="298">
        <f t="shared" ref="AL71:AP71" si="78">IFERROR((AL32)/AL149,0)</f>
        <v>0</v>
      </c>
      <c r="AM71" s="298">
        <f t="shared" si="78"/>
        <v>0</v>
      </c>
      <c r="AN71" s="298">
        <f t="shared" si="78"/>
        <v>0</v>
      </c>
      <c r="AO71" s="298">
        <f t="shared" si="78"/>
        <v>0</v>
      </c>
      <c r="AP71" s="298">
        <f t="shared" si="78"/>
        <v>0</v>
      </c>
      <c r="AQ71" s="299">
        <f t="shared" si="26"/>
        <v>0</v>
      </c>
    </row>
    <row r="72" spans="2:43" x14ac:dyDescent="0.25">
      <c r="C72" s="1179"/>
      <c r="D72" s="285"/>
      <c r="E72" s="297">
        <f t="shared" si="20"/>
        <v>2055</v>
      </c>
      <c r="F72" s="297"/>
      <c r="G72" s="298">
        <f t="shared" si="21"/>
        <v>0</v>
      </c>
      <c r="H72" s="298">
        <f t="shared" ref="H72:AK72" si="79">IFERROR((H33)/H150,0)</f>
        <v>0</v>
      </c>
      <c r="I72" s="298">
        <f t="shared" si="79"/>
        <v>0</v>
      </c>
      <c r="J72" s="298">
        <f t="shared" si="79"/>
        <v>0</v>
      </c>
      <c r="K72" s="298">
        <f t="shared" si="79"/>
        <v>0</v>
      </c>
      <c r="L72" s="298">
        <f t="shared" si="79"/>
        <v>0</v>
      </c>
      <c r="M72" s="298">
        <f t="shared" si="79"/>
        <v>0</v>
      </c>
      <c r="N72" s="298">
        <f t="shared" si="79"/>
        <v>0</v>
      </c>
      <c r="O72" s="298">
        <f t="shared" si="79"/>
        <v>0</v>
      </c>
      <c r="P72" s="298">
        <f t="shared" si="79"/>
        <v>0</v>
      </c>
      <c r="Q72" s="298">
        <f t="shared" si="79"/>
        <v>0</v>
      </c>
      <c r="R72" s="298">
        <f t="shared" si="79"/>
        <v>0</v>
      </c>
      <c r="S72" s="298">
        <f t="shared" si="79"/>
        <v>0</v>
      </c>
      <c r="T72" s="298">
        <f t="shared" si="79"/>
        <v>0</v>
      </c>
      <c r="U72" s="298">
        <f t="shared" si="79"/>
        <v>0</v>
      </c>
      <c r="V72" s="298">
        <f t="shared" si="79"/>
        <v>0</v>
      </c>
      <c r="W72" s="298">
        <f t="shared" si="79"/>
        <v>0</v>
      </c>
      <c r="X72" s="298">
        <f t="shared" si="79"/>
        <v>0</v>
      </c>
      <c r="Y72" s="298">
        <f t="shared" si="79"/>
        <v>0</v>
      </c>
      <c r="Z72" s="298">
        <f t="shared" si="79"/>
        <v>0</v>
      </c>
      <c r="AA72" s="298">
        <f t="shared" si="79"/>
        <v>0</v>
      </c>
      <c r="AB72" s="298">
        <f t="shared" si="79"/>
        <v>0</v>
      </c>
      <c r="AC72" s="298">
        <f t="shared" si="79"/>
        <v>0</v>
      </c>
      <c r="AD72" s="298">
        <f t="shared" si="79"/>
        <v>0</v>
      </c>
      <c r="AE72" s="298">
        <f t="shared" si="79"/>
        <v>0</v>
      </c>
      <c r="AF72" s="298">
        <f t="shared" si="79"/>
        <v>0</v>
      </c>
      <c r="AG72" s="298">
        <f t="shared" si="79"/>
        <v>0</v>
      </c>
      <c r="AH72" s="298">
        <f t="shared" si="79"/>
        <v>0</v>
      </c>
      <c r="AI72" s="298">
        <f t="shared" si="79"/>
        <v>0</v>
      </c>
      <c r="AJ72" s="298">
        <f t="shared" si="79"/>
        <v>0</v>
      </c>
      <c r="AK72" s="298">
        <f t="shared" si="79"/>
        <v>0</v>
      </c>
      <c r="AL72" s="298">
        <f t="shared" ref="AL72:AP72" si="80">IFERROR((AL33)/AL150,0)</f>
        <v>0</v>
      </c>
      <c r="AM72" s="298">
        <f t="shared" si="80"/>
        <v>0</v>
      </c>
      <c r="AN72" s="298">
        <f t="shared" si="80"/>
        <v>0</v>
      </c>
      <c r="AO72" s="298">
        <f t="shared" si="80"/>
        <v>0</v>
      </c>
      <c r="AP72" s="298">
        <f t="shared" si="80"/>
        <v>0</v>
      </c>
      <c r="AQ72" s="299">
        <f t="shared" si="26"/>
        <v>0</v>
      </c>
    </row>
    <row r="73" spans="2:43" x14ac:dyDescent="0.25">
      <c r="C73" s="1179"/>
      <c r="D73" s="285"/>
      <c r="E73" s="297">
        <f t="shared" si="20"/>
        <v>2056</v>
      </c>
      <c r="F73" s="297"/>
      <c r="G73" s="298">
        <f t="shared" si="21"/>
        <v>0</v>
      </c>
      <c r="H73" s="298">
        <f t="shared" ref="H73:AK73" si="81">IFERROR((H34)/H151,0)</f>
        <v>0</v>
      </c>
      <c r="I73" s="298">
        <f t="shared" si="81"/>
        <v>0</v>
      </c>
      <c r="J73" s="298">
        <f t="shared" si="81"/>
        <v>0</v>
      </c>
      <c r="K73" s="298">
        <f t="shared" si="81"/>
        <v>0</v>
      </c>
      <c r="L73" s="298">
        <f t="shared" si="81"/>
        <v>0</v>
      </c>
      <c r="M73" s="298">
        <f t="shared" si="81"/>
        <v>0</v>
      </c>
      <c r="N73" s="298">
        <f t="shared" si="81"/>
        <v>0</v>
      </c>
      <c r="O73" s="298">
        <f t="shared" si="81"/>
        <v>0</v>
      </c>
      <c r="P73" s="298">
        <f t="shared" si="81"/>
        <v>0</v>
      </c>
      <c r="Q73" s="298">
        <f t="shared" si="81"/>
        <v>0</v>
      </c>
      <c r="R73" s="298">
        <f t="shared" si="81"/>
        <v>0</v>
      </c>
      <c r="S73" s="298">
        <f t="shared" si="81"/>
        <v>0</v>
      </c>
      <c r="T73" s="298">
        <f t="shared" si="81"/>
        <v>0</v>
      </c>
      <c r="U73" s="298">
        <f t="shared" si="81"/>
        <v>0</v>
      </c>
      <c r="V73" s="298">
        <f t="shared" si="81"/>
        <v>0</v>
      </c>
      <c r="W73" s="298">
        <f t="shared" si="81"/>
        <v>0</v>
      </c>
      <c r="X73" s="298">
        <f t="shared" si="81"/>
        <v>0</v>
      </c>
      <c r="Y73" s="298">
        <f t="shared" si="81"/>
        <v>0</v>
      </c>
      <c r="Z73" s="298">
        <f t="shared" si="81"/>
        <v>0</v>
      </c>
      <c r="AA73" s="298">
        <f t="shared" si="81"/>
        <v>0</v>
      </c>
      <c r="AB73" s="298">
        <f t="shared" si="81"/>
        <v>0</v>
      </c>
      <c r="AC73" s="298">
        <f t="shared" si="81"/>
        <v>0</v>
      </c>
      <c r="AD73" s="298">
        <f t="shared" si="81"/>
        <v>0</v>
      </c>
      <c r="AE73" s="298">
        <f t="shared" si="81"/>
        <v>0</v>
      </c>
      <c r="AF73" s="298">
        <f t="shared" si="81"/>
        <v>0</v>
      </c>
      <c r="AG73" s="298">
        <f t="shared" si="81"/>
        <v>0</v>
      </c>
      <c r="AH73" s="298">
        <f t="shared" si="81"/>
        <v>0</v>
      </c>
      <c r="AI73" s="298">
        <f t="shared" si="81"/>
        <v>0</v>
      </c>
      <c r="AJ73" s="298">
        <f t="shared" si="81"/>
        <v>0</v>
      </c>
      <c r="AK73" s="298">
        <f t="shared" si="81"/>
        <v>0</v>
      </c>
      <c r="AL73" s="298">
        <f t="shared" ref="AL73:AP73" si="82">IFERROR((AL34)/AL151,0)</f>
        <v>0</v>
      </c>
      <c r="AM73" s="298">
        <f t="shared" si="82"/>
        <v>0</v>
      </c>
      <c r="AN73" s="298">
        <f t="shared" si="82"/>
        <v>0</v>
      </c>
      <c r="AO73" s="298">
        <f t="shared" si="82"/>
        <v>0</v>
      </c>
      <c r="AP73" s="298">
        <f t="shared" si="82"/>
        <v>0</v>
      </c>
      <c r="AQ73" s="299">
        <f t="shared" si="26"/>
        <v>0</v>
      </c>
    </row>
    <row r="74" spans="2:43" x14ac:dyDescent="0.25">
      <c r="C74" s="1179"/>
      <c r="D74" s="285"/>
      <c r="E74" s="297">
        <f t="shared" ref="E74:E78" si="83">E35</f>
        <v>2057</v>
      </c>
      <c r="F74" s="297"/>
      <c r="G74" s="298">
        <f t="shared" ref="G74:G78" si="84">G35</f>
        <v>0</v>
      </c>
      <c r="H74" s="298">
        <f t="shared" ref="H74:AP74" si="85">IFERROR((H35)/H152,0)</f>
        <v>0</v>
      </c>
      <c r="I74" s="298">
        <f t="shared" si="85"/>
        <v>0</v>
      </c>
      <c r="J74" s="298">
        <f t="shared" si="85"/>
        <v>0</v>
      </c>
      <c r="K74" s="298">
        <f t="shared" si="85"/>
        <v>0</v>
      </c>
      <c r="L74" s="298">
        <f t="shared" si="85"/>
        <v>0</v>
      </c>
      <c r="M74" s="298">
        <f t="shared" si="85"/>
        <v>0</v>
      </c>
      <c r="N74" s="298">
        <f t="shared" si="85"/>
        <v>0</v>
      </c>
      <c r="O74" s="298">
        <f t="shared" si="85"/>
        <v>0</v>
      </c>
      <c r="P74" s="298">
        <f t="shared" si="85"/>
        <v>0</v>
      </c>
      <c r="Q74" s="298">
        <f t="shared" si="85"/>
        <v>0</v>
      </c>
      <c r="R74" s="298">
        <f t="shared" si="85"/>
        <v>0</v>
      </c>
      <c r="S74" s="298">
        <f t="shared" si="85"/>
        <v>0</v>
      </c>
      <c r="T74" s="298">
        <f t="shared" si="85"/>
        <v>0</v>
      </c>
      <c r="U74" s="298">
        <f t="shared" si="85"/>
        <v>0</v>
      </c>
      <c r="V74" s="298">
        <f t="shared" si="85"/>
        <v>0</v>
      </c>
      <c r="W74" s="298">
        <f t="shared" si="85"/>
        <v>0</v>
      </c>
      <c r="X74" s="298">
        <f t="shared" si="85"/>
        <v>0</v>
      </c>
      <c r="Y74" s="298">
        <f t="shared" si="85"/>
        <v>0</v>
      </c>
      <c r="Z74" s="298">
        <f t="shared" si="85"/>
        <v>0</v>
      </c>
      <c r="AA74" s="298">
        <f t="shared" si="85"/>
        <v>0</v>
      </c>
      <c r="AB74" s="298">
        <f t="shared" si="85"/>
        <v>0</v>
      </c>
      <c r="AC74" s="298">
        <f t="shared" si="85"/>
        <v>0</v>
      </c>
      <c r="AD74" s="298">
        <f t="shared" si="85"/>
        <v>0</v>
      </c>
      <c r="AE74" s="298">
        <f t="shared" si="85"/>
        <v>0</v>
      </c>
      <c r="AF74" s="298">
        <f t="shared" si="85"/>
        <v>0</v>
      </c>
      <c r="AG74" s="298">
        <f t="shared" si="85"/>
        <v>0</v>
      </c>
      <c r="AH74" s="298">
        <f t="shared" si="85"/>
        <v>0</v>
      </c>
      <c r="AI74" s="298">
        <f t="shared" si="85"/>
        <v>0</v>
      </c>
      <c r="AJ74" s="298">
        <f t="shared" si="85"/>
        <v>0</v>
      </c>
      <c r="AK74" s="298">
        <f t="shared" si="85"/>
        <v>0</v>
      </c>
      <c r="AL74" s="298">
        <f t="shared" si="85"/>
        <v>0</v>
      </c>
      <c r="AM74" s="298">
        <f t="shared" si="85"/>
        <v>0</v>
      </c>
      <c r="AN74" s="298">
        <f t="shared" si="85"/>
        <v>0</v>
      </c>
      <c r="AO74" s="298">
        <f t="shared" si="85"/>
        <v>0</v>
      </c>
      <c r="AP74" s="298">
        <f t="shared" si="85"/>
        <v>0</v>
      </c>
      <c r="AQ74" s="299">
        <f t="shared" si="26"/>
        <v>0</v>
      </c>
    </row>
    <row r="75" spans="2:43" x14ac:dyDescent="0.25">
      <c r="C75" s="1179"/>
      <c r="D75" s="285"/>
      <c r="E75" s="297">
        <f t="shared" si="83"/>
        <v>2058</v>
      </c>
      <c r="F75" s="297"/>
      <c r="G75" s="298">
        <f t="shared" si="84"/>
        <v>0</v>
      </c>
      <c r="H75" s="298">
        <f t="shared" ref="H75:AP75" si="86">IFERROR((H36)/H153,0)</f>
        <v>0</v>
      </c>
      <c r="I75" s="298">
        <f t="shared" si="86"/>
        <v>0</v>
      </c>
      <c r="J75" s="298">
        <f t="shared" si="86"/>
        <v>0</v>
      </c>
      <c r="K75" s="298">
        <f t="shared" si="86"/>
        <v>0</v>
      </c>
      <c r="L75" s="298">
        <f t="shared" si="86"/>
        <v>0</v>
      </c>
      <c r="M75" s="298">
        <f t="shared" si="86"/>
        <v>0</v>
      </c>
      <c r="N75" s="298">
        <f t="shared" si="86"/>
        <v>0</v>
      </c>
      <c r="O75" s="298">
        <f t="shared" si="86"/>
        <v>0</v>
      </c>
      <c r="P75" s="298">
        <f t="shared" si="86"/>
        <v>0</v>
      </c>
      <c r="Q75" s="298">
        <f t="shared" si="86"/>
        <v>0</v>
      </c>
      <c r="R75" s="298">
        <f t="shared" si="86"/>
        <v>0</v>
      </c>
      <c r="S75" s="298">
        <f t="shared" si="86"/>
        <v>0</v>
      </c>
      <c r="T75" s="298">
        <f t="shared" si="86"/>
        <v>0</v>
      </c>
      <c r="U75" s="298">
        <f t="shared" si="86"/>
        <v>0</v>
      </c>
      <c r="V75" s="298">
        <f t="shared" si="86"/>
        <v>0</v>
      </c>
      <c r="W75" s="298">
        <f t="shared" si="86"/>
        <v>0</v>
      </c>
      <c r="X75" s="298">
        <f t="shared" si="86"/>
        <v>0</v>
      </c>
      <c r="Y75" s="298">
        <f t="shared" si="86"/>
        <v>0</v>
      </c>
      <c r="Z75" s="298">
        <f t="shared" si="86"/>
        <v>0</v>
      </c>
      <c r="AA75" s="298">
        <f t="shared" si="86"/>
        <v>0</v>
      </c>
      <c r="AB75" s="298">
        <f t="shared" si="86"/>
        <v>0</v>
      </c>
      <c r="AC75" s="298">
        <f t="shared" si="86"/>
        <v>0</v>
      </c>
      <c r="AD75" s="298">
        <f t="shared" si="86"/>
        <v>0</v>
      </c>
      <c r="AE75" s="298">
        <f t="shared" si="86"/>
        <v>0</v>
      </c>
      <c r="AF75" s="298">
        <f t="shared" si="86"/>
        <v>0</v>
      </c>
      <c r="AG75" s="298">
        <f t="shared" si="86"/>
        <v>0</v>
      </c>
      <c r="AH75" s="298">
        <f t="shared" si="86"/>
        <v>0</v>
      </c>
      <c r="AI75" s="298">
        <f t="shared" si="86"/>
        <v>0</v>
      </c>
      <c r="AJ75" s="298">
        <f t="shared" si="86"/>
        <v>0</v>
      </c>
      <c r="AK75" s="298">
        <f t="shared" si="86"/>
        <v>0</v>
      </c>
      <c r="AL75" s="298">
        <f t="shared" si="86"/>
        <v>0</v>
      </c>
      <c r="AM75" s="298">
        <f t="shared" si="86"/>
        <v>0</v>
      </c>
      <c r="AN75" s="298">
        <f t="shared" si="86"/>
        <v>0</v>
      </c>
      <c r="AO75" s="298">
        <f t="shared" si="86"/>
        <v>0</v>
      </c>
      <c r="AP75" s="298">
        <f t="shared" si="86"/>
        <v>0</v>
      </c>
      <c r="AQ75" s="299">
        <f t="shared" si="26"/>
        <v>0</v>
      </c>
    </row>
    <row r="76" spans="2:43" x14ac:dyDescent="0.25">
      <c r="C76" s="1179"/>
      <c r="D76" s="285"/>
      <c r="E76" s="297">
        <f t="shared" si="83"/>
        <v>2059</v>
      </c>
      <c r="F76" s="297"/>
      <c r="G76" s="298">
        <f t="shared" si="84"/>
        <v>0</v>
      </c>
      <c r="H76" s="298">
        <f t="shared" ref="H76:AP76" si="87">IFERROR((H37)/H154,0)</f>
        <v>0</v>
      </c>
      <c r="I76" s="298">
        <f t="shared" si="87"/>
        <v>0</v>
      </c>
      <c r="J76" s="298">
        <f t="shared" si="87"/>
        <v>0</v>
      </c>
      <c r="K76" s="298">
        <f t="shared" si="87"/>
        <v>0</v>
      </c>
      <c r="L76" s="298">
        <f t="shared" si="87"/>
        <v>0</v>
      </c>
      <c r="M76" s="298">
        <f t="shared" si="87"/>
        <v>0</v>
      </c>
      <c r="N76" s="298">
        <f t="shared" si="87"/>
        <v>0</v>
      </c>
      <c r="O76" s="298">
        <f t="shared" si="87"/>
        <v>0</v>
      </c>
      <c r="P76" s="298">
        <f t="shared" si="87"/>
        <v>0</v>
      </c>
      <c r="Q76" s="298">
        <f t="shared" si="87"/>
        <v>0</v>
      </c>
      <c r="R76" s="298">
        <f t="shared" si="87"/>
        <v>0</v>
      </c>
      <c r="S76" s="298">
        <f t="shared" si="87"/>
        <v>0</v>
      </c>
      <c r="T76" s="298">
        <f t="shared" si="87"/>
        <v>0</v>
      </c>
      <c r="U76" s="298">
        <f t="shared" si="87"/>
        <v>0</v>
      </c>
      <c r="V76" s="298">
        <f t="shared" si="87"/>
        <v>0</v>
      </c>
      <c r="W76" s="298">
        <f t="shared" si="87"/>
        <v>0</v>
      </c>
      <c r="X76" s="298">
        <f t="shared" si="87"/>
        <v>0</v>
      </c>
      <c r="Y76" s="298">
        <f t="shared" si="87"/>
        <v>0</v>
      </c>
      <c r="Z76" s="298">
        <f t="shared" si="87"/>
        <v>0</v>
      </c>
      <c r="AA76" s="298">
        <f t="shared" si="87"/>
        <v>0</v>
      </c>
      <c r="AB76" s="298">
        <f t="shared" si="87"/>
        <v>0</v>
      </c>
      <c r="AC76" s="298">
        <f t="shared" si="87"/>
        <v>0</v>
      </c>
      <c r="AD76" s="298">
        <f t="shared" si="87"/>
        <v>0</v>
      </c>
      <c r="AE76" s="298">
        <f t="shared" si="87"/>
        <v>0</v>
      </c>
      <c r="AF76" s="298">
        <f t="shared" si="87"/>
        <v>0</v>
      </c>
      <c r="AG76" s="298">
        <f t="shared" si="87"/>
        <v>0</v>
      </c>
      <c r="AH76" s="298">
        <f t="shared" si="87"/>
        <v>0</v>
      </c>
      <c r="AI76" s="298">
        <f t="shared" si="87"/>
        <v>0</v>
      </c>
      <c r="AJ76" s="298">
        <f t="shared" si="87"/>
        <v>0</v>
      </c>
      <c r="AK76" s="298">
        <f t="shared" si="87"/>
        <v>0</v>
      </c>
      <c r="AL76" s="298">
        <f t="shared" si="87"/>
        <v>0</v>
      </c>
      <c r="AM76" s="298">
        <f t="shared" si="87"/>
        <v>0</v>
      </c>
      <c r="AN76" s="298">
        <f t="shared" si="87"/>
        <v>0</v>
      </c>
      <c r="AO76" s="298">
        <f t="shared" si="87"/>
        <v>0</v>
      </c>
      <c r="AP76" s="298">
        <f t="shared" si="87"/>
        <v>0</v>
      </c>
      <c r="AQ76" s="299">
        <f t="shared" si="26"/>
        <v>0</v>
      </c>
    </row>
    <row r="77" spans="2:43" x14ac:dyDescent="0.25">
      <c r="C77" s="1179"/>
      <c r="D77" s="285"/>
      <c r="E77" s="297">
        <f t="shared" si="83"/>
        <v>2060</v>
      </c>
      <c r="F77" s="297"/>
      <c r="G77" s="298">
        <f t="shared" si="84"/>
        <v>0</v>
      </c>
      <c r="H77" s="298">
        <f t="shared" ref="H77:AP77" si="88">IFERROR((H38)/H155,0)</f>
        <v>0</v>
      </c>
      <c r="I77" s="298">
        <f t="shared" si="88"/>
        <v>0</v>
      </c>
      <c r="J77" s="298">
        <f t="shared" si="88"/>
        <v>0</v>
      </c>
      <c r="K77" s="298">
        <f t="shared" si="88"/>
        <v>0</v>
      </c>
      <c r="L77" s="298">
        <f t="shared" si="88"/>
        <v>0</v>
      </c>
      <c r="M77" s="298">
        <f t="shared" si="88"/>
        <v>0</v>
      </c>
      <c r="N77" s="298">
        <f t="shared" si="88"/>
        <v>0</v>
      </c>
      <c r="O77" s="298">
        <f t="shared" si="88"/>
        <v>0</v>
      </c>
      <c r="P77" s="298">
        <f t="shared" si="88"/>
        <v>0</v>
      </c>
      <c r="Q77" s="298">
        <f t="shared" si="88"/>
        <v>0</v>
      </c>
      <c r="R77" s="298">
        <f t="shared" si="88"/>
        <v>0</v>
      </c>
      <c r="S77" s="298">
        <f t="shared" si="88"/>
        <v>0</v>
      </c>
      <c r="T77" s="298">
        <f t="shared" si="88"/>
        <v>0</v>
      </c>
      <c r="U77" s="298">
        <f t="shared" si="88"/>
        <v>0</v>
      </c>
      <c r="V77" s="298">
        <f t="shared" si="88"/>
        <v>0</v>
      </c>
      <c r="W77" s="298">
        <f t="shared" si="88"/>
        <v>0</v>
      </c>
      <c r="X77" s="298">
        <f t="shared" si="88"/>
        <v>0</v>
      </c>
      <c r="Y77" s="298">
        <f t="shared" si="88"/>
        <v>0</v>
      </c>
      <c r="Z77" s="298">
        <f t="shared" si="88"/>
        <v>0</v>
      </c>
      <c r="AA77" s="298">
        <f t="shared" si="88"/>
        <v>0</v>
      </c>
      <c r="AB77" s="298">
        <f t="shared" si="88"/>
        <v>0</v>
      </c>
      <c r="AC77" s="298">
        <f t="shared" si="88"/>
        <v>0</v>
      </c>
      <c r="AD77" s="298">
        <f t="shared" si="88"/>
        <v>0</v>
      </c>
      <c r="AE77" s="298">
        <f t="shared" si="88"/>
        <v>0</v>
      </c>
      <c r="AF77" s="298">
        <f t="shared" si="88"/>
        <v>0</v>
      </c>
      <c r="AG77" s="298">
        <f t="shared" si="88"/>
        <v>0</v>
      </c>
      <c r="AH77" s="298">
        <f t="shared" si="88"/>
        <v>0</v>
      </c>
      <c r="AI77" s="298">
        <f t="shared" si="88"/>
        <v>0</v>
      </c>
      <c r="AJ77" s="298">
        <f t="shared" si="88"/>
        <v>0</v>
      </c>
      <c r="AK77" s="298">
        <f t="shared" si="88"/>
        <v>0</v>
      </c>
      <c r="AL77" s="298">
        <f t="shared" si="88"/>
        <v>0</v>
      </c>
      <c r="AM77" s="298">
        <f t="shared" si="88"/>
        <v>0</v>
      </c>
      <c r="AN77" s="298">
        <f t="shared" si="88"/>
        <v>0</v>
      </c>
      <c r="AO77" s="298">
        <f t="shared" si="88"/>
        <v>0</v>
      </c>
      <c r="AP77" s="298">
        <f t="shared" si="88"/>
        <v>0</v>
      </c>
      <c r="AQ77" s="299">
        <f t="shared" si="26"/>
        <v>0</v>
      </c>
    </row>
    <row r="78" spans="2:43" x14ac:dyDescent="0.25">
      <c r="C78" s="1179"/>
      <c r="D78" s="285"/>
      <c r="E78" s="297">
        <f t="shared" si="83"/>
        <v>2061</v>
      </c>
      <c r="F78" s="297"/>
      <c r="G78" s="298">
        <f t="shared" si="84"/>
        <v>0</v>
      </c>
      <c r="H78" s="298">
        <f t="shared" ref="H78:AP78" si="89">IFERROR((H39)/H156,0)</f>
        <v>0</v>
      </c>
      <c r="I78" s="298">
        <f t="shared" si="89"/>
        <v>0</v>
      </c>
      <c r="J78" s="298">
        <f t="shared" si="89"/>
        <v>0</v>
      </c>
      <c r="K78" s="298">
        <f t="shared" si="89"/>
        <v>0</v>
      </c>
      <c r="L78" s="298">
        <f t="shared" si="89"/>
        <v>0</v>
      </c>
      <c r="M78" s="298">
        <f t="shared" si="89"/>
        <v>0</v>
      </c>
      <c r="N78" s="298">
        <f t="shared" si="89"/>
        <v>0</v>
      </c>
      <c r="O78" s="298">
        <f t="shared" si="89"/>
        <v>0</v>
      </c>
      <c r="P78" s="298">
        <f t="shared" si="89"/>
        <v>0</v>
      </c>
      <c r="Q78" s="298">
        <f t="shared" si="89"/>
        <v>0</v>
      </c>
      <c r="R78" s="298">
        <f t="shared" si="89"/>
        <v>0</v>
      </c>
      <c r="S78" s="298">
        <f t="shared" si="89"/>
        <v>0</v>
      </c>
      <c r="T78" s="298">
        <f t="shared" si="89"/>
        <v>0</v>
      </c>
      <c r="U78" s="298">
        <f t="shared" si="89"/>
        <v>0</v>
      </c>
      <c r="V78" s="298">
        <f t="shared" si="89"/>
        <v>0</v>
      </c>
      <c r="W78" s="298">
        <f t="shared" si="89"/>
        <v>0</v>
      </c>
      <c r="X78" s="298">
        <f t="shared" si="89"/>
        <v>0</v>
      </c>
      <c r="Y78" s="298">
        <f t="shared" si="89"/>
        <v>0</v>
      </c>
      <c r="Z78" s="298">
        <f t="shared" si="89"/>
        <v>0</v>
      </c>
      <c r="AA78" s="298">
        <f t="shared" si="89"/>
        <v>0</v>
      </c>
      <c r="AB78" s="298">
        <f t="shared" si="89"/>
        <v>0</v>
      </c>
      <c r="AC78" s="298">
        <f t="shared" si="89"/>
        <v>0</v>
      </c>
      <c r="AD78" s="298">
        <f t="shared" si="89"/>
        <v>0</v>
      </c>
      <c r="AE78" s="298">
        <f t="shared" si="89"/>
        <v>0</v>
      </c>
      <c r="AF78" s="298">
        <f t="shared" si="89"/>
        <v>0</v>
      </c>
      <c r="AG78" s="298">
        <f t="shared" si="89"/>
        <v>0</v>
      </c>
      <c r="AH78" s="298">
        <f t="shared" si="89"/>
        <v>0</v>
      </c>
      <c r="AI78" s="298">
        <f t="shared" si="89"/>
        <v>0</v>
      </c>
      <c r="AJ78" s="298">
        <f t="shared" si="89"/>
        <v>0</v>
      </c>
      <c r="AK78" s="298">
        <f t="shared" si="89"/>
        <v>0</v>
      </c>
      <c r="AL78" s="298">
        <f t="shared" si="89"/>
        <v>0</v>
      </c>
      <c r="AM78" s="298">
        <f t="shared" si="89"/>
        <v>0</v>
      </c>
      <c r="AN78" s="298">
        <f t="shared" si="89"/>
        <v>0</v>
      </c>
      <c r="AO78" s="298">
        <f t="shared" si="89"/>
        <v>0</v>
      </c>
      <c r="AP78" s="298">
        <f t="shared" si="89"/>
        <v>0</v>
      </c>
      <c r="AQ78" s="299">
        <f t="shared" si="26"/>
        <v>0</v>
      </c>
    </row>
    <row r="79" spans="2:43" ht="15.75" thickBot="1" x14ac:dyDescent="0.3">
      <c r="B79" s="282"/>
      <c r="C79" s="1180"/>
      <c r="D79" s="289"/>
      <c r="E79" s="300" t="s">
        <v>5</v>
      </c>
      <c r="F79" s="300"/>
      <c r="G79" s="295">
        <f>SUM(G44:G78)</f>
        <v>0</v>
      </c>
      <c r="H79" s="295">
        <f t="shared" ref="H79:AP79" si="90">SUM(H44:H78)</f>
        <v>0</v>
      </c>
      <c r="I79" s="295">
        <f t="shared" si="90"/>
        <v>0</v>
      </c>
      <c r="J79" s="295">
        <f t="shared" si="90"/>
        <v>0</v>
      </c>
      <c r="K79" s="295">
        <f t="shared" si="90"/>
        <v>0</v>
      </c>
      <c r="L79" s="295">
        <f t="shared" si="90"/>
        <v>0</v>
      </c>
      <c r="M79" s="295">
        <f t="shared" si="90"/>
        <v>0</v>
      </c>
      <c r="N79" s="295">
        <f t="shared" si="90"/>
        <v>0</v>
      </c>
      <c r="O79" s="295">
        <f t="shared" si="90"/>
        <v>0</v>
      </c>
      <c r="P79" s="295">
        <f t="shared" si="90"/>
        <v>0</v>
      </c>
      <c r="Q79" s="295">
        <f t="shared" si="90"/>
        <v>0</v>
      </c>
      <c r="R79" s="295">
        <f t="shared" si="90"/>
        <v>0</v>
      </c>
      <c r="S79" s="295">
        <f t="shared" si="90"/>
        <v>0</v>
      </c>
      <c r="T79" s="295">
        <f t="shared" si="90"/>
        <v>0</v>
      </c>
      <c r="U79" s="295">
        <f t="shared" si="90"/>
        <v>0</v>
      </c>
      <c r="V79" s="295">
        <f t="shared" si="90"/>
        <v>0</v>
      </c>
      <c r="W79" s="295">
        <f t="shared" si="90"/>
        <v>0</v>
      </c>
      <c r="X79" s="295">
        <f t="shared" si="90"/>
        <v>0</v>
      </c>
      <c r="Y79" s="295">
        <f t="shared" si="90"/>
        <v>0</v>
      </c>
      <c r="Z79" s="295">
        <f t="shared" si="90"/>
        <v>0</v>
      </c>
      <c r="AA79" s="295">
        <f t="shared" si="90"/>
        <v>0</v>
      </c>
      <c r="AB79" s="295">
        <f t="shared" si="90"/>
        <v>0</v>
      </c>
      <c r="AC79" s="295">
        <f t="shared" si="90"/>
        <v>0</v>
      </c>
      <c r="AD79" s="295">
        <f t="shared" si="90"/>
        <v>0</v>
      </c>
      <c r="AE79" s="295">
        <f t="shared" si="90"/>
        <v>0</v>
      </c>
      <c r="AF79" s="295">
        <f t="shared" si="90"/>
        <v>0</v>
      </c>
      <c r="AG79" s="295">
        <f t="shared" si="90"/>
        <v>0</v>
      </c>
      <c r="AH79" s="295">
        <f t="shared" si="90"/>
        <v>0</v>
      </c>
      <c r="AI79" s="295">
        <f t="shared" si="90"/>
        <v>0</v>
      </c>
      <c r="AJ79" s="295">
        <f t="shared" si="90"/>
        <v>0</v>
      </c>
      <c r="AK79" s="295">
        <f t="shared" si="90"/>
        <v>0</v>
      </c>
      <c r="AL79" s="295">
        <f t="shared" si="90"/>
        <v>0</v>
      </c>
      <c r="AM79" s="295">
        <f t="shared" si="90"/>
        <v>0</v>
      </c>
      <c r="AN79" s="295">
        <f t="shared" si="90"/>
        <v>0</v>
      </c>
      <c r="AO79" s="295">
        <f t="shared" si="90"/>
        <v>0</v>
      </c>
      <c r="AP79" s="295">
        <f t="shared" si="90"/>
        <v>0</v>
      </c>
      <c r="AQ79" s="296">
        <f>G79-SUM(H79:AP79)</f>
        <v>0</v>
      </c>
    </row>
    <row r="80" spans="2:43" x14ac:dyDescent="0.25">
      <c r="C80" s="279"/>
    </row>
    <row r="81" spans="3:43" ht="15.75" thickBot="1" x14ac:dyDescent="0.3">
      <c r="C81" s="279"/>
      <c r="H81" s="282"/>
      <c r="I81" s="282"/>
      <c r="J81" s="282"/>
      <c r="K81" s="282"/>
      <c r="L81" s="282"/>
      <c r="M81" s="282"/>
      <c r="N81" s="282"/>
      <c r="O81" s="282"/>
      <c r="P81" s="282"/>
      <c r="Q81" s="282"/>
      <c r="R81" s="282"/>
      <c r="S81" s="282"/>
      <c r="T81" s="282"/>
      <c r="U81" s="282"/>
      <c r="V81" s="282"/>
      <c r="W81" s="282"/>
      <c r="X81" s="282"/>
      <c r="Y81" s="282"/>
      <c r="Z81" s="282"/>
      <c r="AA81" s="282"/>
      <c r="AB81" s="282"/>
      <c r="AC81" s="282"/>
      <c r="AD81" s="282"/>
      <c r="AE81" s="282"/>
      <c r="AF81" s="282"/>
      <c r="AG81" s="282"/>
      <c r="AH81" s="282"/>
      <c r="AI81" s="282"/>
      <c r="AJ81" s="282"/>
      <c r="AK81" s="282"/>
      <c r="AL81" s="282"/>
      <c r="AM81" s="282"/>
      <c r="AN81" s="282"/>
      <c r="AO81" s="282"/>
      <c r="AP81" s="282"/>
    </row>
    <row r="82" spans="3:43" x14ac:dyDescent="0.25">
      <c r="C82" s="1181" t="s">
        <v>381</v>
      </c>
      <c r="D82" s="277"/>
      <c r="E82" s="277"/>
      <c r="F82" s="277"/>
      <c r="G82" s="277"/>
      <c r="H82" s="277">
        <f t="shared" ref="H82:AP82" si="91">H43</f>
        <v>2027</v>
      </c>
      <c r="I82" s="277">
        <f t="shared" si="91"/>
        <v>2028</v>
      </c>
      <c r="J82" s="277">
        <f t="shared" si="91"/>
        <v>2029</v>
      </c>
      <c r="K82" s="277">
        <f t="shared" si="91"/>
        <v>2030</v>
      </c>
      <c r="L82" s="277">
        <f t="shared" si="91"/>
        <v>2031</v>
      </c>
      <c r="M82" s="277">
        <f t="shared" si="91"/>
        <v>2032</v>
      </c>
      <c r="N82" s="277">
        <f t="shared" si="91"/>
        <v>2033</v>
      </c>
      <c r="O82" s="277">
        <f t="shared" si="91"/>
        <v>2034</v>
      </c>
      <c r="P82" s="277">
        <f t="shared" si="91"/>
        <v>2035</v>
      </c>
      <c r="Q82" s="277">
        <f t="shared" si="91"/>
        <v>2036</v>
      </c>
      <c r="R82" s="277">
        <f t="shared" si="91"/>
        <v>2037</v>
      </c>
      <c r="S82" s="277">
        <f t="shared" si="91"/>
        <v>2038</v>
      </c>
      <c r="T82" s="277">
        <f t="shared" si="91"/>
        <v>2039</v>
      </c>
      <c r="U82" s="277">
        <f t="shared" si="91"/>
        <v>2040</v>
      </c>
      <c r="V82" s="277">
        <f t="shared" si="91"/>
        <v>2041</v>
      </c>
      <c r="W82" s="277">
        <f t="shared" si="91"/>
        <v>2042</v>
      </c>
      <c r="X82" s="277">
        <f t="shared" si="91"/>
        <v>2043</v>
      </c>
      <c r="Y82" s="277">
        <f t="shared" si="91"/>
        <v>2044</v>
      </c>
      <c r="Z82" s="277">
        <f t="shared" si="91"/>
        <v>2045</v>
      </c>
      <c r="AA82" s="277">
        <f t="shared" si="91"/>
        <v>2046</v>
      </c>
      <c r="AB82" s="277">
        <f t="shared" si="91"/>
        <v>2047</v>
      </c>
      <c r="AC82" s="277">
        <f t="shared" si="91"/>
        <v>2048</v>
      </c>
      <c r="AD82" s="277">
        <f t="shared" si="91"/>
        <v>2049</v>
      </c>
      <c r="AE82" s="277">
        <f t="shared" si="91"/>
        <v>2050</v>
      </c>
      <c r="AF82" s="277">
        <f t="shared" si="91"/>
        <v>2051</v>
      </c>
      <c r="AG82" s="277">
        <f t="shared" si="91"/>
        <v>2052</v>
      </c>
      <c r="AH82" s="277">
        <f t="shared" si="91"/>
        <v>2053</v>
      </c>
      <c r="AI82" s="277">
        <f t="shared" si="91"/>
        <v>2054</v>
      </c>
      <c r="AJ82" s="277">
        <f t="shared" si="91"/>
        <v>2055</v>
      </c>
      <c r="AK82" s="277">
        <f t="shared" si="91"/>
        <v>2056</v>
      </c>
      <c r="AL82" s="277">
        <f t="shared" si="91"/>
        <v>2057</v>
      </c>
      <c r="AM82" s="277">
        <f t="shared" si="91"/>
        <v>2058</v>
      </c>
      <c r="AN82" s="277">
        <f t="shared" si="91"/>
        <v>2059</v>
      </c>
      <c r="AO82" s="277">
        <f t="shared" si="91"/>
        <v>2060</v>
      </c>
      <c r="AP82" s="277">
        <f t="shared" si="91"/>
        <v>2061</v>
      </c>
      <c r="AQ82" s="278"/>
    </row>
    <row r="83" spans="3:43" x14ac:dyDescent="0.25">
      <c r="C83" s="1182"/>
      <c r="D83" s="285"/>
      <c r="E83" s="297">
        <f t="shared" ref="E83:E112" si="92">E44</f>
        <v>2027</v>
      </c>
      <c r="F83" s="285"/>
      <c r="G83" s="286"/>
      <c r="H83" s="301">
        <f>IF(H$82&gt;=$E83,'Dados ME'!E$6,"")</f>
        <v>0</v>
      </c>
      <c r="I83" s="301">
        <f>IF(I$82&gt;=$E83,'Dados ME'!F$6,"")</f>
        <v>0</v>
      </c>
      <c r="J83" s="301">
        <f>IF(J$82&gt;=$E83,'Dados ME'!G$6,"")</f>
        <v>0</v>
      </c>
      <c r="K83" s="301">
        <f>IF(K$82&gt;=$E83,'Dados ME'!H$6,"")</f>
        <v>0</v>
      </c>
      <c r="L83" s="301">
        <f>IF(L$82&gt;=$E83,'Dados ME'!I$6,"")</f>
        <v>0</v>
      </c>
      <c r="M83" s="301">
        <f>IF(M$82&gt;=$E83,'Dados ME'!J$6,"")</f>
        <v>0</v>
      </c>
      <c r="N83" s="301">
        <f>IF(N$82&gt;=$E83,'Dados ME'!K$6,"")</f>
        <v>0</v>
      </c>
      <c r="O83" s="301">
        <f>IF(O$82&gt;=$E83,'Dados ME'!L$6,"")</f>
        <v>0</v>
      </c>
      <c r="P83" s="301">
        <f>IF(P$82&gt;=$E83,'Dados ME'!M$6,"")</f>
        <v>0</v>
      </c>
      <c r="Q83" s="301">
        <f>IF(Q$82&gt;=$E83,'Dados ME'!N$6,"")</f>
        <v>0</v>
      </c>
      <c r="R83" s="301">
        <f>IF(R$82&gt;=$E83,'Dados ME'!O$6,"")</f>
        <v>0</v>
      </c>
      <c r="S83" s="301">
        <f>IF(S$82&gt;=$E83,'Dados ME'!P$6,"")</f>
        <v>0</v>
      </c>
      <c r="T83" s="301">
        <f>IF(T$82&gt;=$E83,'Dados ME'!Q$6,"")</f>
        <v>0</v>
      </c>
      <c r="U83" s="301">
        <f>IF(U$82&gt;=$E83,'Dados ME'!R$6,"")</f>
        <v>0</v>
      </c>
      <c r="V83" s="301">
        <f>IF(V$82&gt;=$E83,'Dados ME'!S$6,"")</f>
        <v>0</v>
      </c>
      <c r="W83" s="301">
        <f>IF(W$82&gt;=$E83,'Dados ME'!T$6,"")</f>
        <v>0</v>
      </c>
      <c r="X83" s="301">
        <f>IF(X$82&gt;=$E83,'Dados ME'!U$6,"")</f>
        <v>0</v>
      </c>
      <c r="Y83" s="301">
        <f>IF(Y$82&gt;=$E83,'Dados ME'!V$6,"")</f>
        <v>0</v>
      </c>
      <c r="Z83" s="301">
        <f>IF(Z$82&gt;=$E83,'Dados ME'!W$6,"")</f>
        <v>0</v>
      </c>
      <c r="AA83" s="301">
        <f>IF(AA$82&gt;=$E83,'Dados ME'!X$6,"")</f>
        <v>0</v>
      </c>
      <c r="AB83" s="301">
        <f>IF(AB$82&gt;=$E83,'Dados ME'!Y$6,"")</f>
        <v>0</v>
      </c>
      <c r="AC83" s="301">
        <f>IF(AC$82&gt;=$E83,'Dados ME'!Z$6,"")</f>
        <v>0</v>
      </c>
      <c r="AD83" s="301">
        <f>IF(AD$82&gt;=$E83,'Dados ME'!AA$6,"")</f>
        <v>0</v>
      </c>
      <c r="AE83" s="301">
        <f>IF(AE$82&gt;=$E83,'Dados ME'!AB$6,"")</f>
        <v>0</v>
      </c>
      <c r="AF83" s="301">
        <f>IF(AF$82&gt;=$E83,'Dados ME'!AC$6,"")</f>
        <v>0</v>
      </c>
      <c r="AG83" s="301">
        <f>IF(AG$82&gt;=$E83,'Dados ME'!AD$6,"")</f>
        <v>0</v>
      </c>
      <c r="AH83" s="301">
        <f>IF(AH$82&gt;=$E83,'Dados ME'!AE$6,"")</f>
        <v>0</v>
      </c>
      <c r="AI83" s="301">
        <f>IF(AI$82&gt;=$E83,'Dados ME'!AF$6,"")</f>
        <v>0</v>
      </c>
      <c r="AJ83" s="301">
        <f>IF(AJ$82&gt;=$E83,'Dados ME'!AG$6,"")</f>
        <v>0</v>
      </c>
      <c r="AK83" s="301">
        <f>IF(AK$82&gt;=$E83,'Dados ME'!AH$6,"")</f>
        <v>0</v>
      </c>
      <c r="AL83" s="301">
        <f>IF(AL$82&gt;=$E83,'Dados ME'!AI$6,"")</f>
        <v>0</v>
      </c>
      <c r="AM83" s="301">
        <f>IF(AM$82&gt;=$E83,'Dados ME'!AJ$6,"")</f>
        <v>0</v>
      </c>
      <c r="AN83" s="301">
        <f>IF(AN$82&gt;=$E83,'Dados ME'!AK$6,"")</f>
        <v>0</v>
      </c>
      <c r="AO83" s="301">
        <f>IF(AO$82&gt;=$E83,'Dados ME'!AL$6,"")</f>
        <v>0</v>
      </c>
      <c r="AP83" s="301">
        <f>IF(AP$82&gt;=$E83,'Dados ME'!AM$6,"")</f>
        <v>0</v>
      </c>
      <c r="AQ83" s="287"/>
    </row>
    <row r="84" spans="3:43" x14ac:dyDescent="0.25">
      <c r="C84" s="1182"/>
      <c r="D84" s="285"/>
      <c r="E84" s="297">
        <f t="shared" si="92"/>
        <v>2028</v>
      </c>
      <c r="F84" s="285"/>
      <c r="G84" s="286"/>
      <c r="H84" s="302" t="str">
        <f>IF(H$82&gt;=$E84,'Dados ME'!E$6,"")</f>
        <v/>
      </c>
      <c r="I84" s="302">
        <f>IF(I$82&gt;=$E84,'Dados ME'!F$6,"")</f>
        <v>0</v>
      </c>
      <c r="J84" s="302">
        <f>IF(J$82&gt;=$E84,'Dados ME'!G$6,"")</f>
        <v>0</v>
      </c>
      <c r="K84" s="302">
        <f>IF(K$82&gt;=$E84,'Dados ME'!H$6,"")</f>
        <v>0</v>
      </c>
      <c r="L84" s="302">
        <f>IF(L$82&gt;=$E84,'Dados ME'!I$6,"")</f>
        <v>0</v>
      </c>
      <c r="M84" s="302">
        <f>IF(M$82&gt;=$E84,'Dados ME'!J$6,"")</f>
        <v>0</v>
      </c>
      <c r="N84" s="302">
        <f>IF(N$82&gt;=$E84,'Dados ME'!K$6,"")</f>
        <v>0</v>
      </c>
      <c r="O84" s="302">
        <f>IF(O$82&gt;=$E84,'Dados ME'!L$6,"")</f>
        <v>0</v>
      </c>
      <c r="P84" s="302">
        <f>IF(P$82&gt;=$E84,'Dados ME'!M$6,"")</f>
        <v>0</v>
      </c>
      <c r="Q84" s="302">
        <f>IF(Q$82&gt;=$E84,'Dados ME'!N$6,"")</f>
        <v>0</v>
      </c>
      <c r="R84" s="302">
        <f>IF(R$82&gt;=$E84,'Dados ME'!O$6,"")</f>
        <v>0</v>
      </c>
      <c r="S84" s="302">
        <f>IF(S$82&gt;=$E84,'Dados ME'!P$6,"")</f>
        <v>0</v>
      </c>
      <c r="T84" s="302">
        <f>IF(T$82&gt;=$E84,'Dados ME'!Q$6,"")</f>
        <v>0</v>
      </c>
      <c r="U84" s="302">
        <f>IF(U$82&gt;=$E84,'Dados ME'!R$6,"")</f>
        <v>0</v>
      </c>
      <c r="V84" s="302">
        <f>IF(V$82&gt;=$E84,'Dados ME'!S$6,"")</f>
        <v>0</v>
      </c>
      <c r="W84" s="302">
        <f>IF(W$82&gt;=$E84,'Dados ME'!T$6,"")</f>
        <v>0</v>
      </c>
      <c r="X84" s="302">
        <f>IF(X$82&gt;=$E84,'Dados ME'!U$6,"")</f>
        <v>0</v>
      </c>
      <c r="Y84" s="302">
        <f>IF(Y$82&gt;=$E84,'Dados ME'!V$6,"")</f>
        <v>0</v>
      </c>
      <c r="Z84" s="302">
        <f>IF(Z$82&gt;=$E84,'Dados ME'!W$6,"")</f>
        <v>0</v>
      </c>
      <c r="AA84" s="302">
        <f>IF(AA$82&gt;=$E84,'Dados ME'!X$6,"")</f>
        <v>0</v>
      </c>
      <c r="AB84" s="302">
        <f>IF(AB$82&gt;=$E84,'Dados ME'!Y$6,"")</f>
        <v>0</v>
      </c>
      <c r="AC84" s="302">
        <f>IF(AC$82&gt;=$E84,'Dados ME'!Z$6,"")</f>
        <v>0</v>
      </c>
      <c r="AD84" s="302">
        <f>IF(AD$82&gt;=$E84,'Dados ME'!AA$6,"")</f>
        <v>0</v>
      </c>
      <c r="AE84" s="302">
        <f>IF(AE$82&gt;=$E84,'Dados ME'!AB$6,"")</f>
        <v>0</v>
      </c>
      <c r="AF84" s="302">
        <f>IF(AF$82&gt;=$E84,'Dados ME'!AC$6,"")</f>
        <v>0</v>
      </c>
      <c r="AG84" s="302">
        <f>IF(AG$82&gt;=$E84,'Dados ME'!AD$6,"")</f>
        <v>0</v>
      </c>
      <c r="AH84" s="302">
        <f>IF(AH$82&gt;=$E84,'Dados ME'!AE$6,"")</f>
        <v>0</v>
      </c>
      <c r="AI84" s="302">
        <f>IF(AI$82&gt;=$E84,'Dados ME'!AF$6,"")</f>
        <v>0</v>
      </c>
      <c r="AJ84" s="302">
        <f>IF(AJ$82&gt;=$E84,'Dados ME'!AG$6,"")</f>
        <v>0</v>
      </c>
      <c r="AK84" s="302">
        <f>IF(AK$82&gt;=$E84,'Dados ME'!AH$6,"")</f>
        <v>0</v>
      </c>
      <c r="AL84" s="302">
        <f>IF(AL$82&gt;=$E84,'Dados ME'!AI$6,"")</f>
        <v>0</v>
      </c>
      <c r="AM84" s="302">
        <f>IF(AM$82&gt;=$E84,'Dados ME'!AJ$6,"")</f>
        <v>0</v>
      </c>
      <c r="AN84" s="302">
        <f>IF(AN$82&gt;=$E84,'Dados ME'!AK$6,"")</f>
        <v>0</v>
      </c>
      <c r="AO84" s="302">
        <f>IF(AO$82&gt;=$E84,'Dados ME'!AL$6,"")</f>
        <v>0</v>
      </c>
      <c r="AP84" s="302">
        <f>IF(AP$82&gt;=$E84,'Dados ME'!AM$6,"")</f>
        <v>0</v>
      </c>
      <c r="AQ84" s="287"/>
    </row>
    <row r="85" spans="3:43" x14ac:dyDescent="0.25">
      <c r="C85" s="1182"/>
      <c r="D85" s="285"/>
      <c r="E85" s="297">
        <f t="shared" si="92"/>
        <v>2029</v>
      </c>
      <c r="F85" s="285"/>
      <c r="G85" s="286"/>
      <c r="H85" s="302" t="str">
        <f>IF(H$82&gt;=$E85,'Dados ME'!E$6,"")</f>
        <v/>
      </c>
      <c r="I85" s="302" t="str">
        <f>IF(I$82&gt;=$E85,'Dados ME'!F$6,"")</f>
        <v/>
      </c>
      <c r="J85" s="302">
        <f>IF(J$82&gt;=$E85,'Dados ME'!G$6,"")</f>
        <v>0</v>
      </c>
      <c r="K85" s="302">
        <f>IF(K$82&gt;=$E85,'Dados ME'!H$6,"")</f>
        <v>0</v>
      </c>
      <c r="L85" s="302">
        <f>IF(L$82&gt;=$E85,'Dados ME'!I$6,"")</f>
        <v>0</v>
      </c>
      <c r="M85" s="302">
        <f>IF(M$82&gt;=$E85,'Dados ME'!J$6,"")</f>
        <v>0</v>
      </c>
      <c r="N85" s="302">
        <f>IF(N$82&gt;=$E85,'Dados ME'!K$6,"")</f>
        <v>0</v>
      </c>
      <c r="O85" s="302">
        <f>IF(O$82&gt;=$E85,'Dados ME'!L$6,"")</f>
        <v>0</v>
      </c>
      <c r="P85" s="302">
        <f>IF(P$82&gt;=$E85,'Dados ME'!M$6,"")</f>
        <v>0</v>
      </c>
      <c r="Q85" s="302">
        <f>IF(Q$82&gt;=$E85,'Dados ME'!N$6,"")</f>
        <v>0</v>
      </c>
      <c r="R85" s="302">
        <f>IF(R$82&gt;=$E85,'Dados ME'!O$6,"")</f>
        <v>0</v>
      </c>
      <c r="S85" s="302">
        <f>IF(S$82&gt;=$E85,'Dados ME'!P$6,"")</f>
        <v>0</v>
      </c>
      <c r="T85" s="302">
        <f>IF(T$82&gt;=$E85,'Dados ME'!Q$6,"")</f>
        <v>0</v>
      </c>
      <c r="U85" s="302">
        <f>IF(U$82&gt;=$E85,'Dados ME'!R$6,"")</f>
        <v>0</v>
      </c>
      <c r="V85" s="302">
        <f>IF(V$82&gt;=$E85,'Dados ME'!S$6,"")</f>
        <v>0</v>
      </c>
      <c r="W85" s="302">
        <f>IF(W$82&gt;=$E85,'Dados ME'!T$6,"")</f>
        <v>0</v>
      </c>
      <c r="X85" s="302">
        <f>IF(X$82&gt;=$E85,'Dados ME'!U$6,"")</f>
        <v>0</v>
      </c>
      <c r="Y85" s="302">
        <f>IF(Y$82&gt;=$E85,'Dados ME'!V$6,"")</f>
        <v>0</v>
      </c>
      <c r="Z85" s="302">
        <f>IF(Z$82&gt;=$E85,'Dados ME'!W$6,"")</f>
        <v>0</v>
      </c>
      <c r="AA85" s="302">
        <f>IF(AA$82&gt;=$E85,'Dados ME'!X$6,"")</f>
        <v>0</v>
      </c>
      <c r="AB85" s="302">
        <f>IF(AB$82&gt;=$E85,'Dados ME'!Y$6,"")</f>
        <v>0</v>
      </c>
      <c r="AC85" s="302">
        <f>IF(AC$82&gt;=$E85,'Dados ME'!Z$6,"")</f>
        <v>0</v>
      </c>
      <c r="AD85" s="302">
        <f>IF(AD$82&gt;=$E85,'Dados ME'!AA$6,"")</f>
        <v>0</v>
      </c>
      <c r="AE85" s="302">
        <f>IF(AE$82&gt;=$E85,'Dados ME'!AB$6,"")</f>
        <v>0</v>
      </c>
      <c r="AF85" s="302">
        <f>IF(AF$82&gt;=$E85,'Dados ME'!AC$6,"")</f>
        <v>0</v>
      </c>
      <c r="AG85" s="302">
        <f>IF(AG$82&gt;=$E85,'Dados ME'!AD$6,"")</f>
        <v>0</v>
      </c>
      <c r="AH85" s="302">
        <f>IF(AH$82&gt;=$E85,'Dados ME'!AE$6,"")</f>
        <v>0</v>
      </c>
      <c r="AI85" s="302">
        <f>IF(AI$82&gt;=$E85,'Dados ME'!AF$6,"")</f>
        <v>0</v>
      </c>
      <c r="AJ85" s="302">
        <f>IF(AJ$82&gt;=$E85,'Dados ME'!AG$6,"")</f>
        <v>0</v>
      </c>
      <c r="AK85" s="302">
        <f>IF(AK$82&gt;=$E85,'Dados ME'!AH$6,"")</f>
        <v>0</v>
      </c>
      <c r="AL85" s="302">
        <f>IF(AL$82&gt;=$E85,'Dados ME'!AI$6,"")</f>
        <v>0</v>
      </c>
      <c r="AM85" s="302">
        <f>IF(AM$82&gt;=$E85,'Dados ME'!AJ$6,"")</f>
        <v>0</v>
      </c>
      <c r="AN85" s="302">
        <f>IF(AN$82&gt;=$E85,'Dados ME'!AK$6,"")</f>
        <v>0</v>
      </c>
      <c r="AO85" s="302">
        <f>IF(AO$82&gt;=$E85,'Dados ME'!AL$6,"")</f>
        <v>0</v>
      </c>
      <c r="AP85" s="302">
        <f>IF(AP$82&gt;=$E85,'Dados ME'!AM$6,"")</f>
        <v>0</v>
      </c>
      <c r="AQ85" s="287"/>
    </row>
    <row r="86" spans="3:43" x14ac:dyDescent="0.25">
      <c r="C86" s="1182"/>
      <c r="D86" s="285"/>
      <c r="E86" s="297">
        <f t="shared" si="92"/>
        <v>2030</v>
      </c>
      <c r="F86" s="285"/>
      <c r="G86" s="286"/>
      <c r="H86" s="302" t="str">
        <f>IF(H$82&gt;=$E86,'Dados ME'!E$6,"")</f>
        <v/>
      </c>
      <c r="I86" s="302" t="str">
        <f>IF(I$82&gt;=$E86,'Dados ME'!F$6,"")</f>
        <v/>
      </c>
      <c r="J86" s="302" t="str">
        <f>IF(J$82&gt;=$E86,'Dados ME'!G$6,"")</f>
        <v/>
      </c>
      <c r="K86" s="302">
        <f>IF(K$82&gt;=$E86,'Dados ME'!H$6,"")</f>
        <v>0</v>
      </c>
      <c r="L86" s="302">
        <f>IF(L$82&gt;=$E86,'Dados ME'!I$6,"")</f>
        <v>0</v>
      </c>
      <c r="M86" s="302">
        <f>IF(M$82&gt;=$E86,'Dados ME'!J$6,"")</f>
        <v>0</v>
      </c>
      <c r="N86" s="302">
        <f>IF(N$82&gt;=$E86,'Dados ME'!K$6,"")</f>
        <v>0</v>
      </c>
      <c r="O86" s="302">
        <f>IF(O$82&gt;=$E86,'Dados ME'!L$6,"")</f>
        <v>0</v>
      </c>
      <c r="P86" s="302">
        <f>IF(P$82&gt;=$E86,'Dados ME'!M$6,"")</f>
        <v>0</v>
      </c>
      <c r="Q86" s="302">
        <f>IF(Q$82&gt;=$E86,'Dados ME'!N$6,"")</f>
        <v>0</v>
      </c>
      <c r="R86" s="302">
        <f>IF(R$82&gt;=$E86,'Dados ME'!O$6,"")</f>
        <v>0</v>
      </c>
      <c r="S86" s="302">
        <f>IF(S$82&gt;=$E86,'Dados ME'!P$6,"")</f>
        <v>0</v>
      </c>
      <c r="T86" s="302">
        <f>IF(T$82&gt;=$E86,'Dados ME'!Q$6,"")</f>
        <v>0</v>
      </c>
      <c r="U86" s="302">
        <f>IF(U$82&gt;=$E86,'Dados ME'!R$6,"")</f>
        <v>0</v>
      </c>
      <c r="V86" s="302">
        <f>IF(V$82&gt;=$E86,'Dados ME'!S$6,"")</f>
        <v>0</v>
      </c>
      <c r="W86" s="302">
        <f>IF(W$82&gt;=$E86,'Dados ME'!T$6,"")</f>
        <v>0</v>
      </c>
      <c r="X86" s="302">
        <f>IF(X$82&gt;=$E86,'Dados ME'!U$6,"")</f>
        <v>0</v>
      </c>
      <c r="Y86" s="302">
        <f>IF(Y$82&gt;=$E86,'Dados ME'!V$6,"")</f>
        <v>0</v>
      </c>
      <c r="Z86" s="302">
        <f>IF(Z$82&gt;=$E86,'Dados ME'!W$6,"")</f>
        <v>0</v>
      </c>
      <c r="AA86" s="302">
        <f>IF(AA$82&gt;=$E86,'Dados ME'!X$6,"")</f>
        <v>0</v>
      </c>
      <c r="AB86" s="302">
        <f>IF(AB$82&gt;=$E86,'Dados ME'!Y$6,"")</f>
        <v>0</v>
      </c>
      <c r="AC86" s="302">
        <f>IF(AC$82&gt;=$E86,'Dados ME'!Z$6,"")</f>
        <v>0</v>
      </c>
      <c r="AD86" s="302">
        <f>IF(AD$82&gt;=$E86,'Dados ME'!AA$6,"")</f>
        <v>0</v>
      </c>
      <c r="AE86" s="302">
        <f>IF(AE$82&gt;=$E86,'Dados ME'!AB$6,"")</f>
        <v>0</v>
      </c>
      <c r="AF86" s="302">
        <f>IF(AF$82&gt;=$E86,'Dados ME'!AC$6,"")</f>
        <v>0</v>
      </c>
      <c r="AG86" s="302">
        <f>IF(AG$82&gt;=$E86,'Dados ME'!AD$6,"")</f>
        <v>0</v>
      </c>
      <c r="AH86" s="302">
        <f>IF(AH$82&gt;=$E86,'Dados ME'!AE$6,"")</f>
        <v>0</v>
      </c>
      <c r="AI86" s="302">
        <f>IF(AI$82&gt;=$E86,'Dados ME'!AF$6,"")</f>
        <v>0</v>
      </c>
      <c r="AJ86" s="302">
        <f>IF(AJ$82&gt;=$E86,'Dados ME'!AG$6,"")</f>
        <v>0</v>
      </c>
      <c r="AK86" s="302">
        <f>IF(AK$82&gt;=$E86,'Dados ME'!AH$6,"")</f>
        <v>0</v>
      </c>
      <c r="AL86" s="302">
        <f>IF(AL$82&gt;=$E86,'Dados ME'!AI$6,"")</f>
        <v>0</v>
      </c>
      <c r="AM86" s="302">
        <f>IF(AM$82&gt;=$E86,'Dados ME'!AJ$6,"")</f>
        <v>0</v>
      </c>
      <c r="AN86" s="302">
        <f>IF(AN$82&gt;=$E86,'Dados ME'!AK$6,"")</f>
        <v>0</v>
      </c>
      <c r="AO86" s="302">
        <f>IF(AO$82&gt;=$E86,'Dados ME'!AL$6,"")</f>
        <v>0</v>
      </c>
      <c r="AP86" s="302">
        <f>IF(AP$82&gt;=$E86,'Dados ME'!AM$6,"")</f>
        <v>0</v>
      </c>
      <c r="AQ86" s="287"/>
    </row>
    <row r="87" spans="3:43" x14ac:dyDescent="0.25">
      <c r="C87" s="1182"/>
      <c r="D87" s="285"/>
      <c r="E87" s="297">
        <f t="shared" si="92"/>
        <v>2031</v>
      </c>
      <c r="F87" s="285"/>
      <c r="G87" s="286"/>
      <c r="H87" s="302" t="str">
        <f>IF(H$82&gt;=$E87,'Dados ME'!E$6,"")</f>
        <v/>
      </c>
      <c r="I87" s="302" t="str">
        <f>IF(I$82&gt;=$E87,'Dados ME'!F$6,"")</f>
        <v/>
      </c>
      <c r="J87" s="302" t="str">
        <f>IF(J$82&gt;=$E87,'Dados ME'!G$6,"")</f>
        <v/>
      </c>
      <c r="K87" s="302" t="str">
        <f>IF(K$82&gt;=$E87,'Dados ME'!H$6,"")</f>
        <v/>
      </c>
      <c r="L87" s="302">
        <f>IF(L$82&gt;=$E87,'Dados ME'!I$6,"")</f>
        <v>0</v>
      </c>
      <c r="M87" s="302">
        <f>IF(M$82&gt;=$E87,'Dados ME'!J$6,"")</f>
        <v>0</v>
      </c>
      <c r="N87" s="302">
        <f>IF(N$82&gt;=$E87,'Dados ME'!K$6,"")</f>
        <v>0</v>
      </c>
      <c r="O87" s="302">
        <f>IF(O$82&gt;=$E87,'Dados ME'!L$6,"")</f>
        <v>0</v>
      </c>
      <c r="P87" s="302">
        <f>IF(P$82&gt;=$E87,'Dados ME'!M$6,"")</f>
        <v>0</v>
      </c>
      <c r="Q87" s="302">
        <f>IF(Q$82&gt;=$E87,'Dados ME'!N$6,"")</f>
        <v>0</v>
      </c>
      <c r="R87" s="302">
        <f>IF(R$82&gt;=$E87,'Dados ME'!O$6,"")</f>
        <v>0</v>
      </c>
      <c r="S87" s="302">
        <f>IF(S$82&gt;=$E87,'Dados ME'!P$6,"")</f>
        <v>0</v>
      </c>
      <c r="T87" s="302">
        <f>IF(T$82&gt;=$E87,'Dados ME'!Q$6,"")</f>
        <v>0</v>
      </c>
      <c r="U87" s="302">
        <f>IF(U$82&gt;=$E87,'Dados ME'!R$6,"")</f>
        <v>0</v>
      </c>
      <c r="V87" s="302">
        <f>IF(V$82&gt;=$E87,'Dados ME'!S$6,"")</f>
        <v>0</v>
      </c>
      <c r="W87" s="302">
        <f>IF(W$82&gt;=$E87,'Dados ME'!T$6,"")</f>
        <v>0</v>
      </c>
      <c r="X87" s="302">
        <f>IF(X$82&gt;=$E87,'Dados ME'!U$6,"")</f>
        <v>0</v>
      </c>
      <c r="Y87" s="302">
        <f>IF(Y$82&gt;=$E87,'Dados ME'!V$6,"")</f>
        <v>0</v>
      </c>
      <c r="Z87" s="302">
        <f>IF(Z$82&gt;=$E87,'Dados ME'!W$6,"")</f>
        <v>0</v>
      </c>
      <c r="AA87" s="302">
        <f>IF(AA$82&gt;=$E87,'Dados ME'!X$6,"")</f>
        <v>0</v>
      </c>
      <c r="AB87" s="302">
        <f>IF(AB$82&gt;=$E87,'Dados ME'!Y$6,"")</f>
        <v>0</v>
      </c>
      <c r="AC87" s="302">
        <f>IF(AC$82&gt;=$E87,'Dados ME'!Z$6,"")</f>
        <v>0</v>
      </c>
      <c r="AD87" s="302">
        <f>IF(AD$82&gt;=$E87,'Dados ME'!AA$6,"")</f>
        <v>0</v>
      </c>
      <c r="AE87" s="302">
        <f>IF(AE$82&gt;=$E87,'Dados ME'!AB$6,"")</f>
        <v>0</v>
      </c>
      <c r="AF87" s="302">
        <f>IF(AF$82&gt;=$E87,'Dados ME'!AC$6,"")</f>
        <v>0</v>
      </c>
      <c r="AG87" s="302">
        <f>IF(AG$82&gt;=$E87,'Dados ME'!AD$6,"")</f>
        <v>0</v>
      </c>
      <c r="AH87" s="302">
        <f>IF(AH$82&gt;=$E87,'Dados ME'!AE$6,"")</f>
        <v>0</v>
      </c>
      <c r="AI87" s="302">
        <f>IF(AI$82&gt;=$E87,'Dados ME'!AF$6,"")</f>
        <v>0</v>
      </c>
      <c r="AJ87" s="302">
        <f>IF(AJ$82&gt;=$E87,'Dados ME'!AG$6,"")</f>
        <v>0</v>
      </c>
      <c r="AK87" s="302">
        <f>IF(AK$82&gt;=$E87,'Dados ME'!AH$6,"")</f>
        <v>0</v>
      </c>
      <c r="AL87" s="302">
        <f>IF(AL$82&gt;=$E87,'Dados ME'!AI$6,"")</f>
        <v>0</v>
      </c>
      <c r="AM87" s="302">
        <f>IF(AM$82&gt;=$E87,'Dados ME'!AJ$6,"")</f>
        <v>0</v>
      </c>
      <c r="AN87" s="302">
        <f>IF(AN$82&gt;=$E87,'Dados ME'!AK$6,"")</f>
        <v>0</v>
      </c>
      <c r="AO87" s="302">
        <f>IF(AO$82&gt;=$E87,'Dados ME'!AL$6,"")</f>
        <v>0</v>
      </c>
      <c r="AP87" s="302">
        <f>IF(AP$82&gt;=$E87,'Dados ME'!AM$6,"")</f>
        <v>0</v>
      </c>
      <c r="AQ87" s="287"/>
    </row>
    <row r="88" spans="3:43" x14ac:dyDescent="0.25">
      <c r="C88" s="1182"/>
      <c r="D88" s="285"/>
      <c r="E88" s="297">
        <f t="shared" si="92"/>
        <v>2032</v>
      </c>
      <c r="F88" s="285"/>
      <c r="G88" s="286"/>
      <c r="H88" s="302" t="str">
        <f>IF(H$82&gt;=$E88,'Dados ME'!E$6,"")</f>
        <v/>
      </c>
      <c r="I88" s="302" t="str">
        <f>IF(I$82&gt;=$E88,'Dados ME'!F$6,"")</f>
        <v/>
      </c>
      <c r="J88" s="302" t="str">
        <f>IF(J$82&gt;=$E88,'Dados ME'!G$6,"")</f>
        <v/>
      </c>
      <c r="K88" s="302" t="str">
        <f>IF(K$82&gt;=$E88,'Dados ME'!H$6,"")</f>
        <v/>
      </c>
      <c r="L88" s="302" t="str">
        <f>IF(L$82&gt;=$E88,'Dados ME'!I$6,"")</f>
        <v/>
      </c>
      <c r="M88" s="302">
        <f>IF(M$82&gt;=$E88,'Dados ME'!J$6,"")</f>
        <v>0</v>
      </c>
      <c r="N88" s="302">
        <f>IF(N$82&gt;=$E88,'Dados ME'!K$6,"")</f>
        <v>0</v>
      </c>
      <c r="O88" s="302">
        <f>IF(O$82&gt;=$E88,'Dados ME'!L$6,"")</f>
        <v>0</v>
      </c>
      <c r="P88" s="302">
        <f>IF(P$82&gt;=$E88,'Dados ME'!M$6,"")</f>
        <v>0</v>
      </c>
      <c r="Q88" s="302">
        <f>IF(Q$82&gt;=$E88,'Dados ME'!N$6,"")</f>
        <v>0</v>
      </c>
      <c r="R88" s="302">
        <f>IF(R$82&gt;=$E88,'Dados ME'!O$6,"")</f>
        <v>0</v>
      </c>
      <c r="S88" s="302">
        <f>IF(S$82&gt;=$E88,'Dados ME'!P$6,"")</f>
        <v>0</v>
      </c>
      <c r="T88" s="302">
        <f>IF(T$82&gt;=$E88,'Dados ME'!Q$6,"")</f>
        <v>0</v>
      </c>
      <c r="U88" s="302">
        <f>IF(U$82&gt;=$E88,'Dados ME'!R$6,"")</f>
        <v>0</v>
      </c>
      <c r="V88" s="302">
        <f>IF(V$82&gt;=$E88,'Dados ME'!S$6,"")</f>
        <v>0</v>
      </c>
      <c r="W88" s="302">
        <f>IF(W$82&gt;=$E88,'Dados ME'!T$6,"")</f>
        <v>0</v>
      </c>
      <c r="X88" s="302">
        <f>IF(X$82&gt;=$E88,'Dados ME'!U$6,"")</f>
        <v>0</v>
      </c>
      <c r="Y88" s="302">
        <f>IF(Y$82&gt;=$E88,'Dados ME'!V$6,"")</f>
        <v>0</v>
      </c>
      <c r="Z88" s="302">
        <f>IF(Z$82&gt;=$E88,'Dados ME'!W$6,"")</f>
        <v>0</v>
      </c>
      <c r="AA88" s="302">
        <f>IF(AA$82&gt;=$E88,'Dados ME'!X$6,"")</f>
        <v>0</v>
      </c>
      <c r="AB88" s="302">
        <f>IF(AB$82&gt;=$E88,'Dados ME'!Y$6,"")</f>
        <v>0</v>
      </c>
      <c r="AC88" s="302">
        <f>IF(AC$82&gt;=$E88,'Dados ME'!Z$6,"")</f>
        <v>0</v>
      </c>
      <c r="AD88" s="302">
        <f>IF(AD$82&gt;=$E88,'Dados ME'!AA$6,"")</f>
        <v>0</v>
      </c>
      <c r="AE88" s="302">
        <f>IF(AE$82&gt;=$E88,'Dados ME'!AB$6,"")</f>
        <v>0</v>
      </c>
      <c r="AF88" s="302">
        <f>IF(AF$82&gt;=$E88,'Dados ME'!AC$6,"")</f>
        <v>0</v>
      </c>
      <c r="AG88" s="302">
        <f>IF(AG$82&gt;=$E88,'Dados ME'!AD$6,"")</f>
        <v>0</v>
      </c>
      <c r="AH88" s="302">
        <f>IF(AH$82&gt;=$E88,'Dados ME'!AE$6,"")</f>
        <v>0</v>
      </c>
      <c r="AI88" s="302">
        <f>IF(AI$82&gt;=$E88,'Dados ME'!AF$6,"")</f>
        <v>0</v>
      </c>
      <c r="AJ88" s="302">
        <f>IF(AJ$82&gt;=$E88,'Dados ME'!AG$6,"")</f>
        <v>0</v>
      </c>
      <c r="AK88" s="302">
        <f>IF(AK$82&gt;=$E88,'Dados ME'!AH$6,"")</f>
        <v>0</v>
      </c>
      <c r="AL88" s="302">
        <f>IF(AL$82&gt;=$E88,'Dados ME'!AI$6,"")</f>
        <v>0</v>
      </c>
      <c r="AM88" s="302">
        <f>IF(AM$82&gt;=$E88,'Dados ME'!AJ$6,"")</f>
        <v>0</v>
      </c>
      <c r="AN88" s="302">
        <f>IF(AN$82&gt;=$E88,'Dados ME'!AK$6,"")</f>
        <v>0</v>
      </c>
      <c r="AO88" s="302">
        <f>IF(AO$82&gt;=$E88,'Dados ME'!AL$6,"")</f>
        <v>0</v>
      </c>
      <c r="AP88" s="302">
        <f>IF(AP$82&gt;=$E88,'Dados ME'!AM$6,"")</f>
        <v>0</v>
      </c>
      <c r="AQ88" s="287"/>
    </row>
    <row r="89" spans="3:43" x14ac:dyDescent="0.25">
      <c r="C89" s="1182"/>
      <c r="D89" s="285"/>
      <c r="E89" s="297">
        <f t="shared" si="92"/>
        <v>2033</v>
      </c>
      <c r="F89" s="285"/>
      <c r="G89" s="286"/>
      <c r="H89" s="302" t="str">
        <f>IF(H$82&gt;=$E89,'Dados ME'!E$6,"")</f>
        <v/>
      </c>
      <c r="I89" s="302" t="str">
        <f>IF(I$82&gt;=$E89,'Dados ME'!F$6,"")</f>
        <v/>
      </c>
      <c r="J89" s="302" t="str">
        <f>IF(J$82&gt;=$E89,'Dados ME'!G$6,"")</f>
        <v/>
      </c>
      <c r="K89" s="302" t="str">
        <f>IF(K$82&gt;=$E89,'Dados ME'!H$6,"")</f>
        <v/>
      </c>
      <c r="L89" s="302" t="str">
        <f>IF(L$82&gt;=$E89,'Dados ME'!I$6,"")</f>
        <v/>
      </c>
      <c r="M89" s="302" t="str">
        <f>IF(M$82&gt;=$E89,'Dados ME'!J$6,"")</f>
        <v/>
      </c>
      <c r="N89" s="302">
        <f>IF(N$82&gt;=$E89,'Dados ME'!K$6,"")</f>
        <v>0</v>
      </c>
      <c r="O89" s="302">
        <f>IF(O$82&gt;=$E89,'Dados ME'!L$6,"")</f>
        <v>0</v>
      </c>
      <c r="P89" s="302">
        <f>IF(P$82&gt;=$E89,'Dados ME'!M$6,"")</f>
        <v>0</v>
      </c>
      <c r="Q89" s="302">
        <f>IF(Q$82&gt;=$E89,'Dados ME'!N$6,"")</f>
        <v>0</v>
      </c>
      <c r="R89" s="302">
        <f>IF(R$82&gt;=$E89,'Dados ME'!O$6,"")</f>
        <v>0</v>
      </c>
      <c r="S89" s="302">
        <f>IF(S$82&gt;=$E89,'Dados ME'!P$6,"")</f>
        <v>0</v>
      </c>
      <c r="T89" s="302">
        <f>IF(T$82&gt;=$E89,'Dados ME'!Q$6,"")</f>
        <v>0</v>
      </c>
      <c r="U89" s="302">
        <f>IF(U$82&gt;=$E89,'Dados ME'!R$6,"")</f>
        <v>0</v>
      </c>
      <c r="V89" s="302">
        <f>IF(V$82&gt;=$E89,'Dados ME'!S$6,"")</f>
        <v>0</v>
      </c>
      <c r="W89" s="302">
        <f>IF(W$82&gt;=$E89,'Dados ME'!T$6,"")</f>
        <v>0</v>
      </c>
      <c r="X89" s="302">
        <f>IF(X$82&gt;=$E89,'Dados ME'!U$6,"")</f>
        <v>0</v>
      </c>
      <c r="Y89" s="302">
        <f>IF(Y$82&gt;=$E89,'Dados ME'!V$6,"")</f>
        <v>0</v>
      </c>
      <c r="Z89" s="302">
        <f>IF(Z$82&gt;=$E89,'Dados ME'!W$6,"")</f>
        <v>0</v>
      </c>
      <c r="AA89" s="302">
        <f>IF(AA$82&gt;=$E89,'Dados ME'!X$6,"")</f>
        <v>0</v>
      </c>
      <c r="AB89" s="302">
        <f>IF(AB$82&gt;=$E89,'Dados ME'!Y$6,"")</f>
        <v>0</v>
      </c>
      <c r="AC89" s="302">
        <f>IF(AC$82&gt;=$E89,'Dados ME'!Z$6,"")</f>
        <v>0</v>
      </c>
      <c r="AD89" s="302">
        <f>IF(AD$82&gt;=$E89,'Dados ME'!AA$6,"")</f>
        <v>0</v>
      </c>
      <c r="AE89" s="302">
        <f>IF(AE$82&gt;=$E89,'Dados ME'!AB$6,"")</f>
        <v>0</v>
      </c>
      <c r="AF89" s="302">
        <f>IF(AF$82&gt;=$E89,'Dados ME'!AC$6,"")</f>
        <v>0</v>
      </c>
      <c r="AG89" s="302">
        <f>IF(AG$82&gt;=$E89,'Dados ME'!AD$6,"")</f>
        <v>0</v>
      </c>
      <c r="AH89" s="302">
        <f>IF(AH$82&gt;=$E89,'Dados ME'!AE$6,"")</f>
        <v>0</v>
      </c>
      <c r="AI89" s="302">
        <f>IF(AI$82&gt;=$E89,'Dados ME'!AF$6,"")</f>
        <v>0</v>
      </c>
      <c r="AJ89" s="302">
        <f>IF(AJ$82&gt;=$E89,'Dados ME'!AG$6,"")</f>
        <v>0</v>
      </c>
      <c r="AK89" s="302">
        <f>IF(AK$82&gt;=$E89,'Dados ME'!AH$6,"")</f>
        <v>0</v>
      </c>
      <c r="AL89" s="302">
        <f>IF(AL$82&gt;=$E89,'Dados ME'!AI$6,"")</f>
        <v>0</v>
      </c>
      <c r="AM89" s="302">
        <f>IF(AM$82&gt;=$E89,'Dados ME'!AJ$6,"")</f>
        <v>0</v>
      </c>
      <c r="AN89" s="302">
        <f>IF(AN$82&gt;=$E89,'Dados ME'!AK$6,"")</f>
        <v>0</v>
      </c>
      <c r="AO89" s="302">
        <f>IF(AO$82&gt;=$E89,'Dados ME'!AL$6,"")</f>
        <v>0</v>
      </c>
      <c r="AP89" s="302">
        <f>IF(AP$82&gt;=$E89,'Dados ME'!AM$6,"")</f>
        <v>0</v>
      </c>
      <c r="AQ89" s="287"/>
    </row>
    <row r="90" spans="3:43" x14ac:dyDescent="0.25">
      <c r="C90" s="1182"/>
      <c r="D90" s="285"/>
      <c r="E90" s="297">
        <f t="shared" si="92"/>
        <v>2034</v>
      </c>
      <c r="F90" s="285"/>
      <c r="G90" s="286"/>
      <c r="H90" s="302" t="str">
        <f>IF(H$82&gt;=$E90,'Dados ME'!E$6,"")</f>
        <v/>
      </c>
      <c r="I90" s="302" t="str">
        <f>IF(I$82&gt;=$E90,'Dados ME'!F$6,"")</f>
        <v/>
      </c>
      <c r="J90" s="302" t="str">
        <f>IF(J$82&gt;=$E90,'Dados ME'!G$6,"")</f>
        <v/>
      </c>
      <c r="K90" s="302" t="str">
        <f>IF(K$82&gt;=$E90,'Dados ME'!H$6,"")</f>
        <v/>
      </c>
      <c r="L90" s="302" t="str">
        <f>IF(L$82&gt;=$E90,'Dados ME'!I$6,"")</f>
        <v/>
      </c>
      <c r="M90" s="302" t="str">
        <f>IF(M$82&gt;=$E90,'Dados ME'!J$6,"")</f>
        <v/>
      </c>
      <c r="N90" s="302" t="str">
        <f>IF(N$82&gt;=$E90,'Dados ME'!K$6,"")</f>
        <v/>
      </c>
      <c r="O90" s="302">
        <f>IF(O$82&gt;=$E90,'Dados ME'!L$6,"")</f>
        <v>0</v>
      </c>
      <c r="P90" s="302">
        <f>IF(P$82&gt;=$E90,'Dados ME'!M$6,"")</f>
        <v>0</v>
      </c>
      <c r="Q90" s="302">
        <f>IF(Q$82&gt;=$E90,'Dados ME'!N$6,"")</f>
        <v>0</v>
      </c>
      <c r="R90" s="302">
        <f>IF(R$82&gt;=$E90,'Dados ME'!O$6,"")</f>
        <v>0</v>
      </c>
      <c r="S90" s="302">
        <f>IF(S$82&gt;=$E90,'Dados ME'!P$6,"")</f>
        <v>0</v>
      </c>
      <c r="T90" s="302">
        <f>IF(T$82&gt;=$E90,'Dados ME'!Q$6,"")</f>
        <v>0</v>
      </c>
      <c r="U90" s="302">
        <f>IF(U$82&gt;=$E90,'Dados ME'!R$6,"")</f>
        <v>0</v>
      </c>
      <c r="V90" s="302">
        <f>IF(V$82&gt;=$E90,'Dados ME'!S$6,"")</f>
        <v>0</v>
      </c>
      <c r="W90" s="302">
        <f>IF(W$82&gt;=$E90,'Dados ME'!T$6,"")</f>
        <v>0</v>
      </c>
      <c r="X90" s="302">
        <f>IF(X$82&gt;=$E90,'Dados ME'!U$6,"")</f>
        <v>0</v>
      </c>
      <c r="Y90" s="302">
        <f>IF(Y$82&gt;=$E90,'Dados ME'!V$6,"")</f>
        <v>0</v>
      </c>
      <c r="Z90" s="302">
        <f>IF(Z$82&gt;=$E90,'Dados ME'!W$6,"")</f>
        <v>0</v>
      </c>
      <c r="AA90" s="302">
        <f>IF(AA$82&gt;=$E90,'Dados ME'!X$6,"")</f>
        <v>0</v>
      </c>
      <c r="AB90" s="302">
        <f>IF(AB$82&gt;=$E90,'Dados ME'!Y$6,"")</f>
        <v>0</v>
      </c>
      <c r="AC90" s="302">
        <f>IF(AC$82&gt;=$E90,'Dados ME'!Z$6,"")</f>
        <v>0</v>
      </c>
      <c r="AD90" s="302">
        <f>IF(AD$82&gt;=$E90,'Dados ME'!AA$6,"")</f>
        <v>0</v>
      </c>
      <c r="AE90" s="302">
        <f>IF(AE$82&gt;=$E90,'Dados ME'!AB$6,"")</f>
        <v>0</v>
      </c>
      <c r="AF90" s="302">
        <f>IF(AF$82&gt;=$E90,'Dados ME'!AC$6,"")</f>
        <v>0</v>
      </c>
      <c r="AG90" s="302">
        <f>IF(AG$82&gt;=$E90,'Dados ME'!AD$6,"")</f>
        <v>0</v>
      </c>
      <c r="AH90" s="302">
        <f>IF(AH$82&gt;=$E90,'Dados ME'!AE$6,"")</f>
        <v>0</v>
      </c>
      <c r="AI90" s="302">
        <f>IF(AI$82&gt;=$E90,'Dados ME'!AF$6,"")</f>
        <v>0</v>
      </c>
      <c r="AJ90" s="302">
        <f>IF(AJ$82&gt;=$E90,'Dados ME'!AG$6,"")</f>
        <v>0</v>
      </c>
      <c r="AK90" s="302">
        <f>IF(AK$82&gt;=$E90,'Dados ME'!AH$6,"")</f>
        <v>0</v>
      </c>
      <c r="AL90" s="302">
        <f>IF(AL$82&gt;=$E90,'Dados ME'!AI$6,"")</f>
        <v>0</v>
      </c>
      <c r="AM90" s="302">
        <f>IF(AM$82&gt;=$E90,'Dados ME'!AJ$6,"")</f>
        <v>0</v>
      </c>
      <c r="AN90" s="302">
        <f>IF(AN$82&gt;=$E90,'Dados ME'!AK$6,"")</f>
        <v>0</v>
      </c>
      <c r="AO90" s="302">
        <f>IF(AO$82&gt;=$E90,'Dados ME'!AL$6,"")</f>
        <v>0</v>
      </c>
      <c r="AP90" s="302">
        <f>IF(AP$82&gt;=$E90,'Dados ME'!AM$6,"")</f>
        <v>0</v>
      </c>
      <c r="AQ90" s="287"/>
    </row>
    <row r="91" spans="3:43" x14ac:dyDescent="0.25">
      <c r="C91" s="1182"/>
      <c r="D91" s="285"/>
      <c r="E91" s="297">
        <f t="shared" si="92"/>
        <v>2035</v>
      </c>
      <c r="F91" s="285"/>
      <c r="G91" s="286"/>
      <c r="H91" s="302" t="str">
        <f>IF(H$82&gt;=$E91,'Dados ME'!E$6,"")</f>
        <v/>
      </c>
      <c r="I91" s="302" t="str">
        <f>IF(I$82&gt;=$E91,'Dados ME'!F$6,"")</f>
        <v/>
      </c>
      <c r="J91" s="302" t="str">
        <f>IF(J$82&gt;=$E91,'Dados ME'!G$6,"")</f>
        <v/>
      </c>
      <c r="K91" s="302" t="str">
        <f>IF(K$82&gt;=$E91,'Dados ME'!H$6,"")</f>
        <v/>
      </c>
      <c r="L91" s="302" t="str">
        <f>IF(L$82&gt;=$E91,'Dados ME'!I$6,"")</f>
        <v/>
      </c>
      <c r="M91" s="302" t="str">
        <f>IF(M$82&gt;=$E91,'Dados ME'!J$6,"")</f>
        <v/>
      </c>
      <c r="N91" s="302" t="str">
        <f>IF(N$82&gt;=$E91,'Dados ME'!K$6,"")</f>
        <v/>
      </c>
      <c r="O91" s="302" t="str">
        <f>IF(O$82&gt;=$E91,'Dados ME'!L$6,"")</f>
        <v/>
      </c>
      <c r="P91" s="302">
        <f>IF(P$82&gt;=$E91,'Dados ME'!M$6,"")</f>
        <v>0</v>
      </c>
      <c r="Q91" s="302">
        <f>IF(Q$82&gt;=$E91,'Dados ME'!N$6,"")</f>
        <v>0</v>
      </c>
      <c r="R91" s="302">
        <f>IF(R$82&gt;=$E91,'Dados ME'!O$6,"")</f>
        <v>0</v>
      </c>
      <c r="S91" s="302">
        <f>IF(S$82&gt;=$E91,'Dados ME'!P$6,"")</f>
        <v>0</v>
      </c>
      <c r="T91" s="302">
        <f>IF(T$82&gt;=$E91,'Dados ME'!Q$6,"")</f>
        <v>0</v>
      </c>
      <c r="U91" s="302">
        <f>IF(U$82&gt;=$E91,'Dados ME'!R$6,"")</f>
        <v>0</v>
      </c>
      <c r="V91" s="302">
        <f>IF(V$82&gt;=$E91,'Dados ME'!S$6,"")</f>
        <v>0</v>
      </c>
      <c r="W91" s="302">
        <f>IF(W$82&gt;=$E91,'Dados ME'!T$6,"")</f>
        <v>0</v>
      </c>
      <c r="X91" s="302">
        <f>IF(X$82&gt;=$E91,'Dados ME'!U$6,"")</f>
        <v>0</v>
      </c>
      <c r="Y91" s="302">
        <f>IF(Y$82&gt;=$E91,'Dados ME'!V$6,"")</f>
        <v>0</v>
      </c>
      <c r="Z91" s="302">
        <f>IF(Z$82&gt;=$E91,'Dados ME'!W$6,"")</f>
        <v>0</v>
      </c>
      <c r="AA91" s="302">
        <f>IF(AA$82&gt;=$E91,'Dados ME'!X$6,"")</f>
        <v>0</v>
      </c>
      <c r="AB91" s="302">
        <f>IF(AB$82&gt;=$E91,'Dados ME'!Y$6,"")</f>
        <v>0</v>
      </c>
      <c r="AC91" s="302">
        <f>IF(AC$82&gt;=$E91,'Dados ME'!Z$6,"")</f>
        <v>0</v>
      </c>
      <c r="AD91" s="302">
        <f>IF(AD$82&gt;=$E91,'Dados ME'!AA$6,"")</f>
        <v>0</v>
      </c>
      <c r="AE91" s="302">
        <f>IF(AE$82&gt;=$E91,'Dados ME'!AB$6,"")</f>
        <v>0</v>
      </c>
      <c r="AF91" s="302">
        <f>IF(AF$82&gt;=$E91,'Dados ME'!AC$6,"")</f>
        <v>0</v>
      </c>
      <c r="AG91" s="302">
        <f>IF(AG$82&gt;=$E91,'Dados ME'!AD$6,"")</f>
        <v>0</v>
      </c>
      <c r="AH91" s="302">
        <f>IF(AH$82&gt;=$E91,'Dados ME'!AE$6,"")</f>
        <v>0</v>
      </c>
      <c r="AI91" s="302">
        <f>IF(AI$82&gt;=$E91,'Dados ME'!AF$6,"")</f>
        <v>0</v>
      </c>
      <c r="AJ91" s="302">
        <f>IF(AJ$82&gt;=$E91,'Dados ME'!AG$6,"")</f>
        <v>0</v>
      </c>
      <c r="AK91" s="302">
        <f>IF(AK$82&gt;=$E91,'Dados ME'!AH$6,"")</f>
        <v>0</v>
      </c>
      <c r="AL91" s="302">
        <f>IF(AL$82&gt;=$E91,'Dados ME'!AI$6,"")</f>
        <v>0</v>
      </c>
      <c r="AM91" s="302">
        <f>IF(AM$82&gt;=$E91,'Dados ME'!AJ$6,"")</f>
        <v>0</v>
      </c>
      <c r="AN91" s="302">
        <f>IF(AN$82&gt;=$E91,'Dados ME'!AK$6,"")</f>
        <v>0</v>
      </c>
      <c r="AO91" s="302">
        <f>IF(AO$82&gt;=$E91,'Dados ME'!AL$6,"")</f>
        <v>0</v>
      </c>
      <c r="AP91" s="302">
        <f>IF(AP$82&gt;=$E91,'Dados ME'!AM$6,"")</f>
        <v>0</v>
      </c>
      <c r="AQ91" s="287"/>
    </row>
    <row r="92" spans="3:43" x14ac:dyDescent="0.25">
      <c r="C92" s="1182"/>
      <c r="D92" s="285"/>
      <c r="E92" s="297">
        <f t="shared" si="92"/>
        <v>2036</v>
      </c>
      <c r="F92" s="285"/>
      <c r="G92" s="286"/>
      <c r="H92" s="302" t="str">
        <f>IF(H$82&gt;=$E92,'Dados ME'!E$6,"")</f>
        <v/>
      </c>
      <c r="I92" s="302" t="str">
        <f>IF(I$82&gt;=$E92,'Dados ME'!F$6,"")</f>
        <v/>
      </c>
      <c r="J92" s="302" t="str">
        <f>IF(J$82&gt;=$E92,'Dados ME'!G$6,"")</f>
        <v/>
      </c>
      <c r="K92" s="302" t="str">
        <f>IF(K$82&gt;=$E92,'Dados ME'!H$6,"")</f>
        <v/>
      </c>
      <c r="L92" s="302" t="str">
        <f>IF(L$82&gt;=$E92,'Dados ME'!I$6,"")</f>
        <v/>
      </c>
      <c r="M92" s="302" t="str">
        <f>IF(M$82&gt;=$E92,'Dados ME'!J$6,"")</f>
        <v/>
      </c>
      <c r="N92" s="302" t="str">
        <f>IF(N$82&gt;=$E92,'Dados ME'!K$6,"")</f>
        <v/>
      </c>
      <c r="O92" s="302" t="str">
        <f>IF(O$82&gt;=$E92,'Dados ME'!L$6,"")</f>
        <v/>
      </c>
      <c r="P92" s="302" t="str">
        <f>IF(P$82&gt;=$E92,'Dados ME'!M$6,"")</f>
        <v/>
      </c>
      <c r="Q92" s="302">
        <f>IF(Q$82&gt;=$E92,'Dados ME'!N$6,"")</f>
        <v>0</v>
      </c>
      <c r="R92" s="302">
        <f>IF(R$82&gt;=$E92,'Dados ME'!O$6,"")</f>
        <v>0</v>
      </c>
      <c r="S92" s="302">
        <f>IF(S$82&gt;=$E92,'Dados ME'!P$6,"")</f>
        <v>0</v>
      </c>
      <c r="T92" s="302">
        <f>IF(T$82&gt;=$E92,'Dados ME'!Q$6,"")</f>
        <v>0</v>
      </c>
      <c r="U92" s="302">
        <f>IF(U$82&gt;=$E92,'Dados ME'!R$6,"")</f>
        <v>0</v>
      </c>
      <c r="V92" s="302">
        <f>IF(V$82&gt;=$E92,'Dados ME'!S$6,"")</f>
        <v>0</v>
      </c>
      <c r="W92" s="302">
        <f>IF(W$82&gt;=$E92,'Dados ME'!T$6,"")</f>
        <v>0</v>
      </c>
      <c r="X92" s="302">
        <f>IF(X$82&gt;=$E92,'Dados ME'!U$6,"")</f>
        <v>0</v>
      </c>
      <c r="Y92" s="302">
        <f>IF(Y$82&gt;=$E92,'Dados ME'!V$6,"")</f>
        <v>0</v>
      </c>
      <c r="Z92" s="302">
        <f>IF(Z$82&gt;=$E92,'Dados ME'!W$6,"")</f>
        <v>0</v>
      </c>
      <c r="AA92" s="302">
        <f>IF(AA$82&gt;=$E92,'Dados ME'!X$6,"")</f>
        <v>0</v>
      </c>
      <c r="AB92" s="302">
        <f>IF(AB$82&gt;=$E92,'Dados ME'!Y$6,"")</f>
        <v>0</v>
      </c>
      <c r="AC92" s="302">
        <f>IF(AC$82&gt;=$E92,'Dados ME'!Z$6,"")</f>
        <v>0</v>
      </c>
      <c r="AD92" s="302">
        <f>IF(AD$82&gt;=$E92,'Dados ME'!AA$6,"")</f>
        <v>0</v>
      </c>
      <c r="AE92" s="302">
        <f>IF(AE$82&gt;=$E92,'Dados ME'!AB$6,"")</f>
        <v>0</v>
      </c>
      <c r="AF92" s="302">
        <f>IF(AF$82&gt;=$E92,'Dados ME'!AC$6,"")</f>
        <v>0</v>
      </c>
      <c r="AG92" s="302">
        <f>IF(AG$82&gt;=$E92,'Dados ME'!AD$6,"")</f>
        <v>0</v>
      </c>
      <c r="AH92" s="302">
        <f>IF(AH$82&gt;=$E92,'Dados ME'!AE$6,"")</f>
        <v>0</v>
      </c>
      <c r="AI92" s="302">
        <f>IF(AI$82&gt;=$E92,'Dados ME'!AF$6,"")</f>
        <v>0</v>
      </c>
      <c r="AJ92" s="302">
        <f>IF(AJ$82&gt;=$E92,'Dados ME'!AG$6,"")</f>
        <v>0</v>
      </c>
      <c r="AK92" s="302">
        <f>IF(AK$82&gt;=$E92,'Dados ME'!AH$6,"")</f>
        <v>0</v>
      </c>
      <c r="AL92" s="302">
        <f>IF(AL$82&gt;=$E92,'Dados ME'!AI$6,"")</f>
        <v>0</v>
      </c>
      <c r="AM92" s="302">
        <f>IF(AM$82&gt;=$E92,'Dados ME'!AJ$6,"")</f>
        <v>0</v>
      </c>
      <c r="AN92" s="302">
        <f>IF(AN$82&gt;=$E92,'Dados ME'!AK$6,"")</f>
        <v>0</v>
      </c>
      <c r="AO92" s="302">
        <f>IF(AO$82&gt;=$E92,'Dados ME'!AL$6,"")</f>
        <v>0</v>
      </c>
      <c r="AP92" s="302">
        <f>IF(AP$82&gt;=$E92,'Dados ME'!AM$6,"")</f>
        <v>0</v>
      </c>
      <c r="AQ92" s="287"/>
    </row>
    <row r="93" spans="3:43" x14ac:dyDescent="0.25">
      <c r="C93" s="1182"/>
      <c r="D93" s="285"/>
      <c r="E93" s="297">
        <f t="shared" si="92"/>
        <v>2037</v>
      </c>
      <c r="F93" s="285"/>
      <c r="G93" s="286"/>
      <c r="H93" s="302" t="str">
        <f>IF(H$82&gt;=$E93,'Dados ME'!E$6,"")</f>
        <v/>
      </c>
      <c r="I93" s="302" t="str">
        <f>IF(I$82&gt;=$E93,'Dados ME'!F$6,"")</f>
        <v/>
      </c>
      <c r="J93" s="302" t="str">
        <f>IF(J$82&gt;=$E93,'Dados ME'!G$6,"")</f>
        <v/>
      </c>
      <c r="K93" s="302" t="str">
        <f>IF(K$82&gt;=$E93,'Dados ME'!H$6,"")</f>
        <v/>
      </c>
      <c r="L93" s="302" t="str">
        <f>IF(L$82&gt;=$E93,'Dados ME'!I$6,"")</f>
        <v/>
      </c>
      <c r="M93" s="302" t="str">
        <f>IF(M$82&gt;=$E93,'Dados ME'!J$6,"")</f>
        <v/>
      </c>
      <c r="N93" s="302" t="str">
        <f>IF(N$82&gt;=$E93,'Dados ME'!K$6,"")</f>
        <v/>
      </c>
      <c r="O93" s="302" t="str">
        <f>IF(O$82&gt;=$E93,'Dados ME'!L$6,"")</f>
        <v/>
      </c>
      <c r="P93" s="302" t="str">
        <f>IF(P$82&gt;=$E93,'Dados ME'!M$6,"")</f>
        <v/>
      </c>
      <c r="Q93" s="302" t="str">
        <f>IF(Q$82&gt;=$E93,'Dados ME'!N$6,"")</f>
        <v/>
      </c>
      <c r="R93" s="302">
        <f>IF(R$82&gt;=$E93,'Dados ME'!O$6,"")</f>
        <v>0</v>
      </c>
      <c r="S93" s="302">
        <f>IF(S$82&gt;=$E93,'Dados ME'!P$6,"")</f>
        <v>0</v>
      </c>
      <c r="T93" s="302">
        <f>IF(T$82&gt;=$E93,'Dados ME'!Q$6,"")</f>
        <v>0</v>
      </c>
      <c r="U93" s="302">
        <f>IF(U$82&gt;=$E93,'Dados ME'!R$6,"")</f>
        <v>0</v>
      </c>
      <c r="V93" s="302">
        <f>IF(V$82&gt;=$E93,'Dados ME'!S$6,"")</f>
        <v>0</v>
      </c>
      <c r="W93" s="302">
        <f>IF(W$82&gt;=$E93,'Dados ME'!T$6,"")</f>
        <v>0</v>
      </c>
      <c r="X93" s="302">
        <f>IF(X$82&gt;=$E93,'Dados ME'!U$6,"")</f>
        <v>0</v>
      </c>
      <c r="Y93" s="302">
        <f>IF(Y$82&gt;=$E93,'Dados ME'!V$6,"")</f>
        <v>0</v>
      </c>
      <c r="Z93" s="302">
        <f>IF(Z$82&gt;=$E93,'Dados ME'!W$6,"")</f>
        <v>0</v>
      </c>
      <c r="AA93" s="302">
        <f>IF(AA$82&gt;=$E93,'Dados ME'!X$6,"")</f>
        <v>0</v>
      </c>
      <c r="AB93" s="302">
        <f>IF(AB$82&gt;=$E93,'Dados ME'!Y$6,"")</f>
        <v>0</v>
      </c>
      <c r="AC93" s="302">
        <f>IF(AC$82&gt;=$E93,'Dados ME'!Z$6,"")</f>
        <v>0</v>
      </c>
      <c r="AD93" s="302">
        <f>IF(AD$82&gt;=$E93,'Dados ME'!AA$6,"")</f>
        <v>0</v>
      </c>
      <c r="AE93" s="302">
        <f>IF(AE$82&gt;=$E93,'Dados ME'!AB$6,"")</f>
        <v>0</v>
      </c>
      <c r="AF93" s="302">
        <f>IF(AF$82&gt;=$E93,'Dados ME'!AC$6,"")</f>
        <v>0</v>
      </c>
      <c r="AG93" s="302">
        <f>IF(AG$82&gt;=$E93,'Dados ME'!AD$6,"")</f>
        <v>0</v>
      </c>
      <c r="AH93" s="302">
        <f>IF(AH$82&gt;=$E93,'Dados ME'!AE$6,"")</f>
        <v>0</v>
      </c>
      <c r="AI93" s="302">
        <f>IF(AI$82&gt;=$E93,'Dados ME'!AF$6,"")</f>
        <v>0</v>
      </c>
      <c r="AJ93" s="302">
        <f>IF(AJ$82&gt;=$E93,'Dados ME'!AG$6,"")</f>
        <v>0</v>
      </c>
      <c r="AK93" s="302">
        <f>IF(AK$82&gt;=$E93,'Dados ME'!AH$6,"")</f>
        <v>0</v>
      </c>
      <c r="AL93" s="302">
        <f>IF(AL$82&gt;=$E93,'Dados ME'!AI$6,"")</f>
        <v>0</v>
      </c>
      <c r="AM93" s="302">
        <f>IF(AM$82&gt;=$E93,'Dados ME'!AJ$6,"")</f>
        <v>0</v>
      </c>
      <c r="AN93" s="302">
        <f>IF(AN$82&gt;=$E93,'Dados ME'!AK$6,"")</f>
        <v>0</v>
      </c>
      <c r="AO93" s="302">
        <f>IF(AO$82&gt;=$E93,'Dados ME'!AL$6,"")</f>
        <v>0</v>
      </c>
      <c r="AP93" s="302">
        <f>IF(AP$82&gt;=$E93,'Dados ME'!AM$6,"")</f>
        <v>0</v>
      </c>
      <c r="AQ93" s="287"/>
    </row>
    <row r="94" spans="3:43" x14ac:dyDescent="0.25">
      <c r="C94" s="1182"/>
      <c r="D94" s="285"/>
      <c r="E94" s="297">
        <f t="shared" si="92"/>
        <v>2038</v>
      </c>
      <c r="F94" s="285"/>
      <c r="G94" s="286"/>
      <c r="H94" s="302" t="str">
        <f>IF(H$82&gt;=$E94,'Dados ME'!E$6,"")</f>
        <v/>
      </c>
      <c r="I94" s="302" t="str">
        <f>IF(I$82&gt;=$E94,'Dados ME'!F$6,"")</f>
        <v/>
      </c>
      <c r="J94" s="302" t="str">
        <f>IF(J$82&gt;=$E94,'Dados ME'!G$6,"")</f>
        <v/>
      </c>
      <c r="K94" s="302" t="str">
        <f>IF(K$82&gt;=$E94,'Dados ME'!H$6,"")</f>
        <v/>
      </c>
      <c r="L94" s="302" t="str">
        <f>IF(L$82&gt;=$E94,'Dados ME'!I$6,"")</f>
        <v/>
      </c>
      <c r="M94" s="302" t="str">
        <f>IF(M$82&gt;=$E94,'Dados ME'!J$6,"")</f>
        <v/>
      </c>
      <c r="N94" s="302" t="str">
        <f>IF(N$82&gt;=$E94,'Dados ME'!K$6,"")</f>
        <v/>
      </c>
      <c r="O94" s="302" t="str">
        <f>IF(O$82&gt;=$E94,'Dados ME'!L$6,"")</f>
        <v/>
      </c>
      <c r="P94" s="302" t="str">
        <f>IF(P$82&gt;=$E94,'Dados ME'!M$6,"")</f>
        <v/>
      </c>
      <c r="Q94" s="302" t="str">
        <f>IF(Q$82&gt;=$E94,'Dados ME'!N$6,"")</f>
        <v/>
      </c>
      <c r="R94" s="302" t="str">
        <f>IF(R$82&gt;=$E94,'Dados ME'!O$6,"")</f>
        <v/>
      </c>
      <c r="S94" s="302">
        <f>IF(S$82&gt;=$E94,'Dados ME'!P$6,"")</f>
        <v>0</v>
      </c>
      <c r="T94" s="302">
        <f>IF(T$82&gt;=$E94,'Dados ME'!Q$6,"")</f>
        <v>0</v>
      </c>
      <c r="U94" s="302">
        <f>IF(U$82&gt;=$E94,'Dados ME'!R$6,"")</f>
        <v>0</v>
      </c>
      <c r="V94" s="302">
        <f>IF(V$82&gt;=$E94,'Dados ME'!S$6,"")</f>
        <v>0</v>
      </c>
      <c r="W94" s="302">
        <f>IF(W$82&gt;=$E94,'Dados ME'!T$6,"")</f>
        <v>0</v>
      </c>
      <c r="X94" s="302">
        <f>IF(X$82&gt;=$E94,'Dados ME'!U$6,"")</f>
        <v>0</v>
      </c>
      <c r="Y94" s="302">
        <f>IF(Y$82&gt;=$E94,'Dados ME'!V$6,"")</f>
        <v>0</v>
      </c>
      <c r="Z94" s="302">
        <f>IF(Z$82&gt;=$E94,'Dados ME'!W$6,"")</f>
        <v>0</v>
      </c>
      <c r="AA94" s="302">
        <f>IF(AA$82&gt;=$E94,'Dados ME'!X$6,"")</f>
        <v>0</v>
      </c>
      <c r="AB94" s="302">
        <f>IF(AB$82&gt;=$E94,'Dados ME'!Y$6,"")</f>
        <v>0</v>
      </c>
      <c r="AC94" s="302">
        <f>IF(AC$82&gt;=$E94,'Dados ME'!Z$6,"")</f>
        <v>0</v>
      </c>
      <c r="AD94" s="302">
        <f>IF(AD$82&gt;=$E94,'Dados ME'!AA$6,"")</f>
        <v>0</v>
      </c>
      <c r="AE94" s="302">
        <f>IF(AE$82&gt;=$E94,'Dados ME'!AB$6,"")</f>
        <v>0</v>
      </c>
      <c r="AF94" s="302">
        <f>IF(AF$82&gt;=$E94,'Dados ME'!AC$6,"")</f>
        <v>0</v>
      </c>
      <c r="AG94" s="302">
        <f>IF(AG$82&gt;=$E94,'Dados ME'!AD$6,"")</f>
        <v>0</v>
      </c>
      <c r="AH94" s="302">
        <f>IF(AH$82&gt;=$E94,'Dados ME'!AE$6,"")</f>
        <v>0</v>
      </c>
      <c r="AI94" s="302">
        <f>IF(AI$82&gt;=$E94,'Dados ME'!AF$6,"")</f>
        <v>0</v>
      </c>
      <c r="AJ94" s="302">
        <f>IF(AJ$82&gt;=$E94,'Dados ME'!AG$6,"")</f>
        <v>0</v>
      </c>
      <c r="AK94" s="302">
        <f>IF(AK$82&gt;=$E94,'Dados ME'!AH$6,"")</f>
        <v>0</v>
      </c>
      <c r="AL94" s="302">
        <f>IF(AL$82&gt;=$E94,'Dados ME'!AI$6,"")</f>
        <v>0</v>
      </c>
      <c r="AM94" s="302">
        <f>IF(AM$82&gt;=$E94,'Dados ME'!AJ$6,"")</f>
        <v>0</v>
      </c>
      <c r="AN94" s="302">
        <f>IF(AN$82&gt;=$E94,'Dados ME'!AK$6,"")</f>
        <v>0</v>
      </c>
      <c r="AO94" s="302">
        <f>IF(AO$82&gt;=$E94,'Dados ME'!AL$6,"")</f>
        <v>0</v>
      </c>
      <c r="AP94" s="302">
        <f>IF(AP$82&gt;=$E94,'Dados ME'!AM$6,"")</f>
        <v>0</v>
      </c>
      <c r="AQ94" s="287"/>
    </row>
    <row r="95" spans="3:43" x14ac:dyDescent="0.25">
      <c r="C95" s="1182"/>
      <c r="D95" s="285"/>
      <c r="E95" s="297">
        <f t="shared" si="92"/>
        <v>2039</v>
      </c>
      <c r="F95" s="285"/>
      <c r="G95" s="286"/>
      <c r="H95" s="302" t="str">
        <f>IF(H$82&gt;=$E95,'Dados ME'!E$6,"")</f>
        <v/>
      </c>
      <c r="I95" s="302" t="str">
        <f>IF(I$82&gt;=$E95,'Dados ME'!F$6,"")</f>
        <v/>
      </c>
      <c r="J95" s="302" t="str">
        <f>IF(J$82&gt;=$E95,'Dados ME'!G$6,"")</f>
        <v/>
      </c>
      <c r="K95" s="302" t="str">
        <f>IF(K$82&gt;=$E95,'Dados ME'!H$6,"")</f>
        <v/>
      </c>
      <c r="L95" s="302" t="str">
        <f>IF(L$82&gt;=$E95,'Dados ME'!I$6,"")</f>
        <v/>
      </c>
      <c r="M95" s="302" t="str">
        <f>IF(M$82&gt;=$E95,'Dados ME'!J$6,"")</f>
        <v/>
      </c>
      <c r="N95" s="302" t="str">
        <f>IF(N$82&gt;=$E95,'Dados ME'!K$6,"")</f>
        <v/>
      </c>
      <c r="O95" s="302" t="str">
        <f>IF(O$82&gt;=$E95,'Dados ME'!L$6,"")</f>
        <v/>
      </c>
      <c r="P95" s="302" t="str">
        <f>IF(P$82&gt;=$E95,'Dados ME'!M$6,"")</f>
        <v/>
      </c>
      <c r="Q95" s="302" t="str">
        <f>IF(Q$82&gt;=$E95,'Dados ME'!N$6,"")</f>
        <v/>
      </c>
      <c r="R95" s="302" t="str">
        <f>IF(R$82&gt;=$E95,'Dados ME'!O$6,"")</f>
        <v/>
      </c>
      <c r="S95" s="302" t="str">
        <f>IF(S$82&gt;=$E95,'Dados ME'!P$6,"")</f>
        <v/>
      </c>
      <c r="T95" s="302">
        <f>IF(T$82&gt;=$E95,'Dados ME'!Q$6,"")</f>
        <v>0</v>
      </c>
      <c r="U95" s="302">
        <f>IF(U$82&gt;=$E95,'Dados ME'!R$6,"")</f>
        <v>0</v>
      </c>
      <c r="V95" s="302">
        <f>IF(V$82&gt;=$E95,'Dados ME'!S$6,"")</f>
        <v>0</v>
      </c>
      <c r="W95" s="302">
        <f>IF(W$82&gt;=$E95,'Dados ME'!T$6,"")</f>
        <v>0</v>
      </c>
      <c r="X95" s="302">
        <f>IF(X$82&gt;=$E95,'Dados ME'!U$6,"")</f>
        <v>0</v>
      </c>
      <c r="Y95" s="302">
        <f>IF(Y$82&gt;=$E95,'Dados ME'!V$6,"")</f>
        <v>0</v>
      </c>
      <c r="Z95" s="302">
        <f>IF(Z$82&gt;=$E95,'Dados ME'!W$6,"")</f>
        <v>0</v>
      </c>
      <c r="AA95" s="302">
        <f>IF(AA$82&gt;=$E95,'Dados ME'!X$6,"")</f>
        <v>0</v>
      </c>
      <c r="AB95" s="302">
        <f>IF(AB$82&gt;=$E95,'Dados ME'!Y$6,"")</f>
        <v>0</v>
      </c>
      <c r="AC95" s="302">
        <f>IF(AC$82&gt;=$E95,'Dados ME'!Z$6,"")</f>
        <v>0</v>
      </c>
      <c r="AD95" s="302">
        <f>IF(AD$82&gt;=$E95,'Dados ME'!AA$6,"")</f>
        <v>0</v>
      </c>
      <c r="AE95" s="302">
        <f>IF(AE$82&gt;=$E95,'Dados ME'!AB$6,"")</f>
        <v>0</v>
      </c>
      <c r="AF95" s="302">
        <f>IF(AF$82&gt;=$E95,'Dados ME'!AC$6,"")</f>
        <v>0</v>
      </c>
      <c r="AG95" s="302">
        <f>IF(AG$82&gt;=$E95,'Dados ME'!AD$6,"")</f>
        <v>0</v>
      </c>
      <c r="AH95" s="302">
        <f>IF(AH$82&gt;=$E95,'Dados ME'!AE$6,"")</f>
        <v>0</v>
      </c>
      <c r="AI95" s="302">
        <f>IF(AI$82&gt;=$E95,'Dados ME'!AF$6,"")</f>
        <v>0</v>
      </c>
      <c r="AJ95" s="302">
        <f>IF(AJ$82&gt;=$E95,'Dados ME'!AG$6,"")</f>
        <v>0</v>
      </c>
      <c r="AK95" s="302">
        <f>IF(AK$82&gt;=$E95,'Dados ME'!AH$6,"")</f>
        <v>0</v>
      </c>
      <c r="AL95" s="302">
        <f>IF(AL$82&gt;=$E95,'Dados ME'!AI$6,"")</f>
        <v>0</v>
      </c>
      <c r="AM95" s="302">
        <f>IF(AM$82&gt;=$E95,'Dados ME'!AJ$6,"")</f>
        <v>0</v>
      </c>
      <c r="AN95" s="302">
        <f>IF(AN$82&gt;=$E95,'Dados ME'!AK$6,"")</f>
        <v>0</v>
      </c>
      <c r="AO95" s="302">
        <f>IF(AO$82&gt;=$E95,'Dados ME'!AL$6,"")</f>
        <v>0</v>
      </c>
      <c r="AP95" s="302">
        <f>IF(AP$82&gt;=$E95,'Dados ME'!AM$6,"")</f>
        <v>0</v>
      </c>
      <c r="AQ95" s="287"/>
    </row>
    <row r="96" spans="3:43" x14ac:dyDescent="0.25">
      <c r="C96" s="1182"/>
      <c r="D96" s="285"/>
      <c r="E96" s="297">
        <f t="shared" si="92"/>
        <v>2040</v>
      </c>
      <c r="F96" s="285"/>
      <c r="G96" s="286"/>
      <c r="H96" s="302" t="str">
        <f>IF(H$82&gt;=$E96,'Dados ME'!E$6,"")</f>
        <v/>
      </c>
      <c r="I96" s="302" t="str">
        <f>IF(I$82&gt;=$E96,'Dados ME'!F$6,"")</f>
        <v/>
      </c>
      <c r="J96" s="302" t="str">
        <f>IF(J$82&gt;=$E96,'Dados ME'!G$6,"")</f>
        <v/>
      </c>
      <c r="K96" s="302" t="str">
        <f>IF(K$82&gt;=$E96,'Dados ME'!H$6,"")</f>
        <v/>
      </c>
      <c r="L96" s="302" t="str">
        <f>IF(L$82&gt;=$E96,'Dados ME'!I$6,"")</f>
        <v/>
      </c>
      <c r="M96" s="302" t="str">
        <f>IF(M$82&gt;=$E96,'Dados ME'!J$6,"")</f>
        <v/>
      </c>
      <c r="N96" s="302" t="str">
        <f>IF(N$82&gt;=$E96,'Dados ME'!K$6,"")</f>
        <v/>
      </c>
      <c r="O96" s="302" t="str">
        <f>IF(O$82&gt;=$E96,'Dados ME'!L$6,"")</f>
        <v/>
      </c>
      <c r="P96" s="302" t="str">
        <f>IF(P$82&gt;=$E96,'Dados ME'!M$6,"")</f>
        <v/>
      </c>
      <c r="Q96" s="302" t="str">
        <f>IF(Q$82&gt;=$E96,'Dados ME'!N$6,"")</f>
        <v/>
      </c>
      <c r="R96" s="302" t="str">
        <f>IF(R$82&gt;=$E96,'Dados ME'!O$6,"")</f>
        <v/>
      </c>
      <c r="S96" s="302" t="str">
        <f>IF(S$82&gt;=$E96,'Dados ME'!P$6,"")</f>
        <v/>
      </c>
      <c r="T96" s="302" t="str">
        <f>IF(T$82&gt;=$E96,'Dados ME'!Q$6,"")</f>
        <v/>
      </c>
      <c r="U96" s="302">
        <f>IF(U$82&gt;=$E96,'Dados ME'!R$6,"")</f>
        <v>0</v>
      </c>
      <c r="V96" s="302">
        <f>IF(V$82&gt;=$E96,'Dados ME'!S$6,"")</f>
        <v>0</v>
      </c>
      <c r="W96" s="302">
        <f>IF(W$82&gt;=$E96,'Dados ME'!T$6,"")</f>
        <v>0</v>
      </c>
      <c r="X96" s="302">
        <f>IF(X$82&gt;=$E96,'Dados ME'!U$6,"")</f>
        <v>0</v>
      </c>
      <c r="Y96" s="302">
        <f>IF(Y$82&gt;=$E96,'Dados ME'!V$6,"")</f>
        <v>0</v>
      </c>
      <c r="Z96" s="302">
        <f>IF(Z$82&gt;=$E96,'Dados ME'!W$6,"")</f>
        <v>0</v>
      </c>
      <c r="AA96" s="302">
        <f>IF(AA$82&gt;=$E96,'Dados ME'!X$6,"")</f>
        <v>0</v>
      </c>
      <c r="AB96" s="302">
        <f>IF(AB$82&gt;=$E96,'Dados ME'!Y$6,"")</f>
        <v>0</v>
      </c>
      <c r="AC96" s="302">
        <f>IF(AC$82&gt;=$E96,'Dados ME'!Z$6,"")</f>
        <v>0</v>
      </c>
      <c r="AD96" s="302">
        <f>IF(AD$82&gt;=$E96,'Dados ME'!AA$6,"")</f>
        <v>0</v>
      </c>
      <c r="AE96" s="302">
        <f>IF(AE$82&gt;=$E96,'Dados ME'!AB$6,"")</f>
        <v>0</v>
      </c>
      <c r="AF96" s="302">
        <f>IF(AF$82&gt;=$E96,'Dados ME'!AC$6,"")</f>
        <v>0</v>
      </c>
      <c r="AG96" s="302">
        <f>IF(AG$82&gt;=$E96,'Dados ME'!AD$6,"")</f>
        <v>0</v>
      </c>
      <c r="AH96" s="302">
        <f>IF(AH$82&gt;=$E96,'Dados ME'!AE$6,"")</f>
        <v>0</v>
      </c>
      <c r="AI96" s="302">
        <f>IF(AI$82&gt;=$E96,'Dados ME'!AF$6,"")</f>
        <v>0</v>
      </c>
      <c r="AJ96" s="302">
        <f>IF(AJ$82&gt;=$E96,'Dados ME'!AG$6,"")</f>
        <v>0</v>
      </c>
      <c r="AK96" s="302">
        <f>IF(AK$82&gt;=$E96,'Dados ME'!AH$6,"")</f>
        <v>0</v>
      </c>
      <c r="AL96" s="302">
        <f>IF(AL$82&gt;=$E96,'Dados ME'!AI$6,"")</f>
        <v>0</v>
      </c>
      <c r="AM96" s="302">
        <f>IF(AM$82&gt;=$E96,'Dados ME'!AJ$6,"")</f>
        <v>0</v>
      </c>
      <c r="AN96" s="302">
        <f>IF(AN$82&gt;=$E96,'Dados ME'!AK$6,"")</f>
        <v>0</v>
      </c>
      <c r="AO96" s="302">
        <f>IF(AO$82&gt;=$E96,'Dados ME'!AL$6,"")</f>
        <v>0</v>
      </c>
      <c r="AP96" s="302">
        <f>IF(AP$82&gt;=$E96,'Dados ME'!AM$6,"")</f>
        <v>0</v>
      </c>
      <c r="AQ96" s="287"/>
    </row>
    <row r="97" spans="3:43" x14ac:dyDescent="0.25">
      <c r="C97" s="1182"/>
      <c r="D97" s="285"/>
      <c r="E97" s="297">
        <f t="shared" si="92"/>
        <v>2041</v>
      </c>
      <c r="F97" s="285"/>
      <c r="G97" s="286"/>
      <c r="H97" s="302" t="str">
        <f>IF(H$82&gt;=$E97,'Dados ME'!E$6,"")</f>
        <v/>
      </c>
      <c r="I97" s="302" t="str">
        <f>IF(I$82&gt;=$E97,'Dados ME'!F$6,"")</f>
        <v/>
      </c>
      <c r="J97" s="302" t="str">
        <f>IF(J$82&gt;=$E97,'Dados ME'!G$6,"")</f>
        <v/>
      </c>
      <c r="K97" s="302" t="str">
        <f>IF(K$82&gt;=$E97,'Dados ME'!H$6,"")</f>
        <v/>
      </c>
      <c r="L97" s="302" t="str">
        <f>IF(L$82&gt;=$E97,'Dados ME'!I$6,"")</f>
        <v/>
      </c>
      <c r="M97" s="302" t="str">
        <f>IF(M$82&gt;=$E97,'Dados ME'!J$6,"")</f>
        <v/>
      </c>
      <c r="N97" s="302" t="str">
        <f>IF(N$82&gt;=$E97,'Dados ME'!K$6,"")</f>
        <v/>
      </c>
      <c r="O97" s="302" t="str">
        <f>IF(O$82&gt;=$E97,'Dados ME'!L$6,"")</f>
        <v/>
      </c>
      <c r="P97" s="302" t="str">
        <f>IF(P$82&gt;=$E97,'Dados ME'!M$6,"")</f>
        <v/>
      </c>
      <c r="Q97" s="302" t="str">
        <f>IF(Q$82&gt;=$E97,'Dados ME'!N$6,"")</f>
        <v/>
      </c>
      <c r="R97" s="302" t="str">
        <f>IF(R$82&gt;=$E97,'Dados ME'!O$6,"")</f>
        <v/>
      </c>
      <c r="S97" s="302" t="str">
        <f>IF(S$82&gt;=$E97,'Dados ME'!P$6,"")</f>
        <v/>
      </c>
      <c r="T97" s="302" t="str">
        <f>IF(T$82&gt;=$E97,'Dados ME'!Q$6,"")</f>
        <v/>
      </c>
      <c r="U97" s="302" t="str">
        <f>IF(U$82&gt;=$E97,'Dados ME'!R$6,"")</f>
        <v/>
      </c>
      <c r="V97" s="302">
        <f>IF(V$82&gt;=$E97,'Dados ME'!S$6,"")</f>
        <v>0</v>
      </c>
      <c r="W97" s="302">
        <f>IF(W$82&gt;=$E97,'Dados ME'!T$6,"")</f>
        <v>0</v>
      </c>
      <c r="X97" s="302">
        <f>IF(X$82&gt;=$E97,'Dados ME'!U$6,"")</f>
        <v>0</v>
      </c>
      <c r="Y97" s="302">
        <f>IF(Y$82&gt;=$E97,'Dados ME'!V$6,"")</f>
        <v>0</v>
      </c>
      <c r="Z97" s="302">
        <f>IF(Z$82&gt;=$E97,'Dados ME'!W$6,"")</f>
        <v>0</v>
      </c>
      <c r="AA97" s="302">
        <f>IF(AA$82&gt;=$E97,'Dados ME'!X$6,"")</f>
        <v>0</v>
      </c>
      <c r="AB97" s="302">
        <f>IF(AB$82&gt;=$E97,'Dados ME'!Y$6,"")</f>
        <v>0</v>
      </c>
      <c r="AC97" s="302">
        <f>IF(AC$82&gt;=$E97,'Dados ME'!Z$6,"")</f>
        <v>0</v>
      </c>
      <c r="AD97" s="302">
        <f>IF(AD$82&gt;=$E97,'Dados ME'!AA$6,"")</f>
        <v>0</v>
      </c>
      <c r="AE97" s="302">
        <f>IF(AE$82&gt;=$E97,'Dados ME'!AB$6,"")</f>
        <v>0</v>
      </c>
      <c r="AF97" s="302">
        <f>IF(AF$82&gt;=$E97,'Dados ME'!AC$6,"")</f>
        <v>0</v>
      </c>
      <c r="AG97" s="302">
        <f>IF(AG$82&gt;=$E97,'Dados ME'!AD$6,"")</f>
        <v>0</v>
      </c>
      <c r="AH97" s="302">
        <f>IF(AH$82&gt;=$E97,'Dados ME'!AE$6,"")</f>
        <v>0</v>
      </c>
      <c r="AI97" s="302">
        <f>IF(AI$82&gt;=$E97,'Dados ME'!AF$6,"")</f>
        <v>0</v>
      </c>
      <c r="AJ97" s="302">
        <f>IF(AJ$82&gt;=$E97,'Dados ME'!AG$6,"")</f>
        <v>0</v>
      </c>
      <c r="AK97" s="302">
        <f>IF(AK$82&gt;=$E97,'Dados ME'!AH$6,"")</f>
        <v>0</v>
      </c>
      <c r="AL97" s="302">
        <f>IF(AL$82&gt;=$E97,'Dados ME'!AI$6,"")</f>
        <v>0</v>
      </c>
      <c r="AM97" s="302">
        <f>IF(AM$82&gt;=$E97,'Dados ME'!AJ$6,"")</f>
        <v>0</v>
      </c>
      <c r="AN97" s="302">
        <f>IF(AN$82&gt;=$E97,'Dados ME'!AK$6,"")</f>
        <v>0</v>
      </c>
      <c r="AO97" s="302">
        <f>IF(AO$82&gt;=$E97,'Dados ME'!AL$6,"")</f>
        <v>0</v>
      </c>
      <c r="AP97" s="302">
        <f>IF(AP$82&gt;=$E97,'Dados ME'!AM$6,"")</f>
        <v>0</v>
      </c>
      <c r="AQ97" s="287"/>
    </row>
    <row r="98" spans="3:43" x14ac:dyDescent="0.25">
      <c r="C98" s="1182"/>
      <c r="D98" s="285"/>
      <c r="E98" s="297">
        <f t="shared" si="92"/>
        <v>2042</v>
      </c>
      <c r="F98" s="285"/>
      <c r="G98" s="286"/>
      <c r="H98" s="302" t="str">
        <f>IF(H$82&gt;=$E98,'Dados ME'!E$6,"")</f>
        <v/>
      </c>
      <c r="I98" s="302" t="str">
        <f>IF(I$82&gt;=$E98,'Dados ME'!F$6,"")</f>
        <v/>
      </c>
      <c r="J98" s="302" t="str">
        <f>IF(J$82&gt;=$E98,'Dados ME'!G$6,"")</f>
        <v/>
      </c>
      <c r="K98" s="302" t="str">
        <f>IF(K$82&gt;=$E98,'Dados ME'!H$6,"")</f>
        <v/>
      </c>
      <c r="L98" s="302" t="str">
        <f>IF(L$82&gt;=$E98,'Dados ME'!I$6,"")</f>
        <v/>
      </c>
      <c r="M98" s="302" t="str">
        <f>IF(M$82&gt;=$E98,'Dados ME'!J$6,"")</f>
        <v/>
      </c>
      <c r="N98" s="302" t="str">
        <f>IF(N$82&gt;=$E98,'Dados ME'!K$6,"")</f>
        <v/>
      </c>
      <c r="O98" s="302" t="str">
        <f>IF(O$82&gt;=$E98,'Dados ME'!L$6,"")</f>
        <v/>
      </c>
      <c r="P98" s="302" t="str">
        <f>IF(P$82&gt;=$E98,'Dados ME'!M$6,"")</f>
        <v/>
      </c>
      <c r="Q98" s="302" t="str">
        <f>IF(Q$82&gt;=$E98,'Dados ME'!N$6,"")</f>
        <v/>
      </c>
      <c r="R98" s="302" t="str">
        <f>IF(R$82&gt;=$E98,'Dados ME'!O$6,"")</f>
        <v/>
      </c>
      <c r="S98" s="302" t="str">
        <f>IF(S$82&gt;=$E98,'Dados ME'!P$6,"")</f>
        <v/>
      </c>
      <c r="T98" s="302" t="str">
        <f>IF(T$82&gt;=$E98,'Dados ME'!Q$6,"")</f>
        <v/>
      </c>
      <c r="U98" s="302" t="str">
        <f>IF(U$82&gt;=$E98,'Dados ME'!R$6,"")</f>
        <v/>
      </c>
      <c r="V98" s="302" t="str">
        <f>IF(V$82&gt;=$E98,'Dados ME'!S$6,"")</f>
        <v/>
      </c>
      <c r="W98" s="302">
        <f>IF(W$82&gt;=$E98,'Dados ME'!T$6,"")</f>
        <v>0</v>
      </c>
      <c r="X98" s="302">
        <f>IF(X$82&gt;=$E98,'Dados ME'!U$6,"")</f>
        <v>0</v>
      </c>
      <c r="Y98" s="302">
        <f>IF(Y$82&gt;=$E98,'Dados ME'!V$6,"")</f>
        <v>0</v>
      </c>
      <c r="Z98" s="302">
        <f>IF(Z$82&gt;=$E98,'Dados ME'!W$6,"")</f>
        <v>0</v>
      </c>
      <c r="AA98" s="302">
        <f>IF(AA$82&gt;=$E98,'Dados ME'!X$6,"")</f>
        <v>0</v>
      </c>
      <c r="AB98" s="302">
        <f>IF(AB$82&gt;=$E98,'Dados ME'!Y$6,"")</f>
        <v>0</v>
      </c>
      <c r="AC98" s="302">
        <f>IF(AC$82&gt;=$E98,'Dados ME'!Z$6,"")</f>
        <v>0</v>
      </c>
      <c r="AD98" s="302">
        <f>IF(AD$82&gt;=$E98,'Dados ME'!AA$6,"")</f>
        <v>0</v>
      </c>
      <c r="AE98" s="302">
        <f>IF(AE$82&gt;=$E98,'Dados ME'!AB$6,"")</f>
        <v>0</v>
      </c>
      <c r="AF98" s="302">
        <f>IF(AF$82&gt;=$E98,'Dados ME'!AC$6,"")</f>
        <v>0</v>
      </c>
      <c r="AG98" s="302">
        <f>IF(AG$82&gt;=$E98,'Dados ME'!AD$6,"")</f>
        <v>0</v>
      </c>
      <c r="AH98" s="302">
        <f>IF(AH$82&gt;=$E98,'Dados ME'!AE$6,"")</f>
        <v>0</v>
      </c>
      <c r="AI98" s="302">
        <f>IF(AI$82&gt;=$E98,'Dados ME'!AF$6,"")</f>
        <v>0</v>
      </c>
      <c r="AJ98" s="302">
        <f>IF(AJ$82&gt;=$E98,'Dados ME'!AG$6,"")</f>
        <v>0</v>
      </c>
      <c r="AK98" s="302">
        <f>IF(AK$82&gt;=$E98,'Dados ME'!AH$6,"")</f>
        <v>0</v>
      </c>
      <c r="AL98" s="302">
        <f>IF(AL$82&gt;=$E98,'Dados ME'!AI$6,"")</f>
        <v>0</v>
      </c>
      <c r="AM98" s="302">
        <f>IF(AM$82&gt;=$E98,'Dados ME'!AJ$6,"")</f>
        <v>0</v>
      </c>
      <c r="AN98" s="302">
        <f>IF(AN$82&gt;=$E98,'Dados ME'!AK$6,"")</f>
        <v>0</v>
      </c>
      <c r="AO98" s="302">
        <f>IF(AO$82&gt;=$E98,'Dados ME'!AL$6,"")</f>
        <v>0</v>
      </c>
      <c r="AP98" s="302">
        <f>IF(AP$82&gt;=$E98,'Dados ME'!AM$6,"")</f>
        <v>0</v>
      </c>
      <c r="AQ98" s="287"/>
    </row>
    <row r="99" spans="3:43" x14ac:dyDescent="0.25">
      <c r="C99" s="1182"/>
      <c r="D99" s="285"/>
      <c r="E99" s="297">
        <f t="shared" si="92"/>
        <v>2043</v>
      </c>
      <c r="F99" s="285"/>
      <c r="G99" s="286"/>
      <c r="H99" s="302" t="str">
        <f>IF(H$82&gt;=$E99,'Dados ME'!E$6,"")</f>
        <v/>
      </c>
      <c r="I99" s="302" t="str">
        <f>IF(I$82&gt;=$E99,'Dados ME'!F$6,"")</f>
        <v/>
      </c>
      <c r="J99" s="302" t="str">
        <f>IF(J$82&gt;=$E99,'Dados ME'!G$6,"")</f>
        <v/>
      </c>
      <c r="K99" s="302" t="str">
        <f>IF(K$82&gt;=$E99,'Dados ME'!H$6,"")</f>
        <v/>
      </c>
      <c r="L99" s="302" t="str">
        <f>IF(L$82&gt;=$E99,'Dados ME'!I$6,"")</f>
        <v/>
      </c>
      <c r="M99" s="302" t="str">
        <f>IF(M$82&gt;=$E99,'Dados ME'!J$6,"")</f>
        <v/>
      </c>
      <c r="N99" s="302" t="str">
        <f>IF(N$82&gt;=$E99,'Dados ME'!K$6,"")</f>
        <v/>
      </c>
      <c r="O99" s="302" t="str">
        <f>IF(O$82&gt;=$E99,'Dados ME'!L$6,"")</f>
        <v/>
      </c>
      <c r="P99" s="302" t="str">
        <f>IF(P$82&gt;=$E99,'Dados ME'!M$6,"")</f>
        <v/>
      </c>
      <c r="Q99" s="302" t="str">
        <f>IF(Q$82&gt;=$E99,'Dados ME'!N$6,"")</f>
        <v/>
      </c>
      <c r="R99" s="302" t="str">
        <f>IF(R$82&gt;=$E99,'Dados ME'!O$6,"")</f>
        <v/>
      </c>
      <c r="S99" s="302" t="str">
        <f>IF(S$82&gt;=$E99,'Dados ME'!P$6,"")</f>
        <v/>
      </c>
      <c r="T99" s="302" t="str">
        <f>IF(T$82&gt;=$E99,'Dados ME'!Q$6,"")</f>
        <v/>
      </c>
      <c r="U99" s="302" t="str">
        <f>IF(U$82&gt;=$E99,'Dados ME'!R$6,"")</f>
        <v/>
      </c>
      <c r="V99" s="302" t="str">
        <f>IF(V$82&gt;=$E99,'Dados ME'!S$6,"")</f>
        <v/>
      </c>
      <c r="W99" s="302" t="str">
        <f>IF(W$82&gt;=$E99,'Dados ME'!T$6,"")</f>
        <v/>
      </c>
      <c r="X99" s="302">
        <f>IF(X$82&gt;=$E99,'Dados ME'!U$6,"")</f>
        <v>0</v>
      </c>
      <c r="Y99" s="302">
        <f>IF(Y$82&gt;=$E99,'Dados ME'!V$6,"")</f>
        <v>0</v>
      </c>
      <c r="Z99" s="302">
        <f>IF(Z$82&gt;=$E99,'Dados ME'!W$6,"")</f>
        <v>0</v>
      </c>
      <c r="AA99" s="302">
        <f>IF(AA$82&gt;=$E99,'Dados ME'!X$6,"")</f>
        <v>0</v>
      </c>
      <c r="AB99" s="302">
        <f>IF(AB$82&gt;=$E99,'Dados ME'!Y$6,"")</f>
        <v>0</v>
      </c>
      <c r="AC99" s="302">
        <f>IF(AC$82&gt;=$E99,'Dados ME'!Z$6,"")</f>
        <v>0</v>
      </c>
      <c r="AD99" s="302">
        <f>IF(AD$82&gt;=$E99,'Dados ME'!AA$6,"")</f>
        <v>0</v>
      </c>
      <c r="AE99" s="302">
        <f>IF(AE$82&gt;=$E99,'Dados ME'!AB$6,"")</f>
        <v>0</v>
      </c>
      <c r="AF99" s="302">
        <f>IF(AF$82&gt;=$E99,'Dados ME'!AC$6,"")</f>
        <v>0</v>
      </c>
      <c r="AG99" s="302">
        <f>IF(AG$82&gt;=$E99,'Dados ME'!AD$6,"")</f>
        <v>0</v>
      </c>
      <c r="AH99" s="302">
        <f>IF(AH$82&gt;=$E99,'Dados ME'!AE$6,"")</f>
        <v>0</v>
      </c>
      <c r="AI99" s="302">
        <f>IF(AI$82&gt;=$E99,'Dados ME'!AF$6,"")</f>
        <v>0</v>
      </c>
      <c r="AJ99" s="302">
        <f>IF(AJ$82&gt;=$E99,'Dados ME'!AG$6,"")</f>
        <v>0</v>
      </c>
      <c r="AK99" s="302">
        <f>IF(AK$82&gt;=$E99,'Dados ME'!AH$6,"")</f>
        <v>0</v>
      </c>
      <c r="AL99" s="302">
        <f>IF(AL$82&gt;=$E99,'Dados ME'!AI$6,"")</f>
        <v>0</v>
      </c>
      <c r="AM99" s="302">
        <f>IF(AM$82&gt;=$E99,'Dados ME'!AJ$6,"")</f>
        <v>0</v>
      </c>
      <c r="AN99" s="302">
        <f>IF(AN$82&gt;=$E99,'Dados ME'!AK$6,"")</f>
        <v>0</v>
      </c>
      <c r="AO99" s="302">
        <f>IF(AO$82&gt;=$E99,'Dados ME'!AL$6,"")</f>
        <v>0</v>
      </c>
      <c r="AP99" s="302">
        <f>IF(AP$82&gt;=$E99,'Dados ME'!AM$6,"")</f>
        <v>0</v>
      </c>
      <c r="AQ99" s="287"/>
    </row>
    <row r="100" spans="3:43" x14ac:dyDescent="0.25">
      <c r="C100" s="1182"/>
      <c r="D100" s="285"/>
      <c r="E100" s="297">
        <f t="shared" si="92"/>
        <v>2044</v>
      </c>
      <c r="F100" s="285"/>
      <c r="G100" s="286"/>
      <c r="H100" s="302" t="str">
        <f>IF(H$82&gt;=$E100,'Dados ME'!E$6,"")</f>
        <v/>
      </c>
      <c r="I100" s="302" t="str">
        <f>IF(I$82&gt;=$E100,'Dados ME'!F$6,"")</f>
        <v/>
      </c>
      <c r="J100" s="302" t="str">
        <f>IF(J$82&gt;=$E100,'Dados ME'!G$6,"")</f>
        <v/>
      </c>
      <c r="K100" s="302" t="str">
        <f>IF(K$82&gt;=$E100,'Dados ME'!H$6,"")</f>
        <v/>
      </c>
      <c r="L100" s="302" t="str">
        <f>IF(L$82&gt;=$E100,'Dados ME'!I$6,"")</f>
        <v/>
      </c>
      <c r="M100" s="302" t="str">
        <f>IF(M$82&gt;=$E100,'Dados ME'!J$6,"")</f>
        <v/>
      </c>
      <c r="N100" s="302" t="str">
        <f>IF(N$82&gt;=$E100,'Dados ME'!K$6,"")</f>
        <v/>
      </c>
      <c r="O100" s="302" t="str">
        <f>IF(O$82&gt;=$E100,'Dados ME'!L$6,"")</f>
        <v/>
      </c>
      <c r="P100" s="302" t="str">
        <f>IF(P$82&gt;=$E100,'Dados ME'!M$6,"")</f>
        <v/>
      </c>
      <c r="Q100" s="302" t="str">
        <f>IF(Q$82&gt;=$E100,'Dados ME'!N$6,"")</f>
        <v/>
      </c>
      <c r="R100" s="302" t="str">
        <f>IF(R$82&gt;=$E100,'Dados ME'!O$6,"")</f>
        <v/>
      </c>
      <c r="S100" s="302" t="str">
        <f>IF(S$82&gt;=$E100,'Dados ME'!P$6,"")</f>
        <v/>
      </c>
      <c r="T100" s="302" t="str">
        <f>IF(T$82&gt;=$E100,'Dados ME'!Q$6,"")</f>
        <v/>
      </c>
      <c r="U100" s="302" t="str">
        <f>IF(U$82&gt;=$E100,'Dados ME'!R$6,"")</f>
        <v/>
      </c>
      <c r="V100" s="302" t="str">
        <f>IF(V$82&gt;=$E100,'Dados ME'!S$6,"")</f>
        <v/>
      </c>
      <c r="W100" s="302" t="str">
        <f>IF(W$82&gt;=$E100,'Dados ME'!T$6,"")</f>
        <v/>
      </c>
      <c r="X100" s="302" t="str">
        <f>IF(X$82&gt;=$E100,'Dados ME'!U$6,"")</f>
        <v/>
      </c>
      <c r="Y100" s="302">
        <f>IF(Y$82&gt;=$E100,'Dados ME'!V$6,"")</f>
        <v>0</v>
      </c>
      <c r="Z100" s="302">
        <f>IF(Z$82&gt;=$E100,'Dados ME'!W$6,"")</f>
        <v>0</v>
      </c>
      <c r="AA100" s="302">
        <f>IF(AA$82&gt;=$E100,'Dados ME'!X$6,"")</f>
        <v>0</v>
      </c>
      <c r="AB100" s="302">
        <f>IF(AB$82&gt;=$E100,'Dados ME'!Y$6,"")</f>
        <v>0</v>
      </c>
      <c r="AC100" s="302">
        <f>IF(AC$82&gt;=$E100,'Dados ME'!Z$6,"")</f>
        <v>0</v>
      </c>
      <c r="AD100" s="302">
        <f>IF(AD$82&gt;=$E100,'Dados ME'!AA$6,"")</f>
        <v>0</v>
      </c>
      <c r="AE100" s="302">
        <f>IF(AE$82&gt;=$E100,'Dados ME'!AB$6,"")</f>
        <v>0</v>
      </c>
      <c r="AF100" s="302">
        <f>IF(AF$82&gt;=$E100,'Dados ME'!AC$6,"")</f>
        <v>0</v>
      </c>
      <c r="AG100" s="302">
        <f>IF(AG$82&gt;=$E100,'Dados ME'!AD$6,"")</f>
        <v>0</v>
      </c>
      <c r="AH100" s="302">
        <f>IF(AH$82&gt;=$E100,'Dados ME'!AE$6,"")</f>
        <v>0</v>
      </c>
      <c r="AI100" s="302">
        <f>IF(AI$82&gt;=$E100,'Dados ME'!AF$6,"")</f>
        <v>0</v>
      </c>
      <c r="AJ100" s="302">
        <f>IF(AJ$82&gt;=$E100,'Dados ME'!AG$6,"")</f>
        <v>0</v>
      </c>
      <c r="AK100" s="302">
        <f>IF(AK$82&gt;=$E100,'Dados ME'!AH$6,"")</f>
        <v>0</v>
      </c>
      <c r="AL100" s="302">
        <f>IF(AL$82&gt;=$E100,'Dados ME'!AI$6,"")</f>
        <v>0</v>
      </c>
      <c r="AM100" s="302">
        <f>IF(AM$82&gt;=$E100,'Dados ME'!AJ$6,"")</f>
        <v>0</v>
      </c>
      <c r="AN100" s="302">
        <f>IF(AN$82&gt;=$E100,'Dados ME'!AK$6,"")</f>
        <v>0</v>
      </c>
      <c r="AO100" s="302">
        <f>IF(AO$82&gt;=$E100,'Dados ME'!AL$6,"")</f>
        <v>0</v>
      </c>
      <c r="AP100" s="302">
        <f>IF(AP$82&gt;=$E100,'Dados ME'!AM$6,"")</f>
        <v>0</v>
      </c>
      <c r="AQ100" s="287"/>
    </row>
    <row r="101" spans="3:43" x14ac:dyDescent="0.25">
      <c r="C101" s="1182"/>
      <c r="D101" s="285"/>
      <c r="E101" s="297">
        <f t="shared" si="92"/>
        <v>2045</v>
      </c>
      <c r="F101" s="285"/>
      <c r="G101" s="286"/>
      <c r="H101" s="302" t="str">
        <f>IF(H$82&gt;=$E101,'Dados ME'!E$6,"")</f>
        <v/>
      </c>
      <c r="I101" s="302" t="str">
        <f>IF(I$82&gt;=$E101,'Dados ME'!F$6,"")</f>
        <v/>
      </c>
      <c r="J101" s="302" t="str">
        <f>IF(J$82&gt;=$E101,'Dados ME'!G$6,"")</f>
        <v/>
      </c>
      <c r="K101" s="302" t="str">
        <f>IF(K$82&gt;=$E101,'Dados ME'!H$6,"")</f>
        <v/>
      </c>
      <c r="L101" s="302" t="str">
        <f>IF(L$82&gt;=$E101,'Dados ME'!I$6,"")</f>
        <v/>
      </c>
      <c r="M101" s="302" t="str">
        <f>IF(M$82&gt;=$E101,'Dados ME'!J$6,"")</f>
        <v/>
      </c>
      <c r="N101" s="302" t="str">
        <f>IF(N$82&gt;=$E101,'Dados ME'!K$6,"")</f>
        <v/>
      </c>
      <c r="O101" s="302" t="str">
        <f>IF(O$82&gt;=$E101,'Dados ME'!L$6,"")</f>
        <v/>
      </c>
      <c r="P101" s="302" t="str">
        <f>IF(P$82&gt;=$E101,'Dados ME'!M$6,"")</f>
        <v/>
      </c>
      <c r="Q101" s="302" t="str">
        <f>IF(Q$82&gt;=$E101,'Dados ME'!N$6,"")</f>
        <v/>
      </c>
      <c r="R101" s="302" t="str">
        <f>IF(R$82&gt;=$E101,'Dados ME'!O$6,"")</f>
        <v/>
      </c>
      <c r="S101" s="302" t="str">
        <f>IF(S$82&gt;=$E101,'Dados ME'!P$6,"")</f>
        <v/>
      </c>
      <c r="T101" s="302" t="str">
        <f>IF(T$82&gt;=$E101,'Dados ME'!Q$6,"")</f>
        <v/>
      </c>
      <c r="U101" s="302" t="str">
        <f>IF(U$82&gt;=$E101,'Dados ME'!R$6,"")</f>
        <v/>
      </c>
      <c r="V101" s="302" t="str">
        <f>IF(V$82&gt;=$E101,'Dados ME'!S$6,"")</f>
        <v/>
      </c>
      <c r="W101" s="302" t="str">
        <f>IF(W$82&gt;=$E101,'Dados ME'!T$6,"")</f>
        <v/>
      </c>
      <c r="X101" s="302" t="str">
        <f>IF(X$82&gt;=$E101,'Dados ME'!U$6,"")</f>
        <v/>
      </c>
      <c r="Y101" s="302" t="str">
        <f>IF(Y$82&gt;=$E101,'Dados ME'!V$6,"")</f>
        <v/>
      </c>
      <c r="Z101" s="302">
        <f>IF(Z$82&gt;=$E101,'Dados ME'!W$6,"")</f>
        <v>0</v>
      </c>
      <c r="AA101" s="302">
        <f>IF(AA$82&gt;=$E101,'Dados ME'!X$6,"")</f>
        <v>0</v>
      </c>
      <c r="AB101" s="302">
        <f>IF(AB$82&gt;=$E101,'Dados ME'!Y$6,"")</f>
        <v>0</v>
      </c>
      <c r="AC101" s="302">
        <f>IF(AC$82&gt;=$E101,'Dados ME'!Z$6,"")</f>
        <v>0</v>
      </c>
      <c r="AD101" s="302">
        <f>IF(AD$82&gt;=$E101,'Dados ME'!AA$6,"")</f>
        <v>0</v>
      </c>
      <c r="AE101" s="302">
        <f>IF(AE$82&gt;=$E101,'Dados ME'!AB$6,"")</f>
        <v>0</v>
      </c>
      <c r="AF101" s="302">
        <f>IF(AF$82&gt;=$E101,'Dados ME'!AC$6,"")</f>
        <v>0</v>
      </c>
      <c r="AG101" s="302">
        <f>IF(AG$82&gt;=$E101,'Dados ME'!AD$6,"")</f>
        <v>0</v>
      </c>
      <c r="AH101" s="302">
        <f>IF(AH$82&gt;=$E101,'Dados ME'!AE$6,"")</f>
        <v>0</v>
      </c>
      <c r="AI101" s="302">
        <f>IF(AI$82&gt;=$E101,'Dados ME'!AF$6,"")</f>
        <v>0</v>
      </c>
      <c r="AJ101" s="302">
        <f>IF(AJ$82&gt;=$E101,'Dados ME'!AG$6,"")</f>
        <v>0</v>
      </c>
      <c r="AK101" s="302">
        <f>IF(AK$82&gt;=$E101,'Dados ME'!AH$6,"")</f>
        <v>0</v>
      </c>
      <c r="AL101" s="302">
        <f>IF(AL$82&gt;=$E101,'Dados ME'!AI$6,"")</f>
        <v>0</v>
      </c>
      <c r="AM101" s="302">
        <f>IF(AM$82&gt;=$E101,'Dados ME'!AJ$6,"")</f>
        <v>0</v>
      </c>
      <c r="AN101" s="302">
        <f>IF(AN$82&gt;=$E101,'Dados ME'!AK$6,"")</f>
        <v>0</v>
      </c>
      <c r="AO101" s="302">
        <f>IF(AO$82&gt;=$E101,'Dados ME'!AL$6,"")</f>
        <v>0</v>
      </c>
      <c r="AP101" s="302">
        <f>IF(AP$82&gt;=$E101,'Dados ME'!AM$6,"")</f>
        <v>0</v>
      </c>
      <c r="AQ101" s="287"/>
    </row>
    <row r="102" spans="3:43" x14ac:dyDescent="0.25">
      <c r="C102" s="1182"/>
      <c r="D102" s="285"/>
      <c r="E102" s="297">
        <f t="shared" si="92"/>
        <v>2046</v>
      </c>
      <c r="F102" s="285"/>
      <c r="G102" s="286"/>
      <c r="H102" s="302" t="str">
        <f>IF(H$82&gt;=$E102,'Dados ME'!E$6,"")</f>
        <v/>
      </c>
      <c r="I102" s="302" t="str">
        <f>IF(I$82&gt;=$E102,'Dados ME'!F$6,"")</f>
        <v/>
      </c>
      <c r="J102" s="302" t="str">
        <f>IF(J$82&gt;=$E102,'Dados ME'!G$6,"")</f>
        <v/>
      </c>
      <c r="K102" s="302" t="str">
        <f>IF(K$82&gt;=$E102,'Dados ME'!H$6,"")</f>
        <v/>
      </c>
      <c r="L102" s="302" t="str">
        <f>IF(L$82&gt;=$E102,'Dados ME'!I$6,"")</f>
        <v/>
      </c>
      <c r="M102" s="302" t="str">
        <f>IF(M$82&gt;=$E102,'Dados ME'!J$6,"")</f>
        <v/>
      </c>
      <c r="N102" s="302" t="str">
        <f>IF(N$82&gt;=$E102,'Dados ME'!K$6,"")</f>
        <v/>
      </c>
      <c r="O102" s="302" t="str">
        <f>IF(O$82&gt;=$E102,'Dados ME'!L$6,"")</f>
        <v/>
      </c>
      <c r="P102" s="302" t="str">
        <f>IF(P$82&gt;=$E102,'Dados ME'!M$6,"")</f>
        <v/>
      </c>
      <c r="Q102" s="302" t="str">
        <f>IF(Q$82&gt;=$E102,'Dados ME'!N$6,"")</f>
        <v/>
      </c>
      <c r="R102" s="302" t="str">
        <f>IF(R$82&gt;=$E102,'Dados ME'!O$6,"")</f>
        <v/>
      </c>
      <c r="S102" s="302" t="str">
        <f>IF(S$82&gt;=$E102,'Dados ME'!P$6,"")</f>
        <v/>
      </c>
      <c r="T102" s="302" t="str">
        <f>IF(T$82&gt;=$E102,'Dados ME'!Q$6,"")</f>
        <v/>
      </c>
      <c r="U102" s="302" t="str">
        <f>IF(U$82&gt;=$E102,'Dados ME'!R$6,"")</f>
        <v/>
      </c>
      <c r="V102" s="302" t="str">
        <f>IF(V$82&gt;=$E102,'Dados ME'!S$6,"")</f>
        <v/>
      </c>
      <c r="W102" s="302" t="str">
        <f>IF(W$82&gt;=$E102,'Dados ME'!T$6,"")</f>
        <v/>
      </c>
      <c r="X102" s="302" t="str">
        <f>IF(X$82&gt;=$E102,'Dados ME'!U$6,"")</f>
        <v/>
      </c>
      <c r="Y102" s="302" t="str">
        <f>IF(Y$82&gt;=$E102,'Dados ME'!V$6,"")</f>
        <v/>
      </c>
      <c r="Z102" s="302" t="str">
        <f>IF(Z$82&gt;=$E102,'Dados ME'!W$6,"")</f>
        <v/>
      </c>
      <c r="AA102" s="302">
        <f>IF(AA$82&gt;=$E102,'Dados ME'!X$6,"")</f>
        <v>0</v>
      </c>
      <c r="AB102" s="302">
        <f>IF(AB$82&gt;=$E102,'Dados ME'!Y$6,"")</f>
        <v>0</v>
      </c>
      <c r="AC102" s="302">
        <f>IF(AC$82&gt;=$E102,'Dados ME'!Z$6,"")</f>
        <v>0</v>
      </c>
      <c r="AD102" s="302">
        <f>IF(AD$82&gt;=$E102,'Dados ME'!AA$6,"")</f>
        <v>0</v>
      </c>
      <c r="AE102" s="302">
        <f>IF(AE$82&gt;=$E102,'Dados ME'!AB$6,"")</f>
        <v>0</v>
      </c>
      <c r="AF102" s="302">
        <f>IF(AF$82&gt;=$E102,'Dados ME'!AC$6,"")</f>
        <v>0</v>
      </c>
      <c r="AG102" s="302">
        <f>IF(AG$82&gt;=$E102,'Dados ME'!AD$6,"")</f>
        <v>0</v>
      </c>
      <c r="AH102" s="302">
        <f>IF(AH$82&gt;=$E102,'Dados ME'!AE$6,"")</f>
        <v>0</v>
      </c>
      <c r="AI102" s="302">
        <f>IF(AI$82&gt;=$E102,'Dados ME'!AF$6,"")</f>
        <v>0</v>
      </c>
      <c r="AJ102" s="302">
        <f>IF(AJ$82&gt;=$E102,'Dados ME'!AG$6,"")</f>
        <v>0</v>
      </c>
      <c r="AK102" s="302">
        <f>IF(AK$82&gt;=$E102,'Dados ME'!AH$6,"")</f>
        <v>0</v>
      </c>
      <c r="AL102" s="302">
        <f>IF(AL$82&gt;=$E102,'Dados ME'!AI$6,"")</f>
        <v>0</v>
      </c>
      <c r="AM102" s="302">
        <f>IF(AM$82&gt;=$E102,'Dados ME'!AJ$6,"")</f>
        <v>0</v>
      </c>
      <c r="AN102" s="302">
        <f>IF(AN$82&gt;=$E102,'Dados ME'!AK$6,"")</f>
        <v>0</v>
      </c>
      <c r="AO102" s="302">
        <f>IF(AO$82&gt;=$E102,'Dados ME'!AL$6,"")</f>
        <v>0</v>
      </c>
      <c r="AP102" s="302">
        <f>IF(AP$82&gt;=$E102,'Dados ME'!AM$6,"")</f>
        <v>0</v>
      </c>
      <c r="AQ102" s="287"/>
    </row>
    <row r="103" spans="3:43" x14ac:dyDescent="0.25">
      <c r="C103" s="1182"/>
      <c r="D103" s="285"/>
      <c r="E103" s="297">
        <f t="shared" si="92"/>
        <v>2047</v>
      </c>
      <c r="F103" s="285"/>
      <c r="G103" s="286"/>
      <c r="H103" s="302" t="str">
        <f>IF(H$82&gt;=$E103,'Dados ME'!E$6,"")</f>
        <v/>
      </c>
      <c r="I103" s="302" t="str">
        <f>IF(I$82&gt;=$E103,'Dados ME'!F$6,"")</f>
        <v/>
      </c>
      <c r="J103" s="302" t="str">
        <f>IF(J$82&gt;=$E103,'Dados ME'!G$6,"")</f>
        <v/>
      </c>
      <c r="K103" s="302" t="str">
        <f>IF(K$82&gt;=$E103,'Dados ME'!H$6,"")</f>
        <v/>
      </c>
      <c r="L103" s="302" t="str">
        <f>IF(L$82&gt;=$E103,'Dados ME'!I$6,"")</f>
        <v/>
      </c>
      <c r="M103" s="302" t="str">
        <f>IF(M$82&gt;=$E103,'Dados ME'!J$6,"")</f>
        <v/>
      </c>
      <c r="N103" s="302" t="str">
        <f>IF(N$82&gt;=$E103,'Dados ME'!K$6,"")</f>
        <v/>
      </c>
      <c r="O103" s="302" t="str">
        <f>IF(O$82&gt;=$E103,'Dados ME'!L$6,"")</f>
        <v/>
      </c>
      <c r="P103" s="302" t="str">
        <f>IF(P$82&gt;=$E103,'Dados ME'!M$6,"")</f>
        <v/>
      </c>
      <c r="Q103" s="302" t="str">
        <f>IF(Q$82&gt;=$E103,'Dados ME'!N$6,"")</f>
        <v/>
      </c>
      <c r="R103" s="302" t="str">
        <f>IF(R$82&gt;=$E103,'Dados ME'!O$6,"")</f>
        <v/>
      </c>
      <c r="S103" s="302" t="str">
        <f>IF(S$82&gt;=$E103,'Dados ME'!P$6,"")</f>
        <v/>
      </c>
      <c r="T103" s="302" t="str">
        <f>IF(T$82&gt;=$E103,'Dados ME'!Q$6,"")</f>
        <v/>
      </c>
      <c r="U103" s="302" t="str">
        <f>IF(U$82&gt;=$E103,'Dados ME'!R$6,"")</f>
        <v/>
      </c>
      <c r="V103" s="302" t="str">
        <f>IF(V$82&gt;=$E103,'Dados ME'!S$6,"")</f>
        <v/>
      </c>
      <c r="W103" s="302" t="str">
        <f>IF(W$82&gt;=$E103,'Dados ME'!T$6,"")</f>
        <v/>
      </c>
      <c r="X103" s="302" t="str">
        <f>IF(X$82&gt;=$E103,'Dados ME'!U$6,"")</f>
        <v/>
      </c>
      <c r="Y103" s="302" t="str">
        <f>IF(Y$82&gt;=$E103,'Dados ME'!V$6,"")</f>
        <v/>
      </c>
      <c r="Z103" s="302" t="str">
        <f>IF(Z$82&gt;=$E103,'Dados ME'!W$6,"")</f>
        <v/>
      </c>
      <c r="AA103" s="302" t="str">
        <f>IF(AA$82&gt;=$E103,'Dados ME'!X$6,"")</f>
        <v/>
      </c>
      <c r="AB103" s="302">
        <f>IF(AB$82&gt;=$E103,'Dados ME'!Y$6,"")</f>
        <v>0</v>
      </c>
      <c r="AC103" s="302">
        <f>IF(AC$82&gt;=$E103,'Dados ME'!Z$6,"")</f>
        <v>0</v>
      </c>
      <c r="AD103" s="302">
        <f>IF(AD$82&gt;=$E103,'Dados ME'!AA$6,"")</f>
        <v>0</v>
      </c>
      <c r="AE103" s="302">
        <f>IF(AE$82&gt;=$E103,'Dados ME'!AB$6,"")</f>
        <v>0</v>
      </c>
      <c r="AF103" s="302">
        <f>IF(AF$82&gt;=$E103,'Dados ME'!AC$6,"")</f>
        <v>0</v>
      </c>
      <c r="AG103" s="302">
        <f>IF(AG$82&gt;=$E103,'Dados ME'!AD$6,"")</f>
        <v>0</v>
      </c>
      <c r="AH103" s="302">
        <f>IF(AH$82&gt;=$E103,'Dados ME'!AE$6,"")</f>
        <v>0</v>
      </c>
      <c r="AI103" s="302">
        <f>IF(AI$82&gt;=$E103,'Dados ME'!AF$6,"")</f>
        <v>0</v>
      </c>
      <c r="AJ103" s="302">
        <f>IF(AJ$82&gt;=$E103,'Dados ME'!AG$6,"")</f>
        <v>0</v>
      </c>
      <c r="AK103" s="302">
        <f>IF(AK$82&gt;=$E103,'Dados ME'!AH$6,"")</f>
        <v>0</v>
      </c>
      <c r="AL103" s="302">
        <f>IF(AL$82&gt;=$E103,'Dados ME'!AI$6,"")</f>
        <v>0</v>
      </c>
      <c r="AM103" s="302">
        <f>IF(AM$82&gt;=$E103,'Dados ME'!AJ$6,"")</f>
        <v>0</v>
      </c>
      <c r="AN103" s="302">
        <f>IF(AN$82&gt;=$E103,'Dados ME'!AK$6,"")</f>
        <v>0</v>
      </c>
      <c r="AO103" s="302">
        <f>IF(AO$82&gt;=$E103,'Dados ME'!AL$6,"")</f>
        <v>0</v>
      </c>
      <c r="AP103" s="302">
        <f>IF(AP$82&gt;=$E103,'Dados ME'!AM$6,"")</f>
        <v>0</v>
      </c>
      <c r="AQ103" s="287"/>
    </row>
    <row r="104" spans="3:43" x14ac:dyDescent="0.25">
      <c r="C104" s="1182"/>
      <c r="D104" s="285"/>
      <c r="E104" s="297">
        <f t="shared" si="92"/>
        <v>2048</v>
      </c>
      <c r="F104" s="285"/>
      <c r="G104" s="286"/>
      <c r="H104" s="302" t="str">
        <f>IF(H$82&gt;=$E104,'Dados ME'!E$6,"")</f>
        <v/>
      </c>
      <c r="I104" s="302" t="str">
        <f>IF(I$82&gt;=$E104,'Dados ME'!F$6,"")</f>
        <v/>
      </c>
      <c r="J104" s="302" t="str">
        <f>IF(J$82&gt;=$E104,'Dados ME'!G$6,"")</f>
        <v/>
      </c>
      <c r="K104" s="302" t="str">
        <f>IF(K$82&gt;=$E104,'Dados ME'!H$6,"")</f>
        <v/>
      </c>
      <c r="L104" s="302" t="str">
        <f>IF(L$82&gt;=$E104,'Dados ME'!I$6,"")</f>
        <v/>
      </c>
      <c r="M104" s="302" t="str">
        <f>IF(M$82&gt;=$E104,'Dados ME'!J$6,"")</f>
        <v/>
      </c>
      <c r="N104" s="302" t="str">
        <f>IF(N$82&gt;=$E104,'Dados ME'!K$6,"")</f>
        <v/>
      </c>
      <c r="O104" s="302" t="str">
        <f>IF(O$82&gt;=$E104,'Dados ME'!L$6,"")</f>
        <v/>
      </c>
      <c r="P104" s="302" t="str">
        <f>IF(P$82&gt;=$E104,'Dados ME'!M$6,"")</f>
        <v/>
      </c>
      <c r="Q104" s="302" t="str">
        <f>IF(Q$82&gt;=$E104,'Dados ME'!N$6,"")</f>
        <v/>
      </c>
      <c r="R104" s="302" t="str">
        <f>IF(R$82&gt;=$E104,'Dados ME'!O$6,"")</f>
        <v/>
      </c>
      <c r="S104" s="302" t="str">
        <f>IF(S$82&gt;=$E104,'Dados ME'!P$6,"")</f>
        <v/>
      </c>
      <c r="T104" s="302" t="str">
        <f>IF(T$82&gt;=$E104,'Dados ME'!Q$6,"")</f>
        <v/>
      </c>
      <c r="U104" s="302" t="str">
        <f>IF(U$82&gt;=$E104,'Dados ME'!R$6,"")</f>
        <v/>
      </c>
      <c r="V104" s="302" t="str">
        <f>IF(V$82&gt;=$E104,'Dados ME'!S$6,"")</f>
        <v/>
      </c>
      <c r="W104" s="302" t="str">
        <f>IF(W$82&gt;=$E104,'Dados ME'!T$6,"")</f>
        <v/>
      </c>
      <c r="X104" s="302" t="str">
        <f>IF(X$82&gt;=$E104,'Dados ME'!U$6,"")</f>
        <v/>
      </c>
      <c r="Y104" s="302" t="str">
        <f>IF(Y$82&gt;=$E104,'Dados ME'!V$6,"")</f>
        <v/>
      </c>
      <c r="Z104" s="302" t="str">
        <f>IF(Z$82&gt;=$E104,'Dados ME'!W$6,"")</f>
        <v/>
      </c>
      <c r="AA104" s="302" t="str">
        <f>IF(AA$82&gt;=$E104,'Dados ME'!X$6,"")</f>
        <v/>
      </c>
      <c r="AB104" s="302" t="str">
        <f>IF(AB$82&gt;=$E104,'Dados ME'!Y$6,"")</f>
        <v/>
      </c>
      <c r="AC104" s="302">
        <f>IF(AC$82&gt;=$E104,'Dados ME'!Z$6,"")</f>
        <v>0</v>
      </c>
      <c r="AD104" s="302">
        <f>IF(AD$82&gt;=$E104,'Dados ME'!AA$6,"")</f>
        <v>0</v>
      </c>
      <c r="AE104" s="302">
        <f>IF(AE$82&gt;=$E104,'Dados ME'!AB$6,"")</f>
        <v>0</v>
      </c>
      <c r="AF104" s="302">
        <f>IF(AF$82&gt;=$E104,'Dados ME'!AC$6,"")</f>
        <v>0</v>
      </c>
      <c r="AG104" s="302">
        <f>IF(AG$82&gt;=$E104,'Dados ME'!AD$6,"")</f>
        <v>0</v>
      </c>
      <c r="AH104" s="302">
        <f>IF(AH$82&gt;=$E104,'Dados ME'!AE$6,"")</f>
        <v>0</v>
      </c>
      <c r="AI104" s="302">
        <f>IF(AI$82&gt;=$E104,'Dados ME'!AF$6,"")</f>
        <v>0</v>
      </c>
      <c r="AJ104" s="302">
        <f>IF(AJ$82&gt;=$E104,'Dados ME'!AG$6,"")</f>
        <v>0</v>
      </c>
      <c r="AK104" s="302">
        <f>IF(AK$82&gt;=$E104,'Dados ME'!AH$6,"")</f>
        <v>0</v>
      </c>
      <c r="AL104" s="302">
        <f>IF(AL$82&gt;=$E104,'Dados ME'!AI$6,"")</f>
        <v>0</v>
      </c>
      <c r="AM104" s="302">
        <f>IF(AM$82&gt;=$E104,'Dados ME'!AJ$6,"")</f>
        <v>0</v>
      </c>
      <c r="AN104" s="302">
        <f>IF(AN$82&gt;=$E104,'Dados ME'!AK$6,"")</f>
        <v>0</v>
      </c>
      <c r="AO104" s="302">
        <f>IF(AO$82&gt;=$E104,'Dados ME'!AL$6,"")</f>
        <v>0</v>
      </c>
      <c r="AP104" s="302">
        <f>IF(AP$82&gt;=$E104,'Dados ME'!AM$6,"")</f>
        <v>0</v>
      </c>
      <c r="AQ104" s="287"/>
    </row>
    <row r="105" spans="3:43" x14ac:dyDescent="0.25">
      <c r="C105" s="1182"/>
      <c r="D105" s="285"/>
      <c r="E105" s="297">
        <f t="shared" si="92"/>
        <v>2049</v>
      </c>
      <c r="F105" s="285"/>
      <c r="G105" s="286"/>
      <c r="H105" s="302" t="str">
        <f>IF(H$82&gt;=$E105,'Dados ME'!E$6,"")</f>
        <v/>
      </c>
      <c r="I105" s="302" t="str">
        <f>IF(I$82&gt;=$E105,'Dados ME'!F$6,"")</f>
        <v/>
      </c>
      <c r="J105" s="302" t="str">
        <f>IF(J$82&gt;=$E105,'Dados ME'!G$6,"")</f>
        <v/>
      </c>
      <c r="K105" s="302" t="str">
        <f>IF(K$82&gt;=$E105,'Dados ME'!H$6,"")</f>
        <v/>
      </c>
      <c r="L105" s="302" t="str">
        <f>IF(L$82&gt;=$E105,'Dados ME'!I$6,"")</f>
        <v/>
      </c>
      <c r="M105" s="302" t="str">
        <f>IF(M$82&gt;=$E105,'Dados ME'!J$6,"")</f>
        <v/>
      </c>
      <c r="N105" s="302" t="str">
        <f>IF(N$82&gt;=$E105,'Dados ME'!K$6,"")</f>
        <v/>
      </c>
      <c r="O105" s="302" t="str">
        <f>IF(O$82&gt;=$E105,'Dados ME'!L$6,"")</f>
        <v/>
      </c>
      <c r="P105" s="302" t="str">
        <f>IF(P$82&gt;=$E105,'Dados ME'!M$6,"")</f>
        <v/>
      </c>
      <c r="Q105" s="302" t="str">
        <f>IF(Q$82&gt;=$E105,'Dados ME'!N$6,"")</f>
        <v/>
      </c>
      <c r="R105" s="302" t="str">
        <f>IF(R$82&gt;=$E105,'Dados ME'!O$6,"")</f>
        <v/>
      </c>
      <c r="S105" s="302" t="str">
        <f>IF(S$82&gt;=$E105,'Dados ME'!P$6,"")</f>
        <v/>
      </c>
      <c r="T105" s="302" t="str">
        <f>IF(T$82&gt;=$E105,'Dados ME'!Q$6,"")</f>
        <v/>
      </c>
      <c r="U105" s="302" t="str">
        <f>IF(U$82&gt;=$E105,'Dados ME'!R$6,"")</f>
        <v/>
      </c>
      <c r="V105" s="302" t="str">
        <f>IF(V$82&gt;=$E105,'Dados ME'!S$6,"")</f>
        <v/>
      </c>
      <c r="W105" s="302" t="str">
        <f>IF(W$82&gt;=$E105,'Dados ME'!T$6,"")</f>
        <v/>
      </c>
      <c r="X105" s="302" t="str">
        <f>IF(X$82&gt;=$E105,'Dados ME'!U$6,"")</f>
        <v/>
      </c>
      <c r="Y105" s="302" t="str">
        <f>IF(Y$82&gt;=$E105,'Dados ME'!V$6,"")</f>
        <v/>
      </c>
      <c r="Z105" s="302" t="str">
        <f>IF(Z$82&gt;=$E105,'Dados ME'!W$6,"")</f>
        <v/>
      </c>
      <c r="AA105" s="302" t="str">
        <f>IF(AA$82&gt;=$E105,'Dados ME'!X$6,"")</f>
        <v/>
      </c>
      <c r="AB105" s="302" t="str">
        <f>IF(AB$82&gt;=$E105,'Dados ME'!Y$6,"")</f>
        <v/>
      </c>
      <c r="AC105" s="302" t="str">
        <f>IF(AC$82&gt;=$E105,'Dados ME'!Z$6,"")</f>
        <v/>
      </c>
      <c r="AD105" s="302">
        <f>IF(AD$82&gt;=$E105,'Dados ME'!AA$6,"")</f>
        <v>0</v>
      </c>
      <c r="AE105" s="302">
        <f>IF(AE$82&gt;=$E105,'Dados ME'!AB$6,"")</f>
        <v>0</v>
      </c>
      <c r="AF105" s="302">
        <f>IF(AF$82&gt;=$E105,'Dados ME'!AC$6,"")</f>
        <v>0</v>
      </c>
      <c r="AG105" s="302">
        <f>IF(AG$82&gt;=$E105,'Dados ME'!AD$6,"")</f>
        <v>0</v>
      </c>
      <c r="AH105" s="302">
        <f>IF(AH$82&gt;=$E105,'Dados ME'!AE$6,"")</f>
        <v>0</v>
      </c>
      <c r="AI105" s="302">
        <f>IF(AI$82&gt;=$E105,'Dados ME'!AF$6,"")</f>
        <v>0</v>
      </c>
      <c r="AJ105" s="302">
        <f>IF(AJ$82&gt;=$E105,'Dados ME'!AG$6,"")</f>
        <v>0</v>
      </c>
      <c r="AK105" s="302">
        <f>IF(AK$82&gt;=$E105,'Dados ME'!AH$6,"")</f>
        <v>0</v>
      </c>
      <c r="AL105" s="302">
        <f>IF(AL$82&gt;=$E105,'Dados ME'!AI$6,"")</f>
        <v>0</v>
      </c>
      <c r="AM105" s="302">
        <f>IF(AM$82&gt;=$E105,'Dados ME'!AJ$6,"")</f>
        <v>0</v>
      </c>
      <c r="AN105" s="302">
        <f>IF(AN$82&gt;=$E105,'Dados ME'!AK$6,"")</f>
        <v>0</v>
      </c>
      <c r="AO105" s="302">
        <f>IF(AO$82&gt;=$E105,'Dados ME'!AL$6,"")</f>
        <v>0</v>
      </c>
      <c r="AP105" s="302">
        <f>IF(AP$82&gt;=$E105,'Dados ME'!AM$6,"")</f>
        <v>0</v>
      </c>
      <c r="AQ105" s="287"/>
    </row>
    <row r="106" spans="3:43" x14ac:dyDescent="0.25">
      <c r="C106" s="1182"/>
      <c r="D106" s="285"/>
      <c r="E106" s="297">
        <f t="shared" si="92"/>
        <v>2050</v>
      </c>
      <c r="F106" s="285"/>
      <c r="G106" s="286"/>
      <c r="H106" s="302" t="str">
        <f>IF(H$82&gt;=$E106,'Dados ME'!E$6,"")</f>
        <v/>
      </c>
      <c r="I106" s="302" t="str">
        <f>IF(I$82&gt;=$E106,'Dados ME'!F$6,"")</f>
        <v/>
      </c>
      <c r="J106" s="302" t="str">
        <f>IF(J$82&gt;=$E106,'Dados ME'!G$6,"")</f>
        <v/>
      </c>
      <c r="K106" s="302" t="str">
        <f>IF(K$82&gt;=$E106,'Dados ME'!H$6,"")</f>
        <v/>
      </c>
      <c r="L106" s="302" t="str">
        <f>IF(L$82&gt;=$E106,'Dados ME'!I$6,"")</f>
        <v/>
      </c>
      <c r="M106" s="302" t="str">
        <f>IF(M$82&gt;=$E106,'Dados ME'!J$6,"")</f>
        <v/>
      </c>
      <c r="N106" s="302" t="str">
        <f>IF(N$82&gt;=$E106,'Dados ME'!K$6,"")</f>
        <v/>
      </c>
      <c r="O106" s="302" t="str">
        <f>IF(O$82&gt;=$E106,'Dados ME'!L$6,"")</f>
        <v/>
      </c>
      <c r="P106" s="302" t="str">
        <f>IF(P$82&gt;=$E106,'Dados ME'!M$6,"")</f>
        <v/>
      </c>
      <c r="Q106" s="302" t="str">
        <f>IF(Q$82&gt;=$E106,'Dados ME'!N$6,"")</f>
        <v/>
      </c>
      <c r="R106" s="302" t="str">
        <f>IF(R$82&gt;=$E106,'Dados ME'!O$6,"")</f>
        <v/>
      </c>
      <c r="S106" s="302" t="str">
        <f>IF(S$82&gt;=$E106,'Dados ME'!P$6,"")</f>
        <v/>
      </c>
      <c r="T106" s="302" t="str">
        <f>IF(T$82&gt;=$E106,'Dados ME'!Q$6,"")</f>
        <v/>
      </c>
      <c r="U106" s="302" t="str">
        <f>IF(U$82&gt;=$E106,'Dados ME'!R$6,"")</f>
        <v/>
      </c>
      <c r="V106" s="302" t="str">
        <f>IF(V$82&gt;=$E106,'Dados ME'!S$6,"")</f>
        <v/>
      </c>
      <c r="W106" s="302" t="str">
        <f>IF(W$82&gt;=$E106,'Dados ME'!T$6,"")</f>
        <v/>
      </c>
      <c r="X106" s="302" t="str">
        <f>IF(X$82&gt;=$E106,'Dados ME'!U$6,"")</f>
        <v/>
      </c>
      <c r="Y106" s="302" t="str">
        <f>IF(Y$82&gt;=$E106,'Dados ME'!V$6,"")</f>
        <v/>
      </c>
      <c r="Z106" s="302" t="str">
        <f>IF(Z$82&gt;=$E106,'Dados ME'!W$6,"")</f>
        <v/>
      </c>
      <c r="AA106" s="302" t="str">
        <f>IF(AA$82&gt;=$E106,'Dados ME'!X$6,"")</f>
        <v/>
      </c>
      <c r="AB106" s="302" t="str">
        <f>IF(AB$82&gt;=$E106,'Dados ME'!Y$6,"")</f>
        <v/>
      </c>
      <c r="AC106" s="302" t="str">
        <f>IF(AC$82&gt;=$E106,'Dados ME'!Z$6,"")</f>
        <v/>
      </c>
      <c r="AD106" s="302" t="str">
        <f>IF(AD$82&gt;=$E106,'Dados ME'!AA$6,"")</f>
        <v/>
      </c>
      <c r="AE106" s="302">
        <f>IF(AE$82&gt;=$E106,'Dados ME'!AB$6,"")</f>
        <v>0</v>
      </c>
      <c r="AF106" s="302">
        <f>IF(AF$82&gt;=$E106,'Dados ME'!AC$6,"")</f>
        <v>0</v>
      </c>
      <c r="AG106" s="302">
        <f>IF(AG$82&gt;=$E106,'Dados ME'!AD$6,"")</f>
        <v>0</v>
      </c>
      <c r="AH106" s="302">
        <f>IF(AH$82&gt;=$E106,'Dados ME'!AE$6,"")</f>
        <v>0</v>
      </c>
      <c r="AI106" s="302">
        <f>IF(AI$82&gt;=$E106,'Dados ME'!AF$6,"")</f>
        <v>0</v>
      </c>
      <c r="AJ106" s="302">
        <f>IF(AJ$82&gt;=$E106,'Dados ME'!AG$6,"")</f>
        <v>0</v>
      </c>
      <c r="AK106" s="302">
        <f>IF(AK$82&gt;=$E106,'Dados ME'!AH$6,"")</f>
        <v>0</v>
      </c>
      <c r="AL106" s="302">
        <f>IF(AL$82&gt;=$E106,'Dados ME'!AI$6,"")</f>
        <v>0</v>
      </c>
      <c r="AM106" s="302">
        <f>IF(AM$82&gt;=$E106,'Dados ME'!AJ$6,"")</f>
        <v>0</v>
      </c>
      <c r="AN106" s="302">
        <f>IF(AN$82&gt;=$E106,'Dados ME'!AK$6,"")</f>
        <v>0</v>
      </c>
      <c r="AO106" s="302">
        <f>IF(AO$82&gt;=$E106,'Dados ME'!AL$6,"")</f>
        <v>0</v>
      </c>
      <c r="AP106" s="302">
        <f>IF(AP$82&gt;=$E106,'Dados ME'!AM$6,"")</f>
        <v>0</v>
      </c>
      <c r="AQ106" s="287"/>
    </row>
    <row r="107" spans="3:43" x14ac:dyDescent="0.25">
      <c r="C107" s="1182"/>
      <c r="D107" s="285"/>
      <c r="E107" s="297">
        <f t="shared" si="92"/>
        <v>2051</v>
      </c>
      <c r="F107" s="285"/>
      <c r="G107" s="286"/>
      <c r="H107" s="302" t="str">
        <f>IF(H$82&gt;=$E107,'Dados ME'!E$6,"")</f>
        <v/>
      </c>
      <c r="I107" s="302" t="str">
        <f>IF(I$82&gt;=$E107,'Dados ME'!F$6,"")</f>
        <v/>
      </c>
      <c r="J107" s="302" t="str">
        <f>IF(J$82&gt;=$E107,'Dados ME'!G$6,"")</f>
        <v/>
      </c>
      <c r="K107" s="302" t="str">
        <f>IF(K$82&gt;=$E107,'Dados ME'!H$6,"")</f>
        <v/>
      </c>
      <c r="L107" s="302" t="str">
        <f>IF(L$82&gt;=$E107,'Dados ME'!I$6,"")</f>
        <v/>
      </c>
      <c r="M107" s="302" t="str">
        <f>IF(M$82&gt;=$E107,'Dados ME'!J$6,"")</f>
        <v/>
      </c>
      <c r="N107" s="302" t="str">
        <f>IF(N$82&gt;=$E107,'Dados ME'!K$6,"")</f>
        <v/>
      </c>
      <c r="O107" s="302" t="str">
        <f>IF(O$82&gt;=$E107,'Dados ME'!L$6,"")</f>
        <v/>
      </c>
      <c r="P107" s="302" t="str">
        <f>IF(P$82&gt;=$E107,'Dados ME'!M$6,"")</f>
        <v/>
      </c>
      <c r="Q107" s="302" t="str">
        <f>IF(Q$82&gt;=$E107,'Dados ME'!N$6,"")</f>
        <v/>
      </c>
      <c r="R107" s="302" t="str">
        <f>IF(R$82&gt;=$E107,'Dados ME'!O$6,"")</f>
        <v/>
      </c>
      <c r="S107" s="302" t="str">
        <f>IF(S$82&gt;=$E107,'Dados ME'!P$6,"")</f>
        <v/>
      </c>
      <c r="T107" s="302" t="str">
        <f>IF(T$82&gt;=$E107,'Dados ME'!Q$6,"")</f>
        <v/>
      </c>
      <c r="U107" s="302" t="str">
        <f>IF(U$82&gt;=$E107,'Dados ME'!R$6,"")</f>
        <v/>
      </c>
      <c r="V107" s="302" t="str">
        <f>IF(V$82&gt;=$E107,'Dados ME'!S$6,"")</f>
        <v/>
      </c>
      <c r="W107" s="302" t="str">
        <f>IF(W$82&gt;=$E107,'Dados ME'!T$6,"")</f>
        <v/>
      </c>
      <c r="X107" s="302" t="str">
        <f>IF(X$82&gt;=$E107,'Dados ME'!U$6,"")</f>
        <v/>
      </c>
      <c r="Y107" s="302" t="str">
        <f>IF(Y$82&gt;=$E107,'Dados ME'!V$6,"")</f>
        <v/>
      </c>
      <c r="Z107" s="302" t="str">
        <f>IF(Z$82&gt;=$E107,'Dados ME'!W$6,"")</f>
        <v/>
      </c>
      <c r="AA107" s="302" t="str">
        <f>IF(AA$82&gt;=$E107,'Dados ME'!X$6,"")</f>
        <v/>
      </c>
      <c r="AB107" s="302" t="str">
        <f>IF(AB$82&gt;=$E107,'Dados ME'!Y$6,"")</f>
        <v/>
      </c>
      <c r="AC107" s="302" t="str">
        <f>IF(AC$82&gt;=$E107,'Dados ME'!Z$6,"")</f>
        <v/>
      </c>
      <c r="AD107" s="302" t="str">
        <f>IF(AD$82&gt;=$E107,'Dados ME'!AA$6,"")</f>
        <v/>
      </c>
      <c r="AE107" s="302" t="str">
        <f>IF(AE$82&gt;=$E107,'Dados ME'!AB$6,"")</f>
        <v/>
      </c>
      <c r="AF107" s="302">
        <f>IF(AF$82&gt;=$E107,'Dados ME'!AC$6,"")</f>
        <v>0</v>
      </c>
      <c r="AG107" s="302">
        <f>IF(AG$82&gt;=$E107,'Dados ME'!AD$6,"")</f>
        <v>0</v>
      </c>
      <c r="AH107" s="302">
        <f>IF(AH$82&gt;=$E107,'Dados ME'!AE$6,"")</f>
        <v>0</v>
      </c>
      <c r="AI107" s="302">
        <f>IF(AI$82&gt;=$E107,'Dados ME'!AF$6,"")</f>
        <v>0</v>
      </c>
      <c r="AJ107" s="302">
        <f>IF(AJ$82&gt;=$E107,'Dados ME'!AG$6,"")</f>
        <v>0</v>
      </c>
      <c r="AK107" s="302">
        <f>IF(AK$82&gt;=$E107,'Dados ME'!AH$6,"")</f>
        <v>0</v>
      </c>
      <c r="AL107" s="302">
        <f>IF(AL$82&gt;=$E107,'Dados ME'!AI$6,"")</f>
        <v>0</v>
      </c>
      <c r="AM107" s="302">
        <f>IF(AM$82&gt;=$E107,'Dados ME'!AJ$6,"")</f>
        <v>0</v>
      </c>
      <c r="AN107" s="302">
        <f>IF(AN$82&gt;=$E107,'Dados ME'!AK$6,"")</f>
        <v>0</v>
      </c>
      <c r="AO107" s="302">
        <f>IF(AO$82&gt;=$E107,'Dados ME'!AL$6,"")</f>
        <v>0</v>
      </c>
      <c r="AP107" s="302">
        <f>IF(AP$82&gt;=$E107,'Dados ME'!AM$6,"")</f>
        <v>0</v>
      </c>
      <c r="AQ107" s="287"/>
    </row>
    <row r="108" spans="3:43" x14ac:dyDescent="0.25">
      <c r="C108" s="1182"/>
      <c r="D108" s="285"/>
      <c r="E108" s="297">
        <f t="shared" si="92"/>
        <v>2052</v>
      </c>
      <c r="F108" s="285"/>
      <c r="G108" s="286"/>
      <c r="H108" s="302" t="str">
        <f>IF(H$82&gt;=$E108,'Dados ME'!E$6,"")</f>
        <v/>
      </c>
      <c r="I108" s="302" t="str">
        <f>IF(I$82&gt;=$E108,'Dados ME'!F$6,"")</f>
        <v/>
      </c>
      <c r="J108" s="302" t="str">
        <f>IF(J$82&gt;=$E108,'Dados ME'!G$6,"")</f>
        <v/>
      </c>
      <c r="K108" s="302" t="str">
        <f>IF(K$82&gt;=$E108,'Dados ME'!H$6,"")</f>
        <v/>
      </c>
      <c r="L108" s="302" t="str">
        <f>IF(L$82&gt;=$E108,'Dados ME'!I$6,"")</f>
        <v/>
      </c>
      <c r="M108" s="302" t="str">
        <f>IF(M$82&gt;=$E108,'Dados ME'!J$6,"")</f>
        <v/>
      </c>
      <c r="N108" s="302" t="str">
        <f>IF(N$82&gt;=$E108,'Dados ME'!K$6,"")</f>
        <v/>
      </c>
      <c r="O108" s="302" t="str">
        <f>IF(O$82&gt;=$E108,'Dados ME'!L$6,"")</f>
        <v/>
      </c>
      <c r="P108" s="302" t="str">
        <f>IF(P$82&gt;=$E108,'Dados ME'!M$6,"")</f>
        <v/>
      </c>
      <c r="Q108" s="302" t="str">
        <f>IF(Q$82&gt;=$E108,'Dados ME'!N$6,"")</f>
        <v/>
      </c>
      <c r="R108" s="302" t="str">
        <f>IF(R$82&gt;=$E108,'Dados ME'!O$6,"")</f>
        <v/>
      </c>
      <c r="S108" s="302" t="str">
        <f>IF(S$82&gt;=$E108,'Dados ME'!P$6,"")</f>
        <v/>
      </c>
      <c r="T108" s="302" t="str">
        <f>IF(T$82&gt;=$E108,'Dados ME'!Q$6,"")</f>
        <v/>
      </c>
      <c r="U108" s="302" t="str">
        <f>IF(U$82&gt;=$E108,'Dados ME'!R$6,"")</f>
        <v/>
      </c>
      <c r="V108" s="302" t="str">
        <f>IF(V$82&gt;=$E108,'Dados ME'!S$6,"")</f>
        <v/>
      </c>
      <c r="W108" s="302" t="str">
        <f>IF(W$82&gt;=$E108,'Dados ME'!T$6,"")</f>
        <v/>
      </c>
      <c r="X108" s="302" t="str">
        <f>IF(X$82&gt;=$E108,'Dados ME'!U$6,"")</f>
        <v/>
      </c>
      <c r="Y108" s="302" t="str">
        <f>IF(Y$82&gt;=$E108,'Dados ME'!V$6,"")</f>
        <v/>
      </c>
      <c r="Z108" s="302" t="str">
        <f>IF(Z$82&gt;=$E108,'Dados ME'!W$6,"")</f>
        <v/>
      </c>
      <c r="AA108" s="302" t="str">
        <f>IF(AA$82&gt;=$E108,'Dados ME'!X$6,"")</f>
        <v/>
      </c>
      <c r="AB108" s="302" t="str">
        <f>IF(AB$82&gt;=$E108,'Dados ME'!Y$6,"")</f>
        <v/>
      </c>
      <c r="AC108" s="302" t="str">
        <f>IF(AC$82&gt;=$E108,'Dados ME'!Z$6,"")</f>
        <v/>
      </c>
      <c r="AD108" s="302" t="str">
        <f>IF(AD$82&gt;=$E108,'Dados ME'!AA$6,"")</f>
        <v/>
      </c>
      <c r="AE108" s="302" t="str">
        <f>IF(AE$82&gt;=$E108,'Dados ME'!AB$6,"")</f>
        <v/>
      </c>
      <c r="AF108" s="302" t="str">
        <f>IF(AF$82&gt;=$E108,'Dados ME'!AC$6,"")</f>
        <v/>
      </c>
      <c r="AG108" s="302">
        <f>IF(AG$82&gt;=$E108,'Dados ME'!AD$6,"")</f>
        <v>0</v>
      </c>
      <c r="AH108" s="302">
        <f>IF(AH$82&gt;=$E108,'Dados ME'!AE$6,"")</f>
        <v>0</v>
      </c>
      <c r="AI108" s="302">
        <f>IF(AI$82&gt;=$E108,'Dados ME'!AF$6,"")</f>
        <v>0</v>
      </c>
      <c r="AJ108" s="302">
        <f>IF(AJ$82&gt;=$E108,'Dados ME'!AG$6,"")</f>
        <v>0</v>
      </c>
      <c r="AK108" s="302">
        <f>IF(AK$82&gt;=$E108,'Dados ME'!AH$6,"")</f>
        <v>0</v>
      </c>
      <c r="AL108" s="302">
        <f>IF(AL$82&gt;=$E108,'Dados ME'!AI$6,"")</f>
        <v>0</v>
      </c>
      <c r="AM108" s="302">
        <f>IF(AM$82&gt;=$E108,'Dados ME'!AJ$6,"")</f>
        <v>0</v>
      </c>
      <c r="AN108" s="302">
        <f>IF(AN$82&gt;=$E108,'Dados ME'!AK$6,"")</f>
        <v>0</v>
      </c>
      <c r="AO108" s="302">
        <f>IF(AO$82&gt;=$E108,'Dados ME'!AL$6,"")</f>
        <v>0</v>
      </c>
      <c r="AP108" s="302">
        <f>IF(AP$82&gt;=$E108,'Dados ME'!AM$6,"")</f>
        <v>0</v>
      </c>
      <c r="AQ108" s="287"/>
    </row>
    <row r="109" spans="3:43" x14ac:dyDescent="0.25">
      <c r="C109" s="1182"/>
      <c r="D109" s="285"/>
      <c r="E109" s="297">
        <f t="shared" si="92"/>
        <v>2053</v>
      </c>
      <c r="F109" s="285"/>
      <c r="G109" s="286"/>
      <c r="H109" s="302" t="str">
        <f>IF(H$82&gt;=$E109,'Dados ME'!E$6,"")</f>
        <v/>
      </c>
      <c r="I109" s="302" t="str">
        <f>IF(I$82&gt;=$E109,'Dados ME'!F$6,"")</f>
        <v/>
      </c>
      <c r="J109" s="302" t="str">
        <f>IF(J$82&gt;=$E109,'Dados ME'!G$6,"")</f>
        <v/>
      </c>
      <c r="K109" s="302" t="str">
        <f>IF(K$82&gt;=$E109,'Dados ME'!H$6,"")</f>
        <v/>
      </c>
      <c r="L109" s="302" t="str">
        <f>IF(L$82&gt;=$E109,'Dados ME'!I$6,"")</f>
        <v/>
      </c>
      <c r="M109" s="302" t="str">
        <f>IF(M$82&gt;=$E109,'Dados ME'!J$6,"")</f>
        <v/>
      </c>
      <c r="N109" s="302" t="str">
        <f>IF(N$82&gt;=$E109,'Dados ME'!K$6,"")</f>
        <v/>
      </c>
      <c r="O109" s="302" t="str">
        <f>IF(O$82&gt;=$E109,'Dados ME'!L$6,"")</f>
        <v/>
      </c>
      <c r="P109" s="302" t="str">
        <f>IF(P$82&gt;=$E109,'Dados ME'!M$6,"")</f>
        <v/>
      </c>
      <c r="Q109" s="302" t="str">
        <f>IF(Q$82&gt;=$E109,'Dados ME'!N$6,"")</f>
        <v/>
      </c>
      <c r="R109" s="302" t="str">
        <f>IF(R$82&gt;=$E109,'Dados ME'!O$6,"")</f>
        <v/>
      </c>
      <c r="S109" s="302" t="str">
        <f>IF(S$82&gt;=$E109,'Dados ME'!P$6,"")</f>
        <v/>
      </c>
      <c r="T109" s="302" t="str">
        <f>IF(T$82&gt;=$E109,'Dados ME'!Q$6,"")</f>
        <v/>
      </c>
      <c r="U109" s="302" t="str">
        <f>IF(U$82&gt;=$E109,'Dados ME'!R$6,"")</f>
        <v/>
      </c>
      <c r="V109" s="302" t="str">
        <f>IF(V$82&gt;=$E109,'Dados ME'!S$6,"")</f>
        <v/>
      </c>
      <c r="W109" s="302" t="str">
        <f>IF(W$82&gt;=$E109,'Dados ME'!T$6,"")</f>
        <v/>
      </c>
      <c r="X109" s="302" t="str">
        <f>IF(X$82&gt;=$E109,'Dados ME'!U$6,"")</f>
        <v/>
      </c>
      <c r="Y109" s="302" t="str">
        <f>IF(Y$82&gt;=$E109,'Dados ME'!V$6,"")</f>
        <v/>
      </c>
      <c r="Z109" s="302" t="str">
        <f>IF(Z$82&gt;=$E109,'Dados ME'!W$6,"")</f>
        <v/>
      </c>
      <c r="AA109" s="302" t="str">
        <f>IF(AA$82&gt;=$E109,'Dados ME'!X$6,"")</f>
        <v/>
      </c>
      <c r="AB109" s="302" t="str">
        <f>IF(AB$82&gt;=$E109,'Dados ME'!Y$6,"")</f>
        <v/>
      </c>
      <c r="AC109" s="302" t="str">
        <f>IF(AC$82&gt;=$E109,'Dados ME'!Z$6,"")</f>
        <v/>
      </c>
      <c r="AD109" s="302" t="str">
        <f>IF(AD$82&gt;=$E109,'Dados ME'!AA$6,"")</f>
        <v/>
      </c>
      <c r="AE109" s="302" t="str">
        <f>IF(AE$82&gt;=$E109,'Dados ME'!AB$6,"")</f>
        <v/>
      </c>
      <c r="AF109" s="302" t="str">
        <f>IF(AF$82&gt;=$E109,'Dados ME'!AC$6,"")</f>
        <v/>
      </c>
      <c r="AG109" s="302" t="str">
        <f>IF(AG$82&gt;=$E109,'Dados ME'!AD$6,"")</f>
        <v/>
      </c>
      <c r="AH109" s="302">
        <f>IF(AH$82&gt;=$E109,'Dados ME'!AE$6,"")</f>
        <v>0</v>
      </c>
      <c r="AI109" s="302">
        <f>IF(AI$82&gt;=$E109,'Dados ME'!AF$6,"")</f>
        <v>0</v>
      </c>
      <c r="AJ109" s="302">
        <f>IF(AJ$82&gt;=$E109,'Dados ME'!AG$6,"")</f>
        <v>0</v>
      </c>
      <c r="AK109" s="302">
        <f>IF(AK$82&gt;=$E109,'Dados ME'!AH$6,"")</f>
        <v>0</v>
      </c>
      <c r="AL109" s="302">
        <f>IF(AL$82&gt;=$E109,'Dados ME'!AI$6,"")</f>
        <v>0</v>
      </c>
      <c r="AM109" s="302">
        <f>IF(AM$82&gt;=$E109,'Dados ME'!AJ$6,"")</f>
        <v>0</v>
      </c>
      <c r="AN109" s="302">
        <f>IF(AN$82&gt;=$E109,'Dados ME'!AK$6,"")</f>
        <v>0</v>
      </c>
      <c r="AO109" s="302">
        <f>IF(AO$82&gt;=$E109,'Dados ME'!AL$6,"")</f>
        <v>0</v>
      </c>
      <c r="AP109" s="302">
        <f>IF(AP$82&gt;=$E109,'Dados ME'!AM$6,"")</f>
        <v>0</v>
      </c>
      <c r="AQ109" s="287"/>
    </row>
    <row r="110" spans="3:43" x14ac:dyDescent="0.25">
      <c r="C110" s="1182"/>
      <c r="D110" s="285"/>
      <c r="E110" s="297">
        <f t="shared" si="92"/>
        <v>2054</v>
      </c>
      <c r="F110" s="285"/>
      <c r="G110" s="286"/>
      <c r="H110" s="302" t="str">
        <f>IF(H$82&gt;=$E110,'Dados ME'!E$6,"")</f>
        <v/>
      </c>
      <c r="I110" s="302" t="str">
        <f>IF(I$82&gt;=$E110,'Dados ME'!F$6,"")</f>
        <v/>
      </c>
      <c r="J110" s="302" t="str">
        <f>IF(J$82&gt;=$E110,'Dados ME'!G$6,"")</f>
        <v/>
      </c>
      <c r="K110" s="302" t="str">
        <f>IF(K$82&gt;=$E110,'Dados ME'!H$6,"")</f>
        <v/>
      </c>
      <c r="L110" s="302" t="str">
        <f>IF(L$82&gt;=$E110,'Dados ME'!I$6,"")</f>
        <v/>
      </c>
      <c r="M110" s="302" t="str">
        <f>IF(M$82&gt;=$E110,'Dados ME'!J$6,"")</f>
        <v/>
      </c>
      <c r="N110" s="302" t="str">
        <f>IF(N$82&gt;=$E110,'Dados ME'!K$6,"")</f>
        <v/>
      </c>
      <c r="O110" s="302" t="str">
        <f>IF(O$82&gt;=$E110,'Dados ME'!L$6,"")</f>
        <v/>
      </c>
      <c r="P110" s="302" t="str">
        <f>IF(P$82&gt;=$E110,'Dados ME'!M$6,"")</f>
        <v/>
      </c>
      <c r="Q110" s="302" t="str">
        <f>IF(Q$82&gt;=$E110,'Dados ME'!N$6,"")</f>
        <v/>
      </c>
      <c r="R110" s="302" t="str">
        <f>IF(R$82&gt;=$E110,'Dados ME'!O$6,"")</f>
        <v/>
      </c>
      <c r="S110" s="302" t="str">
        <f>IF(S$82&gt;=$E110,'Dados ME'!P$6,"")</f>
        <v/>
      </c>
      <c r="T110" s="302" t="str">
        <f>IF(T$82&gt;=$E110,'Dados ME'!Q$6,"")</f>
        <v/>
      </c>
      <c r="U110" s="302" t="str">
        <f>IF(U$82&gt;=$E110,'Dados ME'!R$6,"")</f>
        <v/>
      </c>
      <c r="V110" s="302" t="str">
        <f>IF(V$82&gt;=$E110,'Dados ME'!S$6,"")</f>
        <v/>
      </c>
      <c r="W110" s="302" t="str">
        <f>IF(W$82&gt;=$E110,'Dados ME'!T$6,"")</f>
        <v/>
      </c>
      <c r="X110" s="302" t="str">
        <f>IF(X$82&gt;=$E110,'Dados ME'!U$6,"")</f>
        <v/>
      </c>
      <c r="Y110" s="302" t="str">
        <f>IF(Y$82&gt;=$E110,'Dados ME'!V$6,"")</f>
        <v/>
      </c>
      <c r="Z110" s="302" t="str">
        <f>IF(Z$82&gt;=$E110,'Dados ME'!W$6,"")</f>
        <v/>
      </c>
      <c r="AA110" s="302" t="str">
        <f>IF(AA$82&gt;=$E110,'Dados ME'!X$6,"")</f>
        <v/>
      </c>
      <c r="AB110" s="302" t="str">
        <f>IF(AB$82&gt;=$E110,'Dados ME'!Y$6,"")</f>
        <v/>
      </c>
      <c r="AC110" s="302" t="str">
        <f>IF(AC$82&gt;=$E110,'Dados ME'!Z$6,"")</f>
        <v/>
      </c>
      <c r="AD110" s="302" t="str">
        <f>IF(AD$82&gt;=$E110,'Dados ME'!AA$6,"")</f>
        <v/>
      </c>
      <c r="AE110" s="302" t="str">
        <f>IF(AE$82&gt;=$E110,'Dados ME'!AB$6,"")</f>
        <v/>
      </c>
      <c r="AF110" s="302" t="str">
        <f>IF(AF$82&gt;=$E110,'Dados ME'!AC$6,"")</f>
        <v/>
      </c>
      <c r="AG110" s="302" t="str">
        <f>IF(AG$82&gt;=$E110,'Dados ME'!AD$6,"")</f>
        <v/>
      </c>
      <c r="AH110" s="302" t="str">
        <f>IF(AH$82&gt;=$E110,'Dados ME'!AE$6,"")</f>
        <v/>
      </c>
      <c r="AI110" s="302">
        <f>IF(AI$82&gt;=$E110,'Dados ME'!AF$6,"")</f>
        <v>0</v>
      </c>
      <c r="AJ110" s="302">
        <f>IF(AJ$82&gt;=$E110,'Dados ME'!AG$6,"")</f>
        <v>0</v>
      </c>
      <c r="AK110" s="302">
        <f>IF(AK$82&gt;=$E110,'Dados ME'!AH$6,"")</f>
        <v>0</v>
      </c>
      <c r="AL110" s="302">
        <f>IF(AL$82&gt;=$E110,'Dados ME'!AI$6,"")</f>
        <v>0</v>
      </c>
      <c r="AM110" s="302">
        <f>IF(AM$82&gt;=$E110,'Dados ME'!AJ$6,"")</f>
        <v>0</v>
      </c>
      <c r="AN110" s="302">
        <f>IF(AN$82&gt;=$E110,'Dados ME'!AK$6,"")</f>
        <v>0</v>
      </c>
      <c r="AO110" s="302">
        <f>IF(AO$82&gt;=$E110,'Dados ME'!AL$6,"")</f>
        <v>0</v>
      </c>
      <c r="AP110" s="302">
        <f>IF(AP$82&gt;=$E110,'Dados ME'!AM$6,"")</f>
        <v>0</v>
      </c>
      <c r="AQ110" s="287"/>
    </row>
    <row r="111" spans="3:43" x14ac:dyDescent="0.25">
      <c r="C111" s="1182"/>
      <c r="D111" s="285"/>
      <c r="E111" s="297">
        <f t="shared" si="92"/>
        <v>2055</v>
      </c>
      <c r="F111" s="285"/>
      <c r="G111" s="286"/>
      <c r="H111" s="302" t="str">
        <f>IF(H$82&gt;=$E111,'Dados ME'!E$6,"")</f>
        <v/>
      </c>
      <c r="I111" s="302" t="str">
        <f>IF(I$82&gt;=$E111,'Dados ME'!F$6,"")</f>
        <v/>
      </c>
      <c r="J111" s="302" t="str">
        <f>IF(J$82&gt;=$E111,'Dados ME'!G$6,"")</f>
        <v/>
      </c>
      <c r="K111" s="302" t="str">
        <f>IF(K$82&gt;=$E111,'Dados ME'!H$6,"")</f>
        <v/>
      </c>
      <c r="L111" s="302" t="str">
        <f>IF(L$82&gt;=$E111,'Dados ME'!I$6,"")</f>
        <v/>
      </c>
      <c r="M111" s="302" t="str">
        <f>IF(M$82&gt;=$E111,'Dados ME'!J$6,"")</f>
        <v/>
      </c>
      <c r="N111" s="302" t="str">
        <f>IF(N$82&gt;=$E111,'Dados ME'!K$6,"")</f>
        <v/>
      </c>
      <c r="O111" s="302" t="str">
        <f>IF(O$82&gt;=$E111,'Dados ME'!L$6,"")</f>
        <v/>
      </c>
      <c r="P111" s="302" t="str">
        <f>IF(P$82&gt;=$E111,'Dados ME'!M$6,"")</f>
        <v/>
      </c>
      <c r="Q111" s="302" t="str">
        <f>IF(Q$82&gt;=$E111,'Dados ME'!N$6,"")</f>
        <v/>
      </c>
      <c r="R111" s="302" t="str">
        <f>IF(R$82&gt;=$E111,'Dados ME'!O$6,"")</f>
        <v/>
      </c>
      <c r="S111" s="302" t="str">
        <f>IF(S$82&gt;=$E111,'Dados ME'!P$6,"")</f>
        <v/>
      </c>
      <c r="T111" s="302" t="str">
        <f>IF(T$82&gt;=$E111,'Dados ME'!Q$6,"")</f>
        <v/>
      </c>
      <c r="U111" s="302" t="str">
        <f>IF(U$82&gt;=$E111,'Dados ME'!R$6,"")</f>
        <v/>
      </c>
      <c r="V111" s="302" t="str">
        <f>IF(V$82&gt;=$E111,'Dados ME'!S$6,"")</f>
        <v/>
      </c>
      <c r="W111" s="302" t="str">
        <f>IF(W$82&gt;=$E111,'Dados ME'!T$6,"")</f>
        <v/>
      </c>
      <c r="X111" s="302" t="str">
        <f>IF(X$82&gt;=$E111,'Dados ME'!U$6,"")</f>
        <v/>
      </c>
      <c r="Y111" s="302" t="str">
        <f>IF(Y$82&gt;=$E111,'Dados ME'!V$6,"")</f>
        <v/>
      </c>
      <c r="Z111" s="302" t="str">
        <f>IF(Z$82&gt;=$E111,'Dados ME'!W$6,"")</f>
        <v/>
      </c>
      <c r="AA111" s="302" t="str">
        <f>IF(AA$82&gt;=$E111,'Dados ME'!X$6,"")</f>
        <v/>
      </c>
      <c r="AB111" s="302" t="str">
        <f>IF(AB$82&gt;=$E111,'Dados ME'!Y$6,"")</f>
        <v/>
      </c>
      <c r="AC111" s="302" t="str">
        <f>IF(AC$82&gt;=$E111,'Dados ME'!Z$6,"")</f>
        <v/>
      </c>
      <c r="AD111" s="302" t="str">
        <f>IF(AD$82&gt;=$E111,'Dados ME'!AA$6,"")</f>
        <v/>
      </c>
      <c r="AE111" s="302" t="str">
        <f>IF(AE$82&gt;=$E111,'Dados ME'!AB$6,"")</f>
        <v/>
      </c>
      <c r="AF111" s="302" t="str">
        <f>IF(AF$82&gt;=$E111,'Dados ME'!AC$6,"")</f>
        <v/>
      </c>
      <c r="AG111" s="302" t="str">
        <f>IF(AG$82&gt;=$E111,'Dados ME'!AD$6,"")</f>
        <v/>
      </c>
      <c r="AH111" s="302" t="str">
        <f>IF(AH$82&gt;=$E111,'Dados ME'!AE$6,"")</f>
        <v/>
      </c>
      <c r="AI111" s="302" t="str">
        <f>IF(AI$82&gt;=$E111,'Dados ME'!AF$6,"")</f>
        <v/>
      </c>
      <c r="AJ111" s="302">
        <f>IF(AJ$82&gt;=$E111,'Dados ME'!AG$6,"")</f>
        <v>0</v>
      </c>
      <c r="AK111" s="302">
        <f>IF(AK$82&gt;=$E111,'Dados ME'!AH$6,"")</f>
        <v>0</v>
      </c>
      <c r="AL111" s="302">
        <f>IF(AL$82&gt;=$E111,'Dados ME'!AI$6,"")</f>
        <v>0</v>
      </c>
      <c r="AM111" s="302">
        <f>IF(AM$82&gt;=$E111,'Dados ME'!AJ$6,"")</f>
        <v>0</v>
      </c>
      <c r="AN111" s="302">
        <f>IF(AN$82&gt;=$E111,'Dados ME'!AK$6,"")</f>
        <v>0</v>
      </c>
      <c r="AO111" s="302">
        <f>IF(AO$82&gt;=$E111,'Dados ME'!AL$6,"")</f>
        <v>0</v>
      </c>
      <c r="AP111" s="302">
        <f>IF(AP$82&gt;=$E111,'Dados ME'!AM$6,"")</f>
        <v>0</v>
      </c>
      <c r="AQ111" s="287"/>
    </row>
    <row r="112" spans="3:43" x14ac:dyDescent="0.25">
      <c r="C112" s="1182"/>
      <c r="D112" s="285"/>
      <c r="E112" s="297">
        <f t="shared" si="92"/>
        <v>2056</v>
      </c>
      <c r="F112" s="285"/>
      <c r="G112" s="286"/>
      <c r="H112" s="302" t="str">
        <f>IF(H$82&gt;=$E112,'Dados ME'!E$6,"")</f>
        <v/>
      </c>
      <c r="I112" s="302" t="str">
        <f>IF(I$82&gt;=$E112,'Dados ME'!F$6,"")</f>
        <v/>
      </c>
      <c r="J112" s="302" t="str">
        <f>IF(J$82&gt;=$E112,'Dados ME'!G$6,"")</f>
        <v/>
      </c>
      <c r="K112" s="302" t="str">
        <f>IF(K$82&gt;=$E112,'Dados ME'!H$6,"")</f>
        <v/>
      </c>
      <c r="L112" s="302" t="str">
        <f>IF(L$82&gt;=$E112,'Dados ME'!I$6,"")</f>
        <v/>
      </c>
      <c r="M112" s="302" t="str">
        <f>IF(M$82&gt;=$E112,'Dados ME'!J$6,"")</f>
        <v/>
      </c>
      <c r="N112" s="302" t="str">
        <f>IF(N$82&gt;=$E112,'Dados ME'!K$6,"")</f>
        <v/>
      </c>
      <c r="O112" s="302" t="str">
        <f>IF(O$82&gt;=$E112,'Dados ME'!L$6,"")</f>
        <v/>
      </c>
      <c r="P112" s="302" t="str">
        <f>IF(P$82&gt;=$E112,'Dados ME'!M$6,"")</f>
        <v/>
      </c>
      <c r="Q112" s="302" t="str">
        <f>IF(Q$82&gt;=$E112,'Dados ME'!N$6,"")</f>
        <v/>
      </c>
      <c r="R112" s="302" t="str">
        <f>IF(R$82&gt;=$E112,'Dados ME'!O$6,"")</f>
        <v/>
      </c>
      <c r="S112" s="302" t="str">
        <f>IF(S$82&gt;=$E112,'Dados ME'!P$6,"")</f>
        <v/>
      </c>
      <c r="T112" s="302" t="str">
        <f>IF(T$82&gt;=$E112,'Dados ME'!Q$6,"")</f>
        <v/>
      </c>
      <c r="U112" s="302" t="str">
        <f>IF(U$82&gt;=$E112,'Dados ME'!R$6,"")</f>
        <v/>
      </c>
      <c r="V112" s="302" t="str">
        <f>IF(V$82&gt;=$E112,'Dados ME'!S$6,"")</f>
        <v/>
      </c>
      <c r="W112" s="302" t="str">
        <f>IF(W$82&gt;=$E112,'Dados ME'!T$6,"")</f>
        <v/>
      </c>
      <c r="X112" s="302" t="str">
        <f>IF(X$82&gt;=$E112,'Dados ME'!U$6,"")</f>
        <v/>
      </c>
      <c r="Y112" s="302" t="str">
        <f>IF(Y$82&gt;=$E112,'Dados ME'!V$6,"")</f>
        <v/>
      </c>
      <c r="Z112" s="302" t="str">
        <f>IF(Z$82&gt;=$E112,'Dados ME'!W$6,"")</f>
        <v/>
      </c>
      <c r="AA112" s="302" t="str">
        <f>IF(AA$82&gt;=$E112,'Dados ME'!X$6,"")</f>
        <v/>
      </c>
      <c r="AB112" s="302" t="str">
        <f>IF(AB$82&gt;=$E112,'Dados ME'!Y$6,"")</f>
        <v/>
      </c>
      <c r="AC112" s="302" t="str">
        <f>IF(AC$82&gt;=$E112,'Dados ME'!Z$6,"")</f>
        <v/>
      </c>
      <c r="AD112" s="302" t="str">
        <f>IF(AD$82&gt;=$E112,'Dados ME'!AA$6,"")</f>
        <v/>
      </c>
      <c r="AE112" s="302" t="str">
        <f>IF(AE$82&gt;=$E112,'Dados ME'!AB$6,"")</f>
        <v/>
      </c>
      <c r="AF112" s="302" t="str">
        <f>IF(AF$82&gt;=$E112,'Dados ME'!AC$6,"")</f>
        <v/>
      </c>
      <c r="AG112" s="302" t="str">
        <f>IF(AG$82&gt;=$E112,'Dados ME'!AD$6,"")</f>
        <v/>
      </c>
      <c r="AH112" s="302" t="str">
        <f>IF(AH$82&gt;=$E112,'Dados ME'!AE$6,"")</f>
        <v/>
      </c>
      <c r="AI112" s="302" t="str">
        <f>IF(AI$82&gt;=$E112,'Dados ME'!AF$6,"")</f>
        <v/>
      </c>
      <c r="AJ112" s="302" t="str">
        <f>IF(AJ$82&gt;=$E112,'Dados ME'!AG$6,"")</f>
        <v/>
      </c>
      <c r="AK112" s="302">
        <f>IF(AK$82&gt;=$E112,'Dados ME'!AH$6,"")</f>
        <v>0</v>
      </c>
      <c r="AL112" s="302">
        <f>IF(AL$82&gt;=$E112,'Dados ME'!AI$6,"")</f>
        <v>0</v>
      </c>
      <c r="AM112" s="302">
        <f>IF(AM$82&gt;=$E112,'Dados ME'!AJ$6,"")</f>
        <v>0</v>
      </c>
      <c r="AN112" s="302">
        <f>IF(AN$82&gt;=$E112,'Dados ME'!AK$6,"")</f>
        <v>0</v>
      </c>
      <c r="AO112" s="302">
        <f>IF(AO$82&gt;=$E112,'Dados ME'!AL$6,"")</f>
        <v>0</v>
      </c>
      <c r="AP112" s="302">
        <f>IF(AP$82&gt;=$E112,'Dados ME'!AM$6,"")</f>
        <v>0</v>
      </c>
      <c r="AQ112" s="287"/>
    </row>
    <row r="113" spans="3:43" x14ac:dyDescent="0.25">
      <c r="C113" s="1182"/>
      <c r="D113" s="285"/>
      <c r="E113" s="297">
        <f t="shared" ref="E113:E117" si="93">E74</f>
        <v>2057</v>
      </c>
      <c r="F113" s="285"/>
      <c r="G113" s="285"/>
      <c r="H113" s="298" t="str">
        <f>IF(H$82&gt;=$E113,'Dados ME'!E$6,"")</f>
        <v/>
      </c>
      <c r="I113" s="302" t="str">
        <f>IF(I$82&gt;=$E113,'Dados ME'!F$6,"")</f>
        <v/>
      </c>
      <c r="J113" s="302" t="str">
        <f>IF(J$82&gt;=$E113,'Dados ME'!G$6,"")</f>
        <v/>
      </c>
      <c r="K113" s="302" t="str">
        <f>IF(K$82&gt;=$E113,'Dados ME'!H$6,"")</f>
        <v/>
      </c>
      <c r="L113" s="302" t="str">
        <f>IF(L$82&gt;=$E113,'Dados ME'!I$6,"")</f>
        <v/>
      </c>
      <c r="M113" s="302" t="str">
        <f>IF(M$82&gt;=$E113,'Dados ME'!J$6,"")</f>
        <v/>
      </c>
      <c r="N113" s="302" t="str">
        <f>IF(N$82&gt;=$E113,'Dados ME'!K$6,"")</f>
        <v/>
      </c>
      <c r="O113" s="302" t="str">
        <f>IF(O$82&gt;=$E113,'Dados ME'!L$6,"")</f>
        <v/>
      </c>
      <c r="P113" s="302" t="str">
        <f>IF(P$82&gt;=$E113,'Dados ME'!M$6,"")</f>
        <v/>
      </c>
      <c r="Q113" s="302" t="str">
        <f>IF(Q$82&gt;=$E113,'Dados ME'!N$6,"")</f>
        <v/>
      </c>
      <c r="R113" s="302" t="str">
        <f>IF(R$82&gt;=$E113,'Dados ME'!O$6,"")</f>
        <v/>
      </c>
      <c r="S113" s="302" t="str">
        <f>IF(S$82&gt;=$E113,'Dados ME'!P$6,"")</f>
        <v/>
      </c>
      <c r="T113" s="302" t="str">
        <f>IF(T$82&gt;=$E113,'Dados ME'!Q$6,"")</f>
        <v/>
      </c>
      <c r="U113" s="302" t="str">
        <f>IF(U$82&gt;=$E113,'Dados ME'!R$6,"")</f>
        <v/>
      </c>
      <c r="V113" s="302" t="str">
        <f>IF(V$82&gt;=$E113,'Dados ME'!S$6,"")</f>
        <v/>
      </c>
      <c r="W113" s="302" t="str">
        <f>IF(W$82&gt;=$E113,'Dados ME'!T$6,"")</f>
        <v/>
      </c>
      <c r="X113" s="302" t="str">
        <f>IF(X$82&gt;=$E113,'Dados ME'!U$6,"")</f>
        <v/>
      </c>
      <c r="Y113" s="302" t="str">
        <f>IF(Y$82&gt;=$E113,'Dados ME'!V$6,"")</f>
        <v/>
      </c>
      <c r="Z113" s="302" t="str">
        <f>IF(Z$82&gt;=$E113,'Dados ME'!W$6,"")</f>
        <v/>
      </c>
      <c r="AA113" s="302" t="str">
        <f>IF(AA$82&gt;=$E113,'Dados ME'!X$6,"")</f>
        <v/>
      </c>
      <c r="AB113" s="302" t="str">
        <f>IF(AB$82&gt;=$E113,'Dados ME'!Y$6,"")</f>
        <v/>
      </c>
      <c r="AC113" s="302" t="str">
        <f>IF(AC$82&gt;=$E113,'Dados ME'!Z$6,"")</f>
        <v/>
      </c>
      <c r="AD113" s="302" t="str">
        <f>IF(AD$82&gt;=$E113,'Dados ME'!AA$6,"")</f>
        <v/>
      </c>
      <c r="AE113" s="302" t="str">
        <f>IF(AE$82&gt;=$E113,'Dados ME'!AB$6,"")</f>
        <v/>
      </c>
      <c r="AF113" s="302" t="str">
        <f>IF(AF$82&gt;=$E113,'Dados ME'!AC$6,"")</f>
        <v/>
      </c>
      <c r="AG113" s="302" t="str">
        <f>IF(AG$82&gt;=$E113,'Dados ME'!AD$6,"")</f>
        <v/>
      </c>
      <c r="AH113" s="302" t="str">
        <f>IF(AH$82&gt;=$E113,'Dados ME'!AE$6,"")</f>
        <v/>
      </c>
      <c r="AI113" s="302" t="str">
        <f>IF(AI$82&gt;=$E113,'Dados ME'!AF$6,"")</f>
        <v/>
      </c>
      <c r="AJ113" s="302" t="str">
        <f>IF(AJ$82&gt;=$E113,'Dados ME'!AG$6,"")</f>
        <v/>
      </c>
      <c r="AK113" s="302" t="str">
        <f>IF(AK$82&gt;=$E113,'Dados ME'!AH$6,"")</f>
        <v/>
      </c>
      <c r="AL113" s="302">
        <f>IF(AL$82&gt;=$E113,'Dados ME'!AI$6,"")</f>
        <v>0</v>
      </c>
      <c r="AM113" s="302">
        <f>IF(AM$82&gt;=$E113,'Dados ME'!AJ$6,"")</f>
        <v>0</v>
      </c>
      <c r="AN113" s="302">
        <f>IF(AN$82&gt;=$E113,'Dados ME'!AK$6,"")</f>
        <v>0</v>
      </c>
      <c r="AO113" s="302">
        <f>IF(AO$82&gt;=$E113,'Dados ME'!AL$6,"")</f>
        <v>0</v>
      </c>
      <c r="AP113" s="302">
        <f>IF(AP$82&gt;=$E113,'Dados ME'!AM$6,"")</f>
        <v>0</v>
      </c>
      <c r="AQ113" s="287"/>
    </row>
    <row r="114" spans="3:43" x14ac:dyDescent="0.25">
      <c r="C114" s="1182"/>
      <c r="D114" s="285"/>
      <c r="E114" s="297">
        <f t="shared" si="93"/>
        <v>2058</v>
      </c>
      <c r="F114" s="285"/>
      <c r="G114" s="286"/>
      <c r="H114" s="302" t="str">
        <f>IF(H$82&gt;=$E114,'Dados ME'!E$6,"")</f>
        <v/>
      </c>
      <c r="I114" s="302" t="str">
        <f>IF(I$82&gt;=$E114,'Dados ME'!F$6,"")</f>
        <v/>
      </c>
      <c r="J114" s="302" t="str">
        <f>IF(J$82&gt;=$E114,'Dados ME'!G$6,"")</f>
        <v/>
      </c>
      <c r="K114" s="302" t="str">
        <f>IF(K$82&gt;=$E114,'Dados ME'!H$6,"")</f>
        <v/>
      </c>
      <c r="L114" s="302" t="str">
        <f>IF(L$82&gt;=$E114,'Dados ME'!I$6,"")</f>
        <v/>
      </c>
      <c r="M114" s="302" t="str">
        <f>IF(M$82&gt;=$E114,'Dados ME'!J$6,"")</f>
        <v/>
      </c>
      <c r="N114" s="302" t="str">
        <f>IF(N$82&gt;=$E114,'Dados ME'!K$6,"")</f>
        <v/>
      </c>
      <c r="O114" s="302" t="str">
        <f>IF(O$82&gt;=$E114,'Dados ME'!L$6,"")</f>
        <v/>
      </c>
      <c r="P114" s="302" t="str">
        <f>IF(P$82&gt;=$E114,'Dados ME'!M$6,"")</f>
        <v/>
      </c>
      <c r="Q114" s="302" t="str">
        <f>IF(Q$82&gt;=$E114,'Dados ME'!N$6,"")</f>
        <v/>
      </c>
      <c r="R114" s="302" t="str">
        <f>IF(R$82&gt;=$E114,'Dados ME'!O$6,"")</f>
        <v/>
      </c>
      <c r="S114" s="302" t="str">
        <f>IF(S$82&gt;=$E114,'Dados ME'!P$6,"")</f>
        <v/>
      </c>
      <c r="T114" s="302" t="str">
        <f>IF(T$82&gt;=$E114,'Dados ME'!Q$6,"")</f>
        <v/>
      </c>
      <c r="U114" s="302" t="str">
        <f>IF(U$82&gt;=$E114,'Dados ME'!R$6,"")</f>
        <v/>
      </c>
      <c r="V114" s="302" t="str">
        <f>IF(V$82&gt;=$E114,'Dados ME'!S$6,"")</f>
        <v/>
      </c>
      <c r="W114" s="302" t="str">
        <f>IF(W$82&gt;=$E114,'Dados ME'!T$6,"")</f>
        <v/>
      </c>
      <c r="X114" s="302" t="str">
        <f>IF(X$82&gt;=$E114,'Dados ME'!U$6,"")</f>
        <v/>
      </c>
      <c r="Y114" s="302" t="str">
        <f>IF(Y$82&gt;=$E114,'Dados ME'!V$6,"")</f>
        <v/>
      </c>
      <c r="Z114" s="302" t="str">
        <f>IF(Z$82&gt;=$E114,'Dados ME'!W$6,"")</f>
        <v/>
      </c>
      <c r="AA114" s="302" t="str">
        <f>IF(AA$82&gt;=$E114,'Dados ME'!X$6,"")</f>
        <v/>
      </c>
      <c r="AB114" s="302" t="str">
        <f>IF(AB$82&gt;=$E114,'Dados ME'!Y$6,"")</f>
        <v/>
      </c>
      <c r="AC114" s="302" t="str">
        <f>IF(AC$82&gt;=$E114,'Dados ME'!Z$6,"")</f>
        <v/>
      </c>
      <c r="AD114" s="302" t="str">
        <f>IF(AD$82&gt;=$E114,'Dados ME'!AA$6,"")</f>
        <v/>
      </c>
      <c r="AE114" s="302" t="str">
        <f>IF(AE$82&gt;=$E114,'Dados ME'!AB$6,"")</f>
        <v/>
      </c>
      <c r="AF114" s="302" t="str">
        <f>IF(AF$82&gt;=$E114,'Dados ME'!AC$6,"")</f>
        <v/>
      </c>
      <c r="AG114" s="302" t="str">
        <f>IF(AG$82&gt;=$E114,'Dados ME'!AD$6,"")</f>
        <v/>
      </c>
      <c r="AH114" s="302" t="str">
        <f>IF(AH$82&gt;=$E114,'Dados ME'!AE$6,"")</f>
        <v/>
      </c>
      <c r="AI114" s="302" t="str">
        <f>IF(AI$82&gt;=$E114,'Dados ME'!AF$6,"")</f>
        <v/>
      </c>
      <c r="AJ114" s="302" t="str">
        <f>IF(AJ$82&gt;=$E114,'Dados ME'!AG$6,"")</f>
        <v/>
      </c>
      <c r="AK114" s="302" t="str">
        <f>IF(AK$82&gt;=$E114,'Dados ME'!AH$6,"")</f>
        <v/>
      </c>
      <c r="AL114" s="302" t="str">
        <f>IF(AL$82&gt;=$E114,'Dados ME'!AI$6,"")</f>
        <v/>
      </c>
      <c r="AM114" s="302">
        <f>IF(AM$82&gt;=$E114,'Dados ME'!AJ$6,"")</f>
        <v>0</v>
      </c>
      <c r="AN114" s="302">
        <f>IF(AN$82&gt;=$E114,'Dados ME'!AK$6,"")</f>
        <v>0</v>
      </c>
      <c r="AO114" s="302">
        <f>IF(AO$82&gt;=$E114,'Dados ME'!AL$6,"")</f>
        <v>0</v>
      </c>
      <c r="AP114" s="302">
        <f>IF(AP$82&gt;=$E114,'Dados ME'!AM$6,"")</f>
        <v>0</v>
      </c>
      <c r="AQ114" s="287"/>
    </row>
    <row r="115" spans="3:43" x14ac:dyDescent="0.25">
      <c r="C115" s="1182"/>
      <c r="D115" s="285"/>
      <c r="E115" s="297">
        <f t="shared" si="93"/>
        <v>2059</v>
      </c>
      <c r="F115" s="285"/>
      <c r="G115" s="285"/>
      <c r="H115" s="298" t="str">
        <f>IF(H$82&gt;=$E115,'Dados ME'!E$6,"")</f>
        <v/>
      </c>
      <c r="I115" s="302" t="str">
        <f>IF(I$82&gt;=$E115,'Dados ME'!F$6,"")</f>
        <v/>
      </c>
      <c r="J115" s="302" t="str">
        <f>IF(J$82&gt;=$E115,'Dados ME'!G$6,"")</f>
        <v/>
      </c>
      <c r="K115" s="302" t="str">
        <f>IF(K$82&gt;=$E115,'Dados ME'!H$6,"")</f>
        <v/>
      </c>
      <c r="L115" s="302" t="str">
        <f>IF(L$82&gt;=$E115,'Dados ME'!I$6,"")</f>
        <v/>
      </c>
      <c r="M115" s="302" t="str">
        <f>IF(M$82&gt;=$E115,'Dados ME'!J$6,"")</f>
        <v/>
      </c>
      <c r="N115" s="302" t="str">
        <f>IF(N$82&gt;=$E115,'Dados ME'!K$6,"")</f>
        <v/>
      </c>
      <c r="O115" s="302" t="str">
        <f>IF(O$82&gt;=$E115,'Dados ME'!L$6,"")</f>
        <v/>
      </c>
      <c r="P115" s="302" t="str">
        <f>IF(P$82&gt;=$E115,'Dados ME'!M$6,"")</f>
        <v/>
      </c>
      <c r="Q115" s="302" t="str">
        <f>IF(Q$82&gt;=$E115,'Dados ME'!N$6,"")</f>
        <v/>
      </c>
      <c r="R115" s="302" t="str">
        <f>IF(R$82&gt;=$E115,'Dados ME'!O$6,"")</f>
        <v/>
      </c>
      <c r="S115" s="302" t="str">
        <f>IF(S$82&gt;=$E115,'Dados ME'!P$6,"")</f>
        <v/>
      </c>
      <c r="T115" s="302" t="str">
        <f>IF(T$82&gt;=$E115,'Dados ME'!Q$6,"")</f>
        <v/>
      </c>
      <c r="U115" s="302" t="str">
        <f>IF(U$82&gt;=$E115,'Dados ME'!R$6,"")</f>
        <v/>
      </c>
      <c r="V115" s="302" t="str">
        <f>IF(V$82&gt;=$E115,'Dados ME'!S$6,"")</f>
        <v/>
      </c>
      <c r="W115" s="302" t="str">
        <f>IF(W$82&gt;=$E115,'Dados ME'!T$6,"")</f>
        <v/>
      </c>
      <c r="X115" s="302" t="str">
        <f>IF(X$82&gt;=$E115,'Dados ME'!U$6,"")</f>
        <v/>
      </c>
      <c r="Y115" s="302" t="str">
        <f>IF(Y$82&gt;=$E115,'Dados ME'!V$6,"")</f>
        <v/>
      </c>
      <c r="Z115" s="302" t="str">
        <f>IF(Z$82&gt;=$E115,'Dados ME'!W$6,"")</f>
        <v/>
      </c>
      <c r="AA115" s="302" t="str">
        <f>IF(AA$82&gt;=$E115,'Dados ME'!X$6,"")</f>
        <v/>
      </c>
      <c r="AB115" s="302" t="str">
        <f>IF(AB$82&gt;=$E115,'Dados ME'!Y$6,"")</f>
        <v/>
      </c>
      <c r="AC115" s="302" t="str">
        <f>IF(AC$82&gt;=$E115,'Dados ME'!Z$6,"")</f>
        <v/>
      </c>
      <c r="AD115" s="302" t="str">
        <f>IF(AD$82&gt;=$E115,'Dados ME'!AA$6,"")</f>
        <v/>
      </c>
      <c r="AE115" s="302" t="str">
        <f>IF(AE$82&gt;=$E115,'Dados ME'!AB$6,"")</f>
        <v/>
      </c>
      <c r="AF115" s="302" t="str">
        <f>IF(AF$82&gt;=$E115,'Dados ME'!AC$6,"")</f>
        <v/>
      </c>
      <c r="AG115" s="302" t="str">
        <f>IF(AG$82&gt;=$E115,'Dados ME'!AD$6,"")</f>
        <v/>
      </c>
      <c r="AH115" s="302" t="str">
        <f>IF(AH$82&gt;=$E115,'Dados ME'!AE$6,"")</f>
        <v/>
      </c>
      <c r="AI115" s="302" t="str">
        <f>IF(AI$82&gt;=$E115,'Dados ME'!AF$6,"")</f>
        <v/>
      </c>
      <c r="AJ115" s="302" t="str">
        <f>IF(AJ$82&gt;=$E115,'Dados ME'!AG$6,"")</f>
        <v/>
      </c>
      <c r="AK115" s="302" t="str">
        <f>IF(AK$82&gt;=$E115,'Dados ME'!AH$6,"")</f>
        <v/>
      </c>
      <c r="AL115" s="302" t="str">
        <f>IF(AL$82&gt;=$E115,'Dados ME'!AI$6,"")</f>
        <v/>
      </c>
      <c r="AM115" s="302" t="str">
        <f>IF(AM$82&gt;=$E115,'Dados ME'!AJ$6,"")</f>
        <v/>
      </c>
      <c r="AN115" s="302">
        <f>IF(AN$82&gt;=$E115,'Dados ME'!AK$6,"")</f>
        <v>0</v>
      </c>
      <c r="AO115" s="302">
        <f>IF(AO$82&gt;=$E115,'Dados ME'!AL$6,"")</f>
        <v>0</v>
      </c>
      <c r="AP115" s="302">
        <f>IF(AP$82&gt;=$E115,'Dados ME'!AM$6,"")</f>
        <v>0</v>
      </c>
      <c r="AQ115" s="287"/>
    </row>
    <row r="116" spans="3:43" x14ac:dyDescent="0.25">
      <c r="C116" s="1182"/>
      <c r="D116" s="285"/>
      <c r="E116" s="297">
        <f t="shared" si="93"/>
        <v>2060</v>
      </c>
      <c r="F116" s="285"/>
      <c r="G116" s="286"/>
      <c r="H116" s="302" t="str">
        <f>IF(H$82&gt;=$E116,'Dados ME'!E$6,"")</f>
        <v/>
      </c>
      <c r="I116" s="302" t="str">
        <f>IF(I$82&gt;=$E116,'Dados ME'!F$6,"")</f>
        <v/>
      </c>
      <c r="J116" s="302" t="str">
        <f>IF(J$82&gt;=$E116,'Dados ME'!G$6,"")</f>
        <v/>
      </c>
      <c r="K116" s="302" t="str">
        <f>IF(K$82&gt;=$E116,'Dados ME'!H$6,"")</f>
        <v/>
      </c>
      <c r="L116" s="302" t="str">
        <f>IF(L$82&gt;=$E116,'Dados ME'!I$6,"")</f>
        <v/>
      </c>
      <c r="M116" s="302" t="str">
        <f>IF(M$82&gt;=$E116,'Dados ME'!J$6,"")</f>
        <v/>
      </c>
      <c r="N116" s="302" t="str">
        <f>IF(N$82&gt;=$E116,'Dados ME'!K$6,"")</f>
        <v/>
      </c>
      <c r="O116" s="302" t="str">
        <f>IF(O$82&gt;=$E116,'Dados ME'!L$6,"")</f>
        <v/>
      </c>
      <c r="P116" s="302" t="str">
        <f>IF(P$82&gt;=$E116,'Dados ME'!M$6,"")</f>
        <v/>
      </c>
      <c r="Q116" s="302" t="str">
        <f>IF(Q$82&gt;=$E116,'Dados ME'!N$6,"")</f>
        <v/>
      </c>
      <c r="R116" s="302" t="str">
        <f>IF(R$82&gt;=$E116,'Dados ME'!O$6,"")</f>
        <v/>
      </c>
      <c r="S116" s="302" t="str">
        <f>IF(S$82&gt;=$E116,'Dados ME'!P$6,"")</f>
        <v/>
      </c>
      <c r="T116" s="302" t="str">
        <f>IF(T$82&gt;=$E116,'Dados ME'!Q$6,"")</f>
        <v/>
      </c>
      <c r="U116" s="302" t="str">
        <f>IF(U$82&gt;=$E116,'Dados ME'!R$6,"")</f>
        <v/>
      </c>
      <c r="V116" s="302" t="str">
        <f>IF(V$82&gt;=$E116,'Dados ME'!S$6,"")</f>
        <v/>
      </c>
      <c r="W116" s="302" t="str">
        <f>IF(W$82&gt;=$E116,'Dados ME'!T$6,"")</f>
        <v/>
      </c>
      <c r="X116" s="302" t="str">
        <f>IF(X$82&gt;=$E116,'Dados ME'!U$6,"")</f>
        <v/>
      </c>
      <c r="Y116" s="302" t="str">
        <f>IF(Y$82&gt;=$E116,'Dados ME'!V$6,"")</f>
        <v/>
      </c>
      <c r="Z116" s="302" t="str">
        <f>IF(Z$82&gt;=$E116,'Dados ME'!W$6,"")</f>
        <v/>
      </c>
      <c r="AA116" s="302" t="str">
        <f>IF(AA$82&gt;=$E116,'Dados ME'!X$6,"")</f>
        <v/>
      </c>
      <c r="AB116" s="302" t="str">
        <f>IF(AB$82&gt;=$E116,'Dados ME'!Y$6,"")</f>
        <v/>
      </c>
      <c r="AC116" s="302" t="str">
        <f>IF(AC$82&gt;=$E116,'Dados ME'!Z$6,"")</f>
        <v/>
      </c>
      <c r="AD116" s="302" t="str">
        <f>IF(AD$82&gt;=$E116,'Dados ME'!AA$6,"")</f>
        <v/>
      </c>
      <c r="AE116" s="302" t="str">
        <f>IF(AE$82&gt;=$E116,'Dados ME'!AB$6,"")</f>
        <v/>
      </c>
      <c r="AF116" s="302" t="str">
        <f>IF(AF$82&gt;=$E116,'Dados ME'!AC$6,"")</f>
        <v/>
      </c>
      <c r="AG116" s="302" t="str">
        <f>IF(AG$82&gt;=$E116,'Dados ME'!AD$6,"")</f>
        <v/>
      </c>
      <c r="AH116" s="302" t="str">
        <f>IF(AH$82&gt;=$E116,'Dados ME'!AE$6,"")</f>
        <v/>
      </c>
      <c r="AI116" s="302" t="str">
        <f>IF(AI$82&gt;=$E116,'Dados ME'!AF$6,"")</f>
        <v/>
      </c>
      <c r="AJ116" s="302" t="str">
        <f>IF(AJ$82&gt;=$E116,'Dados ME'!AG$6,"")</f>
        <v/>
      </c>
      <c r="AK116" s="302" t="str">
        <f>IF(AK$82&gt;=$E116,'Dados ME'!AH$6,"")</f>
        <v/>
      </c>
      <c r="AL116" s="302" t="str">
        <f>IF(AL$82&gt;=$E116,'Dados ME'!AI$6,"")</f>
        <v/>
      </c>
      <c r="AM116" s="302" t="str">
        <f>IF(AM$82&gt;=$E116,'Dados ME'!AJ$6,"")</f>
        <v/>
      </c>
      <c r="AN116" s="302" t="str">
        <f>IF(AN$82&gt;=$E116,'Dados ME'!AK$6,"")</f>
        <v/>
      </c>
      <c r="AO116" s="302">
        <f>IF(AO$82&gt;=$E116,'Dados ME'!AL$6,"")</f>
        <v>0</v>
      </c>
      <c r="AP116" s="302">
        <f>IF(AP$82&gt;=$E116,'Dados ME'!AM$6,"")</f>
        <v>0</v>
      </c>
      <c r="AQ116" s="287"/>
    </row>
    <row r="117" spans="3:43" x14ac:dyDescent="0.25">
      <c r="C117" s="1182"/>
      <c r="D117" s="285"/>
      <c r="E117" s="297">
        <f t="shared" si="93"/>
        <v>2061</v>
      </c>
      <c r="F117" s="285"/>
      <c r="G117" s="285"/>
      <c r="H117" s="298" t="str">
        <f>IF(H$82&gt;=$E117,'Dados ME'!E$6,"")</f>
        <v/>
      </c>
      <c r="I117" s="302" t="str">
        <f>IF(I$82&gt;=$E117,'Dados ME'!F$6,"")</f>
        <v/>
      </c>
      <c r="J117" s="302" t="str">
        <f>IF(J$82&gt;=$E117,'Dados ME'!G$6,"")</f>
        <v/>
      </c>
      <c r="K117" s="302" t="str">
        <f>IF(K$82&gt;=$E117,'Dados ME'!H$6,"")</f>
        <v/>
      </c>
      <c r="L117" s="302" t="str">
        <f>IF(L$82&gt;=$E117,'Dados ME'!I$6,"")</f>
        <v/>
      </c>
      <c r="M117" s="302" t="str">
        <f>IF(M$82&gt;=$E117,'Dados ME'!J$6,"")</f>
        <v/>
      </c>
      <c r="N117" s="302" t="str">
        <f>IF(N$82&gt;=$E117,'Dados ME'!K$6,"")</f>
        <v/>
      </c>
      <c r="O117" s="302" t="str">
        <f>IF(O$82&gt;=$E117,'Dados ME'!L$6,"")</f>
        <v/>
      </c>
      <c r="P117" s="302" t="str">
        <f>IF(P$82&gt;=$E117,'Dados ME'!M$6,"")</f>
        <v/>
      </c>
      <c r="Q117" s="302" t="str">
        <f>IF(Q$82&gt;=$E117,'Dados ME'!N$6,"")</f>
        <v/>
      </c>
      <c r="R117" s="302" t="str">
        <f>IF(R$82&gt;=$E117,'Dados ME'!O$6,"")</f>
        <v/>
      </c>
      <c r="S117" s="302" t="str">
        <f>IF(S$82&gt;=$E117,'Dados ME'!P$6,"")</f>
        <v/>
      </c>
      <c r="T117" s="302" t="str">
        <f>IF(T$82&gt;=$E117,'Dados ME'!Q$6,"")</f>
        <v/>
      </c>
      <c r="U117" s="302" t="str">
        <f>IF(U$82&gt;=$E117,'Dados ME'!R$6,"")</f>
        <v/>
      </c>
      <c r="V117" s="302" t="str">
        <f>IF(V$82&gt;=$E117,'Dados ME'!S$6,"")</f>
        <v/>
      </c>
      <c r="W117" s="302" t="str">
        <f>IF(W$82&gt;=$E117,'Dados ME'!T$6,"")</f>
        <v/>
      </c>
      <c r="X117" s="302" t="str">
        <f>IF(X$82&gt;=$E117,'Dados ME'!U$6,"")</f>
        <v/>
      </c>
      <c r="Y117" s="302" t="str">
        <f>IF(Y$82&gt;=$E117,'Dados ME'!V$6,"")</f>
        <v/>
      </c>
      <c r="Z117" s="302" t="str">
        <f>IF(Z$82&gt;=$E117,'Dados ME'!W$6,"")</f>
        <v/>
      </c>
      <c r="AA117" s="302" t="str">
        <f>IF(AA$82&gt;=$E117,'Dados ME'!X$6,"")</f>
        <v/>
      </c>
      <c r="AB117" s="302" t="str">
        <f>IF(AB$82&gt;=$E117,'Dados ME'!Y$6,"")</f>
        <v/>
      </c>
      <c r="AC117" s="302" t="str">
        <f>IF(AC$82&gt;=$E117,'Dados ME'!Z$6,"")</f>
        <v/>
      </c>
      <c r="AD117" s="302" t="str">
        <f>IF(AD$82&gt;=$E117,'Dados ME'!AA$6,"")</f>
        <v/>
      </c>
      <c r="AE117" s="302" t="str">
        <f>IF(AE$82&gt;=$E117,'Dados ME'!AB$6,"")</f>
        <v/>
      </c>
      <c r="AF117" s="302" t="str">
        <f>IF(AF$82&gt;=$E117,'Dados ME'!AC$6,"")</f>
        <v/>
      </c>
      <c r="AG117" s="302" t="str">
        <f>IF(AG$82&gt;=$E117,'Dados ME'!AD$6,"")</f>
        <v/>
      </c>
      <c r="AH117" s="302" t="str">
        <f>IF(AH$82&gt;=$E117,'Dados ME'!AE$6,"")</f>
        <v/>
      </c>
      <c r="AI117" s="302" t="str">
        <f>IF(AI$82&gt;=$E117,'Dados ME'!AF$6,"")</f>
        <v/>
      </c>
      <c r="AJ117" s="302" t="str">
        <f>IF(AJ$82&gt;=$E117,'Dados ME'!AG$6,"")</f>
        <v/>
      </c>
      <c r="AK117" s="302" t="str">
        <f>IF(AK$82&gt;=$E117,'Dados ME'!AH$6,"")</f>
        <v/>
      </c>
      <c r="AL117" s="302" t="str">
        <f>IF(AL$82&gt;=$E117,'Dados ME'!AI$6,"")</f>
        <v/>
      </c>
      <c r="AM117" s="302" t="str">
        <f>IF(AM$82&gt;=$E117,'Dados ME'!AJ$6,"")</f>
        <v/>
      </c>
      <c r="AN117" s="302" t="str">
        <f>IF(AN$82&gt;=$E117,'Dados ME'!AK$6,"")</f>
        <v/>
      </c>
      <c r="AO117" s="302" t="str">
        <f>IF(AO$82&gt;=$E117,'Dados ME'!AL$6,"")</f>
        <v/>
      </c>
      <c r="AP117" s="302">
        <f>IF(AP$82&gt;=$E117,'Dados ME'!AM$6,"")</f>
        <v>0</v>
      </c>
      <c r="AQ117" s="287"/>
    </row>
    <row r="118" spans="3:43" ht="15.75" thickBot="1" x14ac:dyDescent="0.3">
      <c r="C118" s="1183"/>
      <c r="D118" s="289"/>
      <c r="E118" s="289"/>
      <c r="F118" s="289"/>
      <c r="G118" s="280"/>
      <c r="H118" s="291"/>
      <c r="I118" s="291"/>
      <c r="J118" s="291"/>
      <c r="K118" s="291"/>
      <c r="L118" s="291"/>
      <c r="M118" s="291"/>
      <c r="N118" s="291"/>
      <c r="O118" s="291"/>
      <c r="P118" s="291"/>
      <c r="Q118" s="291"/>
      <c r="R118" s="291"/>
      <c r="S118" s="291"/>
      <c r="T118" s="291"/>
      <c r="U118" s="291"/>
      <c r="V118" s="291"/>
      <c r="W118" s="291"/>
      <c r="X118" s="291"/>
      <c r="Y118" s="291"/>
      <c r="Z118" s="291"/>
      <c r="AA118" s="291"/>
      <c r="AB118" s="291"/>
      <c r="AC118" s="291"/>
      <c r="AD118" s="291"/>
      <c r="AE118" s="291"/>
      <c r="AF118" s="291"/>
      <c r="AG118" s="291"/>
      <c r="AH118" s="291"/>
      <c r="AI118" s="291"/>
      <c r="AJ118" s="291"/>
      <c r="AK118" s="291"/>
      <c r="AL118" s="291"/>
      <c r="AM118" s="291"/>
      <c r="AN118" s="291"/>
      <c r="AO118" s="291"/>
      <c r="AP118" s="291"/>
      <c r="AQ118" s="281"/>
    </row>
    <row r="119" spans="3:43" x14ac:dyDescent="0.25">
      <c r="C119" s="279"/>
    </row>
    <row r="120" spans="3:43" ht="15.75" thickBot="1" x14ac:dyDescent="0.3">
      <c r="C120" s="279"/>
    </row>
    <row r="121" spans="3:43" x14ac:dyDescent="0.25">
      <c r="C121" s="1181" t="s">
        <v>382</v>
      </c>
      <c r="D121" s="277"/>
      <c r="E121" s="277"/>
      <c r="F121" s="277"/>
      <c r="G121" s="277"/>
      <c r="H121" s="277">
        <f t="shared" ref="H121:AK121" si="94">H82</f>
        <v>2027</v>
      </c>
      <c r="I121" s="277">
        <f t="shared" si="94"/>
        <v>2028</v>
      </c>
      <c r="J121" s="277">
        <f t="shared" si="94"/>
        <v>2029</v>
      </c>
      <c r="K121" s="277">
        <f t="shared" si="94"/>
        <v>2030</v>
      </c>
      <c r="L121" s="277">
        <f t="shared" si="94"/>
        <v>2031</v>
      </c>
      <c r="M121" s="277">
        <f t="shared" si="94"/>
        <v>2032</v>
      </c>
      <c r="N121" s="277">
        <f t="shared" si="94"/>
        <v>2033</v>
      </c>
      <c r="O121" s="277">
        <f t="shared" si="94"/>
        <v>2034</v>
      </c>
      <c r="P121" s="277">
        <f t="shared" si="94"/>
        <v>2035</v>
      </c>
      <c r="Q121" s="277">
        <f t="shared" si="94"/>
        <v>2036</v>
      </c>
      <c r="R121" s="277">
        <f t="shared" si="94"/>
        <v>2037</v>
      </c>
      <c r="S121" s="277">
        <f t="shared" si="94"/>
        <v>2038</v>
      </c>
      <c r="T121" s="277">
        <f t="shared" si="94"/>
        <v>2039</v>
      </c>
      <c r="U121" s="277">
        <f t="shared" si="94"/>
        <v>2040</v>
      </c>
      <c r="V121" s="277">
        <f t="shared" si="94"/>
        <v>2041</v>
      </c>
      <c r="W121" s="277">
        <f t="shared" si="94"/>
        <v>2042</v>
      </c>
      <c r="X121" s="277">
        <f t="shared" si="94"/>
        <v>2043</v>
      </c>
      <c r="Y121" s="277">
        <f t="shared" si="94"/>
        <v>2044</v>
      </c>
      <c r="Z121" s="277">
        <f t="shared" si="94"/>
        <v>2045</v>
      </c>
      <c r="AA121" s="277">
        <f t="shared" si="94"/>
        <v>2046</v>
      </c>
      <c r="AB121" s="277">
        <f t="shared" si="94"/>
        <v>2047</v>
      </c>
      <c r="AC121" s="277">
        <f t="shared" si="94"/>
        <v>2048</v>
      </c>
      <c r="AD121" s="277">
        <f t="shared" si="94"/>
        <v>2049</v>
      </c>
      <c r="AE121" s="277">
        <f t="shared" si="94"/>
        <v>2050</v>
      </c>
      <c r="AF121" s="277">
        <f t="shared" si="94"/>
        <v>2051</v>
      </c>
      <c r="AG121" s="277">
        <f t="shared" si="94"/>
        <v>2052</v>
      </c>
      <c r="AH121" s="277">
        <f t="shared" si="94"/>
        <v>2053</v>
      </c>
      <c r="AI121" s="277">
        <f t="shared" si="94"/>
        <v>2054</v>
      </c>
      <c r="AJ121" s="277">
        <f t="shared" si="94"/>
        <v>2055</v>
      </c>
      <c r="AK121" s="277">
        <f t="shared" si="94"/>
        <v>2056</v>
      </c>
      <c r="AL121" s="277">
        <f t="shared" ref="AL121:AP121" si="95">AL82</f>
        <v>2057</v>
      </c>
      <c r="AM121" s="277">
        <f t="shared" si="95"/>
        <v>2058</v>
      </c>
      <c r="AN121" s="277">
        <f t="shared" si="95"/>
        <v>2059</v>
      </c>
      <c r="AO121" s="277">
        <f t="shared" si="95"/>
        <v>2060</v>
      </c>
      <c r="AP121" s="277">
        <f t="shared" si="95"/>
        <v>2061</v>
      </c>
      <c r="AQ121" s="278"/>
    </row>
    <row r="122" spans="3:43" x14ac:dyDescent="0.25">
      <c r="C122" s="1182"/>
      <c r="D122" s="285"/>
      <c r="E122" s="297">
        <f t="shared" ref="E122:E151" si="96">E83</f>
        <v>2027</v>
      </c>
      <c r="F122" s="285"/>
      <c r="G122" s="286"/>
      <c r="H122" s="301">
        <f t="shared" ref="H122:AK122" si="97">IF(H$121=$E122,1+H83,IF(H$121&gt;$E122,G122*(1+H83),""))</f>
        <v>1</v>
      </c>
      <c r="I122" s="301">
        <f t="shared" si="97"/>
        <v>1</v>
      </c>
      <c r="J122" s="301">
        <f t="shared" si="97"/>
        <v>1</v>
      </c>
      <c r="K122" s="301">
        <f t="shared" si="97"/>
        <v>1</v>
      </c>
      <c r="L122" s="301">
        <f t="shared" si="97"/>
        <v>1</v>
      </c>
      <c r="M122" s="301">
        <f t="shared" si="97"/>
        <v>1</v>
      </c>
      <c r="N122" s="301">
        <f t="shared" si="97"/>
        <v>1</v>
      </c>
      <c r="O122" s="301">
        <f t="shared" si="97"/>
        <v>1</v>
      </c>
      <c r="P122" s="301">
        <f t="shared" si="97"/>
        <v>1</v>
      </c>
      <c r="Q122" s="301">
        <f t="shared" si="97"/>
        <v>1</v>
      </c>
      <c r="R122" s="301">
        <f t="shared" si="97"/>
        <v>1</v>
      </c>
      <c r="S122" s="301">
        <f t="shared" si="97"/>
        <v>1</v>
      </c>
      <c r="T122" s="301">
        <f t="shared" si="97"/>
        <v>1</v>
      </c>
      <c r="U122" s="301">
        <f t="shared" si="97"/>
        <v>1</v>
      </c>
      <c r="V122" s="301">
        <f t="shared" si="97"/>
        <v>1</v>
      </c>
      <c r="W122" s="301">
        <f t="shared" si="97"/>
        <v>1</v>
      </c>
      <c r="X122" s="301">
        <f t="shared" si="97"/>
        <v>1</v>
      </c>
      <c r="Y122" s="301">
        <f t="shared" si="97"/>
        <v>1</v>
      </c>
      <c r="Z122" s="301">
        <f t="shared" si="97"/>
        <v>1</v>
      </c>
      <c r="AA122" s="301">
        <f t="shared" si="97"/>
        <v>1</v>
      </c>
      <c r="AB122" s="301">
        <f t="shared" si="97"/>
        <v>1</v>
      </c>
      <c r="AC122" s="301">
        <f t="shared" si="97"/>
        <v>1</v>
      </c>
      <c r="AD122" s="301">
        <f t="shared" si="97"/>
        <v>1</v>
      </c>
      <c r="AE122" s="301">
        <f t="shared" si="97"/>
        <v>1</v>
      </c>
      <c r="AF122" s="301">
        <f t="shared" si="97"/>
        <v>1</v>
      </c>
      <c r="AG122" s="301">
        <f t="shared" si="97"/>
        <v>1</v>
      </c>
      <c r="AH122" s="301">
        <f t="shared" si="97"/>
        <v>1</v>
      </c>
      <c r="AI122" s="301">
        <f t="shared" si="97"/>
        <v>1</v>
      </c>
      <c r="AJ122" s="301">
        <f t="shared" si="97"/>
        <v>1</v>
      </c>
      <c r="AK122" s="301">
        <f t="shared" si="97"/>
        <v>1</v>
      </c>
      <c r="AL122" s="301">
        <f t="shared" ref="AL122:AL156" si="98">IF(AL$121=$E122,1+AL83,IF(AL$121&gt;$E122,AK122*(1+AL83),""))</f>
        <v>1</v>
      </c>
      <c r="AM122" s="301">
        <f t="shared" ref="AM122:AM156" si="99">IF(AM$121=$E122,1+AM83,IF(AM$121&gt;$E122,AL122*(1+AM83),""))</f>
        <v>1</v>
      </c>
      <c r="AN122" s="301">
        <f t="shared" ref="AN122:AN156" si="100">IF(AN$121=$E122,1+AN83,IF(AN$121&gt;$E122,AM122*(1+AN83),""))</f>
        <v>1</v>
      </c>
      <c r="AO122" s="301">
        <f t="shared" ref="AO122:AO156" si="101">IF(AO$121=$E122,1+AO83,IF(AO$121&gt;$E122,AN122*(1+AO83),""))</f>
        <v>1</v>
      </c>
      <c r="AP122" s="301">
        <f t="shared" ref="AP122:AP156" si="102">IF(AP$121=$E122,1+AP83,IF(AP$121&gt;$E122,AO122*(1+AP83),""))</f>
        <v>1</v>
      </c>
      <c r="AQ122" s="287"/>
    </row>
    <row r="123" spans="3:43" x14ac:dyDescent="0.25">
      <c r="C123" s="1182"/>
      <c r="D123" s="285"/>
      <c r="E123" s="297">
        <f t="shared" si="96"/>
        <v>2028</v>
      </c>
      <c r="F123" s="285"/>
      <c r="G123" s="286"/>
      <c r="H123" s="302" t="str">
        <f t="shared" ref="H123:AK123" si="103">IF(H$121=$E123,1+H84,IF(H$121&gt;$E123,G123*(1+H84),""))</f>
        <v/>
      </c>
      <c r="I123" s="302">
        <f t="shared" si="103"/>
        <v>1</v>
      </c>
      <c r="J123" s="302">
        <f t="shared" si="103"/>
        <v>1</v>
      </c>
      <c r="K123" s="302">
        <f t="shared" si="103"/>
        <v>1</v>
      </c>
      <c r="L123" s="302">
        <f t="shared" si="103"/>
        <v>1</v>
      </c>
      <c r="M123" s="302">
        <f t="shared" si="103"/>
        <v>1</v>
      </c>
      <c r="N123" s="302">
        <f t="shared" si="103"/>
        <v>1</v>
      </c>
      <c r="O123" s="302">
        <f t="shared" si="103"/>
        <v>1</v>
      </c>
      <c r="P123" s="302">
        <f t="shared" si="103"/>
        <v>1</v>
      </c>
      <c r="Q123" s="302">
        <f t="shared" si="103"/>
        <v>1</v>
      </c>
      <c r="R123" s="302">
        <f t="shared" si="103"/>
        <v>1</v>
      </c>
      <c r="S123" s="302">
        <f t="shared" si="103"/>
        <v>1</v>
      </c>
      <c r="T123" s="302">
        <f t="shared" si="103"/>
        <v>1</v>
      </c>
      <c r="U123" s="302">
        <f t="shared" si="103"/>
        <v>1</v>
      </c>
      <c r="V123" s="302">
        <f t="shared" si="103"/>
        <v>1</v>
      </c>
      <c r="W123" s="302">
        <f t="shared" si="103"/>
        <v>1</v>
      </c>
      <c r="X123" s="302">
        <f t="shared" si="103"/>
        <v>1</v>
      </c>
      <c r="Y123" s="302">
        <f t="shared" si="103"/>
        <v>1</v>
      </c>
      <c r="Z123" s="302">
        <f t="shared" si="103"/>
        <v>1</v>
      </c>
      <c r="AA123" s="302">
        <f t="shared" si="103"/>
        <v>1</v>
      </c>
      <c r="AB123" s="302">
        <f t="shared" si="103"/>
        <v>1</v>
      </c>
      <c r="AC123" s="302">
        <f t="shared" si="103"/>
        <v>1</v>
      </c>
      <c r="AD123" s="302">
        <f t="shared" si="103"/>
        <v>1</v>
      </c>
      <c r="AE123" s="302">
        <f t="shared" si="103"/>
        <v>1</v>
      </c>
      <c r="AF123" s="302">
        <f t="shared" si="103"/>
        <v>1</v>
      </c>
      <c r="AG123" s="302">
        <f t="shared" si="103"/>
        <v>1</v>
      </c>
      <c r="AH123" s="302">
        <f t="shared" si="103"/>
        <v>1</v>
      </c>
      <c r="AI123" s="302">
        <f t="shared" si="103"/>
        <v>1</v>
      </c>
      <c r="AJ123" s="302">
        <f t="shared" si="103"/>
        <v>1</v>
      </c>
      <c r="AK123" s="302">
        <f t="shared" si="103"/>
        <v>1</v>
      </c>
      <c r="AL123" s="302">
        <f t="shared" si="98"/>
        <v>1</v>
      </c>
      <c r="AM123" s="302">
        <f t="shared" si="99"/>
        <v>1</v>
      </c>
      <c r="AN123" s="302">
        <f t="shared" si="100"/>
        <v>1</v>
      </c>
      <c r="AO123" s="302">
        <f t="shared" si="101"/>
        <v>1</v>
      </c>
      <c r="AP123" s="302">
        <f t="shared" si="102"/>
        <v>1</v>
      </c>
      <c r="AQ123" s="287"/>
    </row>
    <row r="124" spans="3:43" x14ac:dyDescent="0.25">
      <c r="C124" s="1182"/>
      <c r="D124" s="285"/>
      <c r="E124" s="297">
        <f t="shared" si="96"/>
        <v>2029</v>
      </c>
      <c r="F124" s="285"/>
      <c r="G124" s="286"/>
      <c r="H124" s="302" t="str">
        <f t="shared" ref="H124:AK124" si="104">IF(H$121=$E124,1+H85,IF(H$121&gt;$E124,G124*(1+H85),""))</f>
        <v/>
      </c>
      <c r="I124" s="302" t="str">
        <f t="shared" si="104"/>
        <v/>
      </c>
      <c r="J124" s="302">
        <f t="shared" si="104"/>
        <v>1</v>
      </c>
      <c r="K124" s="302">
        <f t="shared" si="104"/>
        <v>1</v>
      </c>
      <c r="L124" s="302">
        <f t="shared" si="104"/>
        <v>1</v>
      </c>
      <c r="M124" s="302">
        <f t="shared" si="104"/>
        <v>1</v>
      </c>
      <c r="N124" s="302">
        <f t="shared" si="104"/>
        <v>1</v>
      </c>
      <c r="O124" s="302">
        <f t="shared" si="104"/>
        <v>1</v>
      </c>
      <c r="P124" s="302">
        <f t="shared" si="104"/>
        <v>1</v>
      </c>
      <c r="Q124" s="302">
        <f t="shared" si="104"/>
        <v>1</v>
      </c>
      <c r="R124" s="302">
        <f t="shared" si="104"/>
        <v>1</v>
      </c>
      <c r="S124" s="302">
        <f t="shared" si="104"/>
        <v>1</v>
      </c>
      <c r="T124" s="302">
        <f t="shared" si="104"/>
        <v>1</v>
      </c>
      <c r="U124" s="302">
        <f t="shared" si="104"/>
        <v>1</v>
      </c>
      <c r="V124" s="302">
        <f t="shared" si="104"/>
        <v>1</v>
      </c>
      <c r="W124" s="302">
        <f t="shared" si="104"/>
        <v>1</v>
      </c>
      <c r="X124" s="302">
        <f t="shared" si="104"/>
        <v>1</v>
      </c>
      <c r="Y124" s="302">
        <f t="shared" si="104"/>
        <v>1</v>
      </c>
      <c r="Z124" s="302">
        <f t="shared" si="104"/>
        <v>1</v>
      </c>
      <c r="AA124" s="302">
        <f t="shared" si="104"/>
        <v>1</v>
      </c>
      <c r="AB124" s="302">
        <f t="shared" si="104"/>
        <v>1</v>
      </c>
      <c r="AC124" s="302">
        <f t="shared" si="104"/>
        <v>1</v>
      </c>
      <c r="AD124" s="302">
        <f t="shared" si="104"/>
        <v>1</v>
      </c>
      <c r="AE124" s="302">
        <f t="shared" si="104"/>
        <v>1</v>
      </c>
      <c r="AF124" s="302">
        <f t="shared" si="104"/>
        <v>1</v>
      </c>
      <c r="AG124" s="302">
        <f t="shared" si="104"/>
        <v>1</v>
      </c>
      <c r="AH124" s="302">
        <f t="shared" si="104"/>
        <v>1</v>
      </c>
      <c r="AI124" s="302">
        <f t="shared" si="104"/>
        <v>1</v>
      </c>
      <c r="AJ124" s="302">
        <f t="shared" si="104"/>
        <v>1</v>
      </c>
      <c r="AK124" s="302">
        <f t="shared" si="104"/>
        <v>1</v>
      </c>
      <c r="AL124" s="302">
        <f t="shared" si="98"/>
        <v>1</v>
      </c>
      <c r="AM124" s="302">
        <f t="shared" si="99"/>
        <v>1</v>
      </c>
      <c r="AN124" s="302">
        <f t="shared" si="100"/>
        <v>1</v>
      </c>
      <c r="AO124" s="302">
        <f t="shared" si="101"/>
        <v>1</v>
      </c>
      <c r="AP124" s="302">
        <f t="shared" si="102"/>
        <v>1</v>
      </c>
      <c r="AQ124" s="287"/>
    </row>
    <row r="125" spans="3:43" x14ac:dyDescent="0.25">
      <c r="C125" s="1182"/>
      <c r="D125" s="285"/>
      <c r="E125" s="297">
        <f t="shared" si="96"/>
        <v>2030</v>
      </c>
      <c r="F125" s="285"/>
      <c r="G125" s="286"/>
      <c r="H125" s="302" t="str">
        <f t="shared" ref="H125:AK125" si="105">IF(H$121=$E125,1+H86,IF(H$121&gt;$E125,G125*(1+H86),""))</f>
        <v/>
      </c>
      <c r="I125" s="302" t="str">
        <f t="shared" si="105"/>
        <v/>
      </c>
      <c r="J125" s="302" t="str">
        <f t="shared" si="105"/>
        <v/>
      </c>
      <c r="K125" s="302">
        <f t="shared" si="105"/>
        <v>1</v>
      </c>
      <c r="L125" s="302">
        <f t="shared" si="105"/>
        <v>1</v>
      </c>
      <c r="M125" s="302">
        <f t="shared" si="105"/>
        <v>1</v>
      </c>
      <c r="N125" s="302">
        <f t="shared" si="105"/>
        <v>1</v>
      </c>
      <c r="O125" s="302">
        <f t="shared" si="105"/>
        <v>1</v>
      </c>
      <c r="P125" s="302">
        <f t="shared" si="105"/>
        <v>1</v>
      </c>
      <c r="Q125" s="302">
        <f t="shared" si="105"/>
        <v>1</v>
      </c>
      <c r="R125" s="302">
        <f t="shared" si="105"/>
        <v>1</v>
      </c>
      <c r="S125" s="302">
        <f t="shared" si="105"/>
        <v>1</v>
      </c>
      <c r="T125" s="302">
        <f t="shared" si="105"/>
        <v>1</v>
      </c>
      <c r="U125" s="302">
        <f t="shared" si="105"/>
        <v>1</v>
      </c>
      <c r="V125" s="302">
        <f t="shared" si="105"/>
        <v>1</v>
      </c>
      <c r="W125" s="302">
        <f t="shared" si="105"/>
        <v>1</v>
      </c>
      <c r="X125" s="302">
        <f t="shared" si="105"/>
        <v>1</v>
      </c>
      <c r="Y125" s="302">
        <f t="shared" si="105"/>
        <v>1</v>
      </c>
      <c r="Z125" s="302">
        <f t="shared" si="105"/>
        <v>1</v>
      </c>
      <c r="AA125" s="302">
        <f t="shared" si="105"/>
        <v>1</v>
      </c>
      <c r="AB125" s="302">
        <f t="shared" si="105"/>
        <v>1</v>
      </c>
      <c r="AC125" s="302">
        <f t="shared" si="105"/>
        <v>1</v>
      </c>
      <c r="AD125" s="302">
        <f t="shared" si="105"/>
        <v>1</v>
      </c>
      <c r="AE125" s="302">
        <f t="shared" si="105"/>
        <v>1</v>
      </c>
      <c r="AF125" s="302">
        <f t="shared" si="105"/>
        <v>1</v>
      </c>
      <c r="AG125" s="302">
        <f t="shared" si="105"/>
        <v>1</v>
      </c>
      <c r="AH125" s="302">
        <f t="shared" si="105"/>
        <v>1</v>
      </c>
      <c r="AI125" s="302">
        <f t="shared" si="105"/>
        <v>1</v>
      </c>
      <c r="AJ125" s="302">
        <f t="shared" si="105"/>
        <v>1</v>
      </c>
      <c r="AK125" s="302">
        <f t="shared" si="105"/>
        <v>1</v>
      </c>
      <c r="AL125" s="302">
        <f t="shared" si="98"/>
        <v>1</v>
      </c>
      <c r="AM125" s="302">
        <f t="shared" si="99"/>
        <v>1</v>
      </c>
      <c r="AN125" s="302">
        <f t="shared" si="100"/>
        <v>1</v>
      </c>
      <c r="AO125" s="302">
        <f t="shared" si="101"/>
        <v>1</v>
      </c>
      <c r="AP125" s="302">
        <f t="shared" si="102"/>
        <v>1</v>
      </c>
      <c r="AQ125" s="287"/>
    </row>
    <row r="126" spans="3:43" x14ac:dyDescent="0.25">
      <c r="C126" s="1182"/>
      <c r="D126" s="285"/>
      <c r="E126" s="297">
        <f t="shared" si="96"/>
        <v>2031</v>
      </c>
      <c r="F126" s="285"/>
      <c r="G126" s="286"/>
      <c r="H126" s="302" t="str">
        <f t="shared" ref="H126:AK126" si="106">IF(H$121=$E126,1+H87,IF(H$121&gt;$E126,G126*(1+H87),""))</f>
        <v/>
      </c>
      <c r="I126" s="302" t="str">
        <f t="shared" si="106"/>
        <v/>
      </c>
      <c r="J126" s="302" t="str">
        <f t="shared" si="106"/>
        <v/>
      </c>
      <c r="K126" s="302" t="str">
        <f t="shared" si="106"/>
        <v/>
      </c>
      <c r="L126" s="302">
        <f t="shared" si="106"/>
        <v>1</v>
      </c>
      <c r="M126" s="302">
        <f t="shared" si="106"/>
        <v>1</v>
      </c>
      <c r="N126" s="302">
        <f t="shared" si="106"/>
        <v>1</v>
      </c>
      <c r="O126" s="302">
        <f t="shared" si="106"/>
        <v>1</v>
      </c>
      <c r="P126" s="302">
        <f t="shared" si="106"/>
        <v>1</v>
      </c>
      <c r="Q126" s="302">
        <f t="shared" si="106"/>
        <v>1</v>
      </c>
      <c r="R126" s="302">
        <f t="shared" si="106"/>
        <v>1</v>
      </c>
      <c r="S126" s="302">
        <f t="shared" si="106"/>
        <v>1</v>
      </c>
      <c r="T126" s="302">
        <f t="shared" si="106"/>
        <v>1</v>
      </c>
      <c r="U126" s="302">
        <f t="shared" si="106"/>
        <v>1</v>
      </c>
      <c r="V126" s="302">
        <f t="shared" si="106"/>
        <v>1</v>
      </c>
      <c r="W126" s="302">
        <f t="shared" si="106"/>
        <v>1</v>
      </c>
      <c r="X126" s="302">
        <f t="shared" si="106"/>
        <v>1</v>
      </c>
      <c r="Y126" s="302">
        <f t="shared" si="106"/>
        <v>1</v>
      </c>
      <c r="Z126" s="302">
        <f t="shared" si="106"/>
        <v>1</v>
      </c>
      <c r="AA126" s="302">
        <f t="shared" si="106"/>
        <v>1</v>
      </c>
      <c r="AB126" s="302">
        <f t="shared" si="106"/>
        <v>1</v>
      </c>
      <c r="AC126" s="302">
        <f t="shared" si="106"/>
        <v>1</v>
      </c>
      <c r="AD126" s="302">
        <f t="shared" si="106"/>
        <v>1</v>
      </c>
      <c r="AE126" s="302">
        <f t="shared" si="106"/>
        <v>1</v>
      </c>
      <c r="AF126" s="302">
        <f t="shared" si="106"/>
        <v>1</v>
      </c>
      <c r="AG126" s="302">
        <f t="shared" si="106"/>
        <v>1</v>
      </c>
      <c r="AH126" s="302">
        <f t="shared" si="106"/>
        <v>1</v>
      </c>
      <c r="AI126" s="302">
        <f t="shared" si="106"/>
        <v>1</v>
      </c>
      <c r="AJ126" s="302">
        <f t="shared" si="106"/>
        <v>1</v>
      </c>
      <c r="AK126" s="302">
        <f t="shared" si="106"/>
        <v>1</v>
      </c>
      <c r="AL126" s="302">
        <f t="shared" si="98"/>
        <v>1</v>
      </c>
      <c r="AM126" s="302">
        <f t="shared" si="99"/>
        <v>1</v>
      </c>
      <c r="AN126" s="302">
        <f t="shared" si="100"/>
        <v>1</v>
      </c>
      <c r="AO126" s="302">
        <f t="shared" si="101"/>
        <v>1</v>
      </c>
      <c r="AP126" s="302">
        <f t="shared" si="102"/>
        <v>1</v>
      </c>
      <c r="AQ126" s="287"/>
    </row>
    <row r="127" spans="3:43" x14ac:dyDescent="0.25">
      <c r="C127" s="1182"/>
      <c r="D127" s="285"/>
      <c r="E127" s="297">
        <f t="shared" si="96"/>
        <v>2032</v>
      </c>
      <c r="F127" s="285"/>
      <c r="G127" s="286"/>
      <c r="H127" s="302" t="str">
        <f t="shared" ref="H127:AK127" si="107">IF(H$121=$E127,1+H88,IF(H$121&gt;$E127,G127*(1+H88),""))</f>
        <v/>
      </c>
      <c r="I127" s="302" t="str">
        <f t="shared" si="107"/>
        <v/>
      </c>
      <c r="J127" s="302" t="str">
        <f t="shared" si="107"/>
        <v/>
      </c>
      <c r="K127" s="302" t="str">
        <f t="shared" si="107"/>
        <v/>
      </c>
      <c r="L127" s="302" t="str">
        <f t="shared" si="107"/>
        <v/>
      </c>
      <c r="M127" s="302">
        <f t="shared" si="107"/>
        <v>1</v>
      </c>
      <c r="N127" s="302">
        <f t="shared" si="107"/>
        <v>1</v>
      </c>
      <c r="O127" s="302">
        <f t="shared" si="107"/>
        <v>1</v>
      </c>
      <c r="P127" s="302">
        <f t="shared" si="107"/>
        <v>1</v>
      </c>
      <c r="Q127" s="302">
        <f t="shared" si="107"/>
        <v>1</v>
      </c>
      <c r="R127" s="302">
        <f t="shared" si="107"/>
        <v>1</v>
      </c>
      <c r="S127" s="302">
        <f t="shared" si="107"/>
        <v>1</v>
      </c>
      <c r="T127" s="302">
        <f t="shared" si="107"/>
        <v>1</v>
      </c>
      <c r="U127" s="302">
        <f t="shared" si="107"/>
        <v>1</v>
      </c>
      <c r="V127" s="302">
        <f t="shared" si="107"/>
        <v>1</v>
      </c>
      <c r="W127" s="302">
        <f t="shared" si="107"/>
        <v>1</v>
      </c>
      <c r="X127" s="302">
        <f t="shared" si="107"/>
        <v>1</v>
      </c>
      <c r="Y127" s="302">
        <f t="shared" si="107"/>
        <v>1</v>
      </c>
      <c r="Z127" s="302">
        <f t="shared" si="107"/>
        <v>1</v>
      </c>
      <c r="AA127" s="302">
        <f t="shared" si="107"/>
        <v>1</v>
      </c>
      <c r="AB127" s="302">
        <f t="shared" si="107"/>
        <v>1</v>
      </c>
      <c r="AC127" s="302">
        <f t="shared" si="107"/>
        <v>1</v>
      </c>
      <c r="AD127" s="302">
        <f t="shared" si="107"/>
        <v>1</v>
      </c>
      <c r="AE127" s="302">
        <f t="shared" si="107"/>
        <v>1</v>
      </c>
      <c r="AF127" s="302">
        <f t="shared" si="107"/>
        <v>1</v>
      </c>
      <c r="AG127" s="302">
        <f t="shared" si="107"/>
        <v>1</v>
      </c>
      <c r="AH127" s="302">
        <f t="shared" si="107"/>
        <v>1</v>
      </c>
      <c r="AI127" s="302">
        <f t="shared" si="107"/>
        <v>1</v>
      </c>
      <c r="AJ127" s="302">
        <f t="shared" si="107"/>
        <v>1</v>
      </c>
      <c r="AK127" s="302">
        <f t="shared" si="107"/>
        <v>1</v>
      </c>
      <c r="AL127" s="302">
        <f t="shared" si="98"/>
        <v>1</v>
      </c>
      <c r="AM127" s="302">
        <f t="shared" si="99"/>
        <v>1</v>
      </c>
      <c r="AN127" s="302">
        <f t="shared" si="100"/>
        <v>1</v>
      </c>
      <c r="AO127" s="302">
        <f t="shared" si="101"/>
        <v>1</v>
      </c>
      <c r="AP127" s="302">
        <f t="shared" si="102"/>
        <v>1</v>
      </c>
      <c r="AQ127" s="287"/>
    </row>
    <row r="128" spans="3:43" x14ac:dyDescent="0.25">
      <c r="C128" s="1182"/>
      <c r="D128" s="285"/>
      <c r="E128" s="297">
        <f t="shared" si="96"/>
        <v>2033</v>
      </c>
      <c r="F128" s="285"/>
      <c r="G128" s="286"/>
      <c r="H128" s="302" t="str">
        <f t="shared" ref="H128:AK128" si="108">IF(H$121=$E128,1+H89,IF(H$121&gt;$E128,G128*(1+H89),""))</f>
        <v/>
      </c>
      <c r="I128" s="302" t="str">
        <f t="shared" si="108"/>
        <v/>
      </c>
      <c r="J128" s="302" t="str">
        <f t="shared" si="108"/>
        <v/>
      </c>
      <c r="K128" s="302" t="str">
        <f t="shared" si="108"/>
        <v/>
      </c>
      <c r="L128" s="302" t="str">
        <f t="shared" si="108"/>
        <v/>
      </c>
      <c r="M128" s="302" t="str">
        <f t="shared" si="108"/>
        <v/>
      </c>
      <c r="N128" s="302">
        <f t="shared" si="108"/>
        <v>1</v>
      </c>
      <c r="O128" s="302">
        <f t="shared" si="108"/>
        <v>1</v>
      </c>
      <c r="P128" s="302">
        <f t="shared" si="108"/>
        <v>1</v>
      </c>
      <c r="Q128" s="302">
        <f t="shared" si="108"/>
        <v>1</v>
      </c>
      <c r="R128" s="302">
        <f t="shared" si="108"/>
        <v>1</v>
      </c>
      <c r="S128" s="302">
        <f t="shared" si="108"/>
        <v>1</v>
      </c>
      <c r="T128" s="302">
        <f t="shared" si="108"/>
        <v>1</v>
      </c>
      <c r="U128" s="302">
        <f t="shared" si="108"/>
        <v>1</v>
      </c>
      <c r="V128" s="302">
        <f t="shared" si="108"/>
        <v>1</v>
      </c>
      <c r="W128" s="302">
        <f t="shared" si="108"/>
        <v>1</v>
      </c>
      <c r="X128" s="302">
        <f t="shared" si="108"/>
        <v>1</v>
      </c>
      <c r="Y128" s="302">
        <f t="shared" si="108"/>
        <v>1</v>
      </c>
      <c r="Z128" s="302">
        <f t="shared" si="108"/>
        <v>1</v>
      </c>
      <c r="AA128" s="302">
        <f t="shared" si="108"/>
        <v>1</v>
      </c>
      <c r="AB128" s="302">
        <f t="shared" si="108"/>
        <v>1</v>
      </c>
      <c r="AC128" s="302">
        <f t="shared" si="108"/>
        <v>1</v>
      </c>
      <c r="AD128" s="302">
        <f t="shared" si="108"/>
        <v>1</v>
      </c>
      <c r="AE128" s="302">
        <f t="shared" si="108"/>
        <v>1</v>
      </c>
      <c r="AF128" s="302">
        <f t="shared" si="108"/>
        <v>1</v>
      </c>
      <c r="AG128" s="302">
        <f t="shared" si="108"/>
        <v>1</v>
      </c>
      <c r="AH128" s="302">
        <f t="shared" si="108"/>
        <v>1</v>
      </c>
      <c r="AI128" s="302">
        <f t="shared" si="108"/>
        <v>1</v>
      </c>
      <c r="AJ128" s="302">
        <f t="shared" si="108"/>
        <v>1</v>
      </c>
      <c r="AK128" s="302">
        <f t="shared" si="108"/>
        <v>1</v>
      </c>
      <c r="AL128" s="302">
        <f t="shared" si="98"/>
        <v>1</v>
      </c>
      <c r="AM128" s="302">
        <f t="shared" si="99"/>
        <v>1</v>
      </c>
      <c r="AN128" s="302">
        <f t="shared" si="100"/>
        <v>1</v>
      </c>
      <c r="AO128" s="302">
        <f t="shared" si="101"/>
        <v>1</v>
      </c>
      <c r="AP128" s="302">
        <f t="shared" si="102"/>
        <v>1</v>
      </c>
      <c r="AQ128" s="287"/>
    </row>
    <row r="129" spans="3:43" x14ac:dyDescent="0.25">
      <c r="C129" s="1182"/>
      <c r="D129" s="285"/>
      <c r="E129" s="297">
        <f t="shared" si="96"/>
        <v>2034</v>
      </c>
      <c r="F129" s="285"/>
      <c r="G129" s="286"/>
      <c r="H129" s="302" t="str">
        <f t="shared" ref="H129:AK129" si="109">IF(H$121=$E129,1+H90,IF(H$121&gt;$E129,G129*(1+H90),""))</f>
        <v/>
      </c>
      <c r="I129" s="302" t="str">
        <f t="shared" si="109"/>
        <v/>
      </c>
      <c r="J129" s="302" t="str">
        <f t="shared" si="109"/>
        <v/>
      </c>
      <c r="K129" s="302" t="str">
        <f t="shared" si="109"/>
        <v/>
      </c>
      <c r="L129" s="302" t="str">
        <f t="shared" si="109"/>
        <v/>
      </c>
      <c r="M129" s="302" t="str">
        <f t="shared" si="109"/>
        <v/>
      </c>
      <c r="N129" s="302" t="str">
        <f t="shared" si="109"/>
        <v/>
      </c>
      <c r="O129" s="302">
        <f t="shared" si="109"/>
        <v>1</v>
      </c>
      <c r="P129" s="302">
        <f t="shared" si="109"/>
        <v>1</v>
      </c>
      <c r="Q129" s="302">
        <f t="shared" si="109"/>
        <v>1</v>
      </c>
      <c r="R129" s="302">
        <f t="shared" si="109"/>
        <v>1</v>
      </c>
      <c r="S129" s="302">
        <f t="shared" si="109"/>
        <v>1</v>
      </c>
      <c r="T129" s="302">
        <f t="shared" si="109"/>
        <v>1</v>
      </c>
      <c r="U129" s="302">
        <f t="shared" si="109"/>
        <v>1</v>
      </c>
      <c r="V129" s="302">
        <f t="shared" si="109"/>
        <v>1</v>
      </c>
      <c r="W129" s="302">
        <f t="shared" si="109"/>
        <v>1</v>
      </c>
      <c r="X129" s="302">
        <f t="shared" si="109"/>
        <v>1</v>
      </c>
      <c r="Y129" s="302">
        <f t="shared" si="109"/>
        <v>1</v>
      </c>
      <c r="Z129" s="302">
        <f t="shared" si="109"/>
        <v>1</v>
      </c>
      <c r="AA129" s="302">
        <f t="shared" si="109"/>
        <v>1</v>
      </c>
      <c r="AB129" s="302">
        <f t="shared" si="109"/>
        <v>1</v>
      </c>
      <c r="AC129" s="302">
        <f t="shared" si="109"/>
        <v>1</v>
      </c>
      <c r="AD129" s="302">
        <f t="shared" si="109"/>
        <v>1</v>
      </c>
      <c r="AE129" s="302">
        <f t="shared" si="109"/>
        <v>1</v>
      </c>
      <c r="AF129" s="302">
        <f t="shared" si="109"/>
        <v>1</v>
      </c>
      <c r="AG129" s="302">
        <f t="shared" si="109"/>
        <v>1</v>
      </c>
      <c r="AH129" s="302">
        <f t="shared" si="109"/>
        <v>1</v>
      </c>
      <c r="AI129" s="302">
        <f t="shared" si="109"/>
        <v>1</v>
      </c>
      <c r="AJ129" s="302">
        <f t="shared" si="109"/>
        <v>1</v>
      </c>
      <c r="AK129" s="302">
        <f t="shared" si="109"/>
        <v>1</v>
      </c>
      <c r="AL129" s="302">
        <f t="shared" si="98"/>
        <v>1</v>
      </c>
      <c r="AM129" s="302">
        <f t="shared" si="99"/>
        <v>1</v>
      </c>
      <c r="AN129" s="302">
        <f t="shared" si="100"/>
        <v>1</v>
      </c>
      <c r="AO129" s="302">
        <f t="shared" si="101"/>
        <v>1</v>
      </c>
      <c r="AP129" s="302">
        <f t="shared" si="102"/>
        <v>1</v>
      </c>
      <c r="AQ129" s="287"/>
    </row>
    <row r="130" spans="3:43" x14ac:dyDescent="0.25">
      <c r="C130" s="1182"/>
      <c r="D130" s="285"/>
      <c r="E130" s="297">
        <f t="shared" si="96"/>
        <v>2035</v>
      </c>
      <c r="F130" s="285"/>
      <c r="G130" s="286"/>
      <c r="H130" s="302" t="str">
        <f t="shared" ref="H130:AK130" si="110">IF(H$121=$E130,1+H91,IF(H$121&gt;$E130,G130*(1+H91),""))</f>
        <v/>
      </c>
      <c r="I130" s="302" t="str">
        <f t="shared" si="110"/>
        <v/>
      </c>
      <c r="J130" s="302" t="str">
        <f t="shared" si="110"/>
        <v/>
      </c>
      <c r="K130" s="302" t="str">
        <f t="shared" si="110"/>
        <v/>
      </c>
      <c r="L130" s="302" t="str">
        <f t="shared" si="110"/>
        <v/>
      </c>
      <c r="M130" s="302" t="str">
        <f t="shared" si="110"/>
        <v/>
      </c>
      <c r="N130" s="302" t="str">
        <f t="shared" si="110"/>
        <v/>
      </c>
      <c r="O130" s="302" t="str">
        <f t="shared" si="110"/>
        <v/>
      </c>
      <c r="P130" s="302">
        <f t="shared" si="110"/>
        <v>1</v>
      </c>
      <c r="Q130" s="302">
        <f t="shared" si="110"/>
        <v>1</v>
      </c>
      <c r="R130" s="302">
        <f t="shared" si="110"/>
        <v>1</v>
      </c>
      <c r="S130" s="302">
        <f t="shared" si="110"/>
        <v>1</v>
      </c>
      <c r="T130" s="302">
        <f t="shared" si="110"/>
        <v>1</v>
      </c>
      <c r="U130" s="302">
        <f t="shared" si="110"/>
        <v>1</v>
      </c>
      <c r="V130" s="302">
        <f t="shared" si="110"/>
        <v>1</v>
      </c>
      <c r="W130" s="302">
        <f t="shared" si="110"/>
        <v>1</v>
      </c>
      <c r="X130" s="302">
        <f t="shared" si="110"/>
        <v>1</v>
      </c>
      <c r="Y130" s="302">
        <f t="shared" si="110"/>
        <v>1</v>
      </c>
      <c r="Z130" s="302">
        <f t="shared" si="110"/>
        <v>1</v>
      </c>
      <c r="AA130" s="302">
        <f t="shared" si="110"/>
        <v>1</v>
      </c>
      <c r="AB130" s="302">
        <f t="shared" si="110"/>
        <v>1</v>
      </c>
      <c r="AC130" s="302">
        <f t="shared" si="110"/>
        <v>1</v>
      </c>
      <c r="AD130" s="302">
        <f t="shared" si="110"/>
        <v>1</v>
      </c>
      <c r="AE130" s="302">
        <f t="shared" si="110"/>
        <v>1</v>
      </c>
      <c r="AF130" s="302">
        <f t="shared" si="110"/>
        <v>1</v>
      </c>
      <c r="AG130" s="302">
        <f t="shared" si="110"/>
        <v>1</v>
      </c>
      <c r="AH130" s="302">
        <f t="shared" si="110"/>
        <v>1</v>
      </c>
      <c r="AI130" s="302">
        <f t="shared" si="110"/>
        <v>1</v>
      </c>
      <c r="AJ130" s="302">
        <f t="shared" si="110"/>
        <v>1</v>
      </c>
      <c r="AK130" s="302">
        <f t="shared" si="110"/>
        <v>1</v>
      </c>
      <c r="AL130" s="302">
        <f t="shared" si="98"/>
        <v>1</v>
      </c>
      <c r="AM130" s="302">
        <f t="shared" si="99"/>
        <v>1</v>
      </c>
      <c r="AN130" s="302">
        <f t="shared" si="100"/>
        <v>1</v>
      </c>
      <c r="AO130" s="302">
        <f t="shared" si="101"/>
        <v>1</v>
      </c>
      <c r="AP130" s="302">
        <f t="shared" si="102"/>
        <v>1</v>
      </c>
      <c r="AQ130" s="287"/>
    </row>
    <row r="131" spans="3:43" x14ac:dyDescent="0.25">
      <c r="C131" s="1182"/>
      <c r="D131" s="285"/>
      <c r="E131" s="297">
        <f t="shared" si="96"/>
        <v>2036</v>
      </c>
      <c r="F131" s="285"/>
      <c r="G131" s="286"/>
      <c r="H131" s="302" t="str">
        <f t="shared" ref="H131:AK131" si="111">IF(H$121=$E131,1+H92,IF(H$121&gt;$E131,G131*(1+H92),""))</f>
        <v/>
      </c>
      <c r="I131" s="302" t="str">
        <f t="shared" si="111"/>
        <v/>
      </c>
      <c r="J131" s="302" t="str">
        <f t="shared" si="111"/>
        <v/>
      </c>
      <c r="K131" s="302" t="str">
        <f t="shared" si="111"/>
        <v/>
      </c>
      <c r="L131" s="302" t="str">
        <f t="shared" si="111"/>
        <v/>
      </c>
      <c r="M131" s="302" t="str">
        <f t="shared" si="111"/>
        <v/>
      </c>
      <c r="N131" s="302" t="str">
        <f t="shared" si="111"/>
        <v/>
      </c>
      <c r="O131" s="302" t="str">
        <f t="shared" si="111"/>
        <v/>
      </c>
      <c r="P131" s="302" t="str">
        <f t="shared" si="111"/>
        <v/>
      </c>
      <c r="Q131" s="302">
        <f t="shared" si="111"/>
        <v>1</v>
      </c>
      <c r="R131" s="302">
        <f t="shared" si="111"/>
        <v>1</v>
      </c>
      <c r="S131" s="302">
        <f t="shared" si="111"/>
        <v>1</v>
      </c>
      <c r="T131" s="302">
        <f t="shared" si="111"/>
        <v>1</v>
      </c>
      <c r="U131" s="302">
        <f t="shared" si="111"/>
        <v>1</v>
      </c>
      <c r="V131" s="302">
        <f t="shared" si="111"/>
        <v>1</v>
      </c>
      <c r="W131" s="302">
        <f t="shared" si="111"/>
        <v>1</v>
      </c>
      <c r="X131" s="302">
        <f t="shared" si="111"/>
        <v>1</v>
      </c>
      <c r="Y131" s="302">
        <f t="shared" si="111"/>
        <v>1</v>
      </c>
      <c r="Z131" s="302">
        <f t="shared" si="111"/>
        <v>1</v>
      </c>
      <c r="AA131" s="302">
        <f t="shared" si="111"/>
        <v>1</v>
      </c>
      <c r="AB131" s="302">
        <f t="shared" si="111"/>
        <v>1</v>
      </c>
      <c r="AC131" s="302">
        <f t="shared" si="111"/>
        <v>1</v>
      </c>
      <c r="AD131" s="302">
        <f t="shared" si="111"/>
        <v>1</v>
      </c>
      <c r="AE131" s="302">
        <f t="shared" si="111"/>
        <v>1</v>
      </c>
      <c r="AF131" s="302">
        <f t="shared" si="111"/>
        <v>1</v>
      </c>
      <c r="AG131" s="302">
        <f t="shared" si="111"/>
        <v>1</v>
      </c>
      <c r="AH131" s="302">
        <f t="shared" si="111"/>
        <v>1</v>
      </c>
      <c r="AI131" s="302">
        <f t="shared" si="111"/>
        <v>1</v>
      </c>
      <c r="AJ131" s="302">
        <f t="shared" si="111"/>
        <v>1</v>
      </c>
      <c r="AK131" s="302">
        <f t="shared" si="111"/>
        <v>1</v>
      </c>
      <c r="AL131" s="302">
        <f t="shared" si="98"/>
        <v>1</v>
      </c>
      <c r="AM131" s="302">
        <f t="shared" si="99"/>
        <v>1</v>
      </c>
      <c r="AN131" s="302">
        <f t="shared" si="100"/>
        <v>1</v>
      </c>
      <c r="AO131" s="302">
        <f t="shared" si="101"/>
        <v>1</v>
      </c>
      <c r="AP131" s="302">
        <f t="shared" si="102"/>
        <v>1</v>
      </c>
      <c r="AQ131" s="287"/>
    </row>
    <row r="132" spans="3:43" x14ac:dyDescent="0.25">
      <c r="C132" s="1182"/>
      <c r="D132" s="285"/>
      <c r="E132" s="297">
        <f t="shared" si="96"/>
        <v>2037</v>
      </c>
      <c r="F132" s="285"/>
      <c r="G132" s="286"/>
      <c r="H132" s="302" t="str">
        <f t="shared" ref="H132:AK132" si="112">IF(H$121=$E132,1+H93,IF(H$121&gt;$E132,G132*(1+H93),""))</f>
        <v/>
      </c>
      <c r="I132" s="302" t="str">
        <f t="shared" si="112"/>
        <v/>
      </c>
      <c r="J132" s="302" t="str">
        <f t="shared" si="112"/>
        <v/>
      </c>
      <c r="K132" s="302" t="str">
        <f t="shared" si="112"/>
        <v/>
      </c>
      <c r="L132" s="302" t="str">
        <f t="shared" si="112"/>
        <v/>
      </c>
      <c r="M132" s="302" t="str">
        <f t="shared" si="112"/>
        <v/>
      </c>
      <c r="N132" s="302" t="str">
        <f t="shared" si="112"/>
        <v/>
      </c>
      <c r="O132" s="302" t="str">
        <f t="shared" si="112"/>
        <v/>
      </c>
      <c r="P132" s="302" t="str">
        <f t="shared" si="112"/>
        <v/>
      </c>
      <c r="Q132" s="302" t="str">
        <f t="shared" si="112"/>
        <v/>
      </c>
      <c r="R132" s="302">
        <f t="shared" si="112"/>
        <v>1</v>
      </c>
      <c r="S132" s="302">
        <f t="shared" si="112"/>
        <v>1</v>
      </c>
      <c r="T132" s="302">
        <f t="shared" si="112"/>
        <v>1</v>
      </c>
      <c r="U132" s="302">
        <f t="shared" si="112"/>
        <v>1</v>
      </c>
      <c r="V132" s="302">
        <f t="shared" si="112"/>
        <v>1</v>
      </c>
      <c r="W132" s="302">
        <f t="shared" si="112"/>
        <v>1</v>
      </c>
      <c r="X132" s="302">
        <f t="shared" si="112"/>
        <v>1</v>
      </c>
      <c r="Y132" s="302">
        <f t="shared" si="112"/>
        <v>1</v>
      </c>
      <c r="Z132" s="302">
        <f t="shared" si="112"/>
        <v>1</v>
      </c>
      <c r="AA132" s="302">
        <f t="shared" si="112"/>
        <v>1</v>
      </c>
      <c r="AB132" s="302">
        <f t="shared" si="112"/>
        <v>1</v>
      </c>
      <c r="AC132" s="302">
        <f t="shared" si="112"/>
        <v>1</v>
      </c>
      <c r="AD132" s="302">
        <f t="shared" si="112"/>
        <v>1</v>
      </c>
      <c r="AE132" s="302">
        <f t="shared" si="112"/>
        <v>1</v>
      </c>
      <c r="AF132" s="302">
        <f t="shared" si="112"/>
        <v>1</v>
      </c>
      <c r="AG132" s="302">
        <f t="shared" si="112"/>
        <v>1</v>
      </c>
      <c r="AH132" s="302">
        <f t="shared" si="112"/>
        <v>1</v>
      </c>
      <c r="AI132" s="302">
        <f t="shared" si="112"/>
        <v>1</v>
      </c>
      <c r="AJ132" s="302">
        <f t="shared" si="112"/>
        <v>1</v>
      </c>
      <c r="AK132" s="302">
        <f t="shared" si="112"/>
        <v>1</v>
      </c>
      <c r="AL132" s="302">
        <f t="shared" si="98"/>
        <v>1</v>
      </c>
      <c r="AM132" s="302">
        <f t="shared" si="99"/>
        <v>1</v>
      </c>
      <c r="AN132" s="302">
        <f t="shared" si="100"/>
        <v>1</v>
      </c>
      <c r="AO132" s="302">
        <f t="shared" si="101"/>
        <v>1</v>
      </c>
      <c r="AP132" s="302">
        <f t="shared" si="102"/>
        <v>1</v>
      </c>
      <c r="AQ132" s="287"/>
    </row>
    <row r="133" spans="3:43" x14ac:dyDescent="0.25">
      <c r="C133" s="1182"/>
      <c r="D133" s="285"/>
      <c r="E133" s="297">
        <f t="shared" si="96"/>
        <v>2038</v>
      </c>
      <c r="F133" s="285"/>
      <c r="G133" s="286"/>
      <c r="H133" s="302" t="str">
        <f t="shared" ref="H133:AK133" si="113">IF(H$121=$E133,1+H94,IF(H$121&gt;$E133,G133*(1+H94),""))</f>
        <v/>
      </c>
      <c r="I133" s="302" t="str">
        <f t="shared" si="113"/>
        <v/>
      </c>
      <c r="J133" s="302" t="str">
        <f t="shared" si="113"/>
        <v/>
      </c>
      <c r="K133" s="302" t="str">
        <f t="shared" si="113"/>
        <v/>
      </c>
      <c r="L133" s="302" t="str">
        <f t="shared" si="113"/>
        <v/>
      </c>
      <c r="M133" s="302" t="str">
        <f t="shared" si="113"/>
        <v/>
      </c>
      <c r="N133" s="302" t="str">
        <f t="shared" si="113"/>
        <v/>
      </c>
      <c r="O133" s="302" t="str">
        <f t="shared" si="113"/>
        <v/>
      </c>
      <c r="P133" s="302" t="str">
        <f t="shared" si="113"/>
        <v/>
      </c>
      <c r="Q133" s="302" t="str">
        <f t="shared" si="113"/>
        <v/>
      </c>
      <c r="R133" s="302" t="str">
        <f t="shared" si="113"/>
        <v/>
      </c>
      <c r="S133" s="302">
        <f t="shared" si="113"/>
        <v>1</v>
      </c>
      <c r="T133" s="302">
        <f t="shared" si="113"/>
        <v>1</v>
      </c>
      <c r="U133" s="302">
        <f t="shared" si="113"/>
        <v>1</v>
      </c>
      <c r="V133" s="302">
        <f t="shared" si="113"/>
        <v>1</v>
      </c>
      <c r="W133" s="302">
        <f t="shared" si="113"/>
        <v>1</v>
      </c>
      <c r="X133" s="302">
        <f t="shared" si="113"/>
        <v>1</v>
      </c>
      <c r="Y133" s="302">
        <f t="shared" si="113"/>
        <v>1</v>
      </c>
      <c r="Z133" s="302">
        <f t="shared" si="113"/>
        <v>1</v>
      </c>
      <c r="AA133" s="302">
        <f t="shared" si="113"/>
        <v>1</v>
      </c>
      <c r="AB133" s="302">
        <f t="shared" si="113"/>
        <v>1</v>
      </c>
      <c r="AC133" s="302">
        <f t="shared" si="113"/>
        <v>1</v>
      </c>
      <c r="AD133" s="302">
        <f t="shared" si="113"/>
        <v>1</v>
      </c>
      <c r="AE133" s="302">
        <f t="shared" si="113"/>
        <v>1</v>
      </c>
      <c r="AF133" s="302">
        <f t="shared" si="113"/>
        <v>1</v>
      </c>
      <c r="AG133" s="302">
        <f t="shared" si="113"/>
        <v>1</v>
      </c>
      <c r="AH133" s="302">
        <f t="shared" si="113"/>
        <v>1</v>
      </c>
      <c r="AI133" s="302">
        <f t="shared" si="113"/>
        <v>1</v>
      </c>
      <c r="AJ133" s="302">
        <f t="shared" si="113"/>
        <v>1</v>
      </c>
      <c r="AK133" s="302">
        <f t="shared" si="113"/>
        <v>1</v>
      </c>
      <c r="AL133" s="302">
        <f t="shared" si="98"/>
        <v>1</v>
      </c>
      <c r="AM133" s="302">
        <f t="shared" si="99"/>
        <v>1</v>
      </c>
      <c r="AN133" s="302">
        <f t="shared" si="100"/>
        <v>1</v>
      </c>
      <c r="AO133" s="302">
        <f t="shared" si="101"/>
        <v>1</v>
      </c>
      <c r="AP133" s="302">
        <f t="shared" si="102"/>
        <v>1</v>
      </c>
      <c r="AQ133" s="287"/>
    </row>
    <row r="134" spans="3:43" x14ac:dyDescent="0.25">
      <c r="C134" s="1182"/>
      <c r="D134" s="285"/>
      <c r="E134" s="297">
        <f t="shared" si="96"/>
        <v>2039</v>
      </c>
      <c r="F134" s="285"/>
      <c r="G134" s="286"/>
      <c r="H134" s="302" t="str">
        <f t="shared" ref="H134:AK134" si="114">IF(H$121=$E134,1+H95,IF(H$121&gt;$E134,G134*(1+H95),""))</f>
        <v/>
      </c>
      <c r="I134" s="302" t="str">
        <f t="shared" si="114"/>
        <v/>
      </c>
      <c r="J134" s="302" t="str">
        <f t="shared" si="114"/>
        <v/>
      </c>
      <c r="K134" s="302" t="str">
        <f t="shared" si="114"/>
        <v/>
      </c>
      <c r="L134" s="302" t="str">
        <f t="shared" si="114"/>
        <v/>
      </c>
      <c r="M134" s="302" t="str">
        <f t="shared" si="114"/>
        <v/>
      </c>
      <c r="N134" s="302" t="str">
        <f t="shared" si="114"/>
        <v/>
      </c>
      <c r="O134" s="302" t="str">
        <f t="shared" si="114"/>
        <v/>
      </c>
      <c r="P134" s="302" t="str">
        <f t="shared" si="114"/>
        <v/>
      </c>
      <c r="Q134" s="302" t="str">
        <f t="shared" si="114"/>
        <v/>
      </c>
      <c r="R134" s="302" t="str">
        <f t="shared" si="114"/>
        <v/>
      </c>
      <c r="S134" s="302" t="str">
        <f t="shared" si="114"/>
        <v/>
      </c>
      <c r="T134" s="302">
        <f t="shared" si="114"/>
        <v>1</v>
      </c>
      <c r="U134" s="302">
        <f t="shared" si="114"/>
        <v>1</v>
      </c>
      <c r="V134" s="302">
        <f t="shared" si="114"/>
        <v>1</v>
      </c>
      <c r="W134" s="302">
        <f t="shared" si="114"/>
        <v>1</v>
      </c>
      <c r="X134" s="302">
        <f t="shared" si="114"/>
        <v>1</v>
      </c>
      <c r="Y134" s="302">
        <f t="shared" si="114"/>
        <v>1</v>
      </c>
      <c r="Z134" s="302">
        <f t="shared" si="114"/>
        <v>1</v>
      </c>
      <c r="AA134" s="302">
        <f t="shared" si="114"/>
        <v>1</v>
      </c>
      <c r="AB134" s="302">
        <f t="shared" si="114"/>
        <v>1</v>
      </c>
      <c r="AC134" s="302">
        <f t="shared" si="114"/>
        <v>1</v>
      </c>
      <c r="AD134" s="302">
        <f t="shared" si="114"/>
        <v>1</v>
      </c>
      <c r="AE134" s="302">
        <f t="shared" si="114"/>
        <v>1</v>
      </c>
      <c r="AF134" s="302">
        <f t="shared" si="114"/>
        <v>1</v>
      </c>
      <c r="AG134" s="302">
        <f t="shared" si="114"/>
        <v>1</v>
      </c>
      <c r="AH134" s="302">
        <f t="shared" si="114"/>
        <v>1</v>
      </c>
      <c r="AI134" s="302">
        <f t="shared" si="114"/>
        <v>1</v>
      </c>
      <c r="AJ134" s="302">
        <f t="shared" si="114"/>
        <v>1</v>
      </c>
      <c r="AK134" s="302">
        <f t="shared" si="114"/>
        <v>1</v>
      </c>
      <c r="AL134" s="302">
        <f t="shared" si="98"/>
        <v>1</v>
      </c>
      <c r="AM134" s="302">
        <f t="shared" si="99"/>
        <v>1</v>
      </c>
      <c r="AN134" s="302">
        <f t="shared" si="100"/>
        <v>1</v>
      </c>
      <c r="AO134" s="302">
        <f t="shared" si="101"/>
        <v>1</v>
      </c>
      <c r="AP134" s="302">
        <f t="shared" si="102"/>
        <v>1</v>
      </c>
      <c r="AQ134" s="287"/>
    </row>
    <row r="135" spans="3:43" x14ac:dyDescent="0.25">
      <c r="C135" s="1182"/>
      <c r="D135" s="285"/>
      <c r="E135" s="297">
        <f t="shared" si="96"/>
        <v>2040</v>
      </c>
      <c r="F135" s="285"/>
      <c r="G135" s="286"/>
      <c r="H135" s="302" t="str">
        <f t="shared" ref="H135:AK135" si="115">IF(H$121=$E135,1+H96,IF(H$121&gt;$E135,G135*(1+H96),""))</f>
        <v/>
      </c>
      <c r="I135" s="302" t="str">
        <f t="shared" si="115"/>
        <v/>
      </c>
      <c r="J135" s="302" t="str">
        <f t="shared" si="115"/>
        <v/>
      </c>
      <c r="K135" s="302" t="str">
        <f t="shared" si="115"/>
        <v/>
      </c>
      <c r="L135" s="302" t="str">
        <f t="shared" si="115"/>
        <v/>
      </c>
      <c r="M135" s="302" t="str">
        <f t="shared" si="115"/>
        <v/>
      </c>
      <c r="N135" s="302" t="str">
        <f t="shared" si="115"/>
        <v/>
      </c>
      <c r="O135" s="302" t="str">
        <f t="shared" si="115"/>
        <v/>
      </c>
      <c r="P135" s="302" t="str">
        <f t="shared" si="115"/>
        <v/>
      </c>
      <c r="Q135" s="302" t="str">
        <f t="shared" si="115"/>
        <v/>
      </c>
      <c r="R135" s="302" t="str">
        <f t="shared" si="115"/>
        <v/>
      </c>
      <c r="S135" s="302" t="str">
        <f t="shared" si="115"/>
        <v/>
      </c>
      <c r="T135" s="302" t="str">
        <f t="shared" si="115"/>
        <v/>
      </c>
      <c r="U135" s="302">
        <f t="shared" si="115"/>
        <v>1</v>
      </c>
      <c r="V135" s="302">
        <f t="shared" si="115"/>
        <v>1</v>
      </c>
      <c r="W135" s="302">
        <f t="shared" si="115"/>
        <v>1</v>
      </c>
      <c r="X135" s="302">
        <f t="shared" si="115"/>
        <v>1</v>
      </c>
      <c r="Y135" s="302">
        <f t="shared" si="115"/>
        <v>1</v>
      </c>
      <c r="Z135" s="302">
        <f t="shared" si="115"/>
        <v>1</v>
      </c>
      <c r="AA135" s="302">
        <f t="shared" si="115"/>
        <v>1</v>
      </c>
      <c r="AB135" s="302">
        <f t="shared" si="115"/>
        <v>1</v>
      </c>
      <c r="AC135" s="302">
        <f t="shared" si="115"/>
        <v>1</v>
      </c>
      <c r="AD135" s="302">
        <f t="shared" si="115"/>
        <v>1</v>
      </c>
      <c r="AE135" s="302">
        <f t="shared" si="115"/>
        <v>1</v>
      </c>
      <c r="AF135" s="302">
        <f t="shared" si="115"/>
        <v>1</v>
      </c>
      <c r="AG135" s="302">
        <f t="shared" si="115"/>
        <v>1</v>
      </c>
      <c r="AH135" s="302">
        <f t="shared" si="115"/>
        <v>1</v>
      </c>
      <c r="AI135" s="302">
        <f t="shared" si="115"/>
        <v>1</v>
      </c>
      <c r="AJ135" s="302">
        <f t="shared" si="115"/>
        <v>1</v>
      </c>
      <c r="AK135" s="302">
        <f t="shared" si="115"/>
        <v>1</v>
      </c>
      <c r="AL135" s="302">
        <f t="shared" si="98"/>
        <v>1</v>
      </c>
      <c r="AM135" s="302">
        <f t="shared" si="99"/>
        <v>1</v>
      </c>
      <c r="AN135" s="302">
        <f t="shared" si="100"/>
        <v>1</v>
      </c>
      <c r="AO135" s="302">
        <f t="shared" si="101"/>
        <v>1</v>
      </c>
      <c r="AP135" s="302">
        <f t="shared" si="102"/>
        <v>1</v>
      </c>
      <c r="AQ135" s="287"/>
    </row>
    <row r="136" spans="3:43" x14ac:dyDescent="0.25">
      <c r="C136" s="1182"/>
      <c r="D136" s="285"/>
      <c r="E136" s="297">
        <f t="shared" si="96"/>
        <v>2041</v>
      </c>
      <c r="F136" s="285"/>
      <c r="G136" s="286"/>
      <c r="H136" s="302" t="str">
        <f t="shared" ref="H136:AK136" si="116">IF(H$121=$E136,1+H97,IF(H$121&gt;$E136,G136*(1+H97),""))</f>
        <v/>
      </c>
      <c r="I136" s="302" t="str">
        <f t="shared" si="116"/>
        <v/>
      </c>
      <c r="J136" s="302" t="str">
        <f t="shared" si="116"/>
        <v/>
      </c>
      <c r="K136" s="302" t="str">
        <f t="shared" si="116"/>
        <v/>
      </c>
      <c r="L136" s="302" t="str">
        <f t="shared" si="116"/>
        <v/>
      </c>
      <c r="M136" s="302" t="str">
        <f t="shared" si="116"/>
        <v/>
      </c>
      <c r="N136" s="302" t="str">
        <f t="shared" si="116"/>
        <v/>
      </c>
      <c r="O136" s="302" t="str">
        <f t="shared" si="116"/>
        <v/>
      </c>
      <c r="P136" s="302" t="str">
        <f t="shared" si="116"/>
        <v/>
      </c>
      <c r="Q136" s="302" t="str">
        <f t="shared" si="116"/>
        <v/>
      </c>
      <c r="R136" s="302" t="str">
        <f t="shared" si="116"/>
        <v/>
      </c>
      <c r="S136" s="302" t="str">
        <f t="shared" si="116"/>
        <v/>
      </c>
      <c r="T136" s="302" t="str">
        <f t="shared" si="116"/>
        <v/>
      </c>
      <c r="U136" s="302" t="str">
        <f t="shared" si="116"/>
        <v/>
      </c>
      <c r="V136" s="302">
        <f t="shared" si="116"/>
        <v>1</v>
      </c>
      <c r="W136" s="302">
        <f t="shared" si="116"/>
        <v>1</v>
      </c>
      <c r="X136" s="302">
        <f t="shared" si="116"/>
        <v>1</v>
      </c>
      <c r="Y136" s="302">
        <f t="shared" si="116"/>
        <v>1</v>
      </c>
      <c r="Z136" s="302">
        <f t="shared" si="116"/>
        <v>1</v>
      </c>
      <c r="AA136" s="302">
        <f t="shared" si="116"/>
        <v>1</v>
      </c>
      <c r="AB136" s="302">
        <f t="shared" si="116"/>
        <v>1</v>
      </c>
      <c r="AC136" s="302">
        <f t="shared" si="116"/>
        <v>1</v>
      </c>
      <c r="AD136" s="302">
        <f t="shared" si="116"/>
        <v>1</v>
      </c>
      <c r="AE136" s="302">
        <f t="shared" si="116"/>
        <v>1</v>
      </c>
      <c r="AF136" s="302">
        <f t="shared" si="116"/>
        <v>1</v>
      </c>
      <c r="AG136" s="302">
        <f t="shared" si="116"/>
        <v>1</v>
      </c>
      <c r="AH136" s="302">
        <f t="shared" si="116"/>
        <v>1</v>
      </c>
      <c r="AI136" s="302">
        <f t="shared" si="116"/>
        <v>1</v>
      </c>
      <c r="AJ136" s="302">
        <f t="shared" si="116"/>
        <v>1</v>
      </c>
      <c r="AK136" s="302">
        <f t="shared" si="116"/>
        <v>1</v>
      </c>
      <c r="AL136" s="302">
        <f t="shared" si="98"/>
        <v>1</v>
      </c>
      <c r="AM136" s="302">
        <f t="shared" si="99"/>
        <v>1</v>
      </c>
      <c r="AN136" s="302">
        <f t="shared" si="100"/>
        <v>1</v>
      </c>
      <c r="AO136" s="302">
        <f t="shared" si="101"/>
        <v>1</v>
      </c>
      <c r="AP136" s="302">
        <f t="shared" si="102"/>
        <v>1</v>
      </c>
      <c r="AQ136" s="287"/>
    </row>
    <row r="137" spans="3:43" x14ac:dyDescent="0.25">
      <c r="C137" s="1182"/>
      <c r="D137" s="285"/>
      <c r="E137" s="297">
        <f t="shared" si="96"/>
        <v>2042</v>
      </c>
      <c r="F137" s="285"/>
      <c r="G137" s="286"/>
      <c r="H137" s="302" t="str">
        <f t="shared" ref="H137:AK137" si="117">IF(H$121=$E137,1+H98,IF(H$121&gt;$E137,G137*(1+H98),""))</f>
        <v/>
      </c>
      <c r="I137" s="302" t="str">
        <f t="shared" si="117"/>
        <v/>
      </c>
      <c r="J137" s="302" t="str">
        <f t="shared" si="117"/>
        <v/>
      </c>
      <c r="K137" s="302" t="str">
        <f t="shared" si="117"/>
        <v/>
      </c>
      <c r="L137" s="302" t="str">
        <f t="shared" si="117"/>
        <v/>
      </c>
      <c r="M137" s="302" t="str">
        <f t="shared" si="117"/>
        <v/>
      </c>
      <c r="N137" s="302" t="str">
        <f t="shared" si="117"/>
        <v/>
      </c>
      <c r="O137" s="302" t="str">
        <f t="shared" si="117"/>
        <v/>
      </c>
      <c r="P137" s="302" t="str">
        <f t="shared" si="117"/>
        <v/>
      </c>
      <c r="Q137" s="302" t="str">
        <f t="shared" si="117"/>
        <v/>
      </c>
      <c r="R137" s="302" t="str">
        <f t="shared" si="117"/>
        <v/>
      </c>
      <c r="S137" s="302" t="str">
        <f t="shared" si="117"/>
        <v/>
      </c>
      <c r="T137" s="302" t="str">
        <f t="shared" si="117"/>
        <v/>
      </c>
      <c r="U137" s="302" t="str">
        <f t="shared" si="117"/>
        <v/>
      </c>
      <c r="V137" s="302" t="str">
        <f t="shared" si="117"/>
        <v/>
      </c>
      <c r="W137" s="302">
        <f t="shared" si="117"/>
        <v>1</v>
      </c>
      <c r="X137" s="302">
        <f t="shared" si="117"/>
        <v>1</v>
      </c>
      <c r="Y137" s="302">
        <f t="shared" si="117"/>
        <v>1</v>
      </c>
      <c r="Z137" s="302">
        <f t="shared" si="117"/>
        <v>1</v>
      </c>
      <c r="AA137" s="302">
        <f t="shared" si="117"/>
        <v>1</v>
      </c>
      <c r="AB137" s="302">
        <f t="shared" si="117"/>
        <v>1</v>
      </c>
      <c r="AC137" s="302">
        <f t="shared" si="117"/>
        <v>1</v>
      </c>
      <c r="AD137" s="302">
        <f t="shared" si="117"/>
        <v>1</v>
      </c>
      <c r="AE137" s="302">
        <f t="shared" si="117"/>
        <v>1</v>
      </c>
      <c r="AF137" s="302">
        <f t="shared" si="117"/>
        <v>1</v>
      </c>
      <c r="AG137" s="302">
        <f t="shared" si="117"/>
        <v>1</v>
      </c>
      <c r="AH137" s="302">
        <f t="shared" si="117"/>
        <v>1</v>
      </c>
      <c r="AI137" s="302">
        <f t="shared" si="117"/>
        <v>1</v>
      </c>
      <c r="AJ137" s="302">
        <f t="shared" si="117"/>
        <v>1</v>
      </c>
      <c r="AK137" s="302">
        <f t="shared" si="117"/>
        <v>1</v>
      </c>
      <c r="AL137" s="302">
        <f t="shared" si="98"/>
        <v>1</v>
      </c>
      <c r="AM137" s="302">
        <f t="shared" si="99"/>
        <v>1</v>
      </c>
      <c r="AN137" s="302">
        <f t="shared" si="100"/>
        <v>1</v>
      </c>
      <c r="AO137" s="302">
        <f t="shared" si="101"/>
        <v>1</v>
      </c>
      <c r="AP137" s="302">
        <f t="shared" si="102"/>
        <v>1</v>
      </c>
      <c r="AQ137" s="287"/>
    </row>
    <row r="138" spans="3:43" x14ac:dyDescent="0.25">
      <c r="C138" s="1182"/>
      <c r="D138" s="285"/>
      <c r="E138" s="297">
        <f t="shared" si="96"/>
        <v>2043</v>
      </c>
      <c r="F138" s="285"/>
      <c r="G138" s="286"/>
      <c r="H138" s="302" t="str">
        <f t="shared" ref="H138:AK138" si="118">IF(H$121=$E138,1+H99,IF(H$121&gt;$E138,G138*(1+H99),""))</f>
        <v/>
      </c>
      <c r="I138" s="302" t="str">
        <f t="shared" si="118"/>
        <v/>
      </c>
      <c r="J138" s="302" t="str">
        <f t="shared" si="118"/>
        <v/>
      </c>
      <c r="K138" s="302" t="str">
        <f t="shared" si="118"/>
        <v/>
      </c>
      <c r="L138" s="302" t="str">
        <f t="shared" si="118"/>
        <v/>
      </c>
      <c r="M138" s="302" t="str">
        <f t="shared" si="118"/>
        <v/>
      </c>
      <c r="N138" s="302" t="str">
        <f t="shared" si="118"/>
        <v/>
      </c>
      <c r="O138" s="302" t="str">
        <f t="shared" si="118"/>
        <v/>
      </c>
      <c r="P138" s="302" t="str">
        <f t="shared" si="118"/>
        <v/>
      </c>
      <c r="Q138" s="302" t="str">
        <f t="shared" si="118"/>
        <v/>
      </c>
      <c r="R138" s="302" t="str">
        <f t="shared" si="118"/>
        <v/>
      </c>
      <c r="S138" s="302" t="str">
        <f t="shared" si="118"/>
        <v/>
      </c>
      <c r="T138" s="302" t="str">
        <f t="shared" si="118"/>
        <v/>
      </c>
      <c r="U138" s="302" t="str">
        <f t="shared" si="118"/>
        <v/>
      </c>
      <c r="V138" s="302" t="str">
        <f t="shared" si="118"/>
        <v/>
      </c>
      <c r="W138" s="302" t="str">
        <f t="shared" si="118"/>
        <v/>
      </c>
      <c r="X138" s="302">
        <f t="shared" si="118"/>
        <v>1</v>
      </c>
      <c r="Y138" s="302">
        <f t="shared" si="118"/>
        <v>1</v>
      </c>
      <c r="Z138" s="302">
        <f t="shared" si="118"/>
        <v>1</v>
      </c>
      <c r="AA138" s="302">
        <f t="shared" si="118"/>
        <v>1</v>
      </c>
      <c r="AB138" s="302">
        <f t="shared" si="118"/>
        <v>1</v>
      </c>
      <c r="AC138" s="302">
        <f t="shared" si="118"/>
        <v>1</v>
      </c>
      <c r="AD138" s="302">
        <f t="shared" si="118"/>
        <v>1</v>
      </c>
      <c r="AE138" s="302">
        <f t="shared" si="118"/>
        <v>1</v>
      </c>
      <c r="AF138" s="302">
        <f t="shared" si="118"/>
        <v>1</v>
      </c>
      <c r="AG138" s="302">
        <f t="shared" si="118"/>
        <v>1</v>
      </c>
      <c r="AH138" s="302">
        <f t="shared" si="118"/>
        <v>1</v>
      </c>
      <c r="AI138" s="302">
        <f t="shared" si="118"/>
        <v>1</v>
      </c>
      <c r="AJ138" s="302">
        <f t="shared" si="118"/>
        <v>1</v>
      </c>
      <c r="AK138" s="302">
        <f t="shared" si="118"/>
        <v>1</v>
      </c>
      <c r="AL138" s="302">
        <f t="shared" si="98"/>
        <v>1</v>
      </c>
      <c r="AM138" s="302">
        <f t="shared" si="99"/>
        <v>1</v>
      </c>
      <c r="AN138" s="302">
        <f t="shared" si="100"/>
        <v>1</v>
      </c>
      <c r="AO138" s="302">
        <f t="shared" si="101"/>
        <v>1</v>
      </c>
      <c r="AP138" s="302">
        <f t="shared" si="102"/>
        <v>1</v>
      </c>
      <c r="AQ138" s="287"/>
    </row>
    <row r="139" spans="3:43" x14ac:dyDescent="0.25">
      <c r="C139" s="1182"/>
      <c r="D139" s="285"/>
      <c r="E139" s="297">
        <f t="shared" si="96"/>
        <v>2044</v>
      </c>
      <c r="F139" s="285"/>
      <c r="G139" s="286"/>
      <c r="H139" s="302" t="str">
        <f t="shared" ref="H139:AK139" si="119">IF(H$121=$E139,1+H100,IF(H$121&gt;$E139,G139*(1+H100),""))</f>
        <v/>
      </c>
      <c r="I139" s="302" t="str">
        <f t="shared" si="119"/>
        <v/>
      </c>
      <c r="J139" s="302" t="str">
        <f t="shared" si="119"/>
        <v/>
      </c>
      <c r="K139" s="302" t="str">
        <f t="shared" si="119"/>
        <v/>
      </c>
      <c r="L139" s="302" t="str">
        <f t="shared" si="119"/>
        <v/>
      </c>
      <c r="M139" s="302" t="str">
        <f t="shared" si="119"/>
        <v/>
      </c>
      <c r="N139" s="302" t="str">
        <f t="shared" si="119"/>
        <v/>
      </c>
      <c r="O139" s="302" t="str">
        <f t="shared" si="119"/>
        <v/>
      </c>
      <c r="P139" s="302" t="str">
        <f t="shared" si="119"/>
        <v/>
      </c>
      <c r="Q139" s="302" t="str">
        <f t="shared" si="119"/>
        <v/>
      </c>
      <c r="R139" s="302" t="str">
        <f t="shared" si="119"/>
        <v/>
      </c>
      <c r="S139" s="302" t="str">
        <f t="shared" si="119"/>
        <v/>
      </c>
      <c r="T139" s="302" t="str">
        <f t="shared" si="119"/>
        <v/>
      </c>
      <c r="U139" s="302" t="str">
        <f t="shared" si="119"/>
        <v/>
      </c>
      <c r="V139" s="302" t="str">
        <f t="shared" si="119"/>
        <v/>
      </c>
      <c r="W139" s="302" t="str">
        <f t="shared" si="119"/>
        <v/>
      </c>
      <c r="X139" s="302" t="str">
        <f t="shared" si="119"/>
        <v/>
      </c>
      <c r="Y139" s="302">
        <f t="shared" si="119"/>
        <v>1</v>
      </c>
      <c r="Z139" s="302">
        <f t="shared" si="119"/>
        <v>1</v>
      </c>
      <c r="AA139" s="302">
        <f t="shared" si="119"/>
        <v>1</v>
      </c>
      <c r="AB139" s="302">
        <f t="shared" si="119"/>
        <v>1</v>
      </c>
      <c r="AC139" s="302">
        <f t="shared" si="119"/>
        <v>1</v>
      </c>
      <c r="AD139" s="302">
        <f t="shared" si="119"/>
        <v>1</v>
      </c>
      <c r="AE139" s="302">
        <f t="shared" si="119"/>
        <v>1</v>
      </c>
      <c r="AF139" s="302">
        <f t="shared" si="119"/>
        <v>1</v>
      </c>
      <c r="AG139" s="302">
        <f t="shared" si="119"/>
        <v>1</v>
      </c>
      <c r="AH139" s="302">
        <f t="shared" si="119"/>
        <v>1</v>
      </c>
      <c r="AI139" s="302">
        <f t="shared" si="119"/>
        <v>1</v>
      </c>
      <c r="AJ139" s="302">
        <f t="shared" si="119"/>
        <v>1</v>
      </c>
      <c r="AK139" s="302">
        <f t="shared" si="119"/>
        <v>1</v>
      </c>
      <c r="AL139" s="302">
        <f t="shared" si="98"/>
        <v>1</v>
      </c>
      <c r="AM139" s="302">
        <f t="shared" si="99"/>
        <v>1</v>
      </c>
      <c r="AN139" s="302">
        <f t="shared" si="100"/>
        <v>1</v>
      </c>
      <c r="AO139" s="302">
        <f t="shared" si="101"/>
        <v>1</v>
      </c>
      <c r="AP139" s="302">
        <f t="shared" si="102"/>
        <v>1</v>
      </c>
      <c r="AQ139" s="287"/>
    </row>
    <row r="140" spans="3:43" x14ac:dyDescent="0.25">
      <c r="C140" s="1182"/>
      <c r="D140" s="285"/>
      <c r="E140" s="297">
        <f t="shared" si="96"/>
        <v>2045</v>
      </c>
      <c r="F140" s="285"/>
      <c r="G140" s="286"/>
      <c r="H140" s="302" t="str">
        <f t="shared" ref="H140:AK140" si="120">IF(H$121=$E140,1+H101,IF(H$121&gt;$E140,G140*(1+H101),""))</f>
        <v/>
      </c>
      <c r="I140" s="302" t="str">
        <f t="shared" si="120"/>
        <v/>
      </c>
      <c r="J140" s="302" t="str">
        <f t="shared" si="120"/>
        <v/>
      </c>
      <c r="K140" s="302" t="str">
        <f t="shared" si="120"/>
        <v/>
      </c>
      <c r="L140" s="302" t="str">
        <f t="shared" si="120"/>
        <v/>
      </c>
      <c r="M140" s="302" t="str">
        <f t="shared" si="120"/>
        <v/>
      </c>
      <c r="N140" s="302" t="str">
        <f t="shared" si="120"/>
        <v/>
      </c>
      <c r="O140" s="302" t="str">
        <f t="shared" si="120"/>
        <v/>
      </c>
      <c r="P140" s="302" t="str">
        <f t="shared" si="120"/>
        <v/>
      </c>
      <c r="Q140" s="302" t="str">
        <f t="shared" si="120"/>
        <v/>
      </c>
      <c r="R140" s="302" t="str">
        <f t="shared" si="120"/>
        <v/>
      </c>
      <c r="S140" s="302" t="str">
        <f t="shared" si="120"/>
        <v/>
      </c>
      <c r="T140" s="302" t="str">
        <f t="shared" si="120"/>
        <v/>
      </c>
      <c r="U140" s="302" t="str">
        <f t="shared" si="120"/>
        <v/>
      </c>
      <c r="V140" s="302" t="str">
        <f t="shared" si="120"/>
        <v/>
      </c>
      <c r="W140" s="302" t="str">
        <f t="shared" si="120"/>
        <v/>
      </c>
      <c r="X140" s="302" t="str">
        <f t="shared" si="120"/>
        <v/>
      </c>
      <c r="Y140" s="302" t="str">
        <f t="shared" si="120"/>
        <v/>
      </c>
      <c r="Z140" s="302">
        <f t="shared" si="120"/>
        <v>1</v>
      </c>
      <c r="AA140" s="302">
        <f t="shared" si="120"/>
        <v>1</v>
      </c>
      <c r="AB140" s="302">
        <f t="shared" si="120"/>
        <v>1</v>
      </c>
      <c r="AC140" s="302">
        <f t="shared" si="120"/>
        <v>1</v>
      </c>
      <c r="AD140" s="302">
        <f t="shared" si="120"/>
        <v>1</v>
      </c>
      <c r="AE140" s="302">
        <f t="shared" si="120"/>
        <v>1</v>
      </c>
      <c r="AF140" s="302">
        <f t="shared" si="120"/>
        <v>1</v>
      </c>
      <c r="AG140" s="302">
        <f t="shared" si="120"/>
        <v>1</v>
      </c>
      <c r="AH140" s="302">
        <f t="shared" si="120"/>
        <v>1</v>
      </c>
      <c r="AI140" s="302">
        <f t="shared" si="120"/>
        <v>1</v>
      </c>
      <c r="AJ140" s="302">
        <f t="shared" si="120"/>
        <v>1</v>
      </c>
      <c r="AK140" s="302">
        <f t="shared" si="120"/>
        <v>1</v>
      </c>
      <c r="AL140" s="302">
        <f t="shared" si="98"/>
        <v>1</v>
      </c>
      <c r="AM140" s="302">
        <f t="shared" si="99"/>
        <v>1</v>
      </c>
      <c r="AN140" s="302">
        <f t="shared" si="100"/>
        <v>1</v>
      </c>
      <c r="AO140" s="302">
        <f t="shared" si="101"/>
        <v>1</v>
      </c>
      <c r="AP140" s="302">
        <f t="shared" si="102"/>
        <v>1</v>
      </c>
      <c r="AQ140" s="287"/>
    </row>
    <row r="141" spans="3:43" x14ac:dyDescent="0.25">
      <c r="C141" s="1182"/>
      <c r="D141" s="285"/>
      <c r="E141" s="297">
        <f t="shared" si="96"/>
        <v>2046</v>
      </c>
      <c r="F141" s="285"/>
      <c r="G141" s="286"/>
      <c r="H141" s="302" t="str">
        <f t="shared" ref="H141:AK141" si="121">IF(H$121=$E141,1+H102,IF(H$121&gt;$E141,G141*(1+H102),""))</f>
        <v/>
      </c>
      <c r="I141" s="302" t="str">
        <f t="shared" si="121"/>
        <v/>
      </c>
      <c r="J141" s="302" t="str">
        <f t="shared" si="121"/>
        <v/>
      </c>
      <c r="K141" s="302" t="str">
        <f t="shared" si="121"/>
        <v/>
      </c>
      <c r="L141" s="302" t="str">
        <f t="shared" si="121"/>
        <v/>
      </c>
      <c r="M141" s="302" t="str">
        <f t="shared" si="121"/>
        <v/>
      </c>
      <c r="N141" s="302" t="str">
        <f t="shared" si="121"/>
        <v/>
      </c>
      <c r="O141" s="302" t="str">
        <f t="shared" si="121"/>
        <v/>
      </c>
      <c r="P141" s="302" t="str">
        <f t="shared" si="121"/>
        <v/>
      </c>
      <c r="Q141" s="302" t="str">
        <f t="shared" si="121"/>
        <v/>
      </c>
      <c r="R141" s="302" t="str">
        <f t="shared" si="121"/>
        <v/>
      </c>
      <c r="S141" s="302" t="str">
        <f t="shared" si="121"/>
        <v/>
      </c>
      <c r="T141" s="302" t="str">
        <f t="shared" si="121"/>
        <v/>
      </c>
      <c r="U141" s="302" t="str">
        <f t="shared" si="121"/>
        <v/>
      </c>
      <c r="V141" s="302" t="str">
        <f t="shared" si="121"/>
        <v/>
      </c>
      <c r="W141" s="302" t="str">
        <f t="shared" si="121"/>
        <v/>
      </c>
      <c r="X141" s="302" t="str">
        <f t="shared" si="121"/>
        <v/>
      </c>
      <c r="Y141" s="302" t="str">
        <f t="shared" si="121"/>
        <v/>
      </c>
      <c r="Z141" s="302" t="str">
        <f t="shared" si="121"/>
        <v/>
      </c>
      <c r="AA141" s="302">
        <f t="shared" si="121"/>
        <v>1</v>
      </c>
      <c r="AB141" s="302">
        <f t="shared" si="121"/>
        <v>1</v>
      </c>
      <c r="AC141" s="302">
        <f t="shared" si="121"/>
        <v>1</v>
      </c>
      <c r="AD141" s="302">
        <f t="shared" si="121"/>
        <v>1</v>
      </c>
      <c r="AE141" s="302">
        <f t="shared" si="121"/>
        <v>1</v>
      </c>
      <c r="AF141" s="302">
        <f t="shared" si="121"/>
        <v>1</v>
      </c>
      <c r="AG141" s="302">
        <f t="shared" si="121"/>
        <v>1</v>
      </c>
      <c r="AH141" s="302">
        <f t="shared" si="121"/>
        <v>1</v>
      </c>
      <c r="AI141" s="302">
        <f t="shared" si="121"/>
        <v>1</v>
      </c>
      <c r="AJ141" s="302">
        <f t="shared" si="121"/>
        <v>1</v>
      </c>
      <c r="AK141" s="302">
        <f t="shared" si="121"/>
        <v>1</v>
      </c>
      <c r="AL141" s="302">
        <f t="shared" si="98"/>
        <v>1</v>
      </c>
      <c r="AM141" s="302">
        <f t="shared" si="99"/>
        <v>1</v>
      </c>
      <c r="AN141" s="302">
        <f t="shared" si="100"/>
        <v>1</v>
      </c>
      <c r="AO141" s="302">
        <f t="shared" si="101"/>
        <v>1</v>
      </c>
      <c r="AP141" s="302">
        <f t="shared" si="102"/>
        <v>1</v>
      </c>
      <c r="AQ141" s="287"/>
    </row>
    <row r="142" spans="3:43" x14ac:dyDescent="0.25">
      <c r="C142" s="1182"/>
      <c r="D142" s="285"/>
      <c r="E142" s="297">
        <f t="shared" si="96"/>
        <v>2047</v>
      </c>
      <c r="F142" s="285"/>
      <c r="G142" s="286"/>
      <c r="H142" s="302" t="str">
        <f t="shared" ref="H142:AK142" si="122">IF(H$121=$E142,1+H103,IF(H$121&gt;$E142,G142*(1+H103),""))</f>
        <v/>
      </c>
      <c r="I142" s="302" t="str">
        <f t="shared" si="122"/>
        <v/>
      </c>
      <c r="J142" s="302" t="str">
        <f t="shared" si="122"/>
        <v/>
      </c>
      <c r="K142" s="302" t="str">
        <f t="shared" si="122"/>
        <v/>
      </c>
      <c r="L142" s="302" t="str">
        <f t="shared" si="122"/>
        <v/>
      </c>
      <c r="M142" s="302" t="str">
        <f t="shared" si="122"/>
        <v/>
      </c>
      <c r="N142" s="302" t="str">
        <f t="shared" si="122"/>
        <v/>
      </c>
      <c r="O142" s="302" t="str">
        <f t="shared" si="122"/>
        <v/>
      </c>
      <c r="P142" s="302" t="str">
        <f t="shared" si="122"/>
        <v/>
      </c>
      <c r="Q142" s="302" t="str">
        <f t="shared" si="122"/>
        <v/>
      </c>
      <c r="R142" s="302" t="str">
        <f t="shared" si="122"/>
        <v/>
      </c>
      <c r="S142" s="302" t="str">
        <f t="shared" si="122"/>
        <v/>
      </c>
      <c r="T142" s="302" t="str">
        <f t="shared" si="122"/>
        <v/>
      </c>
      <c r="U142" s="302" t="str">
        <f t="shared" si="122"/>
        <v/>
      </c>
      <c r="V142" s="302" t="str">
        <f t="shared" si="122"/>
        <v/>
      </c>
      <c r="W142" s="302" t="str">
        <f t="shared" si="122"/>
        <v/>
      </c>
      <c r="X142" s="302" t="str">
        <f t="shared" si="122"/>
        <v/>
      </c>
      <c r="Y142" s="302" t="str">
        <f t="shared" si="122"/>
        <v/>
      </c>
      <c r="Z142" s="302" t="str">
        <f t="shared" si="122"/>
        <v/>
      </c>
      <c r="AA142" s="302" t="str">
        <f t="shared" si="122"/>
        <v/>
      </c>
      <c r="AB142" s="302">
        <f t="shared" si="122"/>
        <v>1</v>
      </c>
      <c r="AC142" s="302">
        <f t="shared" si="122"/>
        <v>1</v>
      </c>
      <c r="AD142" s="302">
        <f t="shared" si="122"/>
        <v>1</v>
      </c>
      <c r="AE142" s="302">
        <f t="shared" si="122"/>
        <v>1</v>
      </c>
      <c r="AF142" s="302">
        <f t="shared" si="122"/>
        <v>1</v>
      </c>
      <c r="AG142" s="302">
        <f t="shared" si="122"/>
        <v>1</v>
      </c>
      <c r="AH142" s="302">
        <f t="shared" si="122"/>
        <v>1</v>
      </c>
      <c r="AI142" s="302">
        <f t="shared" si="122"/>
        <v>1</v>
      </c>
      <c r="AJ142" s="302">
        <f t="shared" si="122"/>
        <v>1</v>
      </c>
      <c r="AK142" s="302">
        <f t="shared" si="122"/>
        <v>1</v>
      </c>
      <c r="AL142" s="302">
        <f t="shared" si="98"/>
        <v>1</v>
      </c>
      <c r="AM142" s="302">
        <f t="shared" si="99"/>
        <v>1</v>
      </c>
      <c r="AN142" s="302">
        <f t="shared" si="100"/>
        <v>1</v>
      </c>
      <c r="AO142" s="302">
        <f t="shared" si="101"/>
        <v>1</v>
      </c>
      <c r="AP142" s="302">
        <f t="shared" si="102"/>
        <v>1</v>
      </c>
      <c r="AQ142" s="287"/>
    </row>
    <row r="143" spans="3:43" x14ac:dyDescent="0.25">
      <c r="C143" s="1182"/>
      <c r="D143" s="285"/>
      <c r="E143" s="297">
        <f t="shared" si="96"/>
        <v>2048</v>
      </c>
      <c r="F143" s="285"/>
      <c r="G143" s="286"/>
      <c r="H143" s="302" t="str">
        <f t="shared" ref="H143:AK143" si="123">IF(H$121=$E143,1+H104,IF(H$121&gt;$E143,G143*(1+H104),""))</f>
        <v/>
      </c>
      <c r="I143" s="302" t="str">
        <f t="shared" si="123"/>
        <v/>
      </c>
      <c r="J143" s="302" t="str">
        <f t="shared" si="123"/>
        <v/>
      </c>
      <c r="K143" s="302" t="str">
        <f t="shared" si="123"/>
        <v/>
      </c>
      <c r="L143" s="302" t="str">
        <f t="shared" si="123"/>
        <v/>
      </c>
      <c r="M143" s="302" t="str">
        <f t="shared" si="123"/>
        <v/>
      </c>
      <c r="N143" s="302" t="str">
        <f t="shared" si="123"/>
        <v/>
      </c>
      <c r="O143" s="302" t="str">
        <f t="shared" si="123"/>
        <v/>
      </c>
      <c r="P143" s="302" t="str">
        <f t="shared" si="123"/>
        <v/>
      </c>
      <c r="Q143" s="302" t="str">
        <f t="shared" si="123"/>
        <v/>
      </c>
      <c r="R143" s="302" t="str">
        <f t="shared" si="123"/>
        <v/>
      </c>
      <c r="S143" s="302" t="str">
        <f t="shared" si="123"/>
        <v/>
      </c>
      <c r="T143" s="302" t="str">
        <f t="shared" si="123"/>
        <v/>
      </c>
      <c r="U143" s="302" t="str">
        <f t="shared" si="123"/>
        <v/>
      </c>
      <c r="V143" s="302" t="str">
        <f t="shared" si="123"/>
        <v/>
      </c>
      <c r="W143" s="302" t="str">
        <f t="shared" si="123"/>
        <v/>
      </c>
      <c r="X143" s="302" t="str">
        <f t="shared" si="123"/>
        <v/>
      </c>
      <c r="Y143" s="302" t="str">
        <f t="shared" si="123"/>
        <v/>
      </c>
      <c r="Z143" s="302" t="str">
        <f t="shared" si="123"/>
        <v/>
      </c>
      <c r="AA143" s="302" t="str">
        <f t="shared" si="123"/>
        <v/>
      </c>
      <c r="AB143" s="302" t="str">
        <f t="shared" si="123"/>
        <v/>
      </c>
      <c r="AC143" s="302">
        <f t="shared" si="123"/>
        <v>1</v>
      </c>
      <c r="AD143" s="302">
        <f t="shared" si="123"/>
        <v>1</v>
      </c>
      <c r="AE143" s="302">
        <f t="shared" si="123"/>
        <v>1</v>
      </c>
      <c r="AF143" s="302">
        <f t="shared" si="123"/>
        <v>1</v>
      </c>
      <c r="AG143" s="302">
        <f t="shared" si="123"/>
        <v>1</v>
      </c>
      <c r="AH143" s="302">
        <f t="shared" si="123"/>
        <v>1</v>
      </c>
      <c r="AI143" s="302">
        <f t="shared" si="123"/>
        <v>1</v>
      </c>
      <c r="AJ143" s="302">
        <f t="shared" si="123"/>
        <v>1</v>
      </c>
      <c r="AK143" s="302">
        <f t="shared" si="123"/>
        <v>1</v>
      </c>
      <c r="AL143" s="302">
        <f t="shared" si="98"/>
        <v>1</v>
      </c>
      <c r="AM143" s="302">
        <f t="shared" si="99"/>
        <v>1</v>
      </c>
      <c r="AN143" s="302">
        <f t="shared" si="100"/>
        <v>1</v>
      </c>
      <c r="AO143" s="302">
        <f t="shared" si="101"/>
        <v>1</v>
      </c>
      <c r="AP143" s="302">
        <f t="shared" si="102"/>
        <v>1</v>
      </c>
      <c r="AQ143" s="287"/>
    </row>
    <row r="144" spans="3:43" x14ac:dyDescent="0.25">
      <c r="C144" s="1182"/>
      <c r="D144" s="285"/>
      <c r="E144" s="297">
        <f t="shared" si="96"/>
        <v>2049</v>
      </c>
      <c r="F144" s="285"/>
      <c r="G144" s="286"/>
      <c r="H144" s="302" t="str">
        <f t="shared" ref="H144:AK144" si="124">IF(H$121=$E144,1+H105,IF(H$121&gt;$E144,G144*(1+H105),""))</f>
        <v/>
      </c>
      <c r="I144" s="302" t="str">
        <f t="shared" si="124"/>
        <v/>
      </c>
      <c r="J144" s="302" t="str">
        <f t="shared" si="124"/>
        <v/>
      </c>
      <c r="K144" s="302" t="str">
        <f t="shared" si="124"/>
        <v/>
      </c>
      <c r="L144" s="302" t="str">
        <f t="shared" si="124"/>
        <v/>
      </c>
      <c r="M144" s="302" t="str">
        <f t="shared" si="124"/>
        <v/>
      </c>
      <c r="N144" s="302" t="str">
        <f t="shared" si="124"/>
        <v/>
      </c>
      <c r="O144" s="302" t="str">
        <f t="shared" si="124"/>
        <v/>
      </c>
      <c r="P144" s="302" t="str">
        <f t="shared" si="124"/>
        <v/>
      </c>
      <c r="Q144" s="302" t="str">
        <f t="shared" si="124"/>
        <v/>
      </c>
      <c r="R144" s="302" t="str">
        <f t="shared" si="124"/>
        <v/>
      </c>
      <c r="S144" s="302" t="str">
        <f t="shared" si="124"/>
        <v/>
      </c>
      <c r="T144" s="302" t="str">
        <f t="shared" si="124"/>
        <v/>
      </c>
      <c r="U144" s="302" t="str">
        <f t="shared" si="124"/>
        <v/>
      </c>
      <c r="V144" s="302" t="str">
        <f t="shared" si="124"/>
        <v/>
      </c>
      <c r="W144" s="302" t="str">
        <f t="shared" si="124"/>
        <v/>
      </c>
      <c r="X144" s="302" t="str">
        <f t="shared" si="124"/>
        <v/>
      </c>
      <c r="Y144" s="302" t="str">
        <f t="shared" si="124"/>
        <v/>
      </c>
      <c r="Z144" s="302" t="str">
        <f t="shared" si="124"/>
        <v/>
      </c>
      <c r="AA144" s="302" t="str">
        <f t="shared" si="124"/>
        <v/>
      </c>
      <c r="AB144" s="302" t="str">
        <f t="shared" si="124"/>
        <v/>
      </c>
      <c r="AC144" s="302" t="str">
        <f t="shared" si="124"/>
        <v/>
      </c>
      <c r="AD144" s="302">
        <f t="shared" si="124"/>
        <v>1</v>
      </c>
      <c r="AE144" s="302">
        <f t="shared" si="124"/>
        <v>1</v>
      </c>
      <c r="AF144" s="302">
        <f t="shared" si="124"/>
        <v>1</v>
      </c>
      <c r="AG144" s="302">
        <f t="shared" si="124"/>
        <v>1</v>
      </c>
      <c r="AH144" s="302">
        <f t="shared" si="124"/>
        <v>1</v>
      </c>
      <c r="AI144" s="302">
        <f t="shared" si="124"/>
        <v>1</v>
      </c>
      <c r="AJ144" s="302">
        <f t="shared" si="124"/>
        <v>1</v>
      </c>
      <c r="AK144" s="302">
        <f t="shared" si="124"/>
        <v>1</v>
      </c>
      <c r="AL144" s="302">
        <f t="shared" si="98"/>
        <v>1</v>
      </c>
      <c r="AM144" s="302">
        <f t="shared" si="99"/>
        <v>1</v>
      </c>
      <c r="AN144" s="302">
        <f t="shared" si="100"/>
        <v>1</v>
      </c>
      <c r="AO144" s="302">
        <f t="shared" si="101"/>
        <v>1</v>
      </c>
      <c r="AP144" s="302">
        <f t="shared" si="102"/>
        <v>1</v>
      </c>
      <c r="AQ144" s="287"/>
    </row>
    <row r="145" spans="3:43" x14ac:dyDescent="0.25">
      <c r="C145" s="1182"/>
      <c r="D145" s="285"/>
      <c r="E145" s="297">
        <f t="shared" si="96"/>
        <v>2050</v>
      </c>
      <c r="F145" s="285"/>
      <c r="G145" s="286"/>
      <c r="H145" s="302" t="str">
        <f t="shared" ref="H145:AK145" si="125">IF(H$121=$E145,1+H106,IF(H$121&gt;$E145,G145*(1+H106),""))</f>
        <v/>
      </c>
      <c r="I145" s="302" t="str">
        <f t="shared" si="125"/>
        <v/>
      </c>
      <c r="J145" s="302" t="str">
        <f t="shared" si="125"/>
        <v/>
      </c>
      <c r="K145" s="302" t="str">
        <f t="shared" si="125"/>
        <v/>
      </c>
      <c r="L145" s="302" t="str">
        <f t="shared" si="125"/>
        <v/>
      </c>
      <c r="M145" s="302" t="str">
        <f t="shared" si="125"/>
        <v/>
      </c>
      <c r="N145" s="302" t="str">
        <f t="shared" si="125"/>
        <v/>
      </c>
      <c r="O145" s="302" t="str">
        <f t="shared" si="125"/>
        <v/>
      </c>
      <c r="P145" s="302" t="str">
        <f t="shared" si="125"/>
        <v/>
      </c>
      <c r="Q145" s="302" t="str">
        <f t="shared" si="125"/>
        <v/>
      </c>
      <c r="R145" s="302" t="str">
        <f t="shared" si="125"/>
        <v/>
      </c>
      <c r="S145" s="302" t="str">
        <f t="shared" si="125"/>
        <v/>
      </c>
      <c r="T145" s="302" t="str">
        <f t="shared" si="125"/>
        <v/>
      </c>
      <c r="U145" s="302" t="str">
        <f t="shared" si="125"/>
        <v/>
      </c>
      <c r="V145" s="302" t="str">
        <f t="shared" si="125"/>
        <v/>
      </c>
      <c r="W145" s="302" t="str">
        <f t="shared" si="125"/>
        <v/>
      </c>
      <c r="X145" s="302" t="str">
        <f t="shared" si="125"/>
        <v/>
      </c>
      <c r="Y145" s="302" t="str">
        <f t="shared" si="125"/>
        <v/>
      </c>
      <c r="Z145" s="302" t="str">
        <f t="shared" si="125"/>
        <v/>
      </c>
      <c r="AA145" s="302" t="str">
        <f t="shared" si="125"/>
        <v/>
      </c>
      <c r="AB145" s="302" t="str">
        <f t="shared" si="125"/>
        <v/>
      </c>
      <c r="AC145" s="302" t="str">
        <f t="shared" si="125"/>
        <v/>
      </c>
      <c r="AD145" s="302" t="str">
        <f t="shared" si="125"/>
        <v/>
      </c>
      <c r="AE145" s="302">
        <f t="shared" si="125"/>
        <v>1</v>
      </c>
      <c r="AF145" s="302">
        <f t="shared" si="125"/>
        <v>1</v>
      </c>
      <c r="AG145" s="302">
        <f t="shared" si="125"/>
        <v>1</v>
      </c>
      <c r="AH145" s="302">
        <f t="shared" si="125"/>
        <v>1</v>
      </c>
      <c r="AI145" s="302">
        <f t="shared" si="125"/>
        <v>1</v>
      </c>
      <c r="AJ145" s="302">
        <f t="shared" si="125"/>
        <v>1</v>
      </c>
      <c r="AK145" s="302">
        <f t="shared" si="125"/>
        <v>1</v>
      </c>
      <c r="AL145" s="302">
        <f t="shared" si="98"/>
        <v>1</v>
      </c>
      <c r="AM145" s="302">
        <f t="shared" si="99"/>
        <v>1</v>
      </c>
      <c r="AN145" s="302">
        <f t="shared" si="100"/>
        <v>1</v>
      </c>
      <c r="AO145" s="302">
        <f t="shared" si="101"/>
        <v>1</v>
      </c>
      <c r="AP145" s="302">
        <f t="shared" si="102"/>
        <v>1</v>
      </c>
      <c r="AQ145" s="287"/>
    </row>
    <row r="146" spans="3:43" x14ac:dyDescent="0.25">
      <c r="C146" s="1182"/>
      <c r="D146" s="285"/>
      <c r="E146" s="297">
        <f t="shared" si="96"/>
        <v>2051</v>
      </c>
      <c r="F146" s="285"/>
      <c r="G146" s="286"/>
      <c r="H146" s="302" t="str">
        <f t="shared" ref="H146:AK146" si="126">IF(H$121=$E146,1+H107,IF(H$121&gt;$E146,G146*(1+H107),""))</f>
        <v/>
      </c>
      <c r="I146" s="302" t="str">
        <f t="shared" si="126"/>
        <v/>
      </c>
      <c r="J146" s="302" t="str">
        <f t="shared" si="126"/>
        <v/>
      </c>
      <c r="K146" s="302" t="str">
        <f t="shared" si="126"/>
        <v/>
      </c>
      <c r="L146" s="302" t="str">
        <f t="shared" si="126"/>
        <v/>
      </c>
      <c r="M146" s="302" t="str">
        <f t="shared" si="126"/>
        <v/>
      </c>
      <c r="N146" s="302" t="str">
        <f t="shared" si="126"/>
        <v/>
      </c>
      <c r="O146" s="302" t="str">
        <f t="shared" si="126"/>
        <v/>
      </c>
      <c r="P146" s="302" t="str">
        <f t="shared" si="126"/>
        <v/>
      </c>
      <c r="Q146" s="302" t="str">
        <f t="shared" si="126"/>
        <v/>
      </c>
      <c r="R146" s="302" t="str">
        <f t="shared" si="126"/>
        <v/>
      </c>
      <c r="S146" s="302" t="str">
        <f t="shared" si="126"/>
        <v/>
      </c>
      <c r="T146" s="302" t="str">
        <f t="shared" si="126"/>
        <v/>
      </c>
      <c r="U146" s="302" t="str">
        <f t="shared" si="126"/>
        <v/>
      </c>
      <c r="V146" s="302" t="str">
        <f t="shared" si="126"/>
        <v/>
      </c>
      <c r="W146" s="302" t="str">
        <f t="shared" si="126"/>
        <v/>
      </c>
      <c r="X146" s="302" t="str">
        <f t="shared" si="126"/>
        <v/>
      </c>
      <c r="Y146" s="302" t="str">
        <f t="shared" si="126"/>
        <v/>
      </c>
      <c r="Z146" s="302" t="str">
        <f t="shared" si="126"/>
        <v/>
      </c>
      <c r="AA146" s="302" t="str">
        <f t="shared" si="126"/>
        <v/>
      </c>
      <c r="AB146" s="302" t="str">
        <f t="shared" si="126"/>
        <v/>
      </c>
      <c r="AC146" s="302" t="str">
        <f t="shared" si="126"/>
        <v/>
      </c>
      <c r="AD146" s="302" t="str">
        <f t="shared" si="126"/>
        <v/>
      </c>
      <c r="AE146" s="302" t="str">
        <f t="shared" si="126"/>
        <v/>
      </c>
      <c r="AF146" s="302">
        <f t="shared" si="126"/>
        <v>1</v>
      </c>
      <c r="AG146" s="302">
        <f t="shared" si="126"/>
        <v>1</v>
      </c>
      <c r="AH146" s="302">
        <f t="shared" si="126"/>
        <v>1</v>
      </c>
      <c r="AI146" s="302">
        <f t="shared" si="126"/>
        <v>1</v>
      </c>
      <c r="AJ146" s="302">
        <f t="shared" si="126"/>
        <v>1</v>
      </c>
      <c r="AK146" s="302">
        <f t="shared" si="126"/>
        <v>1</v>
      </c>
      <c r="AL146" s="302">
        <f t="shared" si="98"/>
        <v>1</v>
      </c>
      <c r="AM146" s="302">
        <f t="shared" si="99"/>
        <v>1</v>
      </c>
      <c r="AN146" s="302">
        <f t="shared" si="100"/>
        <v>1</v>
      </c>
      <c r="AO146" s="302">
        <f t="shared" si="101"/>
        <v>1</v>
      </c>
      <c r="AP146" s="302">
        <f t="shared" si="102"/>
        <v>1</v>
      </c>
      <c r="AQ146" s="287"/>
    </row>
    <row r="147" spans="3:43" x14ac:dyDescent="0.25">
      <c r="C147" s="1182"/>
      <c r="D147" s="285"/>
      <c r="E147" s="297">
        <f t="shared" si="96"/>
        <v>2052</v>
      </c>
      <c r="F147" s="285"/>
      <c r="G147" s="286"/>
      <c r="H147" s="302" t="str">
        <f t="shared" ref="H147:AK147" si="127">IF(H$121=$E147,1+H108,IF(H$121&gt;$E147,G147*(1+H108),""))</f>
        <v/>
      </c>
      <c r="I147" s="302" t="str">
        <f t="shared" si="127"/>
        <v/>
      </c>
      <c r="J147" s="302" t="str">
        <f t="shared" si="127"/>
        <v/>
      </c>
      <c r="K147" s="302" t="str">
        <f t="shared" si="127"/>
        <v/>
      </c>
      <c r="L147" s="302" t="str">
        <f t="shared" si="127"/>
        <v/>
      </c>
      <c r="M147" s="302" t="str">
        <f t="shared" si="127"/>
        <v/>
      </c>
      <c r="N147" s="302" t="str">
        <f t="shared" si="127"/>
        <v/>
      </c>
      <c r="O147" s="302" t="str">
        <f t="shared" si="127"/>
        <v/>
      </c>
      <c r="P147" s="302" t="str">
        <f t="shared" si="127"/>
        <v/>
      </c>
      <c r="Q147" s="302" t="str">
        <f t="shared" si="127"/>
        <v/>
      </c>
      <c r="R147" s="302" t="str">
        <f t="shared" si="127"/>
        <v/>
      </c>
      <c r="S147" s="302" t="str">
        <f t="shared" si="127"/>
        <v/>
      </c>
      <c r="T147" s="302" t="str">
        <f t="shared" si="127"/>
        <v/>
      </c>
      <c r="U147" s="302" t="str">
        <f t="shared" si="127"/>
        <v/>
      </c>
      <c r="V147" s="302" t="str">
        <f t="shared" si="127"/>
        <v/>
      </c>
      <c r="W147" s="302" t="str">
        <f t="shared" si="127"/>
        <v/>
      </c>
      <c r="X147" s="302" t="str">
        <f t="shared" si="127"/>
        <v/>
      </c>
      <c r="Y147" s="302" t="str">
        <f t="shared" si="127"/>
        <v/>
      </c>
      <c r="Z147" s="302" t="str">
        <f t="shared" si="127"/>
        <v/>
      </c>
      <c r="AA147" s="302" t="str">
        <f t="shared" si="127"/>
        <v/>
      </c>
      <c r="AB147" s="302" t="str">
        <f t="shared" si="127"/>
        <v/>
      </c>
      <c r="AC147" s="302" t="str">
        <f t="shared" si="127"/>
        <v/>
      </c>
      <c r="AD147" s="302" t="str">
        <f t="shared" si="127"/>
        <v/>
      </c>
      <c r="AE147" s="302" t="str">
        <f t="shared" si="127"/>
        <v/>
      </c>
      <c r="AF147" s="302" t="str">
        <f t="shared" si="127"/>
        <v/>
      </c>
      <c r="AG147" s="302">
        <f t="shared" si="127"/>
        <v>1</v>
      </c>
      <c r="AH147" s="302">
        <f t="shared" si="127"/>
        <v>1</v>
      </c>
      <c r="AI147" s="302">
        <f t="shared" si="127"/>
        <v>1</v>
      </c>
      <c r="AJ147" s="302">
        <f t="shared" si="127"/>
        <v>1</v>
      </c>
      <c r="AK147" s="302">
        <f t="shared" si="127"/>
        <v>1</v>
      </c>
      <c r="AL147" s="302">
        <f t="shared" si="98"/>
        <v>1</v>
      </c>
      <c r="AM147" s="302">
        <f t="shared" si="99"/>
        <v>1</v>
      </c>
      <c r="AN147" s="302">
        <f t="shared" si="100"/>
        <v>1</v>
      </c>
      <c r="AO147" s="302">
        <f t="shared" si="101"/>
        <v>1</v>
      </c>
      <c r="AP147" s="302">
        <f t="shared" si="102"/>
        <v>1</v>
      </c>
      <c r="AQ147" s="287"/>
    </row>
    <row r="148" spans="3:43" x14ac:dyDescent="0.25">
      <c r="C148" s="1182"/>
      <c r="D148" s="285"/>
      <c r="E148" s="297">
        <f t="shared" si="96"/>
        <v>2053</v>
      </c>
      <c r="F148" s="285"/>
      <c r="G148" s="286"/>
      <c r="H148" s="302" t="str">
        <f t="shared" ref="H148:AK148" si="128">IF(H$121=$E148,1+H109,IF(H$121&gt;$E148,G148*(1+H109),""))</f>
        <v/>
      </c>
      <c r="I148" s="302" t="str">
        <f t="shared" si="128"/>
        <v/>
      </c>
      <c r="J148" s="302" t="str">
        <f t="shared" si="128"/>
        <v/>
      </c>
      <c r="K148" s="302" t="str">
        <f t="shared" si="128"/>
        <v/>
      </c>
      <c r="L148" s="302" t="str">
        <f t="shared" si="128"/>
        <v/>
      </c>
      <c r="M148" s="302" t="str">
        <f t="shared" si="128"/>
        <v/>
      </c>
      <c r="N148" s="302" t="str">
        <f t="shared" si="128"/>
        <v/>
      </c>
      <c r="O148" s="302" t="str">
        <f t="shared" si="128"/>
        <v/>
      </c>
      <c r="P148" s="302" t="str">
        <f t="shared" si="128"/>
        <v/>
      </c>
      <c r="Q148" s="302" t="str">
        <f t="shared" si="128"/>
        <v/>
      </c>
      <c r="R148" s="302" t="str">
        <f t="shared" si="128"/>
        <v/>
      </c>
      <c r="S148" s="302" t="str">
        <f t="shared" si="128"/>
        <v/>
      </c>
      <c r="T148" s="302" t="str">
        <f t="shared" si="128"/>
        <v/>
      </c>
      <c r="U148" s="302" t="str">
        <f t="shared" si="128"/>
        <v/>
      </c>
      <c r="V148" s="302" t="str">
        <f t="shared" si="128"/>
        <v/>
      </c>
      <c r="W148" s="302" t="str">
        <f t="shared" si="128"/>
        <v/>
      </c>
      <c r="X148" s="302" t="str">
        <f t="shared" si="128"/>
        <v/>
      </c>
      <c r="Y148" s="302" t="str">
        <f t="shared" si="128"/>
        <v/>
      </c>
      <c r="Z148" s="302" t="str">
        <f t="shared" si="128"/>
        <v/>
      </c>
      <c r="AA148" s="302" t="str">
        <f t="shared" si="128"/>
        <v/>
      </c>
      <c r="AB148" s="302" t="str">
        <f t="shared" si="128"/>
        <v/>
      </c>
      <c r="AC148" s="302" t="str">
        <f t="shared" si="128"/>
        <v/>
      </c>
      <c r="AD148" s="302" t="str">
        <f t="shared" si="128"/>
        <v/>
      </c>
      <c r="AE148" s="302" t="str">
        <f t="shared" si="128"/>
        <v/>
      </c>
      <c r="AF148" s="302" t="str">
        <f t="shared" si="128"/>
        <v/>
      </c>
      <c r="AG148" s="302" t="str">
        <f t="shared" si="128"/>
        <v/>
      </c>
      <c r="AH148" s="302">
        <f t="shared" si="128"/>
        <v>1</v>
      </c>
      <c r="AI148" s="302">
        <f t="shared" si="128"/>
        <v>1</v>
      </c>
      <c r="AJ148" s="302">
        <f t="shared" si="128"/>
        <v>1</v>
      </c>
      <c r="AK148" s="302">
        <f t="shared" si="128"/>
        <v>1</v>
      </c>
      <c r="AL148" s="302">
        <f t="shared" si="98"/>
        <v>1</v>
      </c>
      <c r="AM148" s="302">
        <f t="shared" si="99"/>
        <v>1</v>
      </c>
      <c r="AN148" s="302">
        <f t="shared" si="100"/>
        <v>1</v>
      </c>
      <c r="AO148" s="302">
        <f t="shared" si="101"/>
        <v>1</v>
      </c>
      <c r="AP148" s="302">
        <f t="shared" si="102"/>
        <v>1</v>
      </c>
      <c r="AQ148" s="287"/>
    </row>
    <row r="149" spans="3:43" x14ac:dyDescent="0.25">
      <c r="C149" s="1182"/>
      <c r="D149" s="285"/>
      <c r="E149" s="297">
        <f t="shared" si="96"/>
        <v>2054</v>
      </c>
      <c r="F149" s="285"/>
      <c r="G149" s="286"/>
      <c r="H149" s="302" t="str">
        <f t="shared" ref="H149:AK149" si="129">IF(H$121=$E149,1+H110,IF(H$121&gt;$E149,G149*(1+H110),""))</f>
        <v/>
      </c>
      <c r="I149" s="302" t="str">
        <f t="shared" si="129"/>
        <v/>
      </c>
      <c r="J149" s="302" t="str">
        <f t="shared" si="129"/>
        <v/>
      </c>
      <c r="K149" s="302" t="str">
        <f t="shared" si="129"/>
        <v/>
      </c>
      <c r="L149" s="302" t="str">
        <f t="shared" si="129"/>
        <v/>
      </c>
      <c r="M149" s="302" t="str">
        <f t="shared" si="129"/>
        <v/>
      </c>
      <c r="N149" s="302" t="str">
        <f t="shared" si="129"/>
        <v/>
      </c>
      <c r="O149" s="302" t="str">
        <f t="shared" si="129"/>
        <v/>
      </c>
      <c r="P149" s="302" t="str">
        <f t="shared" si="129"/>
        <v/>
      </c>
      <c r="Q149" s="302" t="str">
        <f t="shared" si="129"/>
        <v/>
      </c>
      <c r="R149" s="302" t="str">
        <f t="shared" si="129"/>
        <v/>
      </c>
      <c r="S149" s="302" t="str">
        <f t="shared" si="129"/>
        <v/>
      </c>
      <c r="T149" s="302" t="str">
        <f t="shared" si="129"/>
        <v/>
      </c>
      <c r="U149" s="302" t="str">
        <f t="shared" si="129"/>
        <v/>
      </c>
      <c r="V149" s="302" t="str">
        <f t="shared" si="129"/>
        <v/>
      </c>
      <c r="W149" s="302" t="str">
        <f t="shared" si="129"/>
        <v/>
      </c>
      <c r="X149" s="302" t="str">
        <f t="shared" si="129"/>
        <v/>
      </c>
      <c r="Y149" s="302" t="str">
        <f t="shared" si="129"/>
        <v/>
      </c>
      <c r="Z149" s="302" t="str">
        <f t="shared" si="129"/>
        <v/>
      </c>
      <c r="AA149" s="302" t="str">
        <f t="shared" si="129"/>
        <v/>
      </c>
      <c r="AB149" s="302" t="str">
        <f t="shared" si="129"/>
        <v/>
      </c>
      <c r="AC149" s="302" t="str">
        <f t="shared" si="129"/>
        <v/>
      </c>
      <c r="AD149" s="302" t="str">
        <f t="shared" si="129"/>
        <v/>
      </c>
      <c r="AE149" s="302" t="str">
        <f t="shared" si="129"/>
        <v/>
      </c>
      <c r="AF149" s="302" t="str">
        <f t="shared" si="129"/>
        <v/>
      </c>
      <c r="AG149" s="302" t="str">
        <f t="shared" si="129"/>
        <v/>
      </c>
      <c r="AH149" s="302" t="str">
        <f t="shared" si="129"/>
        <v/>
      </c>
      <c r="AI149" s="302">
        <f t="shared" si="129"/>
        <v>1</v>
      </c>
      <c r="AJ149" s="302">
        <f t="shared" si="129"/>
        <v>1</v>
      </c>
      <c r="AK149" s="302">
        <f t="shared" si="129"/>
        <v>1</v>
      </c>
      <c r="AL149" s="302">
        <f t="shared" si="98"/>
        <v>1</v>
      </c>
      <c r="AM149" s="302">
        <f t="shared" si="99"/>
        <v>1</v>
      </c>
      <c r="AN149" s="302">
        <f t="shared" si="100"/>
        <v>1</v>
      </c>
      <c r="AO149" s="302">
        <f t="shared" si="101"/>
        <v>1</v>
      </c>
      <c r="AP149" s="302">
        <f t="shared" si="102"/>
        <v>1</v>
      </c>
      <c r="AQ149" s="287"/>
    </row>
    <row r="150" spans="3:43" x14ac:dyDescent="0.25">
      <c r="C150" s="1182"/>
      <c r="D150" s="285"/>
      <c r="E150" s="297">
        <f t="shared" si="96"/>
        <v>2055</v>
      </c>
      <c r="F150" s="285"/>
      <c r="G150" s="286"/>
      <c r="H150" s="302" t="str">
        <f t="shared" ref="H150:AK152" si="130">IF(H$121=$E150,1+H111,IF(H$121&gt;$E150,G150*(1+H111),""))</f>
        <v/>
      </c>
      <c r="I150" s="302" t="str">
        <f t="shared" si="130"/>
        <v/>
      </c>
      <c r="J150" s="302" t="str">
        <f t="shared" si="130"/>
        <v/>
      </c>
      <c r="K150" s="302" t="str">
        <f t="shared" si="130"/>
        <v/>
      </c>
      <c r="L150" s="302" t="str">
        <f t="shared" si="130"/>
        <v/>
      </c>
      <c r="M150" s="302" t="str">
        <f t="shared" si="130"/>
        <v/>
      </c>
      <c r="N150" s="302" t="str">
        <f t="shared" si="130"/>
        <v/>
      </c>
      <c r="O150" s="302" t="str">
        <f t="shared" si="130"/>
        <v/>
      </c>
      <c r="P150" s="302" t="str">
        <f t="shared" si="130"/>
        <v/>
      </c>
      <c r="Q150" s="302" t="str">
        <f t="shared" si="130"/>
        <v/>
      </c>
      <c r="R150" s="302" t="str">
        <f t="shared" si="130"/>
        <v/>
      </c>
      <c r="S150" s="302" t="str">
        <f t="shared" si="130"/>
        <v/>
      </c>
      <c r="T150" s="302" t="str">
        <f t="shared" si="130"/>
        <v/>
      </c>
      <c r="U150" s="302" t="str">
        <f t="shared" si="130"/>
        <v/>
      </c>
      <c r="V150" s="302" t="str">
        <f t="shared" si="130"/>
        <v/>
      </c>
      <c r="W150" s="302" t="str">
        <f t="shared" si="130"/>
        <v/>
      </c>
      <c r="X150" s="302" t="str">
        <f t="shared" si="130"/>
        <v/>
      </c>
      <c r="Y150" s="302" t="str">
        <f t="shared" si="130"/>
        <v/>
      </c>
      <c r="Z150" s="302" t="str">
        <f t="shared" si="130"/>
        <v/>
      </c>
      <c r="AA150" s="302" t="str">
        <f t="shared" si="130"/>
        <v/>
      </c>
      <c r="AB150" s="302" t="str">
        <f t="shared" si="130"/>
        <v/>
      </c>
      <c r="AC150" s="302" t="str">
        <f t="shared" si="130"/>
        <v/>
      </c>
      <c r="AD150" s="302" t="str">
        <f t="shared" si="130"/>
        <v/>
      </c>
      <c r="AE150" s="302" t="str">
        <f t="shared" si="130"/>
        <v/>
      </c>
      <c r="AF150" s="302" t="str">
        <f t="shared" si="130"/>
        <v/>
      </c>
      <c r="AG150" s="302" t="str">
        <f t="shared" si="130"/>
        <v/>
      </c>
      <c r="AH150" s="302" t="str">
        <f t="shared" si="130"/>
        <v/>
      </c>
      <c r="AI150" s="302" t="str">
        <f t="shared" si="130"/>
        <v/>
      </c>
      <c r="AJ150" s="302">
        <f t="shared" si="130"/>
        <v>1</v>
      </c>
      <c r="AK150" s="302">
        <f t="shared" si="130"/>
        <v>1</v>
      </c>
      <c r="AL150" s="302">
        <f t="shared" si="98"/>
        <v>1</v>
      </c>
      <c r="AM150" s="302">
        <f t="shared" si="99"/>
        <v>1</v>
      </c>
      <c r="AN150" s="302">
        <f t="shared" si="100"/>
        <v>1</v>
      </c>
      <c r="AO150" s="302">
        <f t="shared" si="101"/>
        <v>1</v>
      </c>
      <c r="AP150" s="302">
        <f t="shared" si="102"/>
        <v>1</v>
      </c>
      <c r="AQ150" s="287"/>
    </row>
    <row r="151" spans="3:43" x14ac:dyDescent="0.25">
      <c r="C151" s="1182"/>
      <c r="D151" s="285"/>
      <c r="E151" s="297">
        <f t="shared" si="96"/>
        <v>2056</v>
      </c>
      <c r="F151" s="285"/>
      <c r="G151" s="286"/>
      <c r="H151" s="302" t="str">
        <f t="shared" ref="H151:H156" si="131">IF(H$121=$E151,1+H112,IF(H$121&gt;$E151,G151*(1+H112),""))</f>
        <v/>
      </c>
      <c r="I151" s="302" t="str">
        <f t="shared" si="130"/>
        <v/>
      </c>
      <c r="J151" s="302" t="str">
        <f t="shared" si="130"/>
        <v/>
      </c>
      <c r="K151" s="302" t="str">
        <f t="shared" si="130"/>
        <v/>
      </c>
      <c r="L151" s="302" t="str">
        <f t="shared" si="130"/>
        <v/>
      </c>
      <c r="M151" s="302" t="str">
        <f t="shared" si="130"/>
        <v/>
      </c>
      <c r="N151" s="302" t="str">
        <f t="shared" si="130"/>
        <v/>
      </c>
      <c r="O151" s="302" t="str">
        <f t="shared" si="130"/>
        <v/>
      </c>
      <c r="P151" s="302" t="str">
        <f t="shared" si="130"/>
        <v/>
      </c>
      <c r="Q151" s="302" t="str">
        <f t="shared" si="130"/>
        <v/>
      </c>
      <c r="R151" s="302" t="str">
        <f t="shared" si="130"/>
        <v/>
      </c>
      <c r="S151" s="302" t="str">
        <f t="shared" si="130"/>
        <v/>
      </c>
      <c r="T151" s="302" t="str">
        <f t="shared" si="130"/>
        <v/>
      </c>
      <c r="U151" s="302" t="str">
        <f t="shared" si="130"/>
        <v/>
      </c>
      <c r="V151" s="302" t="str">
        <f t="shared" si="130"/>
        <v/>
      </c>
      <c r="W151" s="302" t="str">
        <f t="shared" si="130"/>
        <v/>
      </c>
      <c r="X151" s="302" t="str">
        <f t="shared" si="130"/>
        <v/>
      </c>
      <c r="Y151" s="302" t="str">
        <f t="shared" si="130"/>
        <v/>
      </c>
      <c r="Z151" s="302" t="str">
        <f t="shared" si="130"/>
        <v/>
      </c>
      <c r="AA151" s="302" t="str">
        <f t="shared" si="130"/>
        <v/>
      </c>
      <c r="AB151" s="302" t="str">
        <f t="shared" si="130"/>
        <v/>
      </c>
      <c r="AC151" s="302" t="str">
        <f t="shared" si="130"/>
        <v/>
      </c>
      <c r="AD151" s="302" t="str">
        <f t="shared" si="130"/>
        <v/>
      </c>
      <c r="AE151" s="302" t="str">
        <f t="shared" si="130"/>
        <v/>
      </c>
      <c r="AF151" s="302" t="str">
        <f t="shared" si="130"/>
        <v/>
      </c>
      <c r="AG151" s="302" t="str">
        <f t="shared" si="130"/>
        <v/>
      </c>
      <c r="AH151" s="302" t="str">
        <f t="shared" si="130"/>
        <v/>
      </c>
      <c r="AI151" s="302" t="str">
        <f t="shared" si="130"/>
        <v/>
      </c>
      <c r="AJ151" s="302" t="str">
        <f t="shared" si="130"/>
        <v/>
      </c>
      <c r="AK151" s="302">
        <f t="shared" si="130"/>
        <v>1</v>
      </c>
      <c r="AL151" s="302">
        <f t="shared" si="98"/>
        <v>1</v>
      </c>
      <c r="AM151" s="302">
        <f t="shared" si="99"/>
        <v>1</v>
      </c>
      <c r="AN151" s="302">
        <f t="shared" si="100"/>
        <v>1</v>
      </c>
      <c r="AO151" s="302">
        <f t="shared" si="101"/>
        <v>1</v>
      </c>
      <c r="AP151" s="302">
        <f t="shared" si="102"/>
        <v>1</v>
      </c>
      <c r="AQ151" s="287"/>
    </row>
    <row r="152" spans="3:43" x14ac:dyDescent="0.25">
      <c r="C152" s="1182"/>
      <c r="D152" s="285"/>
      <c r="E152" s="297">
        <f t="shared" ref="E152:E156" si="132">E113</f>
        <v>2057</v>
      </c>
      <c r="F152" s="285"/>
      <c r="G152" s="286"/>
      <c r="H152" s="302" t="str">
        <f t="shared" si="131"/>
        <v/>
      </c>
      <c r="I152" s="302" t="str">
        <f t="shared" si="130"/>
        <v/>
      </c>
      <c r="J152" s="302" t="str">
        <f t="shared" si="130"/>
        <v/>
      </c>
      <c r="K152" s="302" t="str">
        <f t="shared" si="130"/>
        <v/>
      </c>
      <c r="L152" s="302" t="str">
        <f t="shared" si="130"/>
        <v/>
      </c>
      <c r="M152" s="302" t="str">
        <f t="shared" si="130"/>
        <v/>
      </c>
      <c r="N152" s="302" t="str">
        <f t="shared" si="130"/>
        <v/>
      </c>
      <c r="O152" s="302" t="str">
        <f t="shared" si="130"/>
        <v/>
      </c>
      <c r="P152" s="302" t="str">
        <f t="shared" si="130"/>
        <v/>
      </c>
      <c r="Q152" s="302" t="str">
        <f t="shared" si="130"/>
        <v/>
      </c>
      <c r="R152" s="302" t="str">
        <f t="shared" si="130"/>
        <v/>
      </c>
      <c r="S152" s="302" t="str">
        <f t="shared" si="130"/>
        <v/>
      </c>
      <c r="T152" s="302" t="str">
        <f t="shared" si="130"/>
        <v/>
      </c>
      <c r="U152" s="302" t="str">
        <f t="shared" si="130"/>
        <v/>
      </c>
      <c r="V152" s="302" t="str">
        <f t="shared" si="130"/>
        <v/>
      </c>
      <c r="W152" s="302" t="str">
        <f t="shared" si="130"/>
        <v/>
      </c>
      <c r="X152" s="302" t="str">
        <f t="shared" si="130"/>
        <v/>
      </c>
      <c r="Y152" s="302" t="str">
        <f t="shared" si="130"/>
        <v/>
      </c>
      <c r="Z152" s="302" t="str">
        <f t="shared" si="130"/>
        <v/>
      </c>
      <c r="AA152" s="302" t="str">
        <f t="shared" si="130"/>
        <v/>
      </c>
      <c r="AB152" s="302" t="str">
        <f t="shared" si="130"/>
        <v/>
      </c>
      <c r="AC152" s="302" t="str">
        <f t="shared" si="130"/>
        <v/>
      </c>
      <c r="AD152" s="302" t="str">
        <f t="shared" si="130"/>
        <v/>
      </c>
      <c r="AE152" s="302" t="str">
        <f t="shared" ref="AE152:AE156" si="133">IF(AE$121=$E152,1+AE113,IF(AE$121&gt;$E152,AD152*(1+AE113),""))</f>
        <v/>
      </c>
      <c r="AF152" s="302" t="str">
        <f t="shared" ref="AF152:AF156" si="134">IF(AF$121=$E152,1+AF113,IF(AF$121&gt;$E152,AE152*(1+AF113),""))</f>
        <v/>
      </c>
      <c r="AG152" s="302" t="str">
        <f t="shared" ref="AG152:AG156" si="135">IF(AG$121=$E152,1+AG113,IF(AG$121&gt;$E152,AF152*(1+AG113),""))</f>
        <v/>
      </c>
      <c r="AH152" s="302" t="str">
        <f t="shared" ref="AH152:AH156" si="136">IF(AH$121=$E152,1+AH113,IF(AH$121&gt;$E152,AG152*(1+AH113),""))</f>
        <v/>
      </c>
      <c r="AI152" s="302" t="str">
        <f t="shared" ref="AI152:AI156" si="137">IF(AI$121=$E152,1+AI113,IF(AI$121&gt;$E152,AH152*(1+AI113),""))</f>
        <v/>
      </c>
      <c r="AJ152" s="302" t="str">
        <f t="shared" ref="AJ152:AJ156" si="138">IF(AJ$121=$E152,1+AJ113,IF(AJ$121&gt;$E152,AI152*(1+AJ113),""))</f>
        <v/>
      </c>
      <c r="AK152" s="302" t="str">
        <f t="shared" ref="AK152:AK156" si="139">IF(AK$121=$E152,1+AK113,IF(AK$121&gt;$E152,AJ152*(1+AK113),""))</f>
        <v/>
      </c>
      <c r="AL152" s="302">
        <f t="shared" si="98"/>
        <v>1</v>
      </c>
      <c r="AM152" s="302">
        <f t="shared" si="99"/>
        <v>1</v>
      </c>
      <c r="AN152" s="302">
        <f t="shared" si="100"/>
        <v>1</v>
      </c>
      <c r="AO152" s="302">
        <f t="shared" si="101"/>
        <v>1</v>
      </c>
      <c r="AP152" s="302">
        <f t="shared" si="102"/>
        <v>1</v>
      </c>
      <c r="AQ152" s="287"/>
    </row>
    <row r="153" spans="3:43" x14ac:dyDescent="0.25">
      <c r="C153" s="1182"/>
      <c r="D153" s="285"/>
      <c r="E153" s="297">
        <f t="shared" si="132"/>
        <v>2058</v>
      </c>
      <c r="F153" s="285"/>
      <c r="G153" s="286"/>
      <c r="H153" s="302" t="str">
        <f t="shared" si="131"/>
        <v/>
      </c>
      <c r="I153" s="302" t="str">
        <f t="shared" ref="I153:I156" si="140">IF(I$121=$E153,1+I114,IF(I$121&gt;$E153,H153*(1+I114),""))</f>
        <v/>
      </c>
      <c r="J153" s="302" t="str">
        <f t="shared" ref="J153:J156" si="141">IF(J$121=$E153,1+J114,IF(J$121&gt;$E153,I153*(1+J114),""))</f>
        <v/>
      </c>
      <c r="K153" s="302" t="str">
        <f t="shared" ref="K153:K156" si="142">IF(K$121=$E153,1+K114,IF(K$121&gt;$E153,J153*(1+K114),""))</f>
        <v/>
      </c>
      <c r="L153" s="302" t="str">
        <f t="shared" ref="L153:L156" si="143">IF(L$121=$E153,1+L114,IF(L$121&gt;$E153,K153*(1+L114),""))</f>
        <v/>
      </c>
      <c r="M153" s="302" t="str">
        <f t="shared" ref="M153:M156" si="144">IF(M$121=$E153,1+M114,IF(M$121&gt;$E153,L153*(1+M114),""))</f>
        <v/>
      </c>
      <c r="N153" s="302" t="str">
        <f t="shared" ref="N153:N156" si="145">IF(N$121=$E153,1+N114,IF(N$121&gt;$E153,M153*(1+N114),""))</f>
        <v/>
      </c>
      <c r="O153" s="302" t="str">
        <f t="shared" ref="O153:O156" si="146">IF(O$121=$E153,1+O114,IF(O$121&gt;$E153,N153*(1+O114),""))</f>
        <v/>
      </c>
      <c r="P153" s="302" t="str">
        <f t="shared" ref="P153:P156" si="147">IF(P$121=$E153,1+P114,IF(P$121&gt;$E153,O153*(1+P114),""))</f>
        <v/>
      </c>
      <c r="Q153" s="302" t="str">
        <f t="shared" ref="Q153:Q156" si="148">IF(Q$121=$E153,1+Q114,IF(Q$121&gt;$E153,P153*(1+Q114),""))</f>
        <v/>
      </c>
      <c r="R153" s="302" t="str">
        <f t="shared" ref="R153:R156" si="149">IF(R$121=$E153,1+R114,IF(R$121&gt;$E153,Q153*(1+R114),""))</f>
        <v/>
      </c>
      <c r="S153" s="302" t="str">
        <f t="shared" ref="S153:S156" si="150">IF(S$121=$E153,1+S114,IF(S$121&gt;$E153,R153*(1+S114),""))</f>
        <v/>
      </c>
      <c r="T153" s="302" t="str">
        <f t="shared" ref="T153:T156" si="151">IF(T$121=$E153,1+T114,IF(T$121&gt;$E153,S153*(1+T114),""))</f>
        <v/>
      </c>
      <c r="U153" s="302" t="str">
        <f t="shared" ref="U153:U156" si="152">IF(U$121=$E153,1+U114,IF(U$121&gt;$E153,T153*(1+U114),""))</f>
        <v/>
      </c>
      <c r="V153" s="302" t="str">
        <f t="shared" ref="V153:V156" si="153">IF(V$121=$E153,1+V114,IF(V$121&gt;$E153,U153*(1+V114),""))</f>
        <v/>
      </c>
      <c r="W153" s="302" t="str">
        <f t="shared" ref="W153:W156" si="154">IF(W$121=$E153,1+W114,IF(W$121&gt;$E153,V153*(1+W114),""))</f>
        <v/>
      </c>
      <c r="X153" s="302" t="str">
        <f t="shared" ref="X153:X156" si="155">IF(X$121=$E153,1+X114,IF(X$121&gt;$E153,W153*(1+X114),""))</f>
        <v/>
      </c>
      <c r="Y153" s="302" t="str">
        <f t="shared" ref="Y153:Y156" si="156">IF(Y$121=$E153,1+Y114,IF(Y$121&gt;$E153,X153*(1+Y114),""))</f>
        <v/>
      </c>
      <c r="Z153" s="302" t="str">
        <f t="shared" ref="Z153:Z156" si="157">IF(Z$121=$E153,1+Z114,IF(Z$121&gt;$E153,Y153*(1+Z114),""))</f>
        <v/>
      </c>
      <c r="AA153" s="302" t="str">
        <f t="shared" ref="AA153:AA156" si="158">IF(AA$121=$E153,1+AA114,IF(AA$121&gt;$E153,Z153*(1+AA114),""))</f>
        <v/>
      </c>
      <c r="AB153" s="302" t="str">
        <f t="shared" ref="AB153:AB156" si="159">IF(AB$121=$E153,1+AB114,IF(AB$121&gt;$E153,AA153*(1+AB114),""))</f>
        <v/>
      </c>
      <c r="AC153" s="302" t="str">
        <f t="shared" ref="AC153:AC156" si="160">IF(AC$121=$E153,1+AC114,IF(AC$121&gt;$E153,AB153*(1+AC114),""))</f>
        <v/>
      </c>
      <c r="AD153" s="302" t="str">
        <f t="shared" ref="AD153:AD156" si="161">IF(AD$121=$E153,1+AD114,IF(AD$121&gt;$E153,AC153*(1+AD114),""))</f>
        <v/>
      </c>
      <c r="AE153" s="302" t="str">
        <f t="shared" si="133"/>
        <v/>
      </c>
      <c r="AF153" s="302" t="str">
        <f t="shared" si="134"/>
        <v/>
      </c>
      <c r="AG153" s="302" t="str">
        <f t="shared" si="135"/>
        <v/>
      </c>
      <c r="AH153" s="302" t="str">
        <f t="shared" si="136"/>
        <v/>
      </c>
      <c r="AI153" s="302" t="str">
        <f t="shared" si="137"/>
        <v/>
      </c>
      <c r="AJ153" s="302" t="str">
        <f t="shared" si="138"/>
        <v/>
      </c>
      <c r="AK153" s="302" t="str">
        <f t="shared" si="139"/>
        <v/>
      </c>
      <c r="AL153" s="302" t="str">
        <f t="shared" si="98"/>
        <v/>
      </c>
      <c r="AM153" s="302">
        <f t="shared" si="99"/>
        <v>1</v>
      </c>
      <c r="AN153" s="302">
        <f t="shared" si="100"/>
        <v>1</v>
      </c>
      <c r="AO153" s="302">
        <f t="shared" si="101"/>
        <v>1</v>
      </c>
      <c r="AP153" s="302">
        <f t="shared" si="102"/>
        <v>1</v>
      </c>
      <c r="AQ153" s="287"/>
    </row>
    <row r="154" spans="3:43" x14ac:dyDescent="0.25">
      <c r="C154" s="1182"/>
      <c r="D154" s="285"/>
      <c r="E154" s="297">
        <f t="shared" si="132"/>
        <v>2059</v>
      </c>
      <c r="F154" s="285"/>
      <c r="G154" s="286"/>
      <c r="H154" s="302" t="str">
        <f t="shared" si="131"/>
        <v/>
      </c>
      <c r="I154" s="302" t="str">
        <f t="shared" si="140"/>
        <v/>
      </c>
      <c r="J154" s="302" t="str">
        <f t="shared" si="141"/>
        <v/>
      </c>
      <c r="K154" s="302" t="str">
        <f t="shared" si="142"/>
        <v/>
      </c>
      <c r="L154" s="302" t="str">
        <f t="shared" si="143"/>
        <v/>
      </c>
      <c r="M154" s="302" t="str">
        <f t="shared" si="144"/>
        <v/>
      </c>
      <c r="N154" s="302" t="str">
        <f t="shared" si="145"/>
        <v/>
      </c>
      <c r="O154" s="302" t="str">
        <f t="shared" si="146"/>
        <v/>
      </c>
      <c r="P154" s="302" t="str">
        <f t="shared" si="147"/>
        <v/>
      </c>
      <c r="Q154" s="302" t="str">
        <f t="shared" si="148"/>
        <v/>
      </c>
      <c r="R154" s="302" t="str">
        <f t="shared" si="149"/>
        <v/>
      </c>
      <c r="S154" s="302" t="str">
        <f t="shared" si="150"/>
        <v/>
      </c>
      <c r="T154" s="302" t="str">
        <f t="shared" si="151"/>
        <v/>
      </c>
      <c r="U154" s="302" t="str">
        <f t="shared" si="152"/>
        <v/>
      </c>
      <c r="V154" s="302" t="str">
        <f t="shared" si="153"/>
        <v/>
      </c>
      <c r="W154" s="302" t="str">
        <f t="shared" si="154"/>
        <v/>
      </c>
      <c r="X154" s="302" t="str">
        <f t="shared" si="155"/>
        <v/>
      </c>
      <c r="Y154" s="302" t="str">
        <f t="shared" si="156"/>
        <v/>
      </c>
      <c r="Z154" s="302" t="str">
        <f t="shared" si="157"/>
        <v/>
      </c>
      <c r="AA154" s="302" t="str">
        <f t="shared" si="158"/>
        <v/>
      </c>
      <c r="AB154" s="302" t="str">
        <f t="shared" si="159"/>
        <v/>
      </c>
      <c r="AC154" s="302" t="str">
        <f t="shared" si="160"/>
        <v/>
      </c>
      <c r="AD154" s="302" t="str">
        <f t="shared" si="161"/>
        <v/>
      </c>
      <c r="AE154" s="302" t="str">
        <f t="shared" si="133"/>
        <v/>
      </c>
      <c r="AF154" s="302" t="str">
        <f t="shared" si="134"/>
        <v/>
      </c>
      <c r="AG154" s="302" t="str">
        <f t="shared" si="135"/>
        <v/>
      </c>
      <c r="AH154" s="302" t="str">
        <f t="shared" si="136"/>
        <v/>
      </c>
      <c r="AI154" s="302" t="str">
        <f t="shared" si="137"/>
        <v/>
      </c>
      <c r="AJ154" s="302" t="str">
        <f t="shared" si="138"/>
        <v/>
      </c>
      <c r="AK154" s="302" t="str">
        <f t="shared" si="139"/>
        <v/>
      </c>
      <c r="AL154" s="302" t="str">
        <f t="shared" si="98"/>
        <v/>
      </c>
      <c r="AM154" s="302" t="str">
        <f t="shared" si="99"/>
        <v/>
      </c>
      <c r="AN154" s="302">
        <f t="shared" si="100"/>
        <v>1</v>
      </c>
      <c r="AO154" s="302">
        <f t="shared" si="101"/>
        <v>1</v>
      </c>
      <c r="AP154" s="302">
        <f t="shared" si="102"/>
        <v>1</v>
      </c>
      <c r="AQ154" s="287"/>
    </row>
    <row r="155" spans="3:43" x14ac:dyDescent="0.25">
      <c r="C155" s="1182"/>
      <c r="D155" s="285"/>
      <c r="E155" s="297">
        <f t="shared" si="132"/>
        <v>2060</v>
      </c>
      <c r="F155" s="285"/>
      <c r="G155" s="286"/>
      <c r="H155" s="302" t="str">
        <f t="shared" si="131"/>
        <v/>
      </c>
      <c r="I155" s="302" t="str">
        <f t="shared" si="140"/>
        <v/>
      </c>
      <c r="J155" s="302" t="str">
        <f t="shared" si="141"/>
        <v/>
      </c>
      <c r="K155" s="302" t="str">
        <f t="shared" si="142"/>
        <v/>
      </c>
      <c r="L155" s="302" t="str">
        <f t="shared" si="143"/>
        <v/>
      </c>
      <c r="M155" s="302" t="str">
        <f t="shared" si="144"/>
        <v/>
      </c>
      <c r="N155" s="302" t="str">
        <f t="shared" si="145"/>
        <v/>
      </c>
      <c r="O155" s="302" t="str">
        <f t="shared" si="146"/>
        <v/>
      </c>
      <c r="P155" s="302" t="str">
        <f t="shared" si="147"/>
        <v/>
      </c>
      <c r="Q155" s="302" t="str">
        <f t="shared" si="148"/>
        <v/>
      </c>
      <c r="R155" s="302" t="str">
        <f t="shared" si="149"/>
        <v/>
      </c>
      <c r="S155" s="302" t="str">
        <f t="shared" si="150"/>
        <v/>
      </c>
      <c r="T155" s="302" t="str">
        <f t="shared" si="151"/>
        <v/>
      </c>
      <c r="U155" s="302" t="str">
        <f t="shared" si="152"/>
        <v/>
      </c>
      <c r="V155" s="302" t="str">
        <f t="shared" si="153"/>
        <v/>
      </c>
      <c r="W155" s="302" t="str">
        <f t="shared" si="154"/>
        <v/>
      </c>
      <c r="X155" s="302" t="str">
        <f t="shared" si="155"/>
        <v/>
      </c>
      <c r="Y155" s="302" t="str">
        <f t="shared" si="156"/>
        <v/>
      </c>
      <c r="Z155" s="302" t="str">
        <f t="shared" si="157"/>
        <v/>
      </c>
      <c r="AA155" s="302" t="str">
        <f t="shared" si="158"/>
        <v/>
      </c>
      <c r="AB155" s="302" t="str">
        <f t="shared" si="159"/>
        <v/>
      </c>
      <c r="AC155" s="302" t="str">
        <f t="shared" si="160"/>
        <v/>
      </c>
      <c r="AD155" s="302" t="str">
        <f t="shared" si="161"/>
        <v/>
      </c>
      <c r="AE155" s="302" t="str">
        <f t="shared" si="133"/>
        <v/>
      </c>
      <c r="AF155" s="302" t="str">
        <f t="shared" si="134"/>
        <v/>
      </c>
      <c r="AG155" s="302" t="str">
        <f t="shared" si="135"/>
        <v/>
      </c>
      <c r="AH155" s="302" t="str">
        <f t="shared" si="136"/>
        <v/>
      </c>
      <c r="AI155" s="302" t="str">
        <f t="shared" si="137"/>
        <v/>
      </c>
      <c r="AJ155" s="302" t="str">
        <f t="shared" si="138"/>
        <v/>
      </c>
      <c r="AK155" s="302" t="str">
        <f t="shared" si="139"/>
        <v/>
      </c>
      <c r="AL155" s="302" t="str">
        <f t="shared" si="98"/>
        <v/>
      </c>
      <c r="AM155" s="302" t="str">
        <f t="shared" si="99"/>
        <v/>
      </c>
      <c r="AN155" s="302" t="str">
        <f t="shared" si="100"/>
        <v/>
      </c>
      <c r="AO155" s="302">
        <f t="shared" si="101"/>
        <v>1</v>
      </c>
      <c r="AP155" s="302">
        <f t="shared" si="102"/>
        <v>1</v>
      </c>
      <c r="AQ155" s="287"/>
    </row>
    <row r="156" spans="3:43" x14ac:dyDescent="0.25">
      <c r="C156" s="1182"/>
      <c r="D156" s="285"/>
      <c r="E156" s="297">
        <f t="shared" si="132"/>
        <v>2061</v>
      </c>
      <c r="F156" s="285"/>
      <c r="G156" s="286"/>
      <c r="H156" s="302" t="str">
        <f t="shared" si="131"/>
        <v/>
      </c>
      <c r="I156" s="302" t="str">
        <f t="shared" si="140"/>
        <v/>
      </c>
      <c r="J156" s="302" t="str">
        <f t="shared" si="141"/>
        <v/>
      </c>
      <c r="K156" s="302" t="str">
        <f t="shared" si="142"/>
        <v/>
      </c>
      <c r="L156" s="302" t="str">
        <f t="shared" si="143"/>
        <v/>
      </c>
      <c r="M156" s="302" t="str">
        <f t="shared" si="144"/>
        <v/>
      </c>
      <c r="N156" s="302" t="str">
        <f t="shared" si="145"/>
        <v/>
      </c>
      <c r="O156" s="302" t="str">
        <f t="shared" si="146"/>
        <v/>
      </c>
      <c r="P156" s="302" t="str">
        <f t="shared" si="147"/>
        <v/>
      </c>
      <c r="Q156" s="302" t="str">
        <f t="shared" si="148"/>
        <v/>
      </c>
      <c r="R156" s="302" t="str">
        <f t="shared" si="149"/>
        <v/>
      </c>
      <c r="S156" s="302" t="str">
        <f t="shared" si="150"/>
        <v/>
      </c>
      <c r="T156" s="302" t="str">
        <f t="shared" si="151"/>
        <v/>
      </c>
      <c r="U156" s="302" t="str">
        <f t="shared" si="152"/>
        <v/>
      </c>
      <c r="V156" s="302" t="str">
        <f t="shared" si="153"/>
        <v/>
      </c>
      <c r="W156" s="302" t="str">
        <f t="shared" si="154"/>
        <v/>
      </c>
      <c r="X156" s="302" t="str">
        <f t="shared" si="155"/>
        <v/>
      </c>
      <c r="Y156" s="302" t="str">
        <f t="shared" si="156"/>
        <v/>
      </c>
      <c r="Z156" s="302" t="str">
        <f t="shared" si="157"/>
        <v/>
      </c>
      <c r="AA156" s="302" t="str">
        <f t="shared" si="158"/>
        <v/>
      </c>
      <c r="AB156" s="302" t="str">
        <f t="shared" si="159"/>
        <v/>
      </c>
      <c r="AC156" s="302" t="str">
        <f t="shared" si="160"/>
        <v/>
      </c>
      <c r="AD156" s="302" t="str">
        <f t="shared" si="161"/>
        <v/>
      </c>
      <c r="AE156" s="302" t="str">
        <f t="shared" si="133"/>
        <v/>
      </c>
      <c r="AF156" s="302" t="str">
        <f t="shared" si="134"/>
        <v/>
      </c>
      <c r="AG156" s="302" t="str">
        <f t="shared" si="135"/>
        <v/>
      </c>
      <c r="AH156" s="302" t="str">
        <f t="shared" si="136"/>
        <v/>
      </c>
      <c r="AI156" s="302" t="str">
        <f t="shared" si="137"/>
        <v/>
      </c>
      <c r="AJ156" s="302" t="str">
        <f t="shared" si="138"/>
        <v/>
      </c>
      <c r="AK156" s="302" t="str">
        <f t="shared" si="139"/>
        <v/>
      </c>
      <c r="AL156" s="302" t="str">
        <f t="shared" si="98"/>
        <v/>
      </c>
      <c r="AM156" s="302" t="str">
        <f t="shared" si="99"/>
        <v/>
      </c>
      <c r="AN156" s="302" t="str">
        <f t="shared" si="100"/>
        <v/>
      </c>
      <c r="AO156" s="302" t="str">
        <f t="shared" si="101"/>
        <v/>
      </c>
      <c r="AP156" s="302">
        <f t="shared" si="102"/>
        <v>1</v>
      </c>
      <c r="AQ156" s="287"/>
    </row>
    <row r="157" spans="3:43" ht="15.75" thickBot="1" x14ac:dyDescent="0.3">
      <c r="C157" s="1183"/>
      <c r="D157" s="289"/>
      <c r="E157" s="289"/>
      <c r="F157" s="289"/>
      <c r="G157" s="280"/>
      <c r="H157" s="291"/>
      <c r="I157" s="291"/>
      <c r="J157" s="291"/>
      <c r="K157" s="291"/>
      <c r="L157" s="291"/>
      <c r="M157" s="291"/>
      <c r="N157" s="291"/>
      <c r="O157" s="291"/>
      <c r="P157" s="291"/>
      <c r="Q157" s="291"/>
      <c r="R157" s="291"/>
      <c r="S157" s="291"/>
      <c r="T157" s="291"/>
      <c r="U157" s="291"/>
      <c r="V157" s="291"/>
      <c r="W157" s="291"/>
      <c r="X157" s="291"/>
      <c r="Y157" s="291"/>
      <c r="Z157" s="291"/>
      <c r="AA157" s="291"/>
      <c r="AB157" s="291"/>
      <c r="AC157" s="291"/>
      <c r="AD157" s="291"/>
      <c r="AE157" s="291"/>
      <c r="AF157" s="291"/>
      <c r="AG157" s="291"/>
      <c r="AH157" s="291"/>
      <c r="AI157" s="291"/>
      <c r="AJ157" s="291"/>
      <c r="AK157" s="291"/>
      <c r="AL157" s="291"/>
      <c r="AM157" s="291"/>
      <c r="AN157" s="291"/>
      <c r="AO157" s="291"/>
      <c r="AP157" s="291"/>
      <c r="AQ157" s="281"/>
    </row>
  </sheetData>
  <mergeCells count="8">
    <mergeCell ref="C43:C79"/>
    <mergeCell ref="C82:C118"/>
    <mergeCell ref="C121:C157"/>
    <mergeCell ref="B1:B3"/>
    <mergeCell ref="C1:G2"/>
    <mergeCell ref="C3:G3"/>
    <mergeCell ref="B4:B40"/>
    <mergeCell ref="C4:C40"/>
  </mergeCells>
  <pageMargins left="0.511811024" right="0.511811024" top="0.78740157499999996" bottom="0.78740157499999996" header="0.31496062000000002" footer="0.31496062000000002"/>
  <pageSetup paperSize="8" scale="34"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2742764FE3D6642923B9303D79ECF55" ma:contentTypeVersion="16" ma:contentTypeDescription="Crie um novo documento." ma:contentTypeScope="" ma:versionID="b3cbd0ad6af9a43e477230606a4d52ba">
  <xsd:schema xmlns:xsd="http://www.w3.org/2001/XMLSchema" xmlns:xs="http://www.w3.org/2001/XMLSchema" xmlns:p="http://schemas.microsoft.com/office/2006/metadata/properties" xmlns:ns2="6747c96e-445d-4854-a254-bc36e2bcb0d7" xmlns:ns3="c6583b87-8887-4dcc-9de7-4890b5b5f803" targetNamespace="http://schemas.microsoft.com/office/2006/metadata/properties" ma:root="true" ma:fieldsID="1e96ac2d353bddf54bdee5fddeb607a0" ns2:_="" ns3:_="">
    <xsd:import namespace="6747c96e-445d-4854-a254-bc36e2bcb0d7"/>
    <xsd:import namespace="c6583b87-8887-4dcc-9de7-4890b5b5f803"/>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ObjectDetectorVersions" minOccurs="0"/>
                <xsd:element ref="ns3:lcf76f155ced4ddcb4097134ff3c332f" minOccurs="0"/>
                <xsd:element ref="ns2:TaxCatchAll" minOccurs="0"/>
                <xsd:element ref="ns3:MediaServiceDateTaken" minOccurs="0"/>
                <xsd:element ref="ns3:MediaServiceOCR" minOccurs="0"/>
                <xsd:element ref="ns3:MediaServiceGenerationTime" minOccurs="0"/>
                <xsd:element ref="ns3:MediaServiceEventHashCode" minOccurs="0"/>
                <xsd:element ref="ns3:MediaLengthInSeconds" minOccurs="0"/>
                <xsd:element ref="ns3:MediaServiceLocation"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47c96e-445d-4854-a254-bc36e2bcb0d7" elementFormDefault="qualified">
    <xsd:import namespace="http://schemas.microsoft.com/office/2006/documentManagement/types"/>
    <xsd:import namespace="http://schemas.microsoft.com/office/infopath/2007/PartnerControls"/>
    <xsd:element name="SharedWithUsers" ma:index="8"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hes de Compartilhado Com" ma:internalName="SharedWithDetails" ma:readOnly="true">
      <xsd:simpleType>
        <xsd:restriction base="dms:Note">
          <xsd:maxLength value="255"/>
        </xsd:restriction>
      </xsd:simpleType>
    </xsd:element>
    <xsd:element name="TaxCatchAll" ma:index="16" nillable="true" ma:displayName="Taxonomy Catch All Column" ma:hidden="true" ma:list="{98bb6e46-00bc-4e47-905a-68bc733f39d4}" ma:internalName="TaxCatchAll" ma:showField="CatchAllData" ma:web="6747c96e-445d-4854-a254-bc36e2bcb0d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6583b87-8887-4dcc-9de7-4890b5b5f803"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Marcações de imagem" ma:readOnly="false" ma:fieldId="{5cf76f15-5ced-4ddc-b409-7134ff3c332f}" ma:taxonomyMulti="true" ma:sspId="e5f00710-cdf4-4d8a-8e57-46a355119dc9"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6583b87-8887-4dcc-9de7-4890b5b5f803">
      <Terms xmlns="http://schemas.microsoft.com/office/infopath/2007/PartnerControls"/>
    </lcf76f155ced4ddcb4097134ff3c332f>
    <TaxCatchAll xmlns="6747c96e-445d-4854-a254-bc36e2bcb0d7" xsi:nil="true"/>
  </documentManagement>
</p:properties>
</file>

<file path=customXml/itemProps1.xml><?xml version="1.0" encoding="utf-8"?>
<ds:datastoreItem xmlns:ds="http://schemas.openxmlformats.org/officeDocument/2006/customXml" ds:itemID="{105C02B6-F787-4601-A8B0-DFDF16CB31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747c96e-445d-4854-a254-bc36e2bcb0d7"/>
    <ds:schemaRef ds:uri="c6583b87-8887-4dcc-9de7-4890b5b5f80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C0C357B-A131-41C9-80A3-8DE277082461}">
  <ds:schemaRefs>
    <ds:schemaRef ds:uri="http://schemas.microsoft.com/sharepoint/v3/contenttype/forms"/>
  </ds:schemaRefs>
</ds:datastoreItem>
</file>

<file path=customXml/itemProps3.xml><?xml version="1.0" encoding="utf-8"?>
<ds:datastoreItem xmlns:ds="http://schemas.openxmlformats.org/officeDocument/2006/customXml" ds:itemID="{B4856973-840D-4AD1-BBE0-C85543872B3F}">
  <ds:schemaRefs>
    <ds:schemaRef ds:uri="http://purl.org/dc/terms/"/>
    <ds:schemaRef ds:uri="6747c96e-445d-4854-a254-bc36e2bcb0d7"/>
    <ds:schemaRef ds:uri="http://schemas.microsoft.com/office/2006/documentManagement/types"/>
    <ds:schemaRef ds:uri="c6583b87-8887-4dcc-9de7-4890b5b5f803"/>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24</vt:i4>
      </vt:variant>
    </vt:vector>
  </HeadingPairs>
  <TitlesOfParts>
    <vt:vector size="24" baseType="lpstr">
      <vt:lpstr>Resultados</vt:lpstr>
      <vt:lpstr>DADOS PARA CONTRATO</vt:lpstr>
      <vt:lpstr>FCD PROJETO</vt:lpstr>
      <vt:lpstr>DRE PROJETO</vt:lpstr>
      <vt:lpstr>FCD Acionista</vt:lpstr>
      <vt:lpstr>Matriz Tarifária</vt:lpstr>
      <vt:lpstr>Dados ME</vt:lpstr>
      <vt:lpstr>Histograma</vt:lpstr>
      <vt:lpstr>Base Física</vt:lpstr>
      <vt:lpstr>CAPEX</vt:lpstr>
      <vt:lpstr>Cronograma</vt:lpstr>
      <vt:lpstr>Financiamento </vt:lpstr>
      <vt:lpstr>Distribuição Custeio</vt:lpstr>
      <vt:lpstr>Mão de Obra</vt:lpstr>
      <vt:lpstr>Manut Rede</vt:lpstr>
      <vt:lpstr>Veículos</vt:lpstr>
      <vt:lpstr>Reposição de Ativos</vt:lpstr>
      <vt:lpstr>Energia Eletrica</vt:lpstr>
      <vt:lpstr>Produto Químico</vt:lpstr>
      <vt:lpstr>Legal e Regulação</vt:lpstr>
      <vt:lpstr>Despesas Diversas</vt:lpstr>
      <vt:lpstr>Recursos Hidricos</vt:lpstr>
      <vt:lpstr>Seguros e Garantias</vt:lpstr>
      <vt:lpstr>Depreciação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Waldo Villani Jr</dc:creator>
  <cp:lastModifiedBy>Waldo Villani Jr</cp:lastModifiedBy>
  <cp:lastPrinted>2023-05-05T21:39:12Z</cp:lastPrinted>
  <dcterms:created xsi:type="dcterms:W3CDTF">2022-10-05T15:46:19Z</dcterms:created>
  <dcterms:modified xsi:type="dcterms:W3CDTF">2026-06-09T19:02:56Z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0x01010022742764FE3D6642923B9303D79ECF55</vt:lpwstr>
  </property>
</Properties>
</file>