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ravec\Desktop\"/>
    </mc:Choice>
  </mc:AlternateContent>
  <xr:revisionPtr revIDLastSave="0" documentId="8_{C884411D-838F-4D68-82D9-0161AEA78291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REFORMA BERÇÁRIO" sheetId="1" r:id="rId1"/>
    <sheet name="memória de cálculo" sheetId="5" r:id="rId2"/>
    <sheet name="CRONOGRAMA" sheetId="4" r:id="rId3"/>
    <sheet name="BDI" sheetId="2" r:id="rId4"/>
    <sheet name="ENCARGOS" sheetId="3" r:id="rId5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4" l="1"/>
  <c r="H8" i="1"/>
  <c r="H10" i="1" l="1"/>
  <c r="H11" i="1"/>
  <c r="H12" i="1"/>
  <c r="F24" i="1"/>
  <c r="F28" i="5"/>
  <c r="E28" i="5"/>
  <c r="D28" i="5"/>
  <c r="C28" i="5"/>
  <c r="F28" i="1"/>
  <c r="D27" i="5"/>
  <c r="H21" i="1"/>
  <c r="I21" i="1" s="1"/>
  <c r="F21" i="1"/>
  <c r="F26" i="5"/>
  <c r="D26" i="5"/>
  <c r="E26" i="5"/>
  <c r="F22" i="1"/>
  <c r="F23" i="1"/>
  <c r="D25" i="5"/>
  <c r="D24" i="5"/>
  <c r="J19" i="5"/>
  <c r="C23" i="5"/>
  <c r="B23" i="5"/>
  <c r="I19" i="5"/>
  <c r="B22" i="5"/>
  <c r="D21" i="5"/>
  <c r="B21" i="5"/>
  <c r="C21" i="5"/>
  <c r="D20" i="5"/>
  <c r="C20" i="5"/>
  <c r="B20" i="5"/>
  <c r="D18" i="5"/>
  <c r="D19" i="5"/>
  <c r="C19" i="5"/>
  <c r="C18" i="5"/>
  <c r="B18" i="5"/>
  <c r="I10" i="1" l="1"/>
  <c r="N16" i="1"/>
  <c r="F16" i="1" s="1"/>
  <c r="F19" i="1"/>
  <c r="C4" i="5"/>
  <c r="D4" i="5"/>
  <c r="B4" i="5"/>
  <c r="F10" i="1"/>
  <c r="D7" i="5"/>
  <c r="C7" i="5"/>
  <c r="F80" i="1" l="1"/>
  <c r="F82" i="1"/>
  <c r="F81" i="1"/>
  <c r="F71" i="1"/>
  <c r="F74" i="1"/>
  <c r="H72" i="1"/>
  <c r="F72" i="1"/>
  <c r="F73" i="1"/>
  <c r="F70" i="1"/>
  <c r="F11" i="1" l="1"/>
  <c r="I11" i="1" s="1"/>
  <c r="I72" i="1"/>
  <c r="F57" i="1"/>
  <c r="B15" i="5"/>
  <c r="B14" i="5"/>
  <c r="F55" i="1"/>
  <c r="F45" i="1"/>
  <c r="F38" i="1"/>
  <c r="F37" i="1" s="1"/>
  <c r="D13" i="5"/>
  <c r="C13" i="5"/>
  <c r="B13" i="5"/>
  <c r="H34" i="1" l="1"/>
  <c r="F34" i="1"/>
  <c r="D12" i="5"/>
  <c r="C12" i="5"/>
  <c r="B12" i="5"/>
  <c r="H33" i="1"/>
  <c r="F33" i="1"/>
  <c r="B11" i="5"/>
  <c r="H9" i="1"/>
  <c r="I9" i="1" s="1"/>
  <c r="F32" i="1"/>
  <c r="D10" i="5"/>
  <c r="C10" i="5"/>
  <c r="B10" i="5"/>
  <c r="F27" i="1"/>
  <c r="C8" i="5"/>
  <c r="B8" i="5"/>
  <c r="B7" i="5"/>
  <c r="F29" i="1"/>
  <c r="I34" i="1" l="1"/>
  <c r="I33" i="1"/>
  <c r="B6" i="5"/>
  <c r="F14" i="1" s="1"/>
  <c r="F15" i="1"/>
  <c r="F17" i="1"/>
  <c r="B5" i="5"/>
  <c r="H84" i="1"/>
  <c r="I84" i="1" s="1"/>
  <c r="B3" i="5"/>
  <c r="B2" i="5"/>
  <c r="H83" i="1"/>
  <c r="F83" i="1"/>
  <c r="H85" i="1"/>
  <c r="I85" i="1" s="1"/>
  <c r="C1" i="5"/>
  <c r="B1" i="5"/>
  <c r="I83" i="1" l="1"/>
  <c r="I11" i="4"/>
  <c r="F11" i="4"/>
  <c r="I10" i="4"/>
  <c r="F10" i="4"/>
  <c r="I7" i="4"/>
  <c r="I8" i="4"/>
  <c r="F9" i="4"/>
  <c r="I12" i="4"/>
  <c r="F12" i="4"/>
  <c r="F6" i="4"/>
  <c r="M101" i="1" l="1"/>
  <c r="M100" i="1"/>
  <c r="F12" i="1"/>
  <c r="I12" i="1" s="1"/>
  <c r="F18" i="1"/>
  <c r="H73" i="1" l="1"/>
  <c r="I73" i="1" l="1"/>
  <c r="H35" i="1"/>
  <c r="I35" i="1" s="1"/>
  <c r="M99" i="1"/>
  <c r="M98" i="1"/>
  <c r="M97" i="1"/>
  <c r="M96" i="1"/>
  <c r="M95" i="1"/>
  <c r="M94" i="1"/>
  <c r="M93" i="1"/>
  <c r="N93" i="1" s="1"/>
  <c r="F8" i="1" s="1"/>
  <c r="I8" i="1" s="1"/>
  <c r="H81" i="1"/>
  <c r="I81" i="1" s="1"/>
  <c r="K8" i="1" l="1"/>
  <c r="N96" i="1"/>
  <c r="F26" i="1" l="1"/>
  <c r="H17" i="1"/>
  <c r="I17" i="1" s="1"/>
  <c r="H75" i="1"/>
  <c r="I75" i="1" s="1"/>
  <c r="H76" i="1"/>
  <c r="I76" i="1" s="1"/>
  <c r="H46" i="1"/>
  <c r="I46" i="1" s="1"/>
  <c r="H47" i="1"/>
  <c r="I47" i="1" s="1"/>
  <c r="H45" i="1"/>
  <c r="H16" i="1"/>
  <c r="I16" i="1" l="1"/>
  <c r="I45" i="1"/>
  <c r="H15" i="1" l="1"/>
  <c r="I15" i="1" l="1"/>
  <c r="H65" i="1" l="1"/>
  <c r="I65" i="1" s="1"/>
  <c r="H66" i="1"/>
  <c r="I66" i="1" s="1"/>
  <c r="H71" i="1"/>
  <c r="H82" i="1"/>
  <c r="I82" i="1" l="1"/>
  <c r="I71" i="1"/>
  <c r="H18" i="1"/>
  <c r="I18" i="1" l="1"/>
  <c r="H28" i="1" l="1"/>
  <c r="I28" i="1" s="1"/>
  <c r="H42" i="1"/>
  <c r="I42" i="1" s="1"/>
  <c r="H27" i="1"/>
  <c r="H48" i="1"/>
  <c r="I48" i="1" s="1"/>
  <c r="H68" i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H56" i="1"/>
  <c r="H57" i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I57" i="1" l="1"/>
  <c r="I27" i="1"/>
  <c r="I56" i="1"/>
  <c r="I55" i="1"/>
  <c r="K48" i="1" l="1"/>
  <c r="B12" i="4"/>
  <c r="B11" i="4"/>
  <c r="B10" i="4"/>
  <c r="H19" i="1"/>
  <c r="H79" i="1"/>
  <c r="I79" i="1" s="1"/>
  <c r="H69" i="1"/>
  <c r="I69" i="1" s="1"/>
  <c r="Q7" i="4" l="1"/>
  <c r="Q1" i="4"/>
  <c r="I19" i="1"/>
  <c r="I68" i="1"/>
  <c r="H70" i="1" l="1"/>
  <c r="I70" i="1" l="1"/>
  <c r="H74" i="1"/>
  <c r="H80" i="1"/>
  <c r="I80" i="1" s="1"/>
  <c r="H40" i="1"/>
  <c r="I40" i="1" s="1"/>
  <c r="I74" i="1" l="1"/>
  <c r="K70" i="1" s="1"/>
  <c r="B9" i="4"/>
  <c r="H32" i="1" l="1"/>
  <c r="I32" i="1" s="1"/>
  <c r="H37" i="1"/>
  <c r="I37" i="1" s="1"/>
  <c r="H43" i="1"/>
  <c r="I43" i="1" s="1"/>
  <c r="H38" i="1"/>
  <c r="I38" i="1" s="1"/>
  <c r="H39" i="1"/>
  <c r="I39" i="1" s="1"/>
  <c r="H41" i="1"/>
  <c r="I41" i="1" s="1"/>
  <c r="Q8" i="4"/>
  <c r="H86" i="1"/>
  <c r="I86" i="1" s="1"/>
  <c r="K37" i="1" l="1"/>
  <c r="Q6" i="4" s="1"/>
  <c r="S8" i="4"/>
  <c r="R8" i="4"/>
  <c r="B8" i="4" l="1"/>
  <c r="B7" i="4"/>
  <c r="B6" i="4"/>
  <c r="B5" i="4"/>
  <c r="B4" i="4"/>
  <c r="H78" i="1" l="1"/>
  <c r="I78" i="1" s="1"/>
  <c r="H31" i="1"/>
  <c r="I31" i="1" s="1"/>
  <c r="K31" i="1" s="1"/>
  <c r="H29" i="1"/>
  <c r="I29" i="1" s="1"/>
  <c r="H26" i="1"/>
  <c r="H23" i="1"/>
  <c r="I23" i="1" s="1"/>
  <c r="H24" i="1"/>
  <c r="I24" i="1" s="1"/>
  <c r="H22" i="1"/>
  <c r="I22" i="1" s="1"/>
  <c r="H14" i="1"/>
  <c r="K22" i="1" l="1"/>
  <c r="Q3" i="4" s="1"/>
  <c r="R3" i="4" s="1"/>
  <c r="K86" i="1"/>
  <c r="I14" i="1"/>
  <c r="I26" i="1"/>
  <c r="K29" i="1" s="1"/>
  <c r="K14" i="1" l="1"/>
  <c r="I88" i="1"/>
  <c r="K88" i="1"/>
  <c r="Q9" i="4"/>
  <c r="R7" i="4"/>
  <c r="S7" i="4"/>
  <c r="Q5" i="4"/>
  <c r="R5" i="4" s="1"/>
  <c r="Q4" i="4"/>
  <c r="D13" i="4" l="1"/>
  <c r="I13" i="4"/>
  <c r="R9" i="4"/>
  <c r="S9" i="4"/>
  <c r="Q2" i="4"/>
  <c r="Q10" i="4" s="1"/>
  <c r="R2" i="4" l="1"/>
  <c r="E13" i="4" l="1"/>
  <c r="F13" i="4"/>
  <c r="C13" i="4" l="1"/>
</calcChain>
</file>

<file path=xl/sharedStrings.xml><?xml version="1.0" encoding="utf-8"?>
<sst xmlns="http://schemas.openxmlformats.org/spreadsheetml/2006/main" count="458" uniqueCount="316">
  <si>
    <t>BANCO</t>
  </si>
  <si>
    <t>ITEM</t>
  </si>
  <si>
    <t>DESCRIMINAÇÃO</t>
  </si>
  <si>
    <t xml:space="preserve">CÓDIGO </t>
  </si>
  <si>
    <t>UNIDADE</t>
  </si>
  <si>
    <t>QUANTIDADE</t>
  </si>
  <si>
    <t>SINAPI</t>
  </si>
  <si>
    <t>M2</t>
  </si>
  <si>
    <t>PREÇO UNITÁRIO</t>
  </si>
  <si>
    <t>PREÇO TOTAL</t>
  </si>
  <si>
    <t>88489</t>
  </si>
  <si>
    <t>M3</t>
  </si>
  <si>
    <t>REVESTIMENTO/PAVIMENTAÇÃO</t>
  </si>
  <si>
    <t>DEMOLIÇÃO</t>
  </si>
  <si>
    <t>SEINFRA</t>
  </si>
  <si>
    <t>M</t>
  </si>
  <si>
    <t>UN</t>
  </si>
  <si>
    <t>1.0</t>
  </si>
  <si>
    <t>1.1</t>
  </si>
  <si>
    <t>2.0</t>
  </si>
  <si>
    <t>2.1</t>
  </si>
  <si>
    <t>5.1</t>
  </si>
  <si>
    <t>4.1</t>
  </si>
  <si>
    <t>3.0</t>
  </si>
  <si>
    <t>3.1</t>
  </si>
  <si>
    <t>4.0</t>
  </si>
  <si>
    <t>4.2</t>
  </si>
  <si>
    <t>5.0</t>
  </si>
  <si>
    <t>PINTURA INTERNA/EXTERNA</t>
  </si>
  <si>
    <t>6.0</t>
  </si>
  <si>
    <t>6.2</t>
  </si>
  <si>
    <t>TOTAL GERAL</t>
  </si>
  <si>
    <t>87531</t>
  </si>
  <si>
    <t>EMBOÇO, EM ARGAMASSA TRAÇO 1:2:8, PREPARO MECÂNICO, APLICADO MANUALMENTE EM PAREDES INTERNAS DE AMBIENTES COM ÁREA ENTRE 5M² E 10M², E = 17,5MM, COM TALISCAS. AF_03/2024</t>
  </si>
  <si>
    <t>103669</t>
  </si>
  <si>
    <t>CONCRETAGEM DE PILARES, FCK = 25 MPA,  COM USO DE BALDES - LANÇAMENTO, ADENSAMENTO E ACABAMENTO. AF_02/2022</t>
  </si>
  <si>
    <t>92883</t>
  </si>
  <si>
    <t>ARMAÇÃO UTILIZANDO AÇO CA-25 DE 8,0 MM - MONTAGEM. AF_06/2022</t>
  </si>
  <si>
    <t>KG</t>
  </si>
  <si>
    <t>103323</t>
  </si>
  <si>
    <t>ALVENARIA DE VEDAÇÃO DE BLOCOS CERÂMICOS FURADOS NA VERTICAL DE 9X19X39 CM (ESPESSURA 9 CM) E ARGAMASSA DE ASSENTAMENTO COM PREPARO MANUAL. AF_12/2021</t>
  </si>
  <si>
    <t>88485</t>
  </si>
  <si>
    <t>FUNDO SELADOR ACRÍLICO, APLICAÇÃO MANUAL EM PAREDE, UMA DEMÃO. AF_04/2023</t>
  </si>
  <si>
    <t>PINTURA LÁTEX ACRÍLICA PREMIUM, APLICAÇÃO MANUAL EM PAREDES, DUAS DEMÃOS. AF_04/2023</t>
  </si>
  <si>
    <t>90695</t>
  </si>
  <si>
    <t>TUBO DE PVC PARA REDE COLETORA DE ESGOTO DE PAREDE MACIÇA, DN 150 MM, JUNTA ELÁSTICA  - FORNECIMENTO E ASSENTAMENTO. AF_01/2021</t>
  </si>
  <si>
    <t>SERVIÇOS DIVERSOS</t>
  </si>
  <si>
    <t>C1937</t>
  </si>
  <si>
    <t>PLACAS PADRÃO DE OBRA</t>
  </si>
  <si>
    <t>3.2</t>
  </si>
  <si>
    <t>3.3</t>
  </si>
  <si>
    <t>PLANILHA ORÇAMENTÁRIA SINTÉTICA</t>
  </si>
  <si>
    <t>CUSTO UNITÁRIO</t>
  </si>
  <si>
    <t>5.4</t>
  </si>
  <si>
    <t>5.5</t>
  </si>
  <si>
    <t>6.4</t>
  </si>
  <si>
    <t>6.5</t>
  </si>
  <si>
    <t>6.6</t>
  </si>
  <si>
    <t>C1628</t>
  </si>
  <si>
    <t>LIMPEZA GERAL</t>
  </si>
  <si>
    <t>BDI</t>
  </si>
  <si>
    <t>PERCENTUAL (%)</t>
  </si>
  <si>
    <t>ADMINISTRAÇÃO CENTRAL</t>
  </si>
  <si>
    <t>CUSTO FINANCEIRO</t>
  </si>
  <si>
    <t>SEGURO</t>
  </si>
  <si>
    <t>GARANTIAS</t>
  </si>
  <si>
    <t>MARGEM DE INCERTEZA</t>
  </si>
  <si>
    <t>TRIBUTOS MUNICIPAIS (ISS)</t>
  </si>
  <si>
    <t>TRIBUTOS ESTADUAIS</t>
  </si>
  <si>
    <t>TRIBUTOS FEDERAIS (PIS E CONFINS)</t>
  </si>
  <si>
    <t>MARGEM DE CONTRIBUIÇÃO</t>
  </si>
  <si>
    <t>VALOR DO BDI:</t>
  </si>
  <si>
    <t>Item</t>
  </si>
  <si>
    <t>Descrição</t>
  </si>
  <si>
    <t>Total Por Etapa</t>
  </si>
  <si>
    <t>15 DIAS</t>
  </si>
  <si>
    <t>30 DIAS</t>
  </si>
  <si>
    <t>45 DIAS</t>
  </si>
  <si>
    <t>60 DIAS</t>
  </si>
  <si>
    <t>Custo Acumulado</t>
  </si>
  <si>
    <t>medidas conforme CAD e conferência in loco</t>
  </si>
  <si>
    <t>6.1</t>
  </si>
  <si>
    <t>91831</t>
  </si>
  <si>
    <t>ELETRODUTO FLEXÍVEL CORRUGADO, PVC, DN 20 MM (1/2"), PARA CIRCUITOS TERMINAIS, INSTALADO EM FORRO - FORNECIMENTO E INSTALAÇÃO. AF_03/2023_PA</t>
  </si>
  <si>
    <t>91924</t>
  </si>
  <si>
    <t>CABO DE COBRE FLEXÍVEL ISOLADO, 1,5 MM², ANTI-CHAMA 450/750 V, PARA CIRCUITOS TERMINAIS - FORNECIMENTO E INSTALAÇÃO. AF_03/2023</t>
  </si>
  <si>
    <t>91926</t>
  </si>
  <si>
    <t>CABO DE COBRE FLEXÍVEL ISOLADO, 2,5 MM², ANTI-CHAMA 450/750 V, PARA CIRCUITOS TERMINAIS - FORNECIMENTO E INSTALAÇÃO. AF_03/2023</t>
  </si>
  <si>
    <t>INTERRUPTOR SIMPLES (2 MÓDULOS) COM 1 TOMADA DE EMBUTIR 2P+T 10 A, INCLUINDO SUPORTE E PLACA - FORNECIMENTO E INSTALAÇÃO. AF_03/2023</t>
  </si>
  <si>
    <t>92004</t>
  </si>
  <si>
    <t>TOMADA MÉDIA DE EMBUTIR (2 MÓDULOS), 2P+T 10 A, INCLUINDO SUPORTE E PLACA - FORNECIMENTO E INSTALAÇÃO. AF_03/2023</t>
  </si>
  <si>
    <t>96486</t>
  </si>
  <si>
    <t>FORRO EM RÉGUAS DE PVC, LISO, PARA AMBIENTES COMERCIAIS, INCLUSIVE ESTRUTURA BIDIRECIONAL DE FIXAÇÃO. AF_08/2023_PS</t>
  </si>
  <si>
    <t>2.5</t>
  </si>
  <si>
    <t>COBERTURA</t>
  </si>
  <si>
    <t>7.0</t>
  </si>
  <si>
    <t>INSTALAÇÕES ELÉTRICAS</t>
  </si>
  <si>
    <t>7.1</t>
  </si>
  <si>
    <t>91993</t>
  </si>
  <si>
    <t>TOMADA ALTA DE EMBUTIR (1 MÓDULO), 2P+T 20 A, INCLUINDO SUPORTE E PLACA - FORNECIMENTO E INSTALAÇÃO. AF_03/2023</t>
  </si>
  <si>
    <t>C4449</t>
  </si>
  <si>
    <t>LAJE PRÉ-FABRICADA P/ FÔRRO - VÃO ATÉ 2 m</t>
  </si>
  <si>
    <t>C2666</t>
  </si>
  <si>
    <t>VERGA RETA DE CONCRETO ARMADO</t>
  </si>
  <si>
    <t>C4431</t>
  </si>
  <si>
    <t>CERÂMICA ESMALTADA C/ ARG. CIMENTO E AREIA ATÉ 10x10cm (100 cm²) - DECORATIVA P/ PAREDE</t>
  </si>
  <si>
    <t>C4872</t>
  </si>
  <si>
    <t>PORTÃO COM PERFIL EM TUBO DE AÇO GALVANIZADO DE 2" (1X2,5)m, INCL. PILARES DE SUSTENTAÇÃO</t>
  </si>
  <si>
    <t>C1620</t>
  </si>
  <si>
    <t>LETREIRO - LETRA EM CAIXA DE ZINCO, H= 20CM</t>
  </si>
  <si>
    <t>2.6</t>
  </si>
  <si>
    <t>87247</t>
  </si>
  <si>
    <t>REVESTIMENTO CERÂMICO PARA PISO COM PLACAS TIPO ESMALTADA DE DIMENSÕES 35X35 CM APLICADA EM AMBIENTES DE ÁREA ENTRE 5 M2 E 10 M2. AF_02/2023_PE</t>
  </si>
  <si>
    <t>C1043</t>
  </si>
  <si>
    <t>DEMOLIÇÃO DE ALVENARIA DE TIJOLOS S/ REAPROVEITAMENTO</t>
  </si>
  <si>
    <t>1.2</t>
  </si>
  <si>
    <t>8.0</t>
  </si>
  <si>
    <t>8.1</t>
  </si>
  <si>
    <t>8.2</t>
  </si>
  <si>
    <t>8.3</t>
  </si>
  <si>
    <t>8.4</t>
  </si>
  <si>
    <t>INSTALAÇÕES HIDROSSANITÁRIAS</t>
  </si>
  <si>
    <t>ESQUADRIAS</t>
  </si>
  <si>
    <t>9.0</t>
  </si>
  <si>
    <t>9.1</t>
  </si>
  <si>
    <t>9.4</t>
  </si>
  <si>
    <t>9.5</t>
  </si>
  <si>
    <t>86888</t>
  </si>
  <si>
    <t>VASO SANITÁRIO SIFONADO COM CAIXA ACOPLADA LOUÇA BRANCA - FORNECIMENTO E INSTALAÇÃO. AF_01/2020</t>
  </si>
  <si>
    <t>100849</t>
  </si>
  <si>
    <t>ASSENTO SANITÁRIO CONVENCIONAL - FORNECIMENTO E INSTALACAO. AF_01/2020</t>
  </si>
  <si>
    <t>95544</t>
  </si>
  <si>
    <t>PAPELEIRA DE PAREDE EM METAL CROMADO SEM TAMPA, INCLUSO FIXAÇÃO. AF_01/2020</t>
  </si>
  <si>
    <t>89495</t>
  </si>
  <si>
    <t>RALO SIFONADO, PVC, DN 100 X 40 MM, JUNTA SOLDÁVEL, FORNECIDO E INSTALADO EM RAMAIS DE ENCAMINHAMENTO DE ÁGUA PLUVIAL. AF_06/2022</t>
  </si>
  <si>
    <t>95542</t>
  </si>
  <si>
    <t>PORTA TOALHA ROSTO EM METAL CROMADO, TIPO ARGOLA, INCLUSO FIXAÇÃO. AF_01/2020</t>
  </si>
  <si>
    <t>95543</t>
  </si>
  <si>
    <t>PORTA TOALHA BANHO EM METAL CROMADO, TIPO BARRA, INCLUSO FIXAÇÃO. AF_01/2020</t>
  </si>
  <si>
    <t>C2593</t>
  </si>
  <si>
    <t>TUBO PVC BRANCO P/ESGOTO D=100MM (4')</t>
  </si>
  <si>
    <t>C2595</t>
  </si>
  <si>
    <t>C2625</t>
  </si>
  <si>
    <t>TUBO PVC SOLD. MARROM INCL.CONEXÕES D= 25mm(3/4")</t>
  </si>
  <si>
    <t>C2381</t>
  </si>
  <si>
    <t>TÊ PVC SOLD. MARROM D= 25mm (3/4")</t>
  </si>
  <si>
    <t>C1550</t>
  </si>
  <si>
    <t>JOELHO PVC BRANCO P/ESGOTO D=100mm (4") - JUNTA C/ANÉIS</t>
  </si>
  <si>
    <t>C1526</t>
  </si>
  <si>
    <t>JOELHO 90 PVC SOLD./ROSCA. D= 25mmX3/4"</t>
  </si>
  <si>
    <t>CAIXA SIFONADA, PVC, DN 100 X 100 X 50 MM, FORNECIDA E INSTALADA EM RAMAIS DE ENCAMINHAMENTO DE ÁGUA PLUVIAL. AF_06/2022</t>
  </si>
  <si>
    <t>C2158</t>
  </si>
  <si>
    <t>REGISTRO DE GAVETA BRUTO D= 25mm (1")</t>
  </si>
  <si>
    <t>C0592</t>
  </si>
  <si>
    <t>CAIXA ALVENARIA/REBOCO C/TAMPA CONCRETO FUNDO BRITA 80x80x80cm</t>
  </si>
  <si>
    <t>C1551</t>
  </si>
  <si>
    <t>JOELHO PVC BRANCO P/ESGOTO D=40mm (1 1/2")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</si>
  <si>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</si>
  <si>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</si>
  <si>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</si>
  <si>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</si>
  <si>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</si>
  <si>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</si>
  <si>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</si>
  <si>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</si>
  <si>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</si>
  <si>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</si>
  <si>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</si>
  <si>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</si>
  <si>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</si>
  <si>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</si>
  <si>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</si>
  <si>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</si>
  <si>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TUBO PVC BRANCO P/ESGOTO D=40MM (1' 1/2)</t>
  </si>
  <si>
    <t>94569</t>
  </si>
  <si>
    <t>JANELA DE ALUMÍNIO TIPO MAXIM-AR, COM VIDROS, BATENTE E FERRAGENS. EXCLUSIVE ALIZAR, ACABAMENTO E CONTRAMARCO. FORNECIMENTO E INSTALAÇÃO. AF_12/2019</t>
  </si>
  <si>
    <t>4.3</t>
  </si>
  <si>
    <t>88431</t>
  </si>
  <si>
    <t>APLICAÇÃO MANUAL DE PINTURA COM TINTA TEXTURIZADA ACRÍLICA EM PAREDES EXTERNAS DE CASAS, DUAS CORES. AF_03/2024</t>
  </si>
  <si>
    <t>4.4</t>
  </si>
  <si>
    <t>102253</t>
  </si>
  <si>
    <t>DIVISORIA SANITÁRIA, TIPO CABINE, EM GRANITO CINZA POLIDO, ESP = 3CM, ASSENTADO COM ARGAMASSA COLANTE AC III-E, EXCLUSIVE FERRAGENS. AF_01/2021</t>
  </si>
  <si>
    <t>9.6</t>
  </si>
  <si>
    <t>94570</t>
  </si>
  <si>
    <t>JANELA DE ALUMÍNIO DE CORRER COM 2 FOLHAS PARA VIDROS, COM VIDROS, BATENTE, ACABAMENTO COM ACETATO OU BRILHANTE E FERRAGENS. EXCLUSIVE ALIZAR E CONTRAMARCO. FORNECIMENTO E INSTALAÇÃO. AF_12/2019</t>
  </si>
  <si>
    <t>8.5</t>
  </si>
  <si>
    <t>100874</t>
  </si>
  <si>
    <t>PUXADOR PARA PCD, FIXADO NA PORTA - FORNECIMENTO E INSTALAÇÃO. AF_01/2020</t>
  </si>
  <si>
    <t>100863</t>
  </si>
  <si>
    <t>BARRA DE APOIO EM "L", EM ACO INOX POLIDO 70 X 70 CM, FIXADA NA PAREDE - FORNECIMENTO E INSTALACAO. AF_01/2020</t>
  </si>
  <si>
    <t>CRONOGRAMA FÍSICO E FINANCEIRO</t>
  </si>
  <si>
    <t>87267</t>
  </si>
  <si>
    <t>REVESTIMENTO CERÂMICO PARA PAREDES INTERNAS COM PLACAS TIPO ESMALTADA DE DIMENSÕES 20X20 CM APLICADAS A MEIA ALTURA DAS PAREDES. AF_02/2023_PE</t>
  </si>
  <si>
    <t>2.2</t>
  </si>
  <si>
    <t>97633</t>
  </si>
  <si>
    <t>DEMOLIÇÃO DE REVESTIMENTO CERÂMICO, DE FORMA MANUAL, COM REAPROVEITAMENTO. AF_09/2023</t>
  </si>
  <si>
    <t>8.8</t>
  </si>
  <si>
    <t>94991</t>
  </si>
  <si>
    <t>EXECUÇÃO DE PASSEIO (CALÇADA) OU PISO DE CONCRETO COM CONCRETO MOLDADO IN LOCO, USINADO C20, ACABAMENTO CONVENCIONAL, NÃO ARMADO. AF_08/2022</t>
  </si>
  <si>
    <t>concreto</t>
  </si>
  <si>
    <t>armação</t>
  </si>
  <si>
    <t>SUPRAESTRUTURA/INFRAESTRUTURA</t>
  </si>
  <si>
    <t>C4756</t>
  </si>
  <si>
    <t xml:space="preserve">PRATELEIRA DE GRANITO CINZA ESP.=2CM                                    
</t>
  </si>
  <si>
    <t>C0355</t>
  </si>
  <si>
    <t>BANCADA DE GRANITO C/ 2  CUBAS LOUÇAS, S/ACESSÓRIOS (1.60x0.60)m</t>
  </si>
  <si>
    <t>86910</t>
  </si>
  <si>
    <t>TORNEIRA CROMADA TUBO MÓVEL, DE PAREDE, 1/2" OU 3/4", PARA PIA DE COZINHA, PADRÃO MÉDIO - FORNECIMENTO E INSTALAÇÃO. AF_01/2020</t>
  </si>
  <si>
    <t>7.2</t>
  </si>
  <si>
    <t>7.4</t>
  </si>
  <si>
    <t>7.5</t>
  </si>
  <si>
    <t>C1977</t>
  </si>
  <si>
    <t>PORTA EXTERNA DE CEDRO LISA COMPLETA UMA FOLHA (0.80X 2.10)m</t>
  </si>
  <si>
    <t>C1978</t>
  </si>
  <si>
    <t>PORTA EXTERNA DE CEDRO LISA COMPLETA UMA FOLHA (0.90X2.10)m</t>
  </si>
  <si>
    <t>8.9</t>
  </si>
  <si>
    <t>9.3</t>
  </si>
  <si>
    <t>88648</t>
  </si>
  <si>
    <t>RODAPÉ CERÂMICO DE 7CM DE ALTURA COM PLACAS TIPO ESMALTADA DE DIMENSÕES 35X35CM. AF_02/2023</t>
  </si>
  <si>
    <t>101094</t>
  </si>
  <si>
    <t>9.7</t>
  </si>
  <si>
    <t>PISO PODOTÁTIL DE ALERTA OU DIRECIONAL, DE BORRACHA, ASSENTADO SOBRE ARGAMASSA. AF_05/2020</t>
  </si>
  <si>
    <t>CONTRAPISO</t>
  </si>
  <si>
    <t>rodapé</t>
  </si>
  <si>
    <t>alvenaria</t>
  </si>
  <si>
    <t>platibanda</t>
  </si>
  <si>
    <t>area externa</t>
  </si>
  <si>
    <t>pintura</t>
  </si>
  <si>
    <t>102230</t>
  </si>
  <si>
    <t>PINTURA TINTA DE ACABAMENTO (PIGMENTADA) ESMALTE SINTÉTICO BRILHANTE EM MADEIRA, 3 DEMÃOS. AF_01/2021</t>
  </si>
  <si>
    <t>C4830</t>
  </si>
  <si>
    <t>JANELA BASCULANTE EM ALUMÍNIO ANODIZADO NATURAL, EXCLUSIVE VIDRO</t>
  </si>
  <si>
    <t xml:space="preserve">                                  REFORMA BERÇÁRIO CRECHE APOLÔNIA</t>
  </si>
  <si>
    <t xml:space="preserve">REFORMA BERÇÁRIO CRECHE APOLÔNIA </t>
  </si>
  <si>
    <t>PORTA EM ALUMÍNIO DE ABRIR TIPO VENEZIANA COM GUARNIÇÃO, FIXAÇÃO COM PARAFUSOS - FORNECIMENTO E INSTALAÇÃO. AF_10/2025</t>
  </si>
  <si>
    <t>limpeza</t>
  </si>
  <si>
    <t>C2102</t>
  </si>
  <si>
    <t>RASPAGEM E LIMPEZA DO TERRENO</t>
  </si>
  <si>
    <t>ATERRO MANUAL DE VALAS COM AREIA PARA ATERRO. AF_08/2023</t>
  </si>
  <si>
    <t>aterro</t>
  </si>
  <si>
    <t>contrapiso</t>
  </si>
  <si>
    <t>9.8</t>
  </si>
  <si>
    <t>9.9</t>
  </si>
  <si>
    <t>ARGAMASSA PRONTA PARA CONTRAPISO, PREPARO MANUAL. AF_07/2026</t>
  </si>
  <si>
    <t>piso cerâmico</t>
  </si>
  <si>
    <t>emboço</t>
  </si>
  <si>
    <t>pintura paredes</t>
  </si>
  <si>
    <t>pintura portas</t>
  </si>
  <si>
    <t>atualizado somente o valor</t>
  </si>
  <si>
    <t>forro</t>
  </si>
  <si>
    <t>C1045</t>
  </si>
  <si>
    <t>DEMOLIÇÃO DE COBERTURA C/TELHAS CERÂMICAS</t>
  </si>
  <si>
    <t>1.3</t>
  </si>
  <si>
    <t>telhamento fibrocimento</t>
  </si>
  <si>
    <t>TELHAMENTO COM TELHA ONDULADA DE FIBROCIMENTO E = 6 MM, COM RECOBRIMENTO LATERAL DE 1/4 DE ONDA PARA TELHADO COM INCLINAÇÃO MAIOR QUE 10°, COM ATÉ 2 ÁGUAS, INCLUSO IÇAMENTO. AF_06/2026</t>
  </si>
  <si>
    <t>TRAMA DE MADEIRA COMPOSTA POR TERÇAS PARA TELHADOS DE ATÉ 2 ÁGUAS PARA TELHA ONDULADA DE FIBROCIMENTO, METÁLICA, PLÁSTICA OU TERMOACÚSTICA, INCLUSO TRANSPORTE VERTICAL. AF_10/2025</t>
  </si>
  <si>
    <t>trama</t>
  </si>
  <si>
    <t>CALHA EM CHAPA DE AÇO GALVANIZADO NÚMERO 24, DESENVOLVIMENTO DE 100 CM, INCLUSO TRANSPORTE VERTICAL. AF_06/2026</t>
  </si>
  <si>
    <t>5.2</t>
  </si>
  <si>
    <t>5.3</t>
  </si>
  <si>
    <t>eletroduto</t>
  </si>
  <si>
    <t>LUMINÁRIA TIPO PLAFON CIRCULAR, DE SOBREPOR, COM LED DE 12/13 W - FORNECIMENTO E INSTALAÇÃO. AF_09/2024</t>
  </si>
  <si>
    <t>BANCADA GRANITO CINZA 150 X 60 CM, COM CUBA DE EMBUTIR DE AÇO, VÁLVULA AMERICANA EM METAL, SIFÃO FLEXÍVEL EM PVC, ENGATE FLEXÍVEL 30 CM, TORNEIRA CROMADA LONGA, DE PAREDE, 1/2" OU 3/4", P/ COZINHA, PADRÃO POPULAR - FORNEC. E INSTALAÇÃO. AF_02/2026</t>
  </si>
  <si>
    <t>TUBO 40 MM</t>
  </si>
  <si>
    <t>TUBO MARROM</t>
  </si>
  <si>
    <t>COLOCAR DEMOLIÇÃO DE PORTAS E JANELAS</t>
  </si>
  <si>
    <t>COLOCAR RETIRADA DE TUBOS</t>
  </si>
  <si>
    <t>INSTALAÇÃO DE VIDRO LISO INCOLOR, E = 5 MM, EM ESQUADRIA DE ALUMÍNIO OU PVC, FIXADO COM BAGUETE. AF_11/2025</t>
  </si>
  <si>
    <t>8.6</t>
  </si>
  <si>
    <t>8.7</t>
  </si>
  <si>
    <t>C4913</t>
  </si>
  <si>
    <t>REMOÇÃO DE PINTURA LÁTEX (RASPAGEM E/OU LIXAMENTO E/OU ESCOVAÇÃO)</t>
  </si>
  <si>
    <t>C2210</t>
  </si>
  <si>
    <t>RETIRADA DE PORTAS E JANELAS, INCLUSIVE BATENTES</t>
  </si>
  <si>
    <t>1.4</t>
  </si>
  <si>
    <t>1.5</t>
  </si>
  <si>
    <t>C0054</t>
  </si>
  <si>
    <t>ALVENARIA DE EMBASAMENTO DE PEDRA ARGAMASSADA</t>
  </si>
  <si>
    <t>pilares</t>
  </si>
  <si>
    <t>ferro pilar</t>
  </si>
  <si>
    <t>ferro vigas</t>
  </si>
  <si>
    <t>sapata ferro</t>
  </si>
  <si>
    <t>sapata concreto</t>
  </si>
  <si>
    <t>viga terreo e sup</t>
  </si>
  <si>
    <t>comprimento do ferro sapata</t>
  </si>
  <si>
    <t>total ferro 8mm</t>
  </si>
  <si>
    <t>alvenaria de embasamento</t>
  </si>
  <si>
    <t>tinta textura</t>
  </si>
  <si>
    <t>7.3</t>
  </si>
  <si>
    <t>7.6</t>
  </si>
  <si>
    <t>9.2</t>
  </si>
  <si>
    <t>6.3</t>
  </si>
  <si>
    <t>6.7</t>
  </si>
  <si>
    <t>3.4</t>
  </si>
  <si>
    <t>2.3</t>
  </si>
  <si>
    <t>2.4</t>
  </si>
  <si>
    <t>BANCOS: SINAPI 07/26 E SEINFRA 028</t>
  </si>
  <si>
    <t>DATA: 14/09/2026</t>
  </si>
  <si>
    <t>100,00%
13735,98</t>
  </si>
  <si>
    <t>100,00%
60060,46</t>
  </si>
  <si>
    <t>50,00%
30030,2</t>
  </si>
  <si>
    <t>100,00%
31309,67</t>
  </si>
  <si>
    <t>50,00%
15654,8</t>
  </si>
  <si>
    <t>100,00%
27083,10</t>
  </si>
  <si>
    <t>100,00%
33334,70</t>
  </si>
  <si>
    <t>50,00%
16667,4</t>
  </si>
  <si>
    <t>100,00%
4856,40</t>
  </si>
  <si>
    <t>100,00%
33991,75</t>
  </si>
  <si>
    <t>30,00%
10197,5</t>
  </si>
  <si>
    <t>20,00%
6798,35</t>
  </si>
  <si>
    <t>100,00%
29086,32</t>
  </si>
  <si>
    <t>20,00%
5817,26</t>
  </si>
  <si>
    <t>30,00%
8725,9</t>
  </si>
  <si>
    <t>100,00%
56129,43</t>
  </si>
  <si>
    <t>30,00%
16838,8</t>
  </si>
  <si>
    <t>20,00%
11225,9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</si>
</sst>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\ #,##0.00;\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5"/>
      <color rgb="FF000000"/>
      <name val="Calibri Light"/>
      <family val="2"/>
    </font>
    <font>
      <sz val="8"/>
      <color rgb="FF000000"/>
      <name val="Calibri Light"/>
      <family val="2"/>
    </font>
    <font>
      <b/>
      <sz val="10"/>
      <color rgb="FFFF0000"/>
      <name val="Times New Roman"/>
      <family val="1"/>
    </font>
    <font>
      <b/>
      <sz val="14"/>
      <name val="Calibri Light"/>
      <family val="2"/>
    </font>
    <font>
      <sz val="11"/>
      <color rgb="FF000000"/>
      <name val="Calibri Light"/>
      <family val="2"/>
    </font>
    <font>
      <b/>
      <sz val="11"/>
      <name val="Calibri Light"/>
      <family val="2"/>
    </font>
    <font>
      <b/>
      <sz val="11"/>
      <color rgb="FF000000"/>
      <name val="Calibri Light"/>
      <family val="2"/>
    </font>
    <font>
      <sz val="11"/>
      <name val="Calibri Light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19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/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10" fontId="4" fillId="0" borderId="1" xfId="0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4" fillId="2" borderId="1" xfId="0" applyFont="1" applyFill="1" applyBorder="1" applyAlignment="1">
      <alignment horizontal="right" vertical="top"/>
    </xf>
    <xf numFmtId="0" fontId="0" fillId="2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/>
    <xf numFmtId="2" fontId="0" fillId="0" borderId="0" xfId="0" applyNumberFormat="1"/>
    <xf numFmtId="0" fontId="7" fillId="0" borderId="1" xfId="0" applyFont="1" applyBorder="1" applyAlignment="1">
      <alignment horizontal="left" vertical="center" wrapText="1"/>
    </xf>
    <xf numFmtId="1" fontId="9" fillId="0" borderId="16" xfId="0" applyNumberFormat="1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1" fontId="9" fillId="0" borderId="18" xfId="0" applyNumberFormat="1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0" xfId="0" applyAlignment="1">
      <alignment horizontal="center"/>
    </xf>
    <xf numFmtId="0" fontId="1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5" borderId="14" xfId="0" applyFont="1" applyFill="1" applyBorder="1" applyAlignment="1">
      <alignment horizontal="center" vertical="top" wrapText="1"/>
    </xf>
    <xf numFmtId="0" fontId="8" fillId="5" borderId="14" xfId="0" applyFont="1" applyFill="1" applyBorder="1" applyAlignment="1">
      <alignment horizontal="left" vertical="top" wrapText="1"/>
    </xf>
    <xf numFmtId="0" fontId="8" fillId="5" borderId="15" xfId="0" applyFont="1" applyFill="1" applyBorder="1" applyAlignment="1">
      <alignment horizontal="center" vertical="top" wrapText="1"/>
    </xf>
    <xf numFmtId="4" fontId="9" fillId="5" borderId="1" xfId="0" applyNumberFormat="1" applyFont="1" applyFill="1" applyBorder="1" applyAlignment="1">
      <alignment horizontal="center" vertical="center" shrinkToFit="1"/>
    </xf>
    <xf numFmtId="10" fontId="5" fillId="5" borderId="1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/>
    <xf numFmtId="0" fontId="0" fillId="6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12" fillId="2" borderId="0" xfId="0" applyNumberFormat="1" applyFont="1" applyFill="1"/>
    <xf numFmtId="0" fontId="12" fillId="2" borderId="0" xfId="0" applyFont="1" applyFill="1"/>
    <xf numFmtId="0" fontId="12" fillId="0" borderId="0" xfId="0" applyFont="1"/>
    <xf numFmtId="0" fontId="12" fillId="0" borderId="0" xfId="0" applyFont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9" fillId="5" borderId="5" xfId="0" applyFont="1" applyFill="1" applyBorder="1" applyAlignment="1">
      <alignment horizontal="center" vertical="top"/>
    </xf>
    <xf numFmtId="0" fontId="9" fillId="5" borderId="8" xfId="0" applyFont="1" applyFill="1" applyBorder="1" applyAlignment="1">
      <alignment horizontal="center" vertical="top"/>
    </xf>
    <xf numFmtId="0" fontId="9" fillId="5" borderId="6" xfId="0" applyFont="1" applyFill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1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3" borderId="3" xfId="0" applyFont="1" applyFill="1" applyBorder="1" applyAlignment="1">
      <alignment horizontal="center" vertical="top" wrapText="1"/>
    </xf>
    <xf numFmtId="0" fontId="7" fillId="3" borderId="12" xfId="0" applyFont="1" applyFill="1" applyBorder="1" applyAlignment="1">
      <alignment horizontal="center" vertical="top"/>
    </xf>
    <xf numFmtId="0" fontId="7" fillId="3" borderId="2" xfId="0" applyFont="1" applyFill="1" applyBorder="1" applyAlignment="1">
      <alignment horizontal="center" vertical="top"/>
    </xf>
    <xf numFmtId="0" fontId="7" fillId="0" borderId="3" xfId="0" applyFont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12" xfId="0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 vertical="top"/>
    </xf>
    <xf numFmtId="0" fontId="8" fillId="5" borderId="1" xfId="0" applyFont="1" applyFill="1" applyBorder="1" applyAlignment="1">
      <alignment horizontal="center" vertical="center" wrapText="1"/>
    </xf>
    <xf numFmtId="2" fontId="9" fillId="5" borderId="1" xfId="0" applyNumberFormat="1" applyFont="1" applyFill="1" applyBorder="1" applyAlignment="1">
      <alignment horizontal="center" vertical="center"/>
    </xf>
    <xf numFmtId="2" fontId="9" fillId="5" borderId="3" xfId="0" applyNumberFormat="1" applyFont="1" applyFill="1" applyBorder="1" applyAlignment="1">
      <alignment horizontal="center" vertical="center"/>
    </xf>
    <xf numFmtId="2" fontId="9" fillId="5" borderId="12" xfId="0" applyNumberFormat="1" applyFont="1" applyFill="1" applyBorder="1" applyAlignment="1">
      <alignment horizontal="center" vertical="center"/>
    </xf>
    <xf numFmtId="2" fontId="9" fillId="5" borderId="2" xfId="0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/>
    </xf>
    <xf numFmtId="0" fontId="13" fillId="2" borderId="12" xfId="0" applyFont="1" applyFill="1" applyBorder="1" applyAlignment="1">
      <alignment horizontal="center"/>
    </xf>
    <xf numFmtId="0" fontId="13" fillId="2" borderId="12" xfId="0" applyFont="1" applyFill="1" applyBorder="1" applyAlignment="1">
      <alignment horizontal="center"/>
    </xf>
    <xf numFmtId="0" fontId="14" fillId="2" borderId="2" xfId="0" applyFont="1" applyFill="1" applyBorder="1"/>
    <xf numFmtId="0" fontId="13" fillId="5" borderId="1" xfId="0" applyFont="1" applyFill="1" applyBorder="1"/>
    <xf numFmtId="0" fontId="13" fillId="5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left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left" vertical="top" wrapText="1"/>
    </xf>
    <xf numFmtId="2" fontId="14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Fill="1" applyBorder="1" applyAlignment="1" applyProtection="1">
      <alignment horizontal="center" vertical="center" wrapText="1"/>
    </xf>
    <xf numFmtId="2" fontId="14" fillId="0" borderId="21" xfId="0" applyNumberFormat="1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19" xfId="0" applyFont="1" applyFill="1" applyBorder="1" applyAlignment="1" applyProtection="1">
      <alignment horizontal="center" vertical="center" wrapText="1"/>
    </xf>
    <xf numFmtId="0" fontId="15" fillId="2" borderId="19" xfId="0" applyFont="1" applyFill="1" applyBorder="1" applyAlignment="1" applyProtection="1">
      <alignment horizontal="left" vertical="top" wrapText="1"/>
    </xf>
    <xf numFmtId="0" fontId="15" fillId="0" borderId="28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left" vertical="center" wrapText="1"/>
    </xf>
    <xf numFmtId="2" fontId="14" fillId="5" borderId="1" xfId="0" applyNumberFormat="1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top" wrapText="1"/>
    </xf>
    <xf numFmtId="2" fontId="14" fillId="0" borderId="1" xfId="0" applyNumberFormat="1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 applyProtection="1">
      <alignment horizontal="center" vertical="center" wrapText="1"/>
    </xf>
    <xf numFmtId="0" fontId="15" fillId="2" borderId="29" xfId="0" applyFont="1" applyFill="1" applyBorder="1" applyAlignment="1" applyProtection="1">
      <alignment horizontal="left" vertical="top" wrapText="1"/>
    </xf>
    <xf numFmtId="0" fontId="14" fillId="0" borderId="0" xfId="0" applyFont="1" applyAlignment="1">
      <alignment horizontal="center" vertical="center"/>
    </xf>
    <xf numFmtId="4" fontId="15" fillId="0" borderId="19" xfId="0" applyNumberFormat="1" applyFont="1" applyFill="1" applyBorder="1" applyAlignment="1" applyProtection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left" vertical="top" wrapText="1"/>
    </xf>
    <xf numFmtId="2" fontId="14" fillId="2" borderId="1" xfId="0" applyNumberFormat="1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left" vertical="top" wrapText="1"/>
    </xf>
    <xf numFmtId="0" fontId="14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vertical="top" wrapText="1"/>
    </xf>
    <xf numFmtId="0" fontId="14" fillId="0" borderId="2" xfId="0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center" vertical="center"/>
    </xf>
    <xf numFmtId="2" fontId="14" fillId="5" borderId="1" xfId="0" applyNumberFormat="1" applyFont="1" applyFill="1" applyBorder="1" applyAlignment="1" applyProtection="1">
      <alignment horizontal="center" vertical="center" wrapText="1"/>
    </xf>
    <xf numFmtId="2" fontId="2" fillId="5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 applyProtection="1">
      <alignment vertical="top" wrapText="1"/>
    </xf>
    <xf numFmtId="0" fontId="2" fillId="2" borderId="1" xfId="0" applyFont="1" applyFill="1" applyBorder="1" applyAlignment="1">
      <alignment horizontal="center" vertical="center"/>
    </xf>
    <xf numFmtId="2" fontId="14" fillId="2" borderId="1" xfId="0" applyNumberFormat="1" applyFont="1" applyFill="1" applyBorder="1" applyAlignment="1">
      <alignment horizontal="center" vertical="center" wrapText="1"/>
    </xf>
    <xf numFmtId="2" fontId="16" fillId="2" borderId="1" xfId="0" applyNumberFormat="1" applyFont="1" applyFill="1" applyBorder="1" applyAlignment="1">
      <alignment horizontal="center" vertical="center" wrapText="1"/>
    </xf>
    <xf numFmtId="164" fontId="14" fillId="0" borderId="0" xfId="0" applyNumberFormat="1" applyFont="1" applyAlignment="1">
      <alignment horizontal="center" vertical="center"/>
    </xf>
    <xf numFmtId="0" fontId="15" fillId="2" borderId="1" xfId="0" applyFont="1" applyFill="1" applyBorder="1" applyAlignment="1" applyProtection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2" fontId="15" fillId="0" borderId="2" xfId="0" applyNumberFormat="1" applyFont="1" applyFill="1" applyBorder="1" applyAlignment="1" applyProtection="1">
      <alignment horizontal="center" vertical="center" wrapText="1"/>
    </xf>
    <xf numFmtId="2" fontId="2" fillId="5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vertical="top" wrapText="1"/>
    </xf>
    <xf numFmtId="0" fontId="15" fillId="0" borderId="3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vertical="top" wrapText="1"/>
    </xf>
    <xf numFmtId="0" fontId="2" fillId="0" borderId="3" xfId="0" applyFont="1" applyBorder="1" applyAlignment="1">
      <alignment horizontal="center" vertical="center"/>
    </xf>
    <xf numFmtId="0" fontId="14" fillId="2" borderId="0" xfId="0" applyFont="1" applyFill="1" applyAlignment="1">
      <alignment vertical="top" wrapText="1"/>
    </xf>
    <xf numFmtId="0" fontId="14" fillId="2" borderId="2" xfId="0" applyFont="1" applyFill="1" applyBorder="1" applyAlignment="1">
      <alignment vertical="top" wrapText="1"/>
    </xf>
    <xf numFmtId="0" fontId="15" fillId="0" borderId="27" xfId="0" applyFont="1" applyFill="1" applyBorder="1" applyAlignment="1" applyProtection="1">
      <alignment horizontal="center" vertical="center" wrapText="1"/>
    </xf>
    <xf numFmtId="0" fontId="15" fillId="2" borderId="20" xfId="0" applyFont="1" applyFill="1" applyBorder="1" applyAlignment="1" applyProtection="1">
      <alignment vertical="top" wrapText="1"/>
    </xf>
    <xf numFmtId="0" fontId="14" fillId="0" borderId="26" xfId="0" applyFont="1" applyFill="1" applyBorder="1" applyAlignment="1" applyProtection="1">
      <alignment horizontal="center" vertical="center" wrapText="1"/>
    </xf>
    <xf numFmtId="2" fontId="14" fillId="0" borderId="26" xfId="0" applyNumberFormat="1" applyFont="1" applyFill="1" applyBorder="1" applyAlignment="1" applyProtection="1">
      <alignment horizontal="center" vertical="center" wrapText="1"/>
    </xf>
    <xf numFmtId="2" fontId="15" fillId="0" borderId="26" xfId="0" applyNumberFormat="1" applyFont="1" applyFill="1" applyBorder="1" applyAlignment="1" applyProtection="1">
      <alignment horizontal="center" vertical="center" wrapText="1"/>
    </xf>
    <xf numFmtId="0" fontId="15" fillId="0" borderId="23" xfId="0" applyFont="1" applyFill="1" applyBorder="1" applyAlignment="1" applyProtection="1">
      <alignment horizontal="center" vertical="center" wrapText="1"/>
    </xf>
    <xf numFmtId="0" fontId="15" fillId="2" borderId="24" xfId="0" applyFont="1" applyFill="1" applyBorder="1" applyAlignment="1" applyProtection="1">
      <alignment vertical="top" wrapText="1"/>
    </xf>
    <xf numFmtId="0" fontId="14" fillId="0" borderId="25" xfId="0" applyFont="1" applyFill="1" applyBorder="1" applyAlignment="1" applyProtection="1">
      <alignment horizontal="center" vertical="center" wrapText="1"/>
    </xf>
    <xf numFmtId="2" fontId="14" fillId="0" borderId="25" xfId="0" applyNumberFormat="1" applyFont="1" applyFill="1" applyBorder="1" applyAlignment="1" applyProtection="1">
      <alignment horizontal="center" vertical="center" wrapText="1"/>
    </xf>
    <xf numFmtId="2" fontId="15" fillId="0" borderId="23" xfId="0" applyNumberFormat="1" applyFont="1" applyFill="1" applyBorder="1" applyAlignment="1" applyProtection="1">
      <alignment horizontal="center" vertical="center" wrapText="1"/>
    </xf>
    <xf numFmtId="2" fontId="14" fillId="0" borderId="21" xfId="0" applyNumberFormat="1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0" fontId="14" fillId="2" borderId="1" xfId="0" applyFont="1" applyFill="1" applyBorder="1" applyAlignment="1" applyProtection="1">
      <alignment vertical="top" wrapText="1"/>
    </xf>
    <xf numFmtId="2" fontId="15" fillId="0" borderId="20" xfId="0" applyNumberFormat="1" applyFont="1" applyFill="1" applyBorder="1" applyAlignment="1" applyProtection="1">
      <alignment horizontal="center" vertical="center" wrapText="1"/>
    </xf>
    <xf numFmtId="2" fontId="14" fillId="0" borderId="3" xfId="0" applyNumberFormat="1" applyFont="1" applyBorder="1" applyAlignment="1">
      <alignment horizontal="center" vertical="center"/>
    </xf>
    <xf numFmtId="0" fontId="14" fillId="2" borderId="3" xfId="0" applyFont="1" applyFill="1" applyBorder="1" applyAlignment="1">
      <alignment vertical="top" wrapText="1"/>
    </xf>
    <xf numFmtId="164" fontId="14" fillId="0" borderId="1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 applyProtection="1">
      <alignment horizontal="left" vertical="center" wrapText="1"/>
    </xf>
    <xf numFmtId="2" fontId="14" fillId="0" borderId="0" xfId="0" applyNumberFormat="1" applyFont="1" applyFill="1" applyBorder="1" applyAlignment="1" applyProtection="1">
      <alignment horizontal="center" vertical="center" wrapText="1"/>
    </xf>
    <xf numFmtId="2" fontId="15" fillId="0" borderId="0" xfId="0" applyNumberFormat="1" applyFont="1" applyFill="1" applyBorder="1" applyAlignment="1" applyProtection="1">
      <alignment horizontal="center" vertical="center" wrapText="1"/>
    </xf>
    <xf numFmtId="2" fontId="13" fillId="4" borderId="1" xfId="0" applyNumberFormat="1" applyFont="1" applyFill="1" applyBorder="1" applyAlignment="1" applyProtection="1">
      <alignment horizontal="center" vertical="center" wrapText="1"/>
    </xf>
    <xf numFmtId="10" fontId="14" fillId="4" borderId="13" xfId="3" applyNumberFormat="1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2" fontId="17" fillId="0" borderId="0" xfId="0" applyNumberFormat="1" applyFont="1"/>
    <xf numFmtId="2" fontId="13" fillId="5" borderId="1" xfId="0" applyNumberFormat="1" applyFont="1" applyFill="1" applyBorder="1"/>
    <xf numFmtId="2" fontId="13" fillId="5" borderId="13" xfId="0" applyNumberFormat="1" applyFont="1" applyFill="1" applyBorder="1"/>
    <xf numFmtId="2" fontId="13" fillId="5" borderId="13" xfId="0" applyNumberFormat="1" applyFont="1" applyFill="1" applyBorder="1" applyAlignment="1">
      <alignment horizontal="center"/>
    </xf>
    <xf numFmtId="0" fontId="14" fillId="5" borderId="1" xfId="0" applyFont="1" applyFill="1" applyBorder="1" applyAlignment="1">
      <alignment horizontal="left"/>
    </xf>
    <xf numFmtId="0" fontId="14" fillId="0" borderId="1" xfId="0" applyFont="1" applyBorder="1"/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Porcentagem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393488</xdr:colOff>
      <xdr:row>3</xdr:row>
      <xdr:rowOff>0</xdr:rowOff>
    </xdr:to>
    <xdr:pic>
      <xdr:nvPicPr>
        <xdr:cNvPr id="2" name="image2.jpg">
          <a:extLst>
            <a:ext uri="{FF2B5EF4-FFF2-40B4-BE49-F238E27FC236}">
              <a16:creationId xmlns:a16="http://schemas.microsoft.com/office/drawing/2014/main" id="{594682B1-090D-496C-9903-610B2AB4C55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0"/>
          <a:ext cx="1871382" cy="605118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784860</xdr:colOff>
      <xdr:row>2</xdr:row>
      <xdr:rowOff>7620</xdr:rowOff>
    </xdr:to>
    <xdr:pic>
      <xdr:nvPicPr>
        <xdr:cNvPr id="2" name="image2.jpg">
          <a:extLst>
            <a:ext uri="{FF2B5EF4-FFF2-40B4-BE49-F238E27FC236}">
              <a16:creationId xmlns:a16="http://schemas.microsoft.com/office/drawing/2014/main" id="{20F4C047-1B0A-4EBC-A2DE-AFD5851839C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0"/>
          <a:ext cx="1394459" cy="419100"/>
        </a:xfrm>
        <a:prstGeom prst="rect">
          <a:avLst/>
        </a:prstGeom>
        <a:ln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1242061</xdr:colOff>
      <xdr:row>2</xdr:row>
      <xdr:rowOff>45720</xdr:rowOff>
    </xdr:to>
    <xdr:pic>
      <xdr:nvPicPr>
        <xdr:cNvPr id="2" name="image2.jpg">
          <a:extLst>
            <a:ext uri="{FF2B5EF4-FFF2-40B4-BE49-F238E27FC236}">
              <a16:creationId xmlns:a16="http://schemas.microsoft.com/office/drawing/2014/main" id="{2806D70D-43F3-4AB4-BACF-16FAC6C10A5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0"/>
          <a:ext cx="1242060" cy="411480"/>
        </a:xfrm>
        <a:prstGeom prst="rect">
          <a:avLst/>
        </a:prstGeom>
        <a:ln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91440</xdr:colOff>
      <xdr:row>31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AFB1F86-6C31-459F-A06A-BE0694085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968240" cy="5669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01"/>
  <sheetViews>
    <sheetView tabSelected="1" topLeftCell="A4" zoomScale="70" zoomScaleNormal="70" workbookViewId="0">
      <selection activeCell="E94" sqref="E94"/>
    </sheetView>
  </sheetViews>
  <sheetFormatPr defaultRowHeight="14.4" x14ac:dyDescent="0.3"/>
  <cols>
    <col min="1" max="1" width="10.6640625" customWidth="1"/>
    <col min="2" max="2" width="10.77734375" bestFit="1" customWidth="1"/>
    <col min="3" max="3" width="6.5546875" customWidth="1"/>
    <col min="4" max="4" width="104.88671875" bestFit="1" customWidth="1"/>
    <col min="5" max="5" width="11.33203125" customWidth="1"/>
    <col min="6" max="6" width="15.88671875" customWidth="1"/>
    <col min="7" max="7" width="20.21875" customWidth="1"/>
    <col min="8" max="8" width="21" bestFit="1" customWidth="1"/>
    <col min="9" max="9" width="24.6640625" customWidth="1"/>
    <col min="10" max="10" width="7.77734375" customWidth="1"/>
    <col min="11" max="11" width="10.77734375" hidden="1" customWidth="1"/>
    <col min="12" max="12" width="13.33203125" hidden="1" customWidth="1"/>
    <col min="13" max="13" width="11.33203125" hidden="1" customWidth="1"/>
    <col min="14" max="31" width="8.88671875" hidden="1" customWidth="1"/>
  </cols>
  <sheetData>
    <row r="1" spans="1:14" ht="15.6" customHeight="1" x14ac:dyDescent="0.3">
      <c r="A1" s="88" t="s">
        <v>233</v>
      </c>
      <c r="B1" s="89"/>
      <c r="C1" s="89"/>
      <c r="D1" s="89"/>
      <c r="E1" s="89"/>
      <c r="F1" s="89"/>
      <c r="G1" s="89"/>
      <c r="H1" s="89"/>
      <c r="I1" s="90"/>
    </row>
    <row r="2" spans="1:14" ht="15.6" customHeight="1" x14ac:dyDescent="0.3">
      <c r="A2" s="91"/>
      <c r="B2" s="92"/>
      <c r="C2" s="92"/>
      <c r="D2" s="92"/>
      <c r="E2" s="92"/>
      <c r="F2" s="92"/>
      <c r="G2" s="92"/>
      <c r="H2" s="92"/>
      <c r="I2" s="93"/>
    </row>
    <row r="3" spans="1:14" ht="15.6" customHeight="1" x14ac:dyDescent="0.3">
      <c r="A3" s="94"/>
      <c r="B3" s="95"/>
      <c r="C3" s="95"/>
      <c r="D3" s="95"/>
      <c r="E3" s="95"/>
      <c r="F3" s="95"/>
      <c r="G3" s="95"/>
      <c r="H3" s="95"/>
      <c r="I3" s="96"/>
    </row>
    <row r="4" spans="1:14" x14ac:dyDescent="0.3">
      <c r="A4" s="97" t="s">
        <v>51</v>
      </c>
      <c r="B4" s="98"/>
      <c r="C4" s="98"/>
      <c r="D4" s="98"/>
      <c r="E4" s="98"/>
      <c r="F4" s="98"/>
      <c r="G4" s="98"/>
      <c r="H4" s="99"/>
      <c r="I4" s="100"/>
    </row>
    <row r="5" spans="1:14" ht="22.2" customHeight="1" x14ac:dyDescent="0.3">
      <c r="A5" s="101" t="s">
        <v>0</v>
      </c>
      <c r="B5" s="101" t="s">
        <v>3</v>
      </c>
      <c r="C5" s="101" t="s">
        <v>1</v>
      </c>
      <c r="D5" s="101" t="s">
        <v>2</v>
      </c>
      <c r="E5" s="101" t="s">
        <v>4</v>
      </c>
      <c r="F5" s="101" t="s">
        <v>5</v>
      </c>
      <c r="G5" s="101" t="s">
        <v>52</v>
      </c>
      <c r="H5" s="102" t="s">
        <v>8</v>
      </c>
      <c r="I5" s="102" t="s">
        <v>9</v>
      </c>
    </row>
    <row r="6" spans="1:14" x14ac:dyDescent="0.3">
      <c r="A6" s="103"/>
      <c r="B6" s="103"/>
      <c r="C6" s="103"/>
      <c r="D6" s="103"/>
      <c r="E6" s="103"/>
      <c r="F6" s="103"/>
      <c r="G6" s="103"/>
      <c r="H6" s="103"/>
      <c r="I6" s="103"/>
      <c r="J6" s="1"/>
    </row>
    <row r="7" spans="1:14" ht="20.399999999999999" customHeight="1" x14ac:dyDescent="0.3">
      <c r="A7" s="104"/>
      <c r="B7" s="104"/>
      <c r="C7" s="102" t="s">
        <v>17</v>
      </c>
      <c r="D7" s="105" t="s">
        <v>13</v>
      </c>
      <c r="E7" s="104"/>
      <c r="F7" s="104"/>
      <c r="G7" s="104"/>
      <c r="H7" s="104"/>
      <c r="I7" s="104"/>
      <c r="J7" s="1"/>
    </row>
    <row r="8" spans="1:14" ht="25.2" customHeight="1" x14ac:dyDescent="0.3">
      <c r="A8" s="106" t="s">
        <v>14</v>
      </c>
      <c r="B8" s="107" t="s">
        <v>113</v>
      </c>
      <c r="C8" s="106" t="s">
        <v>18</v>
      </c>
      <c r="D8" s="108" t="s">
        <v>114</v>
      </c>
      <c r="E8" s="107" t="s">
        <v>11</v>
      </c>
      <c r="F8" s="109">
        <f>N93</f>
        <v>9.3918900000000001</v>
      </c>
      <c r="G8" s="110">
        <v>68.84</v>
      </c>
      <c r="H8" s="111">
        <f>G8*(1+(23.67/100))</f>
        <v>85.134428</v>
      </c>
      <c r="I8" s="109">
        <f>H8*F8</f>
        <v>799.57318298892005</v>
      </c>
      <c r="J8" s="29"/>
      <c r="K8" s="49">
        <f>SUM(I8:I12)</f>
        <v>13735.97546267892</v>
      </c>
      <c r="L8" s="49"/>
      <c r="M8" s="50"/>
    </row>
    <row r="9" spans="1:14" ht="28.8" customHeight="1" x14ac:dyDescent="0.3">
      <c r="A9" s="106" t="s">
        <v>14</v>
      </c>
      <c r="B9" s="107" t="s">
        <v>250</v>
      </c>
      <c r="C9" s="106" t="s">
        <v>115</v>
      </c>
      <c r="D9" s="108" t="s">
        <v>251</v>
      </c>
      <c r="E9" s="106" t="s">
        <v>7</v>
      </c>
      <c r="F9" s="112">
        <v>192.89</v>
      </c>
      <c r="G9" s="110">
        <v>13.77</v>
      </c>
      <c r="H9" s="111">
        <f>G9*(1+(23.67/100))</f>
        <v>17.029358999999999</v>
      </c>
      <c r="I9" s="109">
        <f>H9*F9</f>
        <v>3284.7930575099995</v>
      </c>
      <c r="J9" s="44"/>
      <c r="K9" s="49"/>
      <c r="L9" s="49"/>
      <c r="M9" s="50"/>
    </row>
    <row r="10" spans="1:14" ht="25.2" customHeight="1" x14ac:dyDescent="0.3">
      <c r="A10" s="106" t="s">
        <v>14</v>
      </c>
      <c r="B10" s="113" t="s">
        <v>270</v>
      </c>
      <c r="C10" s="106" t="s">
        <v>252</v>
      </c>
      <c r="D10" s="114" t="s">
        <v>271</v>
      </c>
      <c r="E10" s="115" t="s">
        <v>7</v>
      </c>
      <c r="F10" s="106">
        <f>'memória de cálculo'!D7</f>
        <v>836.46000000000015</v>
      </c>
      <c r="G10" s="110">
        <v>8.1</v>
      </c>
      <c r="H10" s="111">
        <f t="shared" ref="H10:H12" si="0">G10*(1+(23.67/100))</f>
        <v>10.017269999999998</v>
      </c>
      <c r="I10" s="109">
        <f t="shared" ref="I10:I12" si="1">H10*F10</f>
        <v>8379.0456642000008</v>
      </c>
      <c r="J10" s="47"/>
      <c r="K10" s="49"/>
      <c r="L10" s="49"/>
      <c r="M10" s="50"/>
    </row>
    <row r="11" spans="1:14" ht="25.8" customHeight="1" x14ac:dyDescent="0.3">
      <c r="A11" s="106" t="s">
        <v>14</v>
      </c>
      <c r="B11" s="113" t="s">
        <v>272</v>
      </c>
      <c r="C11" s="106" t="s">
        <v>274</v>
      </c>
      <c r="D11" s="114" t="s">
        <v>273</v>
      </c>
      <c r="E11" s="115" t="s">
        <v>7</v>
      </c>
      <c r="F11" s="109">
        <f>(F68+F70+F71+F73+F75+F76)-(2*1.68+3*1.89+3*0.96+4*0.32+6.05+3.79)</f>
        <v>12.140000000000004</v>
      </c>
      <c r="G11" s="110">
        <v>18.36</v>
      </c>
      <c r="H11" s="111">
        <f t="shared" si="0"/>
        <v>22.705811999999998</v>
      </c>
      <c r="I11" s="109">
        <f t="shared" si="1"/>
        <v>275.64855768000007</v>
      </c>
      <c r="J11" s="47"/>
      <c r="K11" s="49"/>
      <c r="L11" s="49"/>
      <c r="M11" s="50"/>
    </row>
    <row r="12" spans="1:14" ht="31.2" customHeight="1" x14ac:dyDescent="0.3">
      <c r="A12" s="106" t="s">
        <v>6</v>
      </c>
      <c r="B12" s="106" t="s">
        <v>194</v>
      </c>
      <c r="C12" s="106" t="s">
        <v>275</v>
      </c>
      <c r="D12" s="116" t="s">
        <v>195</v>
      </c>
      <c r="E12" s="106" t="s">
        <v>7</v>
      </c>
      <c r="F12" s="109">
        <f>8.76+9.5+13.92</f>
        <v>32.18</v>
      </c>
      <c r="G12" s="117">
        <v>25.05</v>
      </c>
      <c r="H12" s="111">
        <f t="shared" si="0"/>
        <v>30.979334999999999</v>
      </c>
      <c r="I12" s="109">
        <f t="shared" si="1"/>
        <v>996.91500029999997</v>
      </c>
      <c r="J12" s="33"/>
      <c r="K12" s="49"/>
      <c r="L12" s="49"/>
      <c r="M12" s="50"/>
    </row>
    <row r="13" spans="1:14" x14ac:dyDescent="0.3">
      <c r="A13" s="118"/>
      <c r="B13" s="118"/>
      <c r="C13" s="119" t="s">
        <v>19</v>
      </c>
      <c r="D13" s="120" t="s">
        <v>12</v>
      </c>
      <c r="E13" s="118"/>
      <c r="F13" s="121"/>
      <c r="G13" s="121"/>
      <c r="H13" s="121"/>
      <c r="I13" s="121"/>
      <c r="J13" s="1"/>
      <c r="K13" s="50"/>
      <c r="L13" s="50"/>
      <c r="M13" s="50"/>
    </row>
    <row r="14" spans="1:14" ht="40.200000000000003" customHeight="1" x14ac:dyDescent="0.3">
      <c r="A14" s="122" t="s">
        <v>6</v>
      </c>
      <c r="B14" s="106" t="s">
        <v>32</v>
      </c>
      <c r="C14" s="123" t="s">
        <v>20</v>
      </c>
      <c r="D14" s="124" t="s">
        <v>33</v>
      </c>
      <c r="E14" s="106" t="s">
        <v>7</v>
      </c>
      <c r="F14" s="109">
        <f>'memória de cálculo'!B6</f>
        <v>393.09999999999997</v>
      </c>
      <c r="G14" s="109">
        <v>39.880000000000003</v>
      </c>
      <c r="H14" s="125">
        <f>G14*(1+(23.67/100))</f>
        <v>49.319595999999997</v>
      </c>
      <c r="I14" s="109">
        <f t="shared" ref="I14:I37" si="2">H14*F14</f>
        <v>19387.533187599998</v>
      </c>
      <c r="J14" s="1"/>
      <c r="K14" s="49">
        <f>SUM(I14:I19)</f>
        <v>60382.716705327475</v>
      </c>
      <c r="L14" s="49"/>
      <c r="M14" s="50"/>
    </row>
    <row r="15" spans="1:14" ht="36.6" customHeight="1" x14ac:dyDescent="0.3">
      <c r="A15" s="122" t="s">
        <v>6</v>
      </c>
      <c r="B15" s="106" t="s">
        <v>197</v>
      </c>
      <c r="C15" s="123" t="s">
        <v>193</v>
      </c>
      <c r="D15" s="116" t="s">
        <v>198</v>
      </c>
      <c r="E15" s="106" t="s">
        <v>11</v>
      </c>
      <c r="F15" s="109">
        <f>15*0.1*1.5+2.83*2.83*0.1</f>
        <v>3.0508899999999999</v>
      </c>
      <c r="G15" s="117">
        <v>826.56</v>
      </c>
      <c r="H15" s="125">
        <f>G15*(1+(23.67/100))</f>
        <v>1022.2067519999998</v>
      </c>
      <c r="I15" s="109">
        <f t="shared" si="2"/>
        <v>3118.6403576092794</v>
      </c>
      <c r="J15" s="34"/>
      <c r="K15" s="49"/>
      <c r="L15" s="49"/>
      <c r="M15" s="50"/>
    </row>
    <row r="16" spans="1:14" ht="42" customHeight="1" x14ac:dyDescent="0.3">
      <c r="A16" s="106" t="s">
        <v>6</v>
      </c>
      <c r="B16" s="106" t="s">
        <v>191</v>
      </c>
      <c r="C16" s="123" t="s">
        <v>294</v>
      </c>
      <c r="D16" s="116" t="s">
        <v>192</v>
      </c>
      <c r="E16" s="106" t="s">
        <v>7</v>
      </c>
      <c r="F16" s="109">
        <f>N16</f>
        <v>197.31599999999997</v>
      </c>
      <c r="G16" s="117">
        <v>70.83</v>
      </c>
      <c r="H16" s="111">
        <f t="shared" ref="H16:H19" si="3">G16*(1+(23.67/100))</f>
        <v>87.595460999999986</v>
      </c>
      <c r="I16" s="109">
        <f>H16*F16</f>
        <v>17283.985982675997</v>
      </c>
      <c r="J16" s="33"/>
      <c r="K16" s="50"/>
      <c r="L16" s="49"/>
      <c r="M16" s="50"/>
      <c r="N16" s="51">
        <f>31.96*2*0.6+31.44*2*0.6+31.43*2*0.6+13.92*2*3</f>
        <v>197.31599999999997</v>
      </c>
    </row>
    <row r="17" spans="1:13" ht="30.6" customHeight="1" x14ac:dyDescent="0.3">
      <c r="A17" s="106" t="s">
        <v>6</v>
      </c>
      <c r="B17" s="106" t="s">
        <v>217</v>
      </c>
      <c r="C17" s="123" t="s">
        <v>295</v>
      </c>
      <c r="D17" s="116" t="s">
        <v>218</v>
      </c>
      <c r="E17" s="106" t="s">
        <v>15</v>
      </c>
      <c r="F17" s="109">
        <f>'memória de cálculo'!B5</f>
        <v>101.66000000000001</v>
      </c>
      <c r="G17" s="117">
        <v>8.39</v>
      </c>
      <c r="H17" s="111">
        <f t="shared" si="3"/>
        <v>10.375913000000001</v>
      </c>
      <c r="I17" s="109">
        <f>H17*F17</f>
        <v>1054.8153155800001</v>
      </c>
      <c r="J17" s="34"/>
      <c r="K17" s="50"/>
      <c r="L17" s="49"/>
      <c r="M17" s="50"/>
    </row>
    <row r="18" spans="1:13" ht="30.6" customHeight="1" x14ac:dyDescent="0.3">
      <c r="A18" s="126" t="s">
        <v>14</v>
      </c>
      <c r="B18" s="107" t="s">
        <v>104</v>
      </c>
      <c r="C18" s="123" t="s">
        <v>93</v>
      </c>
      <c r="D18" s="108" t="s">
        <v>105</v>
      </c>
      <c r="E18" s="107" t="s">
        <v>7</v>
      </c>
      <c r="F18" s="125">
        <f>0.6*9.54+0.6*3.96+1.5*0.1*2+2.8*0.1*2</f>
        <v>8.9600000000000009</v>
      </c>
      <c r="G18" s="110">
        <v>132.07</v>
      </c>
      <c r="H18" s="125">
        <f t="shared" si="3"/>
        <v>163.33096899999998</v>
      </c>
      <c r="I18" s="109">
        <f>H18*F18</f>
        <v>1463.44548224</v>
      </c>
      <c r="J18" s="31"/>
      <c r="K18" s="50"/>
      <c r="L18" s="49"/>
      <c r="M18" s="50"/>
    </row>
    <row r="19" spans="1:13" ht="42" customHeight="1" x14ac:dyDescent="0.3">
      <c r="A19" s="106" t="s">
        <v>6</v>
      </c>
      <c r="B19" s="106" t="s">
        <v>111</v>
      </c>
      <c r="C19" s="123" t="s">
        <v>110</v>
      </c>
      <c r="D19" s="116" t="s">
        <v>112</v>
      </c>
      <c r="E19" s="106" t="s">
        <v>7</v>
      </c>
      <c r="F19" s="125">
        <f>'memória de cálculo'!C4</f>
        <v>219.41060000000002</v>
      </c>
      <c r="G19" s="117">
        <v>66.61</v>
      </c>
      <c r="H19" s="125">
        <f t="shared" si="3"/>
        <v>82.376586999999986</v>
      </c>
      <c r="I19" s="109">
        <f>H19*F19</f>
        <v>18074.296379622199</v>
      </c>
      <c r="J19" s="29"/>
      <c r="K19" s="50"/>
      <c r="L19" s="49"/>
      <c r="M19" s="50"/>
    </row>
    <row r="20" spans="1:13" x14ac:dyDescent="0.3">
      <c r="A20" s="118"/>
      <c r="B20" s="118"/>
      <c r="C20" s="119" t="s">
        <v>23</v>
      </c>
      <c r="D20" s="120" t="s">
        <v>201</v>
      </c>
      <c r="E20" s="118"/>
      <c r="F20" s="121"/>
      <c r="G20" s="121"/>
      <c r="H20" s="121"/>
      <c r="I20" s="121"/>
      <c r="J20" s="1"/>
      <c r="K20" s="50"/>
      <c r="L20" s="50"/>
      <c r="M20" s="50"/>
    </row>
    <row r="21" spans="1:13" ht="33" customHeight="1" x14ac:dyDescent="0.3">
      <c r="A21" s="123" t="s">
        <v>14</v>
      </c>
      <c r="B21" s="127" t="s">
        <v>276</v>
      </c>
      <c r="C21" s="106" t="s">
        <v>24</v>
      </c>
      <c r="D21" s="128" t="s">
        <v>277</v>
      </c>
      <c r="E21" s="113" t="s">
        <v>11</v>
      </c>
      <c r="F21" s="129">
        <f>'memória de cálculo'!F26</f>
        <v>2.2956000000000003</v>
      </c>
      <c r="G21" s="130">
        <v>576.30999999999995</v>
      </c>
      <c r="H21" s="125">
        <f t="shared" ref="H21:H37" si="4">G21*(1+(23.67/100))</f>
        <v>712.72257699999989</v>
      </c>
      <c r="I21" s="109">
        <f t="shared" si="2"/>
        <v>1636.1259477612</v>
      </c>
      <c r="J21" s="48"/>
      <c r="K21" s="50"/>
      <c r="L21" s="50"/>
      <c r="M21" s="50"/>
    </row>
    <row r="22" spans="1:13" ht="43.2" customHeight="1" x14ac:dyDescent="0.3">
      <c r="A22" s="106" t="s">
        <v>6</v>
      </c>
      <c r="B22" s="131" t="s">
        <v>34</v>
      </c>
      <c r="C22" s="106" t="s">
        <v>49</v>
      </c>
      <c r="D22" s="132" t="s">
        <v>35</v>
      </c>
      <c r="E22" s="106" t="s">
        <v>11</v>
      </c>
      <c r="F22" s="133">
        <f>'memória de cálculo'!D25</f>
        <v>5.6891999999999996</v>
      </c>
      <c r="G22" s="133">
        <v>1063.02</v>
      </c>
      <c r="H22" s="125">
        <f t="shared" si="4"/>
        <v>1314.6368339999999</v>
      </c>
      <c r="I22" s="109">
        <f t="shared" si="2"/>
        <v>7479.2318759927994</v>
      </c>
      <c r="J22" s="1"/>
      <c r="K22" s="49">
        <f>SUM(I21:I24)</f>
        <v>31347.439394373898</v>
      </c>
      <c r="L22" s="50"/>
      <c r="M22" s="50"/>
    </row>
    <row r="23" spans="1:13" ht="28.2" customHeight="1" x14ac:dyDescent="0.3">
      <c r="A23" s="106" t="s">
        <v>6</v>
      </c>
      <c r="B23" s="131" t="s">
        <v>36</v>
      </c>
      <c r="C23" s="106" t="s">
        <v>50</v>
      </c>
      <c r="D23" s="132" t="s">
        <v>37</v>
      </c>
      <c r="E23" s="106" t="s">
        <v>38</v>
      </c>
      <c r="F23" s="109">
        <f>'memória de cálculo'!D24</f>
        <v>111.06610000000001</v>
      </c>
      <c r="G23" s="109">
        <v>11.43</v>
      </c>
      <c r="H23" s="125">
        <f t="shared" si="4"/>
        <v>14.135480999999999</v>
      </c>
      <c r="I23" s="109">
        <f t="shared" si="2"/>
        <v>1569.9727462941</v>
      </c>
      <c r="J23" s="1"/>
      <c r="K23" s="50"/>
      <c r="L23" s="49"/>
      <c r="M23" s="50"/>
    </row>
    <row r="24" spans="1:13" ht="39.6" customHeight="1" x14ac:dyDescent="0.3">
      <c r="A24" s="106" t="s">
        <v>6</v>
      </c>
      <c r="B24" s="131" t="s">
        <v>39</v>
      </c>
      <c r="C24" s="106" t="s">
        <v>293</v>
      </c>
      <c r="D24" s="132" t="s">
        <v>40</v>
      </c>
      <c r="E24" s="106" t="s">
        <v>7</v>
      </c>
      <c r="F24" s="109">
        <f>'memória de cálculo'!F28</f>
        <v>243.51339999999999</v>
      </c>
      <c r="G24" s="109">
        <v>68.61</v>
      </c>
      <c r="H24" s="125">
        <f t="shared" si="4"/>
        <v>84.849986999999999</v>
      </c>
      <c r="I24" s="109">
        <f t="shared" si="2"/>
        <v>20662.108824325798</v>
      </c>
      <c r="J24" s="1"/>
      <c r="K24" s="50"/>
      <c r="L24" s="50"/>
      <c r="M24" s="50"/>
    </row>
    <row r="25" spans="1:13" x14ac:dyDescent="0.3">
      <c r="A25" s="118"/>
      <c r="B25" s="118"/>
      <c r="C25" s="119" t="s">
        <v>25</v>
      </c>
      <c r="D25" s="134" t="s">
        <v>28</v>
      </c>
      <c r="E25" s="118"/>
      <c r="F25" s="121"/>
      <c r="G25" s="121"/>
      <c r="H25" s="121"/>
      <c r="I25" s="121"/>
      <c r="J25" s="1"/>
      <c r="K25" s="50"/>
      <c r="L25" s="50"/>
      <c r="M25" s="50"/>
    </row>
    <row r="26" spans="1:13" ht="27" customHeight="1" x14ac:dyDescent="0.3">
      <c r="A26" s="106" t="s">
        <v>6</v>
      </c>
      <c r="B26" s="106" t="s">
        <v>41</v>
      </c>
      <c r="C26" s="135" t="s">
        <v>22</v>
      </c>
      <c r="D26" s="124" t="s">
        <v>42</v>
      </c>
      <c r="E26" s="135" t="s">
        <v>7</v>
      </c>
      <c r="F26" s="109">
        <f>F29*0.4</f>
        <v>508.34400000000005</v>
      </c>
      <c r="G26" s="109">
        <v>4.1100000000000003</v>
      </c>
      <c r="H26" s="125">
        <f t="shared" si="4"/>
        <v>5.0828369999999996</v>
      </c>
      <c r="I26" s="109">
        <f t="shared" si="2"/>
        <v>2583.8296919280001</v>
      </c>
      <c r="J26" s="1"/>
      <c r="K26" s="50"/>
      <c r="L26" s="50"/>
      <c r="M26" s="50"/>
    </row>
    <row r="27" spans="1:13" ht="36.6" customHeight="1" x14ac:dyDescent="0.3">
      <c r="A27" s="106" t="s">
        <v>6</v>
      </c>
      <c r="B27" s="136" t="s">
        <v>228</v>
      </c>
      <c r="C27" s="135" t="s">
        <v>26</v>
      </c>
      <c r="D27" s="116" t="s">
        <v>229</v>
      </c>
      <c r="E27" s="106" t="s">
        <v>7</v>
      </c>
      <c r="F27" s="109">
        <f>'memória de cálculo'!C8</f>
        <v>35.700000000000003</v>
      </c>
      <c r="G27" s="117">
        <v>25.57</v>
      </c>
      <c r="H27" s="125">
        <f t="shared" si="4"/>
        <v>31.622418999999997</v>
      </c>
      <c r="I27" s="109">
        <f t="shared" si="2"/>
        <v>1128.9203583000001</v>
      </c>
      <c r="J27" s="31"/>
      <c r="K27" s="50"/>
      <c r="L27" s="50"/>
      <c r="M27" s="50"/>
    </row>
    <row r="28" spans="1:13" ht="37.799999999999997" customHeight="1" x14ac:dyDescent="0.3">
      <c r="A28" s="106" t="s">
        <v>6</v>
      </c>
      <c r="B28" s="137" t="s">
        <v>177</v>
      </c>
      <c r="C28" s="135" t="s">
        <v>176</v>
      </c>
      <c r="D28" s="116" t="s">
        <v>178</v>
      </c>
      <c r="E28" s="106" t="s">
        <v>7</v>
      </c>
      <c r="F28" s="109">
        <f>'memória de cálculo'!D27</f>
        <v>32.292600000000007</v>
      </c>
      <c r="G28" s="117">
        <v>28.07</v>
      </c>
      <c r="H28" s="125">
        <f t="shared" si="4"/>
        <v>34.714168999999998</v>
      </c>
      <c r="I28" s="109">
        <f t="shared" si="2"/>
        <v>1121.0107738494003</v>
      </c>
      <c r="J28" s="31"/>
      <c r="K28" s="50"/>
      <c r="L28" s="50"/>
      <c r="M28" s="50"/>
    </row>
    <row r="29" spans="1:13" ht="43.2" customHeight="1" x14ac:dyDescent="0.3">
      <c r="A29" s="106" t="s">
        <v>6</v>
      </c>
      <c r="B29" s="106" t="s">
        <v>10</v>
      </c>
      <c r="C29" s="135" t="s">
        <v>179</v>
      </c>
      <c r="D29" s="124" t="s">
        <v>43</v>
      </c>
      <c r="E29" s="106" t="s">
        <v>7</v>
      </c>
      <c r="F29" s="109">
        <f>'memória de cálculo'!B7</f>
        <v>1270.8600000000001</v>
      </c>
      <c r="G29" s="109">
        <v>14.22</v>
      </c>
      <c r="H29" s="125">
        <f t="shared" si="4"/>
        <v>17.585874</v>
      </c>
      <c r="I29" s="109">
        <f t="shared" si="2"/>
        <v>22349.183831640003</v>
      </c>
      <c r="J29" s="1"/>
      <c r="K29" s="49">
        <f>SUM(I26:I29)</f>
        <v>27182.944655717401</v>
      </c>
      <c r="L29" s="49"/>
      <c r="M29" s="50"/>
    </row>
    <row r="30" spans="1:13" x14ac:dyDescent="0.3">
      <c r="A30" s="118"/>
      <c r="B30" s="118"/>
      <c r="C30" s="119" t="s">
        <v>27</v>
      </c>
      <c r="D30" s="120" t="s">
        <v>94</v>
      </c>
      <c r="E30" s="118"/>
      <c r="F30" s="121"/>
      <c r="G30" s="121"/>
      <c r="H30" s="121"/>
      <c r="I30" s="121"/>
      <c r="J30" s="1"/>
      <c r="K30" s="50"/>
      <c r="L30" s="50"/>
      <c r="M30" s="50"/>
    </row>
    <row r="31" spans="1:13" ht="38.4" customHeight="1" x14ac:dyDescent="0.3">
      <c r="A31" s="106" t="s">
        <v>6</v>
      </c>
      <c r="B31" s="106" t="s">
        <v>44</v>
      </c>
      <c r="C31" s="106" t="s">
        <v>21</v>
      </c>
      <c r="D31" s="138" t="s">
        <v>45</v>
      </c>
      <c r="E31" s="139" t="s">
        <v>15</v>
      </c>
      <c r="F31" s="109">
        <v>8</v>
      </c>
      <c r="G31" s="109">
        <v>96.21</v>
      </c>
      <c r="H31" s="125">
        <f t="shared" si="4"/>
        <v>118.98290699999998</v>
      </c>
      <c r="I31" s="109">
        <f t="shared" si="2"/>
        <v>951.86325599999986</v>
      </c>
      <c r="J31" s="1"/>
      <c r="K31" s="49">
        <f>SUM(I31:I35)</f>
        <v>33531.248522050388</v>
      </c>
      <c r="L31" s="50"/>
      <c r="M31" s="50"/>
    </row>
    <row r="32" spans="1:13" ht="41.4" customHeight="1" x14ac:dyDescent="0.3">
      <c r="A32" s="106" t="s">
        <v>6</v>
      </c>
      <c r="B32" s="137" t="s">
        <v>91</v>
      </c>
      <c r="C32" s="106" t="s">
        <v>258</v>
      </c>
      <c r="D32" s="116" t="s">
        <v>92</v>
      </c>
      <c r="E32" s="139" t="s">
        <v>7</v>
      </c>
      <c r="F32" s="109">
        <f>'memória de cálculo'!D10</f>
        <v>75.251999999999995</v>
      </c>
      <c r="G32" s="140">
        <v>81.3</v>
      </c>
      <c r="H32" s="125">
        <f t="shared" si="4"/>
        <v>100.54370999999999</v>
      </c>
      <c r="I32" s="109">
        <f t="shared" si="2"/>
        <v>7566.1152649199985</v>
      </c>
      <c r="J32" s="25"/>
      <c r="K32" s="50"/>
      <c r="L32" s="50"/>
      <c r="M32" s="50"/>
    </row>
    <row r="33" spans="1:13" ht="26.4" x14ac:dyDescent="0.3">
      <c r="A33" s="106" t="s">
        <v>6</v>
      </c>
      <c r="B33" s="137">
        <v>94207</v>
      </c>
      <c r="C33" s="106" t="s">
        <v>259</v>
      </c>
      <c r="D33" s="138" t="s">
        <v>254</v>
      </c>
      <c r="E33" s="139" t="s">
        <v>7</v>
      </c>
      <c r="F33" s="109">
        <f>'memória de cálculo'!B11</f>
        <v>278.44959999999992</v>
      </c>
      <c r="G33" s="117">
        <v>60.72</v>
      </c>
      <c r="H33" s="125">
        <f t="shared" si="4"/>
        <v>75.092423999999994</v>
      </c>
      <c r="I33" s="109">
        <f t="shared" si="2"/>
        <v>20909.455425830391</v>
      </c>
      <c r="J33" s="33"/>
      <c r="K33" s="50"/>
      <c r="L33" s="50"/>
      <c r="M33" s="50"/>
    </row>
    <row r="34" spans="1:13" ht="26.4" x14ac:dyDescent="0.3">
      <c r="A34" s="106" t="s">
        <v>6</v>
      </c>
      <c r="B34" s="137">
        <v>92543</v>
      </c>
      <c r="C34" s="106" t="s">
        <v>53</v>
      </c>
      <c r="D34" s="138" t="s">
        <v>255</v>
      </c>
      <c r="E34" s="139" t="s">
        <v>7</v>
      </c>
      <c r="F34" s="117">
        <f>'memória de cálculo'!D12</f>
        <v>86.88</v>
      </c>
      <c r="G34" s="129">
        <v>22.38</v>
      </c>
      <c r="H34" s="125">
        <f t="shared" si="4"/>
        <v>27.677345999999996</v>
      </c>
      <c r="I34" s="109">
        <f t="shared" si="2"/>
        <v>2404.6078204799996</v>
      </c>
      <c r="J34" s="34"/>
      <c r="K34" s="50"/>
      <c r="L34" s="50"/>
      <c r="M34" s="50"/>
    </row>
    <row r="35" spans="1:13" ht="41.4" customHeight="1" x14ac:dyDescent="0.3">
      <c r="A35" s="106" t="s">
        <v>6</v>
      </c>
      <c r="B35" s="137">
        <v>94229</v>
      </c>
      <c r="C35" s="106" t="s">
        <v>54</v>
      </c>
      <c r="D35" s="138" t="s">
        <v>257</v>
      </c>
      <c r="E35" s="129" t="s">
        <v>15</v>
      </c>
      <c r="F35" s="109">
        <v>8.2899999999999991</v>
      </c>
      <c r="G35" s="117">
        <v>165.74</v>
      </c>
      <c r="H35" s="125">
        <f t="shared" si="4"/>
        <v>204.97065799999999</v>
      </c>
      <c r="I35" s="109">
        <f t="shared" si="2"/>
        <v>1699.2067548199998</v>
      </c>
      <c r="J35" s="35"/>
      <c r="K35" s="50"/>
      <c r="L35" s="50"/>
      <c r="M35" s="50"/>
    </row>
    <row r="36" spans="1:13" x14ac:dyDescent="0.3">
      <c r="A36" s="118"/>
      <c r="B36" s="118"/>
      <c r="C36" s="119" t="s">
        <v>29</v>
      </c>
      <c r="D36" s="120" t="s">
        <v>96</v>
      </c>
      <c r="E36" s="118"/>
      <c r="F36" s="121"/>
      <c r="G36" s="121"/>
      <c r="H36" s="121"/>
      <c r="I36" s="121"/>
      <c r="J36" s="1"/>
      <c r="K36" s="50"/>
      <c r="L36" s="50"/>
      <c r="M36" s="50"/>
    </row>
    <row r="37" spans="1:13" ht="38.4" customHeight="1" x14ac:dyDescent="0.3">
      <c r="A37" s="106" t="s">
        <v>6</v>
      </c>
      <c r="B37" s="137" t="s">
        <v>82</v>
      </c>
      <c r="C37" s="123" t="s">
        <v>81</v>
      </c>
      <c r="D37" s="141" t="s">
        <v>83</v>
      </c>
      <c r="E37" s="106" t="s">
        <v>15</v>
      </c>
      <c r="F37" s="125">
        <f>'memória de cálculo'!D13+F38</f>
        <v>96.00800000000001</v>
      </c>
      <c r="G37" s="117">
        <v>17.920000000000002</v>
      </c>
      <c r="H37" s="125">
        <f t="shared" si="4"/>
        <v>22.161664000000002</v>
      </c>
      <c r="I37" s="109">
        <f t="shared" si="2"/>
        <v>2127.6970373120002</v>
      </c>
      <c r="J37" s="25"/>
      <c r="K37" s="49">
        <f>SUM(I37:I43)</f>
        <v>4856.3987882419997</v>
      </c>
      <c r="L37" s="50"/>
      <c r="M37" s="50"/>
    </row>
    <row r="38" spans="1:13" ht="42" customHeight="1" x14ac:dyDescent="0.3">
      <c r="A38" s="106" t="s">
        <v>6</v>
      </c>
      <c r="B38" s="137" t="s">
        <v>86</v>
      </c>
      <c r="C38" s="123" t="s">
        <v>30</v>
      </c>
      <c r="D38" s="141" t="s">
        <v>87</v>
      </c>
      <c r="E38" s="106" t="s">
        <v>15</v>
      </c>
      <c r="F38" s="125">
        <f>35+2.1*10</f>
        <v>56</v>
      </c>
      <c r="G38" s="125">
        <v>5.54</v>
      </c>
      <c r="H38" s="125">
        <f>G38*(1+(23.67/100))</f>
        <v>6.8513179999999991</v>
      </c>
      <c r="I38" s="109">
        <f>H38*F38</f>
        <v>383.67380799999995</v>
      </c>
      <c r="J38" s="27"/>
      <c r="K38" s="50"/>
      <c r="L38" s="50"/>
      <c r="M38" s="50"/>
    </row>
    <row r="39" spans="1:13" ht="48" customHeight="1" x14ac:dyDescent="0.3">
      <c r="A39" s="106" t="s">
        <v>6</v>
      </c>
      <c r="B39" s="106">
        <v>92027</v>
      </c>
      <c r="C39" s="123" t="s">
        <v>291</v>
      </c>
      <c r="D39" s="141" t="s">
        <v>88</v>
      </c>
      <c r="E39" s="106" t="s">
        <v>16</v>
      </c>
      <c r="F39" s="109">
        <v>6</v>
      </c>
      <c r="G39" s="117">
        <v>73.53</v>
      </c>
      <c r="H39" s="125">
        <f>G39*(1+(23.67/100))</f>
        <v>90.934550999999999</v>
      </c>
      <c r="I39" s="109">
        <f>H39*F39</f>
        <v>545.60730599999999</v>
      </c>
      <c r="J39" s="27"/>
      <c r="K39" s="50"/>
      <c r="L39" s="50"/>
      <c r="M39" s="50"/>
    </row>
    <row r="40" spans="1:13" ht="41.4" customHeight="1" x14ac:dyDescent="0.3">
      <c r="A40" s="106" t="s">
        <v>6</v>
      </c>
      <c r="B40" s="137" t="s">
        <v>98</v>
      </c>
      <c r="C40" s="123" t="s">
        <v>55</v>
      </c>
      <c r="D40" s="141" t="s">
        <v>99</v>
      </c>
      <c r="E40" s="106" t="s">
        <v>16</v>
      </c>
      <c r="F40" s="109">
        <v>3</v>
      </c>
      <c r="G40" s="117">
        <v>52</v>
      </c>
      <c r="H40" s="125">
        <f>G40*(1+(23.67/100))</f>
        <v>64.308399999999992</v>
      </c>
      <c r="I40" s="109">
        <f>H40*F40</f>
        <v>192.92519999999996</v>
      </c>
      <c r="J40" s="28"/>
      <c r="K40" s="50"/>
      <c r="L40" s="50"/>
      <c r="M40" s="50"/>
    </row>
    <row r="41" spans="1:13" ht="42" customHeight="1" x14ac:dyDescent="0.3">
      <c r="A41" s="106" t="s">
        <v>6</v>
      </c>
      <c r="B41" s="137" t="s">
        <v>89</v>
      </c>
      <c r="C41" s="123" t="s">
        <v>56</v>
      </c>
      <c r="D41" s="141" t="s">
        <v>90</v>
      </c>
      <c r="E41" s="106" t="s">
        <v>16</v>
      </c>
      <c r="F41" s="109">
        <v>10</v>
      </c>
      <c r="G41" s="117">
        <v>61.97</v>
      </c>
      <c r="H41" s="125">
        <f>G41*(1+(23.67/100))</f>
        <v>76.638298999999989</v>
      </c>
      <c r="I41" s="109">
        <f>H41*F41</f>
        <v>766.38298999999984</v>
      </c>
      <c r="J41" s="27"/>
      <c r="K41" s="50"/>
      <c r="L41" s="50"/>
      <c r="M41" s="50"/>
    </row>
    <row r="42" spans="1:13" ht="52.8" customHeight="1" x14ac:dyDescent="0.3">
      <c r="A42" s="106" t="s">
        <v>6</v>
      </c>
      <c r="B42" s="112">
        <v>103782</v>
      </c>
      <c r="C42" s="123" t="s">
        <v>57</v>
      </c>
      <c r="D42" s="138" t="s">
        <v>261</v>
      </c>
      <c r="E42" s="106" t="s">
        <v>16</v>
      </c>
      <c r="F42" s="109">
        <v>17</v>
      </c>
      <c r="G42" s="110">
        <v>31.04</v>
      </c>
      <c r="H42" s="125">
        <f t="shared" ref="H42" si="5">G42*(1+(23.67/100))</f>
        <v>38.387167999999996</v>
      </c>
      <c r="I42" s="109">
        <f t="shared" ref="I42" si="6">H42*F42</f>
        <v>652.5818559999999</v>
      </c>
      <c r="J42" s="31"/>
      <c r="K42" s="50"/>
      <c r="L42" s="50"/>
      <c r="M42" s="50"/>
    </row>
    <row r="43" spans="1:13" ht="52.8" customHeight="1" x14ac:dyDescent="0.3">
      <c r="A43" s="106" t="s">
        <v>6</v>
      </c>
      <c r="B43" s="137" t="s">
        <v>84</v>
      </c>
      <c r="C43" s="123" t="s">
        <v>292</v>
      </c>
      <c r="D43" s="141" t="s">
        <v>85</v>
      </c>
      <c r="E43" s="106" t="s">
        <v>15</v>
      </c>
      <c r="F43" s="125">
        <v>40.01</v>
      </c>
      <c r="G43" s="117">
        <v>3.79</v>
      </c>
      <c r="H43" s="125">
        <f>G43*(1+(23.67/100))</f>
        <v>4.687093</v>
      </c>
      <c r="I43" s="109">
        <f>H43*F43</f>
        <v>187.53059092999999</v>
      </c>
      <c r="J43" s="29"/>
      <c r="K43" s="50"/>
      <c r="L43" s="50"/>
      <c r="M43" s="50"/>
    </row>
    <row r="44" spans="1:13" ht="24" customHeight="1" x14ac:dyDescent="0.3">
      <c r="A44" s="118"/>
      <c r="B44" s="142"/>
      <c r="C44" s="119" t="s">
        <v>95</v>
      </c>
      <c r="D44" s="120" t="s">
        <v>121</v>
      </c>
      <c r="E44" s="118"/>
      <c r="F44" s="143"/>
      <c r="G44" s="144"/>
      <c r="H44" s="143"/>
      <c r="I44" s="121"/>
      <c r="J44" s="29"/>
      <c r="K44" s="50"/>
      <c r="L44" s="50"/>
      <c r="M44" s="50"/>
    </row>
    <row r="45" spans="1:13" ht="39" customHeight="1" x14ac:dyDescent="0.3">
      <c r="A45" s="122" t="s">
        <v>14</v>
      </c>
      <c r="B45" s="112" t="s">
        <v>202</v>
      </c>
      <c r="C45" s="106" t="s">
        <v>97</v>
      </c>
      <c r="D45" s="145" t="s">
        <v>203</v>
      </c>
      <c r="E45" s="107" t="s">
        <v>7</v>
      </c>
      <c r="F45" s="109">
        <f>2.01*0.5+1.5*0.65+1.2*0.61+1.7*6+1.2*0.6+1.87*0.6+1.27*0.6+0.92*2*0.55</f>
        <v>16.527999999999999</v>
      </c>
      <c r="G45" s="110">
        <v>302.19</v>
      </c>
      <c r="H45" s="125">
        <f>G45*(1+(23.67/100))</f>
        <v>373.71837299999999</v>
      </c>
      <c r="I45" s="109">
        <f>H45*F45</f>
        <v>6176.8172689439989</v>
      </c>
      <c r="J45" s="29"/>
      <c r="K45" s="50"/>
      <c r="L45" s="50"/>
      <c r="M45" s="50"/>
    </row>
    <row r="46" spans="1:13" ht="28.8" customHeight="1" x14ac:dyDescent="0.3">
      <c r="A46" s="122" t="s">
        <v>14</v>
      </c>
      <c r="B46" s="112" t="s">
        <v>204</v>
      </c>
      <c r="C46" s="106" t="s">
        <v>208</v>
      </c>
      <c r="D46" s="145" t="s">
        <v>205</v>
      </c>
      <c r="E46" s="107" t="s">
        <v>16</v>
      </c>
      <c r="F46" s="109">
        <v>1</v>
      </c>
      <c r="G46" s="110">
        <v>753.94</v>
      </c>
      <c r="H46" s="125">
        <f t="shared" ref="H46:H47" si="7">G46*(1+(23.67/100))</f>
        <v>932.39759800000002</v>
      </c>
      <c r="I46" s="109">
        <f t="shared" ref="I46:I47" si="8">H46*F46</f>
        <v>932.39759800000002</v>
      </c>
      <c r="J46" s="34"/>
      <c r="K46" s="50"/>
      <c r="L46" s="50"/>
      <c r="M46" s="50"/>
    </row>
    <row r="47" spans="1:13" ht="34.799999999999997" customHeight="1" x14ac:dyDescent="0.3">
      <c r="A47" s="106" t="s">
        <v>6</v>
      </c>
      <c r="B47" s="146" t="s">
        <v>206</v>
      </c>
      <c r="C47" s="106" t="s">
        <v>288</v>
      </c>
      <c r="D47" s="141" t="s">
        <v>207</v>
      </c>
      <c r="E47" s="106" t="s">
        <v>16</v>
      </c>
      <c r="F47" s="109">
        <v>2</v>
      </c>
      <c r="G47" s="117">
        <v>125.83</v>
      </c>
      <c r="H47" s="125">
        <f t="shared" si="7"/>
        <v>155.61396099999999</v>
      </c>
      <c r="I47" s="109">
        <f t="shared" si="8"/>
        <v>311.22792199999998</v>
      </c>
      <c r="J47" s="34"/>
      <c r="K47" s="50"/>
      <c r="L47" s="50"/>
      <c r="M47" s="50"/>
    </row>
    <row r="48" spans="1:13" ht="30" customHeight="1" x14ac:dyDescent="0.3">
      <c r="A48" s="106" t="s">
        <v>6</v>
      </c>
      <c r="B48" s="146" t="s">
        <v>127</v>
      </c>
      <c r="C48" s="106" t="s">
        <v>209</v>
      </c>
      <c r="D48" s="141" t="s">
        <v>128</v>
      </c>
      <c r="E48" s="106" t="s">
        <v>16</v>
      </c>
      <c r="F48" s="109">
        <v>4</v>
      </c>
      <c r="G48" s="117">
        <v>521.91999999999996</v>
      </c>
      <c r="H48" s="147">
        <f t="shared" ref="H48:H68" si="9">G48*(1+(23.67/100))</f>
        <v>645.45846399999994</v>
      </c>
      <c r="I48" s="148">
        <f t="shared" ref="I48:I66" si="10">H48*F48</f>
        <v>2581.8338559999997</v>
      </c>
      <c r="J48" s="30"/>
      <c r="K48" s="49">
        <f>SUM(I45:I66)</f>
        <v>33991.351216165996</v>
      </c>
      <c r="L48" s="50"/>
      <c r="M48" s="50"/>
    </row>
    <row r="49" spans="1:13" ht="43.2" customHeight="1" x14ac:dyDescent="0.3">
      <c r="A49" s="106" t="s">
        <v>6</v>
      </c>
      <c r="B49" s="146">
        <v>93441</v>
      </c>
      <c r="C49" s="106" t="s">
        <v>210</v>
      </c>
      <c r="D49" s="138" t="s">
        <v>262</v>
      </c>
      <c r="E49" s="106" t="s">
        <v>16</v>
      </c>
      <c r="F49" s="109">
        <v>6</v>
      </c>
      <c r="G49" s="149">
        <v>1371.75</v>
      </c>
      <c r="H49" s="147">
        <f t="shared" si="9"/>
        <v>1696.443225</v>
      </c>
      <c r="I49" s="148">
        <f t="shared" si="10"/>
        <v>10178.65935</v>
      </c>
      <c r="J49" s="30"/>
      <c r="K49" s="50"/>
      <c r="L49" s="50"/>
      <c r="M49" s="50"/>
    </row>
    <row r="50" spans="1:13" ht="40.200000000000003" customHeight="1" x14ac:dyDescent="0.3">
      <c r="A50" s="106" t="s">
        <v>6</v>
      </c>
      <c r="B50" s="146" t="s">
        <v>129</v>
      </c>
      <c r="C50" s="106" t="s">
        <v>289</v>
      </c>
      <c r="D50" s="141" t="s">
        <v>130</v>
      </c>
      <c r="E50" s="106" t="s">
        <v>16</v>
      </c>
      <c r="F50" s="109">
        <v>4</v>
      </c>
      <c r="G50" s="117">
        <v>44.8</v>
      </c>
      <c r="H50" s="147">
        <f t="shared" si="9"/>
        <v>55.40415999999999</v>
      </c>
      <c r="I50" s="148">
        <f t="shared" si="10"/>
        <v>221.61663999999996</v>
      </c>
      <c r="J50" s="30"/>
      <c r="K50" s="50"/>
      <c r="L50" s="50"/>
      <c r="M50" s="50"/>
    </row>
    <row r="51" spans="1:13" ht="40.200000000000003" customHeight="1" x14ac:dyDescent="0.3">
      <c r="A51" s="106" t="s">
        <v>6</v>
      </c>
      <c r="B51" s="146" t="s">
        <v>131</v>
      </c>
      <c r="C51" s="106" t="s">
        <v>157</v>
      </c>
      <c r="D51" s="141" t="s">
        <v>132</v>
      </c>
      <c r="E51" s="106" t="s">
        <v>16</v>
      </c>
      <c r="F51" s="109">
        <v>4</v>
      </c>
      <c r="G51" s="117">
        <v>82.55</v>
      </c>
      <c r="H51" s="147">
        <f t="shared" si="9"/>
        <v>102.08958499999999</v>
      </c>
      <c r="I51" s="148">
        <f t="shared" si="10"/>
        <v>408.35833999999994</v>
      </c>
      <c r="J51" s="30"/>
      <c r="K51" s="50"/>
      <c r="L51" s="50"/>
      <c r="M51" s="50"/>
    </row>
    <row r="52" spans="1:13" ht="40.200000000000003" customHeight="1" x14ac:dyDescent="0.3">
      <c r="A52" s="106" t="s">
        <v>6</v>
      </c>
      <c r="B52" s="146" t="s">
        <v>133</v>
      </c>
      <c r="C52" s="106" t="s">
        <v>158</v>
      </c>
      <c r="D52" s="141" t="s">
        <v>134</v>
      </c>
      <c r="E52" s="106" t="s">
        <v>16</v>
      </c>
      <c r="F52" s="109">
        <v>4</v>
      </c>
      <c r="G52" s="117">
        <v>17.05</v>
      </c>
      <c r="H52" s="147">
        <f t="shared" si="9"/>
        <v>21.085735</v>
      </c>
      <c r="I52" s="148">
        <f t="shared" si="10"/>
        <v>84.342939999999999</v>
      </c>
      <c r="J52" s="30"/>
      <c r="K52" s="50"/>
      <c r="L52" s="50"/>
      <c r="M52" s="50"/>
    </row>
    <row r="53" spans="1:13" ht="26.4" customHeight="1" x14ac:dyDescent="0.3">
      <c r="A53" s="106" t="s">
        <v>6</v>
      </c>
      <c r="B53" s="146" t="s">
        <v>135</v>
      </c>
      <c r="C53" s="106" t="s">
        <v>159</v>
      </c>
      <c r="D53" s="141" t="s">
        <v>136</v>
      </c>
      <c r="E53" s="106" t="s">
        <v>16</v>
      </c>
      <c r="F53" s="109">
        <v>1</v>
      </c>
      <c r="G53" s="117">
        <v>66.42</v>
      </c>
      <c r="H53" s="147">
        <f t="shared" si="9"/>
        <v>82.14161399999999</v>
      </c>
      <c r="I53" s="148">
        <f t="shared" si="10"/>
        <v>82.14161399999999</v>
      </c>
      <c r="J53" s="30"/>
      <c r="K53" s="50"/>
      <c r="L53" s="50"/>
      <c r="M53" s="50"/>
    </row>
    <row r="54" spans="1:13" ht="27.6" customHeight="1" x14ac:dyDescent="0.3">
      <c r="A54" s="106" t="s">
        <v>6</v>
      </c>
      <c r="B54" s="146" t="s">
        <v>137</v>
      </c>
      <c r="C54" s="106" t="s">
        <v>160</v>
      </c>
      <c r="D54" s="141" t="s">
        <v>138</v>
      </c>
      <c r="E54" s="106" t="s">
        <v>16</v>
      </c>
      <c r="F54" s="109">
        <v>4</v>
      </c>
      <c r="G54" s="117">
        <v>109.76</v>
      </c>
      <c r="H54" s="147">
        <f t="shared" si="9"/>
        <v>135.74019200000001</v>
      </c>
      <c r="I54" s="148">
        <f t="shared" si="10"/>
        <v>542.96076800000003</v>
      </c>
      <c r="J54" s="30"/>
      <c r="K54" s="50"/>
      <c r="L54" s="50"/>
      <c r="M54" s="50"/>
    </row>
    <row r="55" spans="1:13" ht="30" customHeight="1" x14ac:dyDescent="0.3">
      <c r="A55" s="126" t="s">
        <v>14</v>
      </c>
      <c r="B55" s="150" t="s">
        <v>139</v>
      </c>
      <c r="C55" s="106" t="s">
        <v>161</v>
      </c>
      <c r="D55" s="145" t="s">
        <v>140</v>
      </c>
      <c r="E55" s="107" t="s">
        <v>15</v>
      </c>
      <c r="F55" s="109">
        <f>4.2*4*2+7+15</f>
        <v>55.6</v>
      </c>
      <c r="G55" s="110">
        <v>44.59</v>
      </c>
      <c r="H55" s="147">
        <f t="shared" si="9"/>
        <v>55.144452999999999</v>
      </c>
      <c r="I55" s="148">
        <f t="shared" si="10"/>
        <v>3066.0315867999998</v>
      </c>
      <c r="J55" s="31"/>
      <c r="K55" s="50"/>
      <c r="L55" s="50"/>
      <c r="M55" s="50"/>
    </row>
    <row r="56" spans="1:13" ht="32.4" customHeight="1" x14ac:dyDescent="0.3">
      <c r="A56" s="126" t="s">
        <v>14</v>
      </c>
      <c r="B56" s="150" t="s">
        <v>141</v>
      </c>
      <c r="C56" s="106" t="s">
        <v>162</v>
      </c>
      <c r="D56" s="145" t="s">
        <v>173</v>
      </c>
      <c r="E56" s="107" t="s">
        <v>15</v>
      </c>
      <c r="F56" s="109">
        <v>69.900000000000006</v>
      </c>
      <c r="G56" s="110">
        <v>19.100000000000001</v>
      </c>
      <c r="H56" s="147">
        <f t="shared" si="9"/>
        <v>23.62097</v>
      </c>
      <c r="I56" s="148">
        <f t="shared" si="10"/>
        <v>1651.1058030000002</v>
      </c>
      <c r="J56" s="31"/>
      <c r="K56" s="50"/>
      <c r="L56" s="50"/>
      <c r="M56" s="50"/>
    </row>
    <row r="57" spans="1:13" ht="34.200000000000003" customHeight="1" x14ac:dyDescent="0.3">
      <c r="A57" s="126" t="s">
        <v>14</v>
      </c>
      <c r="B57" s="150" t="s">
        <v>142</v>
      </c>
      <c r="C57" s="106" t="s">
        <v>163</v>
      </c>
      <c r="D57" s="145" t="s">
        <v>143</v>
      </c>
      <c r="E57" s="107" t="s">
        <v>15</v>
      </c>
      <c r="F57" s="109">
        <f>'memória de cálculo'!B15</f>
        <v>51.326000000000001</v>
      </c>
      <c r="G57" s="110">
        <v>25.91</v>
      </c>
      <c r="H57" s="147">
        <f t="shared" si="9"/>
        <v>32.042896999999996</v>
      </c>
      <c r="I57" s="148">
        <f t="shared" si="10"/>
        <v>1644.6337314219998</v>
      </c>
      <c r="J57" s="31"/>
      <c r="K57" s="50"/>
      <c r="L57" s="50"/>
      <c r="M57" s="50"/>
    </row>
    <row r="58" spans="1:13" ht="25.8" customHeight="1" x14ac:dyDescent="0.3">
      <c r="A58" s="126" t="s">
        <v>14</v>
      </c>
      <c r="B58" s="150" t="s">
        <v>144</v>
      </c>
      <c r="C58" s="106" t="s">
        <v>164</v>
      </c>
      <c r="D58" s="145" t="s">
        <v>145</v>
      </c>
      <c r="E58" s="107" t="s">
        <v>16</v>
      </c>
      <c r="F58" s="109">
        <v>6</v>
      </c>
      <c r="G58" s="110">
        <v>11.08</v>
      </c>
      <c r="H58" s="147">
        <f t="shared" si="9"/>
        <v>13.702635999999998</v>
      </c>
      <c r="I58" s="148">
        <f t="shared" si="10"/>
        <v>82.21581599999999</v>
      </c>
      <c r="J58" s="31"/>
      <c r="K58" s="50"/>
      <c r="L58" s="50"/>
      <c r="M58" s="50"/>
    </row>
    <row r="59" spans="1:13" ht="40.200000000000003" customHeight="1" x14ac:dyDescent="0.3">
      <c r="A59" s="126" t="s">
        <v>14</v>
      </c>
      <c r="B59" s="150" t="s">
        <v>146</v>
      </c>
      <c r="C59" s="106" t="s">
        <v>165</v>
      </c>
      <c r="D59" s="145" t="s">
        <v>147</v>
      </c>
      <c r="E59" s="107" t="s">
        <v>16</v>
      </c>
      <c r="F59" s="151">
        <v>6</v>
      </c>
      <c r="G59" s="110">
        <v>38.85</v>
      </c>
      <c r="H59" s="147">
        <f t="shared" si="9"/>
        <v>48.045794999999998</v>
      </c>
      <c r="I59" s="148">
        <f t="shared" si="10"/>
        <v>288.27476999999999</v>
      </c>
      <c r="J59" s="31"/>
      <c r="K59" s="50"/>
      <c r="L59" s="50"/>
      <c r="M59" s="50"/>
    </row>
    <row r="60" spans="1:13" ht="25.8" customHeight="1" x14ac:dyDescent="0.3">
      <c r="A60" s="126" t="s">
        <v>14</v>
      </c>
      <c r="B60" s="150" t="s">
        <v>155</v>
      </c>
      <c r="C60" s="106" t="s">
        <v>166</v>
      </c>
      <c r="D60" s="145" t="s">
        <v>156</v>
      </c>
      <c r="E60" s="107" t="s">
        <v>16</v>
      </c>
      <c r="F60" s="151">
        <v>24</v>
      </c>
      <c r="G60" s="110">
        <v>17.149999999999999</v>
      </c>
      <c r="H60" s="147">
        <f t="shared" si="9"/>
        <v>21.209404999999997</v>
      </c>
      <c r="I60" s="148">
        <f t="shared" si="10"/>
        <v>509.02571999999992</v>
      </c>
      <c r="J60" s="31"/>
      <c r="K60" s="50"/>
      <c r="L60" s="50"/>
      <c r="M60" s="50"/>
    </row>
    <row r="61" spans="1:13" ht="32.4" customHeight="1" x14ac:dyDescent="0.3">
      <c r="A61" s="126" t="s">
        <v>14</v>
      </c>
      <c r="B61" s="150" t="s">
        <v>148</v>
      </c>
      <c r="C61" s="106" t="s">
        <v>167</v>
      </c>
      <c r="D61" s="145" t="s">
        <v>149</v>
      </c>
      <c r="E61" s="107" t="s">
        <v>16</v>
      </c>
      <c r="F61" s="151">
        <v>22</v>
      </c>
      <c r="G61" s="110">
        <v>12.65</v>
      </c>
      <c r="H61" s="147">
        <f t="shared" si="9"/>
        <v>15.644254999999999</v>
      </c>
      <c r="I61" s="148">
        <f t="shared" si="10"/>
        <v>344.17361</v>
      </c>
      <c r="J61" s="31"/>
      <c r="K61" s="50"/>
      <c r="L61" s="50"/>
      <c r="M61" s="50"/>
    </row>
    <row r="62" spans="1:13" ht="40.200000000000003" customHeight="1" x14ac:dyDescent="0.3">
      <c r="A62" s="106" t="s">
        <v>6</v>
      </c>
      <c r="B62" s="152">
        <v>89482</v>
      </c>
      <c r="C62" s="106" t="s">
        <v>168</v>
      </c>
      <c r="D62" s="141" t="s">
        <v>150</v>
      </c>
      <c r="E62" s="106" t="s">
        <v>16</v>
      </c>
      <c r="F62" s="125">
        <v>5</v>
      </c>
      <c r="G62" s="117">
        <v>37.65</v>
      </c>
      <c r="H62" s="147">
        <f t="shared" si="9"/>
        <v>46.561754999999998</v>
      </c>
      <c r="I62" s="148">
        <f t="shared" si="10"/>
        <v>232.808775</v>
      </c>
      <c r="J62" s="31"/>
      <c r="K62" s="50"/>
      <c r="L62" s="50"/>
      <c r="M62" s="50"/>
    </row>
    <row r="63" spans="1:13" ht="40.200000000000003" customHeight="1" x14ac:dyDescent="0.3">
      <c r="A63" s="126" t="s">
        <v>14</v>
      </c>
      <c r="B63" s="150" t="s">
        <v>151</v>
      </c>
      <c r="C63" s="106" t="s">
        <v>169</v>
      </c>
      <c r="D63" s="145" t="s">
        <v>152</v>
      </c>
      <c r="E63" s="107" t="s">
        <v>16</v>
      </c>
      <c r="F63" s="125">
        <v>3</v>
      </c>
      <c r="G63" s="110">
        <v>80.31</v>
      </c>
      <c r="H63" s="147">
        <f t="shared" si="9"/>
        <v>99.319376999999989</v>
      </c>
      <c r="I63" s="148">
        <f t="shared" si="10"/>
        <v>297.95813099999998</v>
      </c>
      <c r="J63" s="31"/>
      <c r="K63" s="50"/>
      <c r="L63" s="50"/>
      <c r="M63" s="50"/>
    </row>
    <row r="64" spans="1:13" ht="30" customHeight="1" x14ac:dyDescent="0.3">
      <c r="A64" s="126" t="s">
        <v>14</v>
      </c>
      <c r="B64" s="150" t="s">
        <v>153</v>
      </c>
      <c r="C64" s="106" t="s">
        <v>170</v>
      </c>
      <c r="D64" s="145" t="s">
        <v>154</v>
      </c>
      <c r="E64" s="107" t="s">
        <v>16</v>
      </c>
      <c r="F64" s="109">
        <v>3</v>
      </c>
      <c r="G64" s="153">
        <v>504.44</v>
      </c>
      <c r="H64" s="147">
        <f t="shared" si="9"/>
        <v>623.84094799999991</v>
      </c>
      <c r="I64" s="148">
        <f t="shared" si="10"/>
        <v>1871.5228439999996</v>
      </c>
      <c r="J64" s="31"/>
      <c r="K64" s="50"/>
      <c r="L64" s="50"/>
      <c r="M64" s="50"/>
    </row>
    <row r="65" spans="1:13" ht="22.2" customHeight="1" x14ac:dyDescent="0.3">
      <c r="A65" s="106" t="s">
        <v>6</v>
      </c>
      <c r="B65" s="146" t="s">
        <v>186</v>
      </c>
      <c r="C65" s="106" t="s">
        <v>171</v>
      </c>
      <c r="D65" s="141" t="s">
        <v>187</v>
      </c>
      <c r="E65" s="106" t="s">
        <v>16</v>
      </c>
      <c r="F65" s="109">
        <v>3</v>
      </c>
      <c r="G65" s="117">
        <v>236.45</v>
      </c>
      <c r="H65" s="147">
        <f t="shared" si="9"/>
        <v>292.41771499999999</v>
      </c>
      <c r="I65" s="148">
        <f t="shared" si="10"/>
        <v>877.2531449999999</v>
      </c>
      <c r="J65" s="32"/>
      <c r="K65" s="50"/>
      <c r="L65" s="50"/>
      <c r="M65" s="50"/>
    </row>
    <row r="66" spans="1:13" ht="40.200000000000003" customHeight="1" x14ac:dyDescent="0.3">
      <c r="A66" s="106" t="s">
        <v>6</v>
      </c>
      <c r="B66" s="146" t="s">
        <v>188</v>
      </c>
      <c r="C66" s="106" t="s">
        <v>172</v>
      </c>
      <c r="D66" s="141" t="s">
        <v>189</v>
      </c>
      <c r="E66" s="106" t="s">
        <v>16</v>
      </c>
      <c r="F66" s="109">
        <v>3</v>
      </c>
      <c r="G66" s="117">
        <v>432.87</v>
      </c>
      <c r="H66" s="147">
        <f t="shared" si="9"/>
        <v>535.33032900000001</v>
      </c>
      <c r="I66" s="148">
        <f t="shared" si="10"/>
        <v>1605.9909870000001</v>
      </c>
      <c r="J66" s="32"/>
      <c r="K66" s="50"/>
      <c r="L66" s="50"/>
      <c r="M66" s="50"/>
    </row>
    <row r="67" spans="1:13" ht="22.2" customHeight="1" x14ac:dyDescent="0.3">
      <c r="A67" s="118"/>
      <c r="B67" s="142"/>
      <c r="C67" s="119" t="s">
        <v>116</v>
      </c>
      <c r="D67" s="120" t="s">
        <v>122</v>
      </c>
      <c r="E67" s="118"/>
      <c r="F67" s="143"/>
      <c r="G67" s="154"/>
      <c r="H67" s="143"/>
      <c r="I67" s="121"/>
      <c r="J67" s="29"/>
      <c r="K67" s="50"/>
      <c r="L67" s="50"/>
      <c r="M67" s="50"/>
    </row>
    <row r="68" spans="1:13" ht="40.200000000000003" customHeight="1" x14ac:dyDescent="0.3">
      <c r="A68" s="106" t="s">
        <v>6</v>
      </c>
      <c r="B68" s="155" t="s">
        <v>174</v>
      </c>
      <c r="C68" s="123" t="s">
        <v>117</v>
      </c>
      <c r="D68" s="156" t="s">
        <v>175</v>
      </c>
      <c r="E68" s="106" t="s">
        <v>7</v>
      </c>
      <c r="F68" s="109">
        <v>0.92</v>
      </c>
      <c r="G68" s="140">
        <v>608.77</v>
      </c>
      <c r="H68" s="147">
        <f t="shared" si="9"/>
        <v>752.86585899999989</v>
      </c>
      <c r="I68" s="109">
        <f t="shared" ref="I68:I76" si="11">H68*F68</f>
        <v>692.63659027999995</v>
      </c>
      <c r="J68" s="29"/>
      <c r="K68" s="50"/>
      <c r="L68" s="50"/>
      <c r="M68" s="50"/>
    </row>
    <row r="69" spans="1:13" ht="40.200000000000003" customHeight="1" x14ac:dyDescent="0.3">
      <c r="A69" s="106" t="s">
        <v>14</v>
      </c>
      <c r="B69" s="157" t="s">
        <v>106</v>
      </c>
      <c r="C69" s="123" t="s">
        <v>118</v>
      </c>
      <c r="D69" s="158" t="s">
        <v>107</v>
      </c>
      <c r="E69" s="107" t="s">
        <v>16</v>
      </c>
      <c r="F69" s="109">
        <v>2</v>
      </c>
      <c r="G69" s="153">
        <v>1902.07</v>
      </c>
      <c r="H69" s="125">
        <f t="shared" ref="H69:H76" si="12">G69*(1+(23.67/100))</f>
        <v>2352.2899689999999</v>
      </c>
      <c r="I69" s="109">
        <f t="shared" si="11"/>
        <v>4704.5799379999999</v>
      </c>
      <c r="J69" s="29"/>
      <c r="K69" s="50"/>
      <c r="L69" s="50"/>
      <c r="M69" s="50"/>
    </row>
    <row r="70" spans="1:13" ht="40.200000000000003" customHeight="1" x14ac:dyDescent="0.3">
      <c r="A70" s="106" t="s">
        <v>6</v>
      </c>
      <c r="B70" s="159">
        <v>91341</v>
      </c>
      <c r="C70" s="123" t="s">
        <v>119</v>
      </c>
      <c r="D70" s="160" t="s">
        <v>234</v>
      </c>
      <c r="E70" s="106" t="s">
        <v>7</v>
      </c>
      <c r="F70" s="109">
        <f>0.96*3</f>
        <v>2.88</v>
      </c>
      <c r="G70" s="117">
        <v>628.39</v>
      </c>
      <c r="H70" s="125">
        <f t="shared" si="12"/>
        <v>777.12991299999987</v>
      </c>
      <c r="I70" s="109">
        <f t="shared" si="11"/>
        <v>2238.1341494399994</v>
      </c>
      <c r="J70" s="29"/>
      <c r="K70" s="49">
        <f>SUM(I68:I76)</f>
        <v>29082.760517025203</v>
      </c>
      <c r="L70" s="50"/>
      <c r="M70" s="50"/>
    </row>
    <row r="71" spans="1:13" ht="47.4" customHeight="1" x14ac:dyDescent="0.3">
      <c r="A71" s="106" t="s">
        <v>6</v>
      </c>
      <c r="B71" s="159" t="s">
        <v>183</v>
      </c>
      <c r="C71" s="123" t="s">
        <v>120</v>
      </c>
      <c r="D71" s="156" t="s">
        <v>184</v>
      </c>
      <c r="E71" s="106" t="s">
        <v>7</v>
      </c>
      <c r="F71" s="109">
        <f>3*6.05+1.44+3.79+1.39</f>
        <v>24.77</v>
      </c>
      <c r="G71" s="117">
        <v>321.41000000000003</v>
      </c>
      <c r="H71" s="125">
        <f t="shared" si="12"/>
        <v>397.48774700000001</v>
      </c>
      <c r="I71" s="109">
        <f t="shared" si="11"/>
        <v>9845.7714931900009</v>
      </c>
      <c r="J71" s="32"/>
      <c r="K71" s="49"/>
      <c r="L71" s="50"/>
      <c r="M71" s="50"/>
    </row>
    <row r="72" spans="1:13" ht="47.4" customHeight="1" x14ac:dyDescent="0.3">
      <c r="A72" s="106" t="s">
        <v>6</v>
      </c>
      <c r="B72" s="159">
        <v>102164</v>
      </c>
      <c r="C72" s="123" t="s">
        <v>185</v>
      </c>
      <c r="D72" s="161" t="s">
        <v>267</v>
      </c>
      <c r="E72" s="106" t="s">
        <v>7</v>
      </c>
      <c r="F72" s="109">
        <f>1.6</f>
        <v>1.6</v>
      </c>
      <c r="G72" s="117">
        <v>437.08</v>
      </c>
      <c r="H72" s="125">
        <f t="shared" si="12"/>
        <v>540.53683599999999</v>
      </c>
      <c r="I72" s="109">
        <f t="shared" si="11"/>
        <v>864.85893759999999</v>
      </c>
      <c r="J72" s="47"/>
      <c r="K72" s="49"/>
      <c r="L72" s="50"/>
      <c r="M72" s="50"/>
    </row>
    <row r="73" spans="1:13" ht="31.2" customHeight="1" x14ac:dyDescent="0.3">
      <c r="A73" s="106" t="s">
        <v>14</v>
      </c>
      <c r="B73" s="162" t="s">
        <v>230</v>
      </c>
      <c r="C73" s="123" t="s">
        <v>268</v>
      </c>
      <c r="D73" s="163" t="s">
        <v>231</v>
      </c>
      <c r="E73" s="164" t="s">
        <v>7</v>
      </c>
      <c r="F73" s="165">
        <f>0.32*5</f>
        <v>1.6</v>
      </c>
      <c r="G73" s="166">
        <v>538.25</v>
      </c>
      <c r="H73" s="125">
        <f t="shared" si="12"/>
        <v>665.653775</v>
      </c>
      <c r="I73" s="109">
        <f t="shared" si="11"/>
        <v>1065.0460399999999</v>
      </c>
      <c r="J73" s="37"/>
      <c r="K73" s="49"/>
      <c r="L73" s="50"/>
      <c r="M73" s="50"/>
    </row>
    <row r="74" spans="1:13" ht="27.6" customHeight="1" x14ac:dyDescent="0.3">
      <c r="A74" s="106" t="s">
        <v>14</v>
      </c>
      <c r="B74" s="157" t="s">
        <v>102</v>
      </c>
      <c r="C74" s="123" t="s">
        <v>269</v>
      </c>
      <c r="D74" s="158" t="s">
        <v>103</v>
      </c>
      <c r="E74" s="107" t="s">
        <v>11</v>
      </c>
      <c r="F74" s="109">
        <f>0.8*5*0.1*0.15+1.97*3*0.1*0.15+1.2+1.37*0.1*0.15+2.27*3*0.1*0.15+2.07*0.1*0.15</f>
        <v>1.5024</v>
      </c>
      <c r="G74" s="110">
        <v>1894.94</v>
      </c>
      <c r="H74" s="125">
        <f t="shared" si="12"/>
        <v>2343.4722979999997</v>
      </c>
      <c r="I74" s="109">
        <f t="shared" si="11"/>
        <v>3520.8327805151994</v>
      </c>
      <c r="J74" s="29"/>
      <c r="K74" s="50"/>
      <c r="L74" s="50"/>
      <c r="M74" s="50"/>
    </row>
    <row r="75" spans="1:13" ht="28.2" customHeight="1" x14ac:dyDescent="0.3">
      <c r="A75" s="122" t="s">
        <v>14</v>
      </c>
      <c r="B75" s="167" t="s">
        <v>213</v>
      </c>
      <c r="C75" s="123" t="s">
        <v>196</v>
      </c>
      <c r="D75" s="168" t="s">
        <v>214</v>
      </c>
      <c r="E75" s="169" t="s">
        <v>16</v>
      </c>
      <c r="F75" s="170">
        <v>3</v>
      </c>
      <c r="G75" s="171">
        <v>1014.76</v>
      </c>
      <c r="H75" s="111">
        <f t="shared" si="12"/>
        <v>1254.9536919999998</v>
      </c>
      <c r="I75" s="172">
        <f t="shared" si="11"/>
        <v>3764.8610759999992</v>
      </c>
      <c r="J75" s="34"/>
      <c r="K75" s="50"/>
      <c r="L75" s="50"/>
      <c r="M75" s="50"/>
    </row>
    <row r="76" spans="1:13" ht="30.6" customHeight="1" x14ac:dyDescent="0.3">
      <c r="A76" s="106" t="s">
        <v>14</v>
      </c>
      <c r="B76" s="157" t="s">
        <v>211</v>
      </c>
      <c r="C76" s="123" t="s">
        <v>215</v>
      </c>
      <c r="D76" s="158" t="s">
        <v>212</v>
      </c>
      <c r="E76" s="107" t="s">
        <v>16</v>
      </c>
      <c r="F76" s="173">
        <v>2</v>
      </c>
      <c r="G76" s="110">
        <v>964.68</v>
      </c>
      <c r="H76" s="125">
        <f t="shared" si="12"/>
        <v>1193.0197559999999</v>
      </c>
      <c r="I76" s="109">
        <f t="shared" si="11"/>
        <v>2386.0395119999998</v>
      </c>
      <c r="J76" s="33"/>
      <c r="K76" s="50"/>
      <c r="L76" s="50"/>
      <c r="M76" s="50"/>
    </row>
    <row r="77" spans="1:13" ht="21" customHeight="1" x14ac:dyDescent="0.3">
      <c r="A77" s="118"/>
      <c r="B77" s="142"/>
      <c r="C77" s="119" t="s">
        <v>123</v>
      </c>
      <c r="D77" s="120" t="s">
        <v>46</v>
      </c>
      <c r="E77" s="118"/>
      <c r="F77" s="143"/>
      <c r="G77" s="144"/>
      <c r="H77" s="143"/>
      <c r="I77" s="121"/>
      <c r="J77" s="29"/>
      <c r="K77" s="50"/>
      <c r="L77" s="50"/>
      <c r="M77" s="50"/>
    </row>
    <row r="78" spans="1:13" ht="26.4" customHeight="1" x14ac:dyDescent="0.3">
      <c r="A78" s="106" t="s">
        <v>14</v>
      </c>
      <c r="B78" s="107" t="s">
        <v>47</v>
      </c>
      <c r="C78" s="123" t="s">
        <v>124</v>
      </c>
      <c r="D78" s="174" t="s">
        <v>48</v>
      </c>
      <c r="E78" s="107" t="s">
        <v>7</v>
      </c>
      <c r="F78" s="125">
        <v>1.2</v>
      </c>
      <c r="G78" s="125">
        <v>187.01</v>
      </c>
      <c r="H78" s="125">
        <f t="shared" ref="H78:H86" si="13">G78*(1+(23.67/100))</f>
        <v>231.27526699999999</v>
      </c>
      <c r="I78" s="109">
        <f t="shared" ref="I78:I86" si="14">H78*F78</f>
        <v>277.53032039999999</v>
      </c>
      <c r="J78" s="25"/>
      <c r="K78" s="49"/>
      <c r="L78" s="50"/>
      <c r="M78" s="50"/>
    </row>
    <row r="79" spans="1:13" ht="26.4" customHeight="1" x14ac:dyDescent="0.3">
      <c r="A79" s="126" t="s">
        <v>14</v>
      </c>
      <c r="B79" s="112" t="s">
        <v>108</v>
      </c>
      <c r="C79" s="123" t="s">
        <v>290</v>
      </c>
      <c r="D79" s="145" t="s">
        <v>109</v>
      </c>
      <c r="E79" s="107" t="s">
        <v>16</v>
      </c>
      <c r="F79" s="109">
        <v>37</v>
      </c>
      <c r="G79" s="110">
        <v>104.08</v>
      </c>
      <c r="H79" s="147">
        <f t="shared" si="13"/>
        <v>128.71573599999999</v>
      </c>
      <c r="I79" s="148">
        <f t="shared" si="14"/>
        <v>4762.4822319999994</v>
      </c>
      <c r="J79" s="29"/>
      <c r="K79" s="49"/>
      <c r="L79" s="50"/>
      <c r="M79" s="50"/>
    </row>
    <row r="80" spans="1:13" ht="26.4" customHeight="1" x14ac:dyDescent="0.3">
      <c r="A80" s="106" t="s">
        <v>14</v>
      </c>
      <c r="B80" s="112" t="s">
        <v>100</v>
      </c>
      <c r="C80" s="123" t="s">
        <v>216</v>
      </c>
      <c r="D80" s="145" t="s">
        <v>101</v>
      </c>
      <c r="E80" s="107" t="s">
        <v>7</v>
      </c>
      <c r="F80" s="109">
        <f>3.13*0.2</f>
        <v>0.626</v>
      </c>
      <c r="G80" s="175">
        <v>118.43</v>
      </c>
      <c r="H80" s="125">
        <f t="shared" si="13"/>
        <v>146.46238099999999</v>
      </c>
      <c r="I80" s="109">
        <f t="shared" si="14"/>
        <v>91.685450505999995</v>
      </c>
      <c r="J80" s="28"/>
      <c r="K80" s="49"/>
      <c r="L80" s="50"/>
      <c r="M80" s="50"/>
    </row>
    <row r="81" spans="1:18" ht="34.200000000000003" customHeight="1" x14ac:dyDescent="0.3">
      <c r="A81" s="106" t="s">
        <v>6</v>
      </c>
      <c r="B81" s="137" t="s">
        <v>219</v>
      </c>
      <c r="C81" s="123" t="s">
        <v>125</v>
      </c>
      <c r="D81" s="141" t="s">
        <v>221</v>
      </c>
      <c r="E81" s="106" t="s">
        <v>15</v>
      </c>
      <c r="F81" s="109">
        <f>2.4+0.6+3+0.6+3+0.6+4.5+0.9+1.8+4.5+0.6+1.5+0.6+2.4+2.4+0.9+0.3+0.9+4.2+1.2+0.6+0.6+0.6+0.9+1.8+0.9+0.6+0.6+0.6+0.9</f>
        <v>45</v>
      </c>
      <c r="G81" s="117">
        <v>284.35000000000002</v>
      </c>
      <c r="H81" s="125">
        <f t="shared" si="13"/>
        <v>351.65564499999999</v>
      </c>
      <c r="I81" s="109">
        <f t="shared" si="14"/>
        <v>15824.504025</v>
      </c>
      <c r="J81" s="35"/>
      <c r="K81" s="49"/>
      <c r="L81" s="50"/>
      <c r="M81" s="50"/>
    </row>
    <row r="82" spans="1:18" ht="39" customHeight="1" x14ac:dyDescent="0.3">
      <c r="A82" s="106" t="s">
        <v>6</v>
      </c>
      <c r="B82" s="137" t="s">
        <v>180</v>
      </c>
      <c r="C82" s="123" t="s">
        <v>126</v>
      </c>
      <c r="D82" s="141" t="s">
        <v>181</v>
      </c>
      <c r="E82" s="106" t="s">
        <v>7</v>
      </c>
      <c r="F82" s="176">
        <f>1.8*1.2*3+0.4*1.8*3</f>
        <v>8.64</v>
      </c>
      <c r="G82" s="117">
        <v>950.53</v>
      </c>
      <c r="H82" s="125">
        <f t="shared" si="13"/>
        <v>1175.5204509999999</v>
      </c>
      <c r="I82" s="109">
        <f t="shared" si="14"/>
        <v>10156.496696639999</v>
      </c>
      <c r="J82" s="32"/>
      <c r="K82" s="49"/>
      <c r="L82" s="50"/>
      <c r="M82" s="50"/>
    </row>
    <row r="83" spans="1:18" ht="26.4" customHeight="1" x14ac:dyDescent="0.3">
      <c r="A83" s="106" t="s">
        <v>6</v>
      </c>
      <c r="B83" s="106">
        <v>94342</v>
      </c>
      <c r="C83" s="123" t="s">
        <v>182</v>
      </c>
      <c r="D83" s="177" t="s">
        <v>238</v>
      </c>
      <c r="E83" s="106" t="s">
        <v>11</v>
      </c>
      <c r="F83" s="176">
        <f>72.4*0.3</f>
        <v>21.720000000000002</v>
      </c>
      <c r="G83" s="117">
        <v>96.62</v>
      </c>
      <c r="H83" s="125">
        <f t="shared" si="13"/>
        <v>119.489954</v>
      </c>
      <c r="I83" s="109">
        <f t="shared" si="14"/>
        <v>2595.3218008800004</v>
      </c>
      <c r="J83" s="43"/>
      <c r="K83" s="49"/>
      <c r="L83" s="50"/>
      <c r="M83" s="50"/>
    </row>
    <row r="84" spans="1:18" ht="24.6" customHeight="1" x14ac:dyDescent="0.3">
      <c r="A84" s="106" t="s">
        <v>6</v>
      </c>
      <c r="B84" s="106">
        <v>87399</v>
      </c>
      <c r="C84" s="123" t="s">
        <v>220</v>
      </c>
      <c r="D84" s="160" t="s">
        <v>243</v>
      </c>
      <c r="E84" s="106" t="s">
        <v>11</v>
      </c>
      <c r="F84" s="176">
        <v>7.24</v>
      </c>
      <c r="G84" s="178">
        <v>2172.4499999999998</v>
      </c>
      <c r="H84" s="125">
        <f t="shared" si="13"/>
        <v>2686.6689149999997</v>
      </c>
      <c r="I84" s="109">
        <f t="shared" si="14"/>
        <v>19451.4829446</v>
      </c>
      <c r="J84" s="43"/>
      <c r="K84" s="49"/>
      <c r="L84" s="50"/>
      <c r="M84" s="50"/>
    </row>
    <row r="85" spans="1:18" ht="21" customHeight="1" x14ac:dyDescent="0.3">
      <c r="A85" s="106" t="s">
        <v>14</v>
      </c>
      <c r="B85" s="137" t="s">
        <v>236</v>
      </c>
      <c r="C85" s="123" t="s">
        <v>241</v>
      </c>
      <c r="D85" s="141" t="s">
        <v>237</v>
      </c>
      <c r="E85" s="136" t="s">
        <v>7</v>
      </c>
      <c r="F85" s="176">
        <v>54.14</v>
      </c>
      <c r="G85" s="136">
        <v>5.07</v>
      </c>
      <c r="H85" s="125">
        <f t="shared" si="13"/>
        <v>6.2700690000000003</v>
      </c>
      <c r="I85" s="109">
        <f t="shared" si="14"/>
        <v>339.46153566000004</v>
      </c>
      <c r="J85" s="43"/>
      <c r="K85" s="49"/>
      <c r="L85" s="50"/>
      <c r="M85" s="50"/>
    </row>
    <row r="86" spans="1:18" ht="27.6" customHeight="1" x14ac:dyDescent="0.3">
      <c r="A86" s="106" t="s">
        <v>14</v>
      </c>
      <c r="B86" s="112" t="s">
        <v>58</v>
      </c>
      <c r="C86" s="123" t="s">
        <v>242</v>
      </c>
      <c r="D86" s="145" t="s">
        <v>59</v>
      </c>
      <c r="E86" s="107" t="s">
        <v>7</v>
      </c>
      <c r="F86" s="125">
        <v>150</v>
      </c>
      <c r="G86" s="110">
        <v>14.18</v>
      </c>
      <c r="H86" s="125">
        <f t="shared" si="13"/>
        <v>17.536405999999999</v>
      </c>
      <c r="I86" s="109">
        <f t="shared" si="14"/>
        <v>2630.4609</v>
      </c>
      <c r="J86" s="25"/>
      <c r="K86" s="49">
        <f>SUM(I78:I86)</f>
        <v>56129.425905685996</v>
      </c>
      <c r="L86" s="50"/>
      <c r="M86" s="50"/>
    </row>
    <row r="87" spans="1:18" ht="21.6" customHeight="1" x14ac:dyDescent="0.3">
      <c r="A87" s="179"/>
      <c r="B87" s="180"/>
      <c r="C87" s="181"/>
      <c r="D87" s="182"/>
      <c r="E87" s="180"/>
      <c r="F87" s="183"/>
      <c r="G87" s="184"/>
      <c r="H87" s="185" t="s">
        <v>60</v>
      </c>
      <c r="I87" s="186">
        <v>0.23669999999999999</v>
      </c>
      <c r="J87" s="28"/>
      <c r="K87" s="50"/>
      <c r="L87" s="50"/>
      <c r="M87" s="50"/>
    </row>
    <row r="88" spans="1:18" ht="16.8" customHeight="1" x14ac:dyDescent="0.3">
      <c r="A88" s="187"/>
      <c r="B88" s="188"/>
      <c r="C88" s="187"/>
      <c r="D88" s="182"/>
      <c r="E88" s="187"/>
      <c r="F88" s="189"/>
      <c r="G88" s="190" t="s">
        <v>31</v>
      </c>
      <c r="H88" s="191"/>
      <c r="I88" s="192">
        <f>SUM(I8:I86)</f>
        <v>290240.26116726728</v>
      </c>
      <c r="J88" s="25"/>
      <c r="K88" s="49">
        <f>SUM(K8:K86)</f>
        <v>290240.26116726728</v>
      </c>
      <c r="L88" s="50"/>
      <c r="M88" s="50"/>
    </row>
    <row r="89" spans="1:18" x14ac:dyDescent="0.3">
      <c r="A89" s="187"/>
      <c r="B89" s="187"/>
      <c r="C89" s="187"/>
      <c r="D89" s="193" t="s">
        <v>296</v>
      </c>
      <c r="E89" s="187"/>
      <c r="F89" s="187"/>
      <c r="G89" s="187"/>
      <c r="H89" s="187"/>
      <c r="I89" s="187"/>
      <c r="J89" s="1"/>
      <c r="L89" s="13"/>
    </row>
    <row r="90" spans="1:18" x14ac:dyDescent="0.3">
      <c r="A90" s="187"/>
      <c r="B90" s="187"/>
      <c r="C90" s="187"/>
      <c r="D90" s="194" t="s">
        <v>297</v>
      </c>
      <c r="E90" s="187"/>
      <c r="F90" s="187"/>
      <c r="G90" s="187"/>
      <c r="H90" s="187"/>
      <c r="I90" s="187"/>
      <c r="R90" s="3"/>
    </row>
    <row r="91" spans="1:18" x14ac:dyDescent="0.3">
      <c r="K91" s="13"/>
    </row>
    <row r="92" spans="1:18" x14ac:dyDescent="0.3">
      <c r="A92" s="9"/>
      <c r="B92" s="9"/>
      <c r="C92" s="9"/>
      <c r="L92" s="51"/>
      <c r="M92" s="51" t="s">
        <v>80</v>
      </c>
      <c r="N92" s="51"/>
      <c r="O92" s="51"/>
      <c r="P92" s="51"/>
      <c r="Q92" s="51"/>
    </row>
    <row r="93" spans="1:18" x14ac:dyDescent="0.3">
      <c r="A93" s="53"/>
      <c r="B93" s="53"/>
      <c r="C93" s="53"/>
      <c r="D93" s="2"/>
      <c r="L93" s="51" t="s">
        <v>13</v>
      </c>
      <c r="M93" s="51">
        <f>(2.7+1.04)*2.92+2.92*(2.7+1.04)+1.2*3.02+15.35*2.42</f>
        <v>62.6126</v>
      </c>
      <c r="N93" s="51">
        <f>M93*0.15</f>
        <v>9.3918900000000001</v>
      </c>
      <c r="O93" s="51"/>
      <c r="P93" s="51"/>
      <c r="Q93" s="51"/>
    </row>
    <row r="94" spans="1:18" x14ac:dyDescent="0.3">
      <c r="A94" s="55"/>
      <c r="B94" s="55"/>
      <c r="C94" s="10"/>
      <c r="D94" s="2"/>
      <c r="L94" s="51" t="s">
        <v>222</v>
      </c>
      <c r="M94" s="51">
        <f>2.83*(9.32+0.3+1.5+0.15)</f>
        <v>31.894100000000005</v>
      </c>
      <c r="N94" s="51"/>
      <c r="O94" s="51"/>
      <c r="P94" s="51"/>
      <c r="Q94" s="51"/>
    </row>
    <row r="95" spans="1:18" x14ac:dyDescent="0.3">
      <c r="L95" s="51" t="s">
        <v>223</v>
      </c>
      <c r="M95" s="51">
        <f>7.99*2+9.32+3.63+3.43*4+0.2*5+3.83</f>
        <v>47.48</v>
      </c>
      <c r="N95" s="52"/>
      <c r="O95" s="51"/>
      <c r="P95" s="51"/>
      <c r="Q95" s="51"/>
    </row>
    <row r="96" spans="1:18" x14ac:dyDescent="0.3">
      <c r="A96" s="54"/>
      <c r="B96" s="54"/>
      <c r="L96" s="51" t="s">
        <v>224</v>
      </c>
      <c r="M96" s="51">
        <f>2.59*2.83*2+1.45*2.83+3.32*2.82+3.32*7.99+3.32*3.88</f>
        <v>67.53370000000001</v>
      </c>
      <c r="N96" s="51">
        <f>M96+M97+M98</f>
        <v>142.73110000000003</v>
      </c>
      <c r="O96" s="51"/>
      <c r="P96" s="51"/>
      <c r="Q96" s="51"/>
    </row>
    <row r="97" spans="12:17" x14ac:dyDescent="0.3">
      <c r="L97" s="51" t="s">
        <v>225</v>
      </c>
      <c r="M97" s="51">
        <f>0.91*0.15*4+3.62+1.57+2.5</f>
        <v>8.2360000000000007</v>
      </c>
      <c r="N97" s="51"/>
      <c r="O97" s="51"/>
      <c r="P97" s="51"/>
      <c r="Q97" s="51"/>
    </row>
    <row r="98" spans="12:17" x14ac:dyDescent="0.3">
      <c r="L98" s="51" t="s">
        <v>226</v>
      </c>
      <c r="M98" s="51">
        <f>9.32*2.42+2.42*18.35</f>
        <v>66.961399999999998</v>
      </c>
      <c r="N98" s="51"/>
      <c r="O98" s="51"/>
      <c r="P98" s="51"/>
      <c r="Q98" s="51"/>
    </row>
    <row r="99" spans="12:17" x14ac:dyDescent="0.3">
      <c r="L99" s="51" t="s">
        <v>227</v>
      </c>
      <c r="M99" s="51">
        <f>(18.88+0.62*4+7.99*8+3.4*4+3.88*2)*3.9</f>
        <v>415.89600000000002</v>
      </c>
      <c r="N99" s="51"/>
      <c r="O99" s="51"/>
      <c r="P99" s="51"/>
      <c r="Q99" s="51"/>
    </row>
    <row r="100" spans="12:17" x14ac:dyDescent="0.3">
      <c r="L100" s="51" t="s">
        <v>199</v>
      </c>
      <c r="M100" s="51">
        <f>4*0.2*0.2*4+(9.32+1.5+0.45)*0.2*0.2+2.8*2*0.2*0.3+0.4*0.4*0.4*4+4*0.2*0.2*3.4</f>
        <v>2.2267999999999999</v>
      </c>
      <c r="N100" s="51"/>
      <c r="O100" s="51"/>
      <c r="P100" s="51"/>
      <c r="Q100" s="51"/>
    </row>
    <row r="101" spans="12:17" x14ac:dyDescent="0.3">
      <c r="L101" s="51" t="s">
        <v>200</v>
      </c>
      <c r="M101" s="51">
        <f>0.39*4*4*4+0.39*(9.32+1.5+0.45)*4+0.39*2.8*4*2+4*4*0.39*3.4</f>
        <v>72.493200000000002</v>
      </c>
      <c r="N101" s="51"/>
      <c r="O101" s="51"/>
      <c r="P101" s="51"/>
      <c r="Q101" s="51"/>
    </row>
  </sheetData>
  <mergeCells count="5">
    <mergeCell ref="A93:C93"/>
    <mergeCell ref="A4:G4"/>
    <mergeCell ref="A1:I3"/>
    <mergeCell ref="A96:B96"/>
    <mergeCell ref="A94:B94"/>
  </mergeCells>
  <pageMargins left="0.25" right="0.25" top="0.75" bottom="0.75" header="0.3" footer="0.3"/>
  <pageSetup paperSize="9" scale="63" fitToHeight="0" orientation="landscape" horizontalDpi="300" verticalDpi="300" r:id="rId1"/>
  <rowBreaks count="1" manualBreakCount="1">
    <brk id="87" max="16383" man="1"/>
  </rowBreaks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4D92C-2978-4690-908C-A285682B9C1B}">
  <dimension ref="A1:J28"/>
  <sheetViews>
    <sheetView topLeftCell="A10" workbookViewId="0">
      <selection activeCell="F36" sqref="F36"/>
    </sheetView>
  </sheetViews>
  <sheetFormatPr defaultRowHeight="14.4" x14ac:dyDescent="0.3"/>
  <cols>
    <col min="1" max="1" width="13.21875" customWidth="1"/>
  </cols>
  <sheetData>
    <row r="1" spans="1:4" x14ac:dyDescent="0.3">
      <c r="A1" t="s">
        <v>235</v>
      </c>
      <c r="B1">
        <f>9.69+4.33+8.69+31.43+8.76+9.5</f>
        <v>72.400000000000006</v>
      </c>
      <c r="C1">
        <f>B1-8.76-9.5</f>
        <v>54.140000000000008</v>
      </c>
      <c r="D1" s="45"/>
    </row>
    <row r="2" spans="1:4" x14ac:dyDescent="0.3">
      <c r="A2" t="s">
        <v>239</v>
      </c>
      <c r="B2">
        <f>B1*0.3</f>
        <v>21.720000000000002</v>
      </c>
      <c r="D2" s="45"/>
    </row>
    <row r="3" spans="1:4" x14ac:dyDescent="0.3">
      <c r="A3" t="s">
        <v>240</v>
      </c>
      <c r="B3">
        <f>B1*0.1</f>
        <v>7.2400000000000011</v>
      </c>
    </row>
    <row r="4" spans="1:4" x14ac:dyDescent="0.3">
      <c r="A4" t="s">
        <v>244</v>
      </c>
      <c r="B4">
        <f>B1</f>
        <v>72.400000000000006</v>
      </c>
      <c r="C4">
        <f>B4+D4</f>
        <v>219.41060000000002</v>
      </c>
      <c r="D4">
        <f>2.47*(8.69*2)+2.85*(8.76*2)+2.85*(9.5*2)</f>
        <v>147.01060000000001</v>
      </c>
    </row>
    <row r="5" spans="1:4" x14ac:dyDescent="0.3">
      <c r="A5" t="s">
        <v>223</v>
      </c>
      <c r="B5">
        <f>2.92*10+3.92*3+7.99*6+2.5*2+3.88*2</f>
        <v>101.66000000000001</v>
      </c>
    </row>
    <row r="6" spans="1:4" x14ac:dyDescent="0.3">
      <c r="A6" t="s">
        <v>245</v>
      </c>
      <c r="B6">
        <f>7.99*6*3+3.92*4*3+2.92*6*3+3*4*3+2.92*4+9.5*2*3+15*3</f>
        <v>393.09999999999997</v>
      </c>
    </row>
    <row r="7" spans="1:4" x14ac:dyDescent="0.3">
      <c r="A7" t="s">
        <v>246</v>
      </c>
      <c r="B7">
        <f>(14.5+6.09+9.5+31.96+31.44+13.92+9.69+31.43+4.33+8.76+8.69)*3*2+63*3+15*2*2</f>
        <v>1270.8600000000001</v>
      </c>
      <c r="C7">
        <f>(9.69*2*3+4.33*2*3+8.69*2*3+31.43*2*3+8.76*2*3+9.5*2*3)</f>
        <v>434.4</v>
      </c>
      <c r="D7">
        <f>B7-C7</f>
        <v>836.46000000000015</v>
      </c>
    </row>
    <row r="8" spans="1:4" x14ac:dyDescent="0.3">
      <c r="A8" t="s">
        <v>247</v>
      </c>
      <c r="B8">
        <f>5*1.89+5*1.68</f>
        <v>17.850000000000001</v>
      </c>
      <c r="C8">
        <f>B8*2</f>
        <v>35.700000000000003</v>
      </c>
    </row>
    <row r="9" spans="1:4" x14ac:dyDescent="0.3">
      <c r="A9" s="46"/>
      <c r="B9" t="s">
        <v>248</v>
      </c>
    </row>
    <row r="10" spans="1:4" x14ac:dyDescent="0.3">
      <c r="A10" t="s">
        <v>249</v>
      </c>
      <c r="B10">
        <f>31.43+4.33+8.69+8.76+9.5</f>
        <v>62.709999999999994</v>
      </c>
      <c r="C10">
        <f>B10*0.2</f>
        <v>12.542</v>
      </c>
      <c r="D10">
        <f>B10+C10</f>
        <v>75.251999999999995</v>
      </c>
    </row>
    <row r="11" spans="1:4" x14ac:dyDescent="0.3">
      <c r="A11" t="s">
        <v>253</v>
      </c>
      <c r="B11">
        <f>22.88*(0.5+0.4+2.98+8.29)</f>
        <v>278.44959999999992</v>
      </c>
    </row>
    <row r="12" spans="1:4" x14ac:dyDescent="0.3">
      <c r="A12" t="s">
        <v>256</v>
      </c>
      <c r="B12">
        <f>31.43+9.69+4.33+8.69+8.76+9.5</f>
        <v>72.399999999999991</v>
      </c>
      <c r="C12">
        <f>B12*0.2</f>
        <v>14.479999999999999</v>
      </c>
      <c r="D12">
        <f>C12+B12</f>
        <v>86.88</v>
      </c>
    </row>
    <row r="13" spans="1:4" x14ac:dyDescent="0.3">
      <c r="A13" t="s">
        <v>260</v>
      </c>
      <c r="B13">
        <f>1.5+1.5+1.45+1.45+0.75+1.5+1.5+1.97+1.5+2.5+2.5+1.61+1.61+12</f>
        <v>33.340000000000003</v>
      </c>
      <c r="C13">
        <f>B13*0.2</f>
        <v>6.668000000000001</v>
      </c>
      <c r="D13">
        <f>B13+C13</f>
        <v>40.008000000000003</v>
      </c>
    </row>
    <row r="14" spans="1:4" x14ac:dyDescent="0.3">
      <c r="A14" t="s">
        <v>263</v>
      </c>
      <c r="B14">
        <f>9*1.1+15*4</f>
        <v>69.900000000000006</v>
      </c>
    </row>
    <row r="15" spans="1:4" x14ac:dyDescent="0.3">
      <c r="A15" t="s">
        <v>264</v>
      </c>
      <c r="B15">
        <f>(7.99+2.83+2.92+2.92)*1.1+15*1.1*2</f>
        <v>51.326000000000001</v>
      </c>
    </row>
    <row r="16" spans="1:4" x14ac:dyDescent="0.3">
      <c r="A16" t="s">
        <v>265</v>
      </c>
    </row>
    <row r="17" spans="1:10" x14ac:dyDescent="0.3">
      <c r="A17" t="s">
        <v>266</v>
      </c>
    </row>
    <row r="18" spans="1:10" x14ac:dyDescent="0.3">
      <c r="A18" t="s">
        <v>283</v>
      </c>
      <c r="B18">
        <f>2.92*5+0.15*8+3*3+1.5*2+7.99+0.15*2+3.92*2+3.34+2.92+0.15+3.92+0.15+2.83+0.15</f>
        <v>57.389999999999993</v>
      </c>
      <c r="C18" s="26">
        <f>B18*0.2*0.2</f>
        <v>2.2955999999999999</v>
      </c>
      <c r="D18">
        <f>C18*2</f>
        <v>4.5911999999999997</v>
      </c>
      <c r="I18" t="s">
        <v>284</v>
      </c>
    </row>
    <row r="19" spans="1:10" x14ac:dyDescent="0.3">
      <c r="A19" t="s">
        <v>278</v>
      </c>
      <c r="B19">
        <v>8</v>
      </c>
      <c r="C19">
        <f>0.15*0.15*4.9</f>
        <v>0.11025</v>
      </c>
      <c r="D19" s="26">
        <f>C19*B19</f>
        <v>0.88200000000000001</v>
      </c>
      <c r="I19">
        <f>0.3-0.1</f>
        <v>0.19999999999999998</v>
      </c>
      <c r="J19">
        <f>I19/3</f>
        <v>6.6666666666666666E-2</v>
      </c>
    </row>
    <row r="20" spans="1:10" x14ac:dyDescent="0.3">
      <c r="A20" t="s">
        <v>279</v>
      </c>
      <c r="B20">
        <f>4*8</f>
        <v>32</v>
      </c>
      <c r="C20">
        <f>4.9*0.395</f>
        <v>1.9355000000000002</v>
      </c>
      <c r="D20">
        <f>C20*B20</f>
        <v>61.936000000000007</v>
      </c>
    </row>
    <row r="21" spans="1:10" x14ac:dyDescent="0.3">
      <c r="A21" t="s">
        <v>280</v>
      </c>
      <c r="B21">
        <f>B18</f>
        <v>57.389999999999993</v>
      </c>
      <c r="C21">
        <f>0.395</f>
        <v>0.39500000000000002</v>
      </c>
      <c r="D21">
        <f>B21*2*C21</f>
        <v>45.338099999999997</v>
      </c>
    </row>
    <row r="22" spans="1:10" x14ac:dyDescent="0.3">
      <c r="A22" t="s">
        <v>282</v>
      </c>
      <c r="B22">
        <f>0.3*0.3*0.3*8</f>
        <v>0.216</v>
      </c>
    </row>
    <row r="23" spans="1:10" x14ac:dyDescent="0.3">
      <c r="A23" t="s">
        <v>281</v>
      </c>
      <c r="B23">
        <f>0.2*6*8</f>
        <v>9.6000000000000014</v>
      </c>
      <c r="C23">
        <f>B23*0.395</f>
        <v>3.7920000000000007</v>
      </c>
    </row>
    <row r="24" spans="1:10" x14ac:dyDescent="0.3">
      <c r="B24" t="s">
        <v>285</v>
      </c>
      <c r="D24">
        <f>D20+D21+C23</f>
        <v>111.06610000000001</v>
      </c>
    </row>
    <row r="25" spans="1:10" x14ac:dyDescent="0.3">
      <c r="B25" t="s">
        <v>199</v>
      </c>
      <c r="D25">
        <f>D18+D19+B22</f>
        <v>5.6891999999999996</v>
      </c>
    </row>
    <row r="26" spans="1:10" x14ac:dyDescent="0.3">
      <c r="A26" t="s">
        <v>286</v>
      </c>
      <c r="D26">
        <f>0.2*0.2</f>
        <v>4.0000000000000008E-2</v>
      </c>
      <c r="E26">
        <f>2.92*5+0.15*8+3*3+1.5*2+7.99+0.15*2+3.92*2+3.34+2.92+0.15+3.92+0.15+2.83+0.15</f>
        <v>57.389999999999993</v>
      </c>
      <c r="F26">
        <f>E26*D26</f>
        <v>2.2956000000000003</v>
      </c>
    </row>
    <row r="27" spans="1:10" x14ac:dyDescent="0.3">
      <c r="A27" t="s">
        <v>287</v>
      </c>
      <c r="D27">
        <f>2.46*1.92+3.13*0.2+(2.1+0.39)*2*0.15+3.16*(7.99+0.15+0.15)</f>
        <v>32.292600000000007</v>
      </c>
    </row>
    <row r="28" spans="1:10" x14ac:dyDescent="0.3">
      <c r="A28" t="s">
        <v>224</v>
      </c>
      <c r="C28">
        <f>2.92*5+0.15*8+3*3+1.5*2+7.99+0.15*2+3.92*2+3.34+2.92+0.15+3.92+0.15+2.83+0.15</f>
        <v>57.389999999999993</v>
      </c>
      <c r="D28">
        <f>(3+4.4)/2</f>
        <v>3.7</v>
      </c>
      <c r="E28">
        <f>C28*D28</f>
        <v>212.34299999999999</v>
      </c>
      <c r="F28">
        <f>E28+(2.52+1.24)*(7.99+0.3)</f>
        <v>243.51339999999999</v>
      </c>
    </row>
  </sheetData>
  <pageMargins left="0.511811024" right="0.511811024" top="0.78740157499999996" bottom="0.78740157499999996" header="0.31496062000000002" footer="0.31496062000000002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3BED8-DB1F-4C89-B63C-A2712AFF113E}">
  <dimension ref="A1:S38"/>
  <sheetViews>
    <sheetView zoomScale="90" zoomScaleNormal="90" workbookViewId="0">
      <selection activeCell="N7" sqref="N7"/>
    </sheetView>
  </sheetViews>
  <sheetFormatPr defaultRowHeight="14.4" x14ac:dyDescent="0.3"/>
  <cols>
    <col min="2" max="2" width="20.77734375" customWidth="1"/>
    <col min="3" max="3" width="12.21875" bestFit="1" customWidth="1"/>
    <col min="7" max="7" width="10" bestFit="1" customWidth="1"/>
    <col min="11" max="11" width="9.44140625" bestFit="1" customWidth="1"/>
    <col min="17" max="17" width="14.5546875" customWidth="1"/>
  </cols>
  <sheetData>
    <row r="1" spans="1:19" ht="18" customHeight="1" x14ac:dyDescent="0.3">
      <c r="A1" s="56" t="s">
        <v>232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13"/>
      <c r="Q1" s="13">
        <f>'REFORMA BERÇÁRIO'!K8</f>
        <v>13735.97546267892</v>
      </c>
    </row>
    <row r="2" spans="1:19" ht="14.4" customHeight="1" x14ac:dyDescent="0.3">
      <c r="A2" s="14"/>
      <c r="B2" s="57" t="s">
        <v>190</v>
      </c>
      <c r="C2" s="57"/>
      <c r="D2" s="57"/>
      <c r="E2" s="57"/>
      <c r="F2" s="57"/>
      <c r="G2" s="57"/>
      <c r="H2" s="57"/>
      <c r="I2" s="57"/>
      <c r="J2" s="57"/>
      <c r="K2" s="57"/>
      <c r="Q2" s="13">
        <f>'REFORMA BERÇÁRIO'!K14</f>
        <v>60382.716705327475</v>
      </c>
      <c r="R2">
        <f>Q2/2</f>
        <v>30191.358352663738</v>
      </c>
    </row>
    <row r="3" spans="1:19" ht="28.8" x14ac:dyDescent="0.3">
      <c r="A3" s="38" t="s">
        <v>72</v>
      </c>
      <c r="B3" s="39" t="s">
        <v>73</v>
      </c>
      <c r="C3" s="38" t="s">
        <v>74</v>
      </c>
      <c r="D3" s="38" t="s">
        <v>75</v>
      </c>
      <c r="E3" s="40" t="s">
        <v>76</v>
      </c>
      <c r="F3" s="58" t="s">
        <v>77</v>
      </c>
      <c r="G3" s="59"/>
      <c r="H3" s="60"/>
      <c r="I3" s="58" t="s">
        <v>78</v>
      </c>
      <c r="J3" s="59"/>
      <c r="K3" s="60"/>
      <c r="Q3" s="13">
        <f>'REFORMA BERÇÁRIO'!K22</f>
        <v>31347.439394373898</v>
      </c>
      <c r="R3">
        <f>Q3/2</f>
        <v>15673.719697186949</v>
      </c>
    </row>
    <row r="4" spans="1:19" ht="28.8" x14ac:dyDescent="0.3">
      <c r="A4" s="15">
        <v>1</v>
      </c>
      <c r="B4" s="16" t="str">
        <f>'REFORMA BERÇÁRIO'!D7</f>
        <v>DEMOLIÇÃO</v>
      </c>
      <c r="C4" s="16" t="s">
        <v>298</v>
      </c>
      <c r="D4" s="17" t="str">
        <f>C4</f>
        <v>100,00%
13735,98</v>
      </c>
      <c r="E4" s="18"/>
      <c r="F4" s="61"/>
      <c r="G4" s="62"/>
      <c r="H4" s="63"/>
      <c r="I4" s="61"/>
      <c r="J4" s="62"/>
      <c r="K4" s="63"/>
      <c r="Q4" s="13">
        <f>'REFORMA BERÇÁRIO'!K29</f>
        <v>27182.944655717401</v>
      </c>
    </row>
    <row r="5" spans="1:19" ht="28.8" x14ac:dyDescent="0.3">
      <c r="A5" s="15">
        <v>2</v>
      </c>
      <c r="B5" s="16" t="str">
        <f>'REFORMA BERÇÁRIO'!D13</f>
        <v>REVESTIMENTO/PAVIMENTAÇÃO</v>
      </c>
      <c r="C5" s="16" t="s">
        <v>299</v>
      </c>
      <c r="D5" s="19"/>
      <c r="E5" s="17" t="s">
        <v>300</v>
      </c>
      <c r="F5" s="64" t="s">
        <v>300</v>
      </c>
      <c r="G5" s="65"/>
      <c r="H5" s="66"/>
      <c r="I5" s="67"/>
      <c r="J5" s="62"/>
      <c r="K5" s="63"/>
      <c r="L5" s="13"/>
      <c r="Q5" s="13">
        <f>'REFORMA BERÇÁRIO'!K31</f>
        <v>33531.248522050388</v>
      </c>
      <c r="R5">
        <f>Q5/2</f>
        <v>16765.624261025194</v>
      </c>
    </row>
    <row r="6" spans="1:19" ht="43.2" x14ac:dyDescent="0.3">
      <c r="A6" s="15">
        <v>3</v>
      </c>
      <c r="B6" s="16" t="str">
        <f>'REFORMA BERÇÁRIO'!D20</f>
        <v>SUPRAESTRUTURA/INFRAESTRUTURA</v>
      </c>
      <c r="C6" s="16" t="s">
        <v>301</v>
      </c>
      <c r="D6" s="19"/>
      <c r="E6" s="17" t="s">
        <v>302</v>
      </c>
      <c r="F6" s="68" t="str">
        <f>E6</f>
        <v>50,00%
15654,8</v>
      </c>
      <c r="G6" s="69"/>
      <c r="H6" s="70"/>
      <c r="I6" s="67"/>
      <c r="J6" s="71"/>
      <c r="K6" s="72"/>
      <c r="N6" s="9"/>
      <c r="Q6" s="13">
        <f>'REFORMA BERÇÁRIO'!K37</f>
        <v>4856.3987882419997</v>
      </c>
    </row>
    <row r="7" spans="1:19" ht="43.2" x14ac:dyDescent="0.3">
      <c r="A7" s="15">
        <v>4</v>
      </c>
      <c r="B7" s="16" t="str">
        <f>'REFORMA BERÇÁRIO'!D25</f>
        <v>PINTURA INTERNA/EXTERNA</v>
      </c>
      <c r="C7" s="16" t="s">
        <v>303</v>
      </c>
      <c r="D7" s="19"/>
      <c r="E7" s="20"/>
      <c r="F7" s="73"/>
      <c r="G7" s="74"/>
      <c r="H7" s="75"/>
      <c r="I7" s="64" t="str">
        <f>C7</f>
        <v>100,00%
27083,10</v>
      </c>
      <c r="J7" s="65"/>
      <c r="K7" s="66"/>
      <c r="N7" s="36"/>
      <c r="Q7" s="13">
        <f>'REFORMA BERÇÁRIO'!K48</f>
        <v>33991.351216165996</v>
      </c>
      <c r="R7">
        <f>0.3*Q7</f>
        <v>10197.405364849799</v>
      </c>
      <c r="S7">
        <f>0.2*Q7</f>
        <v>6798.2702432331998</v>
      </c>
    </row>
    <row r="8" spans="1:19" ht="43.2" x14ac:dyDescent="0.3">
      <c r="A8" s="15">
        <v>5</v>
      </c>
      <c r="B8" s="16" t="str">
        <f>'REFORMA BERÇÁRIO'!D30</f>
        <v>COBERTURA</v>
      </c>
      <c r="C8" s="16" t="s">
        <v>304</v>
      </c>
      <c r="D8" s="19"/>
      <c r="E8" s="20"/>
      <c r="F8" s="64" t="s">
        <v>305</v>
      </c>
      <c r="G8" s="65"/>
      <c r="H8" s="66"/>
      <c r="I8" s="64" t="str">
        <f>F8</f>
        <v>50,00%
16667,4</v>
      </c>
      <c r="J8" s="65"/>
      <c r="K8" s="66"/>
      <c r="N8" s="9"/>
      <c r="Q8" s="13">
        <f>'REFORMA BERÇÁRIO'!K70</f>
        <v>29082.760517025203</v>
      </c>
      <c r="R8">
        <f>0.3*Q8</f>
        <v>8724.8281551075597</v>
      </c>
      <c r="S8">
        <f>0.2*Q8</f>
        <v>5816.5521034050407</v>
      </c>
    </row>
    <row r="9" spans="1:19" ht="28.8" x14ac:dyDescent="0.3">
      <c r="A9" s="15">
        <v>6</v>
      </c>
      <c r="B9" s="16" t="str">
        <f>'REFORMA BERÇÁRIO'!D36</f>
        <v>INSTALAÇÕES ELÉTRICAS</v>
      </c>
      <c r="C9" s="16" t="s">
        <v>306</v>
      </c>
      <c r="D9" s="19"/>
      <c r="E9" s="20"/>
      <c r="F9" s="64" t="str">
        <f>C9</f>
        <v>100,00%
4856,40</v>
      </c>
      <c r="G9" s="65"/>
      <c r="H9" s="66"/>
      <c r="I9" s="86"/>
      <c r="J9" s="86"/>
      <c r="K9" s="86"/>
      <c r="Q9" s="13">
        <f>'REFORMA BERÇÁRIO'!K86</f>
        <v>56129.425905685996</v>
      </c>
      <c r="R9">
        <f>0.3*Q9</f>
        <v>16838.827771705797</v>
      </c>
      <c r="S9">
        <f>0.2*Q9</f>
        <v>11225.885181137201</v>
      </c>
    </row>
    <row r="10" spans="1:19" ht="28.8" x14ac:dyDescent="0.3">
      <c r="A10" s="21">
        <v>7</v>
      </c>
      <c r="B10" s="22" t="str">
        <f>'REFORMA BERÇÁRIO'!D44</f>
        <v>INSTALAÇÕES HIDROSSANITÁRIAS</v>
      </c>
      <c r="C10" s="22" t="s">
        <v>307</v>
      </c>
      <c r="D10" s="17" t="s">
        <v>309</v>
      </c>
      <c r="E10" s="23" t="s">
        <v>308</v>
      </c>
      <c r="F10" s="64" t="str">
        <f>E10</f>
        <v>30,00%
10197,5</v>
      </c>
      <c r="G10" s="81"/>
      <c r="H10" s="82"/>
      <c r="I10" s="64" t="str">
        <f>D10</f>
        <v>20,00%
6798,35</v>
      </c>
      <c r="J10" s="81"/>
      <c r="K10" s="82"/>
      <c r="Q10" s="13">
        <f>SUM(Q1:Q9)</f>
        <v>290240.26116726728</v>
      </c>
    </row>
    <row r="11" spans="1:19" ht="28.8" x14ac:dyDescent="0.3">
      <c r="A11" s="21">
        <v>8</v>
      </c>
      <c r="B11" s="22" t="str">
        <f>'REFORMA BERÇÁRIO'!D67</f>
        <v>ESQUADRIAS</v>
      </c>
      <c r="C11" s="22" t="s">
        <v>310</v>
      </c>
      <c r="D11" s="17" t="s">
        <v>311</v>
      </c>
      <c r="E11" s="23" t="s">
        <v>312</v>
      </c>
      <c r="F11" s="64" t="str">
        <f>E11</f>
        <v>30,00%
8725,9</v>
      </c>
      <c r="G11" s="81"/>
      <c r="H11" s="82"/>
      <c r="I11" s="64" t="str">
        <f>D11</f>
        <v>20,00%
5817,26</v>
      </c>
      <c r="J11" s="65"/>
      <c r="K11" s="66"/>
    </row>
    <row r="12" spans="1:19" ht="28.8" x14ac:dyDescent="0.3">
      <c r="A12" s="21">
        <v>9</v>
      </c>
      <c r="B12" s="22" t="str">
        <f>'REFORMA BERÇÁRIO'!D77</f>
        <v>SERVIÇOS DIVERSOS</v>
      </c>
      <c r="C12" s="22" t="s">
        <v>313</v>
      </c>
      <c r="D12" s="17" t="s">
        <v>315</v>
      </c>
      <c r="E12" s="23" t="s">
        <v>314</v>
      </c>
      <c r="F12" s="64" t="str">
        <f>E12</f>
        <v>30,00%
16838,8</v>
      </c>
      <c r="G12" s="81"/>
      <c r="H12" s="82"/>
      <c r="I12" s="83" t="str">
        <f>D12</f>
        <v>20,00%
11225,9</v>
      </c>
      <c r="J12" s="84"/>
      <c r="K12" s="85"/>
      <c r="L12" s="13"/>
    </row>
    <row r="13" spans="1:19" ht="19.2" customHeight="1" x14ac:dyDescent="0.3">
      <c r="A13" s="76" t="s">
        <v>79</v>
      </c>
      <c r="B13" s="76"/>
      <c r="C13" s="41">
        <f>SUM(D13:K13)</f>
        <v>290240.26116726728</v>
      </c>
      <c r="D13" s="41">
        <f>SUM(Q1,S7,S8,S9)</f>
        <v>37576.682990454356</v>
      </c>
      <c r="E13" s="41">
        <f>SUM(R2:R3,R7,R8,R9)</f>
        <v>81626.139341513845</v>
      </c>
      <c r="F13" s="77">
        <f>SUM(R2:R3,R5,R7,R8,R9)+Q6</f>
        <v>103248.16239078104</v>
      </c>
      <c r="G13" s="77"/>
      <c r="H13" s="77"/>
      <c r="I13" s="78">
        <f>SUM(Q4,R5,S7,S8,S9)</f>
        <v>67789.276444518036</v>
      </c>
      <c r="J13" s="79"/>
      <c r="K13" s="80"/>
    </row>
    <row r="15" spans="1:19" x14ac:dyDescent="0.3">
      <c r="G15" s="24"/>
    </row>
    <row r="16" spans="1:19" x14ac:dyDescent="0.3">
      <c r="L16" s="13"/>
    </row>
    <row r="19" spans="12:12" x14ac:dyDescent="0.3">
      <c r="L19" s="13"/>
    </row>
    <row r="27" spans="12:12" x14ac:dyDescent="0.3">
      <c r="L27" s="13"/>
    </row>
    <row r="34" spans="11:12" x14ac:dyDescent="0.3">
      <c r="L34" s="13"/>
    </row>
    <row r="38" spans="11:12" x14ac:dyDescent="0.3">
      <c r="K38" s="13"/>
    </row>
  </sheetData>
  <mergeCells count="25">
    <mergeCell ref="A13:B13"/>
    <mergeCell ref="F13:H13"/>
    <mergeCell ref="I13:K13"/>
    <mergeCell ref="F8:H8"/>
    <mergeCell ref="I8:K8"/>
    <mergeCell ref="F9:H9"/>
    <mergeCell ref="F12:H12"/>
    <mergeCell ref="I12:K12"/>
    <mergeCell ref="F10:H10"/>
    <mergeCell ref="I10:K10"/>
    <mergeCell ref="F11:H11"/>
    <mergeCell ref="I11:K11"/>
    <mergeCell ref="I9:K9"/>
    <mergeCell ref="F5:H5"/>
    <mergeCell ref="I5:K5"/>
    <mergeCell ref="F6:H6"/>
    <mergeCell ref="I6:K6"/>
    <mergeCell ref="F7:H7"/>
    <mergeCell ref="I7:K7"/>
    <mergeCell ref="A1:K1"/>
    <mergeCell ref="B2:K2"/>
    <mergeCell ref="F3:H3"/>
    <mergeCell ref="I3:K3"/>
    <mergeCell ref="F4:H4"/>
    <mergeCell ref="I4:K4"/>
  </mergeCells>
  <pageMargins left="0.511811024" right="0.511811024" top="0.78740157499999996" bottom="0.78740157499999996" header="0.31496062000000002" footer="0.31496062000000002"/>
  <pageSetup paperSize="9" orientation="landscape" horizontalDpi="4294967292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7BB3A-2875-4F24-B3EF-9866C4752AD3}">
  <dimension ref="A1:B21"/>
  <sheetViews>
    <sheetView workbookViewId="0">
      <selection activeCell="B14" sqref="B14"/>
    </sheetView>
  </sheetViews>
  <sheetFormatPr defaultRowHeight="14.4" x14ac:dyDescent="0.3"/>
  <cols>
    <col min="1" max="1" width="21.44140625" customWidth="1"/>
    <col min="2" max="2" width="20.6640625" customWidth="1"/>
  </cols>
  <sheetData>
    <row r="1" spans="1:2" x14ac:dyDescent="0.3">
      <c r="A1" s="87" t="s">
        <v>60</v>
      </c>
      <c r="B1" s="87"/>
    </row>
    <row r="2" spans="1:2" x14ac:dyDescent="0.3">
      <c r="A2" s="87"/>
      <c r="B2" s="87"/>
    </row>
    <row r="3" spans="1:2" x14ac:dyDescent="0.3">
      <c r="A3" s="4" t="s">
        <v>1</v>
      </c>
      <c r="B3" s="5" t="s">
        <v>61</v>
      </c>
    </row>
    <row r="4" spans="1:2" x14ac:dyDescent="0.3">
      <c r="A4" s="4" t="s">
        <v>62</v>
      </c>
      <c r="B4" s="6">
        <v>0.03</v>
      </c>
    </row>
    <row r="5" spans="1:2" x14ac:dyDescent="0.3">
      <c r="A5" s="4" t="s">
        <v>63</v>
      </c>
      <c r="B5" s="6">
        <v>1.23E-2</v>
      </c>
    </row>
    <row r="6" spans="1:2" x14ac:dyDescent="0.3">
      <c r="A6" s="4" t="s">
        <v>64</v>
      </c>
      <c r="B6" s="6">
        <v>6.0000000000000001E-3</v>
      </c>
    </row>
    <row r="7" spans="1:2" x14ac:dyDescent="0.3">
      <c r="A7" s="4" t="s">
        <v>65</v>
      </c>
      <c r="B7" s="6">
        <v>2E-3</v>
      </c>
    </row>
    <row r="8" spans="1:2" x14ac:dyDescent="0.3">
      <c r="A8" s="4" t="s">
        <v>66</v>
      </c>
      <c r="B8" s="6">
        <v>1.2699999999999999E-2</v>
      </c>
    </row>
    <row r="9" spans="1:2" x14ac:dyDescent="0.3">
      <c r="A9" s="4" t="s">
        <v>67</v>
      </c>
      <c r="B9" s="6">
        <v>0.03</v>
      </c>
    </row>
    <row r="10" spans="1:2" x14ac:dyDescent="0.3">
      <c r="A10" s="4" t="s">
        <v>68</v>
      </c>
      <c r="B10" s="5">
        <v>0</v>
      </c>
    </row>
    <row r="11" spans="1:2" x14ac:dyDescent="0.3">
      <c r="A11" s="4" t="s">
        <v>69</v>
      </c>
      <c r="B11" s="6">
        <v>3.6499999999999998E-2</v>
      </c>
    </row>
    <row r="12" spans="1:2" x14ac:dyDescent="0.3">
      <c r="A12" s="4" t="s">
        <v>70</v>
      </c>
      <c r="B12" s="6">
        <v>7.3999999999999996E-2</v>
      </c>
    </row>
    <row r="13" spans="1:2" x14ac:dyDescent="0.3">
      <c r="A13" s="7"/>
      <c r="B13" s="7"/>
    </row>
    <row r="14" spans="1:2" x14ac:dyDescent="0.3">
      <c r="A14" s="8" t="s">
        <v>71</v>
      </c>
      <c r="B14" s="42">
        <v>0.23669999999999999</v>
      </c>
    </row>
    <row r="17" spans="1:2" x14ac:dyDescent="0.3">
      <c r="B17" s="10"/>
    </row>
    <row r="18" spans="1:2" x14ac:dyDescent="0.3">
      <c r="A18" s="11"/>
      <c r="B18" s="12"/>
    </row>
    <row r="19" spans="1:2" x14ac:dyDescent="0.3">
      <c r="A19" s="10"/>
      <c r="B19" s="10"/>
    </row>
    <row r="20" spans="1:2" x14ac:dyDescent="0.3">
      <c r="A20" s="10"/>
      <c r="B20" s="10"/>
    </row>
    <row r="21" spans="1:2" x14ac:dyDescent="0.3">
      <c r="A21" s="10"/>
      <c r="B21" s="10"/>
    </row>
  </sheetData>
  <mergeCells count="1">
    <mergeCell ref="A1:B2"/>
  </mergeCells>
  <pageMargins left="0.51181102362204722" right="0.51181102362204722" top="0.78740157480314965" bottom="0.78740157480314965" header="0.31496062992125984" footer="0.31496062992125984"/>
  <pageSetup paperSize="9" orientation="portrait" horizontalDpi="4294967292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13017-F2DC-44A1-BE94-A4A6436A8834}">
  <dimension ref="B34:C35"/>
  <sheetViews>
    <sheetView workbookViewId="0">
      <selection activeCell="B35" sqref="B34:C35"/>
    </sheetView>
  </sheetViews>
  <sheetFormatPr defaultRowHeight="14.4" x14ac:dyDescent="0.3"/>
  <sheetData>
    <row r="34" spans="2:3" x14ac:dyDescent="0.3">
      <c r="B34" s="10"/>
      <c r="C34" s="10"/>
    </row>
    <row r="35" spans="2:3" x14ac:dyDescent="0.3">
      <c r="B35" s="55"/>
      <c r="C35" s="55"/>
    </row>
  </sheetData>
  <mergeCells count="1">
    <mergeCell ref="B35:C35"/>
  </mergeCells>
  <pageMargins left="0.511811024" right="0.511811024" top="0.78740157499999996" bottom="0.78740157499999996" header="0.31496062000000002" footer="0.31496062000000002"/>
  <pageSetup paperSize="9" orientation="portrait" horizontalDpi="4294967292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REFORMA BERÇÁRIO</vt:lpstr>
      <vt:lpstr>memória de cálculo</vt:lpstr>
      <vt:lpstr>CRONOGRAMA</vt:lpstr>
      <vt:lpstr>BDI</vt:lpstr>
      <vt:lpstr>ENCARGOS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RAVENA</dc:creator>
  <cp:lastModifiedBy>ravena</cp:lastModifiedBy>
  <cp:lastPrinted>2026-10-02T14:11:49Z</cp:lastPrinted>
  <dcterms:created xsi:type="dcterms:W3CDTF">2020-08-07T21:48:21Z</dcterms:created>
  <dcterms:modified xsi:type="dcterms:W3CDTF">2026-10-02T14:15:04Z</dcterms:modified>
</cp:coreProperties>
</file>