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/>
  <mc:AlternateContent xmlns:mc="http://schemas.openxmlformats.org/markup-compatibility/2006">
    <mc:Choice Requires="x15">
      <x15ac:absPath xmlns:x15ac="http://schemas.microsoft.com/office/spreadsheetml/2010/11/ac" url="C:\Users\ravec\Desktop\"/>
    </mc:Choice>
  </mc:AlternateContent>
  <xr:revisionPtr revIDLastSave="0" documentId="13_ncr:1_{3CA71F46-5EF2-4246-998A-D474EE2CA5E2}" xr6:coauthVersionLast="36" xr6:coauthVersionMax="36" xr10:uidLastSave="{00000000-0000-0000-0000-000000000000}"/>
  <bookViews>
    <workbookView xWindow="0" yWindow="0" windowWidth="23040" windowHeight="8940" activeTab="1" xr2:uid="{00000000-000D-0000-FFFF-FFFF00000000}"/>
  </bookViews>
  <sheets>
    <sheet name="REFORMA UELMA" sheetId="1" r:id="rId1"/>
    <sheet name="CRONOGRAMA" sheetId="4" r:id="rId2"/>
    <sheet name="BDI" sheetId="2" r:id="rId3"/>
    <sheet name="ENCARGOS" sheetId="3" r:id="rId4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0" i="1" l="1"/>
  <c r="H30" i="1"/>
  <c r="I62" i="1" l="1"/>
  <c r="O15" i="1"/>
  <c r="F52" i="1"/>
  <c r="F29" i="1"/>
  <c r="F28" i="1"/>
  <c r="R29" i="1"/>
  <c r="F27" i="1"/>
  <c r="R27" i="1"/>
  <c r="Q7" i="4" l="1"/>
  <c r="S7" i="4" s="1"/>
  <c r="F5" i="4"/>
  <c r="K41" i="1"/>
  <c r="K60" i="1"/>
  <c r="K33" i="1"/>
  <c r="K24" i="1"/>
  <c r="K18" i="1"/>
  <c r="K12" i="1"/>
  <c r="K8" i="1"/>
  <c r="R7" i="4" l="1"/>
  <c r="F9" i="1"/>
  <c r="F51" i="1" l="1"/>
  <c r="F24" i="1"/>
  <c r="F22" i="1"/>
  <c r="F12" i="1"/>
  <c r="F15" i="1"/>
  <c r="F14" i="1"/>
  <c r="O12" i="1"/>
  <c r="F58" i="1"/>
  <c r="F57" i="1"/>
  <c r="F20" i="1"/>
  <c r="Q19" i="1"/>
  <c r="Q18" i="1"/>
  <c r="P17" i="1"/>
  <c r="N22" i="1"/>
  <c r="P19" i="1"/>
  <c r="P18" i="1"/>
  <c r="O19" i="1"/>
  <c r="O18" i="1"/>
  <c r="N18" i="1" s="1"/>
  <c r="F18" i="1" s="1"/>
  <c r="O17" i="1"/>
  <c r="F56" i="1"/>
  <c r="F53" i="1"/>
  <c r="H49" i="1"/>
  <c r="I49" i="1" s="1"/>
  <c r="F42" i="1"/>
  <c r="F41" i="1"/>
  <c r="F34" i="1"/>
  <c r="F33" i="1" s="1"/>
  <c r="H44" i="1"/>
  <c r="I44" i="1" s="1"/>
  <c r="H45" i="1"/>
  <c r="I45" i="1" s="1"/>
  <c r="N19" i="1"/>
  <c r="F19" i="1" s="1"/>
  <c r="N17" i="1" l="1"/>
  <c r="F17" i="1" s="1"/>
  <c r="F23" i="1"/>
  <c r="G28" i="1"/>
  <c r="F13" i="1"/>
  <c r="F10" i="1" l="1"/>
  <c r="H9" i="1"/>
  <c r="O8" i="1"/>
  <c r="F8" i="1" s="1"/>
  <c r="I9" i="1" l="1"/>
  <c r="D4" i="4"/>
  <c r="H8" i="1"/>
  <c r="I8" i="1" s="1"/>
  <c r="H10" i="1" l="1"/>
  <c r="I10" i="1" s="1"/>
  <c r="H17" i="1"/>
  <c r="I17" i="1" l="1"/>
  <c r="H29" i="1" l="1"/>
  <c r="H28" i="1"/>
  <c r="H58" i="1" l="1"/>
  <c r="I58" i="1" s="1"/>
  <c r="H57" i="1"/>
  <c r="H59" i="1"/>
  <c r="I59" i="1" s="1"/>
  <c r="I57" i="1" l="1"/>
  <c r="I11" i="4"/>
  <c r="F11" i="4"/>
  <c r="I10" i="4"/>
  <c r="F10" i="4"/>
  <c r="I7" i="4"/>
  <c r="I8" i="4"/>
  <c r="F9" i="4"/>
  <c r="I12" i="4"/>
  <c r="F12" i="4"/>
  <c r="F6" i="4"/>
  <c r="M76" i="1" l="1"/>
  <c r="M75" i="1"/>
  <c r="H31" i="1" l="1"/>
  <c r="I31" i="1" s="1"/>
  <c r="M74" i="1"/>
  <c r="M73" i="1"/>
  <c r="M72" i="1"/>
  <c r="M71" i="1"/>
  <c r="M70" i="1"/>
  <c r="M69" i="1"/>
  <c r="M68" i="1"/>
  <c r="N68" i="1" s="1"/>
  <c r="N71" i="1" l="1"/>
  <c r="H14" i="1" l="1"/>
  <c r="I14" i="1" s="1"/>
  <c r="H13" i="1" l="1"/>
  <c r="I13" i="1" l="1"/>
  <c r="H52" i="1" l="1"/>
  <c r="I52" i="1" l="1"/>
  <c r="K51" i="1" s="1"/>
  <c r="H38" i="1" l="1"/>
  <c r="I38" i="1" s="1"/>
  <c r="H23" i="1"/>
  <c r="H41" i="1"/>
  <c r="H42" i="1"/>
  <c r="H43" i="1"/>
  <c r="I43" i="1" s="1"/>
  <c r="H46" i="1"/>
  <c r="I46" i="1" s="1"/>
  <c r="H47" i="1"/>
  <c r="I47" i="1" s="1"/>
  <c r="H48" i="1"/>
  <c r="I48" i="1" s="1"/>
  <c r="I42" i="1" l="1"/>
  <c r="I23" i="1"/>
  <c r="I41" i="1"/>
  <c r="B12" i="4" l="1"/>
  <c r="B11" i="4"/>
  <c r="B10" i="4"/>
  <c r="H15" i="1"/>
  <c r="Q1" i="4" l="1"/>
  <c r="I15" i="1"/>
  <c r="H51" i="1" l="1"/>
  <c r="I51" i="1" l="1"/>
  <c r="H53" i="1"/>
  <c r="H56" i="1"/>
  <c r="I56" i="1" s="1"/>
  <c r="H36" i="1"/>
  <c r="I36" i="1" s="1"/>
  <c r="I53" i="1" l="1"/>
  <c r="B9" i="4"/>
  <c r="H27" i="1" l="1"/>
  <c r="I27" i="1" s="1"/>
  <c r="H33" i="1"/>
  <c r="I33" i="1" s="1"/>
  <c r="H39" i="1"/>
  <c r="I39" i="1" s="1"/>
  <c r="H34" i="1"/>
  <c r="I34" i="1" s="1"/>
  <c r="H35" i="1"/>
  <c r="I35" i="1" s="1"/>
  <c r="H37" i="1"/>
  <c r="I37" i="1" s="1"/>
  <c r="Q8" i="4"/>
  <c r="H60" i="1"/>
  <c r="I60" i="1" s="1"/>
  <c r="Q6" i="4" l="1"/>
  <c r="S8" i="4"/>
  <c r="R8" i="4"/>
  <c r="B8" i="4" l="1"/>
  <c r="B7" i="4"/>
  <c r="B6" i="4"/>
  <c r="B5" i="4"/>
  <c r="B4" i="4"/>
  <c r="H55" i="1" l="1"/>
  <c r="I55" i="1" s="1"/>
  <c r="H26" i="1"/>
  <c r="I26" i="1" s="1"/>
  <c r="H24" i="1"/>
  <c r="I24" i="1" s="1"/>
  <c r="H22" i="1"/>
  <c r="H19" i="1"/>
  <c r="I19" i="1" s="1"/>
  <c r="H20" i="1"/>
  <c r="I20" i="1" s="1"/>
  <c r="H18" i="1"/>
  <c r="I18" i="1" s="1"/>
  <c r="H12" i="1"/>
  <c r="Q3" i="4" l="1"/>
  <c r="R3" i="4" s="1"/>
  <c r="I12" i="1"/>
  <c r="I22" i="1"/>
  <c r="Q9" i="4" l="1"/>
  <c r="Q4" i="4"/>
  <c r="R9" i="4" l="1"/>
  <c r="S9" i="4"/>
  <c r="D13" i="4" s="1"/>
  <c r="Q2" i="4"/>
  <c r="R2" i="4" l="1"/>
  <c r="E13" i="4" l="1"/>
  <c r="I28" i="1"/>
  <c r="I29" i="1"/>
  <c r="K26" i="1" l="1"/>
  <c r="K62" i="1" l="1"/>
  <c r="Q5" i="4"/>
  <c r="Q10" i="4" l="1"/>
  <c r="R5" i="4"/>
  <c r="F13" i="4" l="1"/>
  <c r="I13" i="4"/>
  <c r="C13" i="4" l="1"/>
</calcChain>
</file>

<file path=xl/sharedStrings.xml><?xml version="1.0" encoding="utf-8"?>
<sst xmlns="http://schemas.openxmlformats.org/spreadsheetml/2006/main" count="299" uniqueCount="213">
  <si>
    <t>BANCO</t>
  </si>
  <si>
    <t>ITEM</t>
  </si>
  <si>
    <t>DESCRIMINAÇÃO</t>
  </si>
  <si>
    <t xml:space="preserve">CÓDIGO </t>
  </si>
  <si>
    <t>UNIDADE</t>
  </si>
  <si>
    <t>QUANTIDADE</t>
  </si>
  <si>
    <t>SINAPI</t>
  </si>
  <si>
    <t>M2</t>
  </si>
  <si>
    <t>PREÇO UNITÁRIO</t>
  </si>
  <si>
    <t>PREÇO TOTAL</t>
  </si>
  <si>
    <t>88489</t>
  </si>
  <si>
    <t>M3</t>
  </si>
  <si>
    <t>REVESTIMENTO/PAVIMENTAÇÃO</t>
  </si>
  <si>
    <t>DEMOLIÇÃO</t>
  </si>
  <si>
    <t>SEINFRA</t>
  </si>
  <si>
    <t>M</t>
  </si>
  <si>
    <t>UN</t>
  </si>
  <si>
    <t>1.0</t>
  </si>
  <si>
    <t>1.1</t>
  </si>
  <si>
    <t>2.0</t>
  </si>
  <si>
    <t>2.1</t>
  </si>
  <si>
    <t>5.1</t>
  </si>
  <si>
    <t>4.1</t>
  </si>
  <si>
    <t>3.0</t>
  </si>
  <si>
    <t>3.1</t>
  </si>
  <si>
    <t>4.0</t>
  </si>
  <si>
    <t>4.2</t>
  </si>
  <si>
    <t>5.0</t>
  </si>
  <si>
    <t>PINTURA INTERNA/EXTERNA</t>
  </si>
  <si>
    <t>6.0</t>
  </si>
  <si>
    <t>6.2</t>
  </si>
  <si>
    <t>TOTAL GERAL</t>
  </si>
  <si>
    <t>87531</t>
  </si>
  <si>
    <t>EMBOÇO, EM ARGAMASSA TRAÇO 1:2:8, PREPARO MECÂNICO, APLICADO MANUALMENTE EM PAREDES INTERNAS DE AMBIENTES COM ÁREA ENTRE 5M² E 10M², E = 17,5MM, COM TALISCAS. AF_03/2024</t>
  </si>
  <si>
    <t>103669</t>
  </si>
  <si>
    <t>92883</t>
  </si>
  <si>
    <t>ARMAÇÃO UTILIZANDO AÇO CA-25 DE 8,0 MM - MONTAGEM. AF_06/2022</t>
  </si>
  <si>
    <t>KG</t>
  </si>
  <si>
    <t>88485</t>
  </si>
  <si>
    <t>FUNDO SELADOR ACRÍLICO, APLICAÇÃO MANUAL EM PAREDE, UMA DEMÃO. AF_04/2023</t>
  </si>
  <si>
    <t>PINTURA LÁTEX ACRÍLICA PREMIUM, APLICAÇÃO MANUAL EM PAREDES, DUAS DEMÃOS. AF_04/2023</t>
  </si>
  <si>
    <t>90695</t>
  </si>
  <si>
    <t>TUBO DE PVC PARA REDE COLETORA DE ESGOTO DE PAREDE MACIÇA, DN 150 MM, JUNTA ELÁSTICA  - FORNECIMENTO E ASSENTAMENTO. AF_01/2021</t>
  </si>
  <si>
    <t>SERVIÇOS DIVERSOS</t>
  </si>
  <si>
    <t>C1937</t>
  </si>
  <si>
    <t>PLACAS PADRÃO DE OBRA</t>
  </si>
  <si>
    <t>3.2</t>
  </si>
  <si>
    <t>3.3</t>
  </si>
  <si>
    <t>PLANILHA ORÇAMENTÁRIA SINTÉTICA</t>
  </si>
  <si>
    <t>CUSTO UNITÁRIO</t>
  </si>
  <si>
    <t>5.4</t>
  </si>
  <si>
    <t>5.5</t>
  </si>
  <si>
    <t>6.4</t>
  </si>
  <si>
    <t>6.5</t>
  </si>
  <si>
    <t>6.6</t>
  </si>
  <si>
    <t>C1628</t>
  </si>
  <si>
    <t>LIMPEZA GERAL</t>
  </si>
  <si>
    <t>BDI</t>
  </si>
  <si>
    <t>PERCENTUAL (%)</t>
  </si>
  <si>
    <t>ADMINISTRAÇÃO CENTRAL</t>
  </si>
  <si>
    <t>CUSTO FINANCEIRO</t>
  </si>
  <si>
    <t>SEGURO</t>
  </si>
  <si>
    <t>GARANTIAS</t>
  </si>
  <si>
    <t>MARGEM DE INCERTEZA</t>
  </si>
  <si>
    <t>TRIBUTOS MUNICIPAIS (ISS)</t>
  </si>
  <si>
    <t>TRIBUTOS ESTADUAIS</t>
  </si>
  <si>
    <t>TRIBUTOS FEDERAIS (PIS E CONFINS)</t>
  </si>
  <si>
    <t>MARGEM DE CONTRIBUIÇÃO</t>
  </si>
  <si>
    <t>VALOR DO BDI:</t>
  </si>
  <si>
    <t>Item</t>
  </si>
  <si>
    <t>Descrição</t>
  </si>
  <si>
    <t>Total Por Etapa</t>
  </si>
  <si>
    <t>15 DIAS</t>
  </si>
  <si>
    <t>30 DIAS</t>
  </si>
  <si>
    <t>45 DIAS</t>
  </si>
  <si>
    <t>60 DIAS</t>
  </si>
  <si>
    <t>Custo Acumulado</t>
  </si>
  <si>
    <t>medidas conforme CAD e conferência in loco</t>
  </si>
  <si>
    <t>6.1</t>
  </si>
  <si>
    <t>91831</t>
  </si>
  <si>
    <t>ELETRODUTO FLEXÍVEL CORRUGADO, PVC, DN 20 MM (1/2"), PARA CIRCUITOS TERMINAIS, INSTALADO EM FORRO - FORNECIMENTO E INSTALAÇÃO. AF_03/2023_PA</t>
  </si>
  <si>
    <t>91924</t>
  </si>
  <si>
    <t>CABO DE COBRE FLEXÍVEL ISOLADO, 1,5 MM², ANTI-CHAMA 450/750 V, PARA CIRCUITOS TERMINAIS - FORNECIMENTO E INSTALAÇÃO. AF_03/2023</t>
  </si>
  <si>
    <t>91926</t>
  </si>
  <si>
    <t>CABO DE COBRE FLEXÍVEL ISOLADO, 2,5 MM², ANTI-CHAMA 450/750 V, PARA CIRCUITOS TERMINAIS - FORNECIMENTO E INSTALAÇÃO. AF_03/2023</t>
  </si>
  <si>
    <t>INTERRUPTOR SIMPLES (2 MÓDULOS) COM 1 TOMADA DE EMBUTIR 2P+T 10 A, INCLUINDO SUPORTE E PLACA - FORNECIMENTO E INSTALAÇÃO. AF_03/2023</t>
  </si>
  <si>
    <t>92004</t>
  </si>
  <si>
    <t>TOMADA MÉDIA DE EMBUTIR (2 MÓDULOS), 2P+T 10 A, INCLUINDO SUPORTE E PLACA - FORNECIMENTO E INSTALAÇÃO. AF_03/2023</t>
  </si>
  <si>
    <t>96486</t>
  </si>
  <si>
    <t>FORRO EM RÉGUAS DE PVC, LISO, PARA AMBIENTES COMERCIAIS, INCLUSIVE ESTRUTURA BIDIRECIONAL DE FIXAÇÃO. AF_08/2023_PS</t>
  </si>
  <si>
    <t>COBERTURA</t>
  </si>
  <si>
    <t>7.0</t>
  </si>
  <si>
    <t>INSTALAÇÕES ELÉTRICAS</t>
  </si>
  <si>
    <t>7.1</t>
  </si>
  <si>
    <t>91993</t>
  </si>
  <si>
    <t>TOMADA ALTA DE EMBUTIR (1 MÓDULO), 2P+T 20 A, INCLUINDO SUPORTE E PLACA - FORNECIMENTO E INSTALAÇÃO. AF_03/2023</t>
  </si>
  <si>
    <t>C2666</t>
  </si>
  <si>
    <t>VERGA RETA DE CONCRETO ARMADO</t>
  </si>
  <si>
    <t>87247</t>
  </si>
  <si>
    <t>REVESTIMENTO CERÂMICO PARA PISO COM PLACAS TIPO ESMALTADA DE DIMENSÕES 35X35 CM APLICADA EM AMBIENTES DE ÁREA ENTRE 5 M2 E 10 M2. AF_02/2023_PE</t>
  </si>
  <si>
    <t>C1043</t>
  </si>
  <si>
    <t>DEMOLIÇÃO DE ALVENARIA DE TIJOLOS S/ REAPROVEITAMENTO</t>
  </si>
  <si>
    <t>1.2</t>
  </si>
  <si>
    <t>8.0</t>
  </si>
  <si>
    <t>8.1</t>
  </si>
  <si>
    <t>8.2</t>
  </si>
  <si>
    <t>8.3</t>
  </si>
  <si>
    <t>INSTALAÇÕES HIDROSSANITÁRIAS</t>
  </si>
  <si>
    <t>ESQUADRIAS</t>
  </si>
  <si>
    <t>9.0</t>
  </si>
  <si>
    <t>9.1</t>
  </si>
  <si>
    <t>9.4</t>
  </si>
  <si>
    <t>9.5</t>
  </si>
  <si>
    <t>C2593</t>
  </si>
  <si>
    <t>TUBO PVC BRANCO P/ESGOTO D=100MM (4')</t>
  </si>
  <si>
    <t>C2625</t>
  </si>
  <si>
    <t>TUBO PVC SOLD. MARROM INCL.CONEXÕES D= 25mm(3/4")</t>
  </si>
  <si>
    <t>C2381</t>
  </si>
  <si>
    <t>TÊ PVC SOLD. MARROM D= 25mm (3/4")</t>
  </si>
  <si>
    <t>C1550</t>
  </si>
  <si>
    <t>JOELHO PVC BRANCO P/ESGOTO D=100mm (4") - JUNTA C/ANÉIS</t>
  </si>
  <si>
    <t>C1526</t>
  </si>
  <si>
    <t>JOELHO 90 PVC SOLD./ROSCA. D= 25mmX3/4"</t>
  </si>
  <si>
    <t>CAIXA SIFONADA, PVC, DN 100 X 100 X 50 MM, FORNECIDA E INSTALADA EM RAMAIS DE ENCAMINHAMENTO DE ÁGUA PLUVIAL. AF_06/2022</t>
  </si>
  <si>
    <t>C2158</t>
  </si>
  <si>
    <t>REGISTRO DE GAVETA BRUTO D= 25mm (1")</t>
  </si>
  <si>
    <t>C0592</t>
  </si>
  <si>
    <t>CAIXA ALVENARIA/REBOCO C/TAMPA CONCRETO FUNDO BRITA 80x80x80cm</t>
  </si>
  <si>
    <t>7.7</t>
  </si>
  <si>
    <t>7.8</t>
  </si>
  <si>
    <t>7.9</t>
  </si>
  <si>
    <t>4.3</t>
  </si>
  <si>
    <t>9.6</t>
  </si>
  <si>
    <t>94570</t>
  </si>
  <si>
    <t>JANELA DE ALUMÍNIO DE CORRER COM 2 FOLHAS PARA VIDROS, COM VIDROS, BATENTE, ACABAMENTO COM ACETATO OU BRILHANTE E FERRAGENS. EXCLUSIVE ALIZAR E CONTRAMARCO. FORNECIMENTO E INSTALAÇÃO. AF_12/2019</t>
  </si>
  <si>
    <t>CRONOGRAMA FÍSICO E FINANCEIRO</t>
  </si>
  <si>
    <t>2.2</t>
  </si>
  <si>
    <t>94991</t>
  </si>
  <si>
    <t>EXECUÇÃO DE PASSEIO (CALÇADA) OU PISO DE CONCRETO COM CONCRETO MOLDADO IN LOCO, USINADO C20, ACABAMENTO CONVENCIONAL, NÃO ARMADO. AF_08/2022</t>
  </si>
  <si>
    <t>concreto</t>
  </si>
  <si>
    <t>armação</t>
  </si>
  <si>
    <t>SUPRAESTRUTURA/INFRAESTRUTURA</t>
  </si>
  <si>
    <t>7.2</t>
  </si>
  <si>
    <t>7.4</t>
  </si>
  <si>
    <t>7.5</t>
  </si>
  <si>
    <t>9.3</t>
  </si>
  <si>
    <t>88648</t>
  </si>
  <si>
    <t>RODAPÉ CERÂMICO DE 7CM DE ALTURA COM PLACAS TIPO ESMALTADA DE DIMENSÕES 35X35CM. AF_02/2023</t>
  </si>
  <si>
    <t>CONTRAPISO</t>
  </si>
  <si>
    <t>rodapé</t>
  </si>
  <si>
    <t>alvenaria</t>
  </si>
  <si>
    <t>platibanda</t>
  </si>
  <si>
    <t>area externa</t>
  </si>
  <si>
    <t>pintura</t>
  </si>
  <si>
    <t>PORTA EM ALUMÍNIO DE ABRIR TIPO VENEZIANA COM GUARNIÇÃO, FIXAÇÃO COM PARAFUSOS - FORNECIMENTO E INSTALAÇÃO. AF_10/2025</t>
  </si>
  <si>
    <t>C2102</t>
  </si>
  <si>
    <t>RASPAGEM E LIMPEZA DO TERRENO</t>
  </si>
  <si>
    <t>ATERRO MANUAL DE VALAS COM AREIA PARA ATERRO. AF_08/2023</t>
  </si>
  <si>
    <t>ARGAMASSA PRONTA PARA CONTRAPISO, PREPARO MANUAL. AF_07/2026</t>
  </si>
  <si>
    <t>TRAMA DE MADEIRA COMPOSTA POR TERÇAS PARA TELHADOS DE ATÉ 2 ÁGUAS PARA TELHA ONDULADA DE FIBROCIMENTO, METÁLICA, PLÁSTICA OU TERMOACÚSTICA, INCLUSO TRANSPORTE VERTICAL. AF_10/2025</t>
  </si>
  <si>
    <t>CALHA EM CHAPA DE AÇO GALVANIZADO NÚMERO 24, DESENVOLVIMENTO DE 100 CM, INCLUSO TRANSPORTE VERTICAL. AF_06/2026</t>
  </si>
  <si>
    <t>5.2</t>
  </si>
  <si>
    <t>5.3</t>
  </si>
  <si>
    <t>LUMINÁRIA TIPO PLAFON CIRCULAR, DE SOBREPOR, COM LED DE 12/13 W - FORNECIMENTO E INSTALAÇÃO. AF_09/2024</t>
  </si>
  <si>
    <t>C2210</t>
  </si>
  <si>
    <t>RETIRADA DE PORTAS E JANELAS, INCLUSIVE BATENTES</t>
  </si>
  <si>
    <t>C0054</t>
  </si>
  <si>
    <t>ALVENARIA DE EMBASAMENTO DE PEDRA ARGAMASSADA</t>
  </si>
  <si>
    <t>7.3</t>
  </si>
  <si>
    <t>7.6</t>
  </si>
  <si>
    <t>9.2</t>
  </si>
  <si>
    <t>6.3</t>
  </si>
  <si>
    <t>6.7</t>
  </si>
  <si>
    <t>3.4</t>
  </si>
  <si>
    <t>2.4</t>
  </si>
  <si>
    <t>DEMOLIÇÃO DE CONCRETO ARMADO C/MARTELETE PNEUMÁTICO</t>
  </si>
  <si>
    <t>C1048</t>
  </si>
  <si>
    <t>REFORMA UNIDADE ESCOLAR LUIS MARTINS DE ARAÚJO</t>
  </si>
  <si>
    <t>TELHA DE ALUMÍNIO ONDULADA, ESP.=0,7MM</t>
  </si>
  <si>
    <t>C4827</t>
  </si>
  <si>
    <t>C1279</t>
  </si>
  <si>
    <t>ESMALTE DUAS DEMÃOS EM ESQUADRIAS DE FERRO</t>
  </si>
  <si>
    <t>ALVENARIA DE VEDAÇÃO DE BLOCOS CERÂMICOS FURADOS NA VERTICAL DE 9X19X39 CM (ESPESSURA 9 CM) E ARGAMASSA DE ASSENTAMENTO COM PREPARO EM BETONEIRA. AF_08/2026</t>
  </si>
  <si>
    <t>CONCRETAGEM DE PILARES E VIGAS, FCK = 25 MPA,  COM USO DE BALDES - LANÇAMENTO, ADENSAMENTO E ACABAMENTO. AF_02/2022</t>
  </si>
  <si>
    <t>FOSSA SÉPTICA E SUMIDOURO  EM ALVENARIA</t>
  </si>
  <si>
    <t>C2832</t>
  </si>
  <si>
    <t>DATA: 07/10/2026</t>
  </si>
  <si>
    <t>LAJE PRÉ-FABRICADA P/ PISO - VÃO DE 2,01 A 3 m</t>
  </si>
  <si>
    <t>C4415</t>
  </si>
  <si>
    <t>1.3</t>
  </si>
  <si>
    <t>2.3</t>
  </si>
  <si>
    <t xml:space="preserve">                                  REFORMA UNIDADE ESCOLAR LUIS MARTINS DE ARAUJO</t>
  </si>
  <si>
    <t>100,00%
578,20</t>
  </si>
  <si>
    <t>100,00%
40720,83</t>
  </si>
  <si>
    <t>50,00%
20360,4</t>
  </si>
  <si>
    <t>100,00%
35971,48</t>
  </si>
  <si>
    <t>50,00%
17985,7</t>
  </si>
  <si>
    <t>100,00%
12839,88</t>
  </si>
  <si>
    <t>100,00%
2884,78</t>
  </si>
  <si>
    <t>30,00%
2818,88</t>
  </si>
  <si>
    <t>20,00%
1879,26</t>
  </si>
  <si>
    <t>100,00%
28844,29</t>
  </si>
  <si>
    <t>30,00%
8653,29</t>
  </si>
  <si>
    <t>20,00%
5768,86</t>
  </si>
  <si>
    <t>100,00%
11404,00</t>
  </si>
  <si>
    <t>30,00%
3421,2</t>
  </si>
  <si>
    <t>20,00%
2280,8</t>
  </si>
  <si>
    <t>100,00%
8998,90</t>
  </si>
  <si>
    <t>BANCOS: SINAPI 08/26 E SEINFRA 028</t>
  </si>
  <si>
    <t>5.6</t>
  </si>
  <si>
    <t>INSTALAÇÃO DE TESOURA (INTEIRA OU MEIA), EM AÇO, PARA VÃOS MAIORES OU IGUAIS A 3,0 M E MENORES QUE 6,0 M, INCLUSO IÇAMENTO, EXCLUSIVE PINTURA. AF_10/2025_PE</t>
  </si>
  <si>
    <t>100,00%
36604,41</t>
  </si>
  <si>
    <t>50,00%
18302,2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</si>
</sst>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\ #,##0.00;\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5"/>
      <color theme="1"/>
      <name val="Arial"/>
      <family val="2"/>
    </font>
    <font>
      <b/>
      <sz val="15"/>
      <color rgb="FF000000"/>
      <name val="Calibri Light"/>
      <family val="2"/>
    </font>
    <font>
      <sz val="8"/>
      <color rgb="FF000000"/>
      <name val="Calibri Light"/>
      <family val="2"/>
    </font>
    <font>
      <b/>
      <sz val="10"/>
      <color rgb="FFFF0000"/>
      <name val="Times New Roman"/>
      <family val="1"/>
    </font>
    <font>
      <b/>
      <sz val="14"/>
      <name val="Calibri Light"/>
      <family val="2"/>
    </font>
    <font>
      <sz val="11"/>
      <color rgb="FF000000"/>
      <name val="Calibri Light"/>
      <family val="2"/>
    </font>
    <font>
      <b/>
      <sz val="11"/>
      <name val="Calibri Light"/>
      <family val="2"/>
    </font>
    <font>
      <b/>
      <sz val="11"/>
      <color rgb="FF000000"/>
      <name val="Calibri Light"/>
      <family val="2"/>
    </font>
    <font>
      <sz val="11"/>
      <name val="Calibri Light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16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4" fillId="2" borderId="2" xfId="0" applyFont="1" applyFill="1" applyBorder="1"/>
    <xf numFmtId="9" fontId="0" fillId="0" borderId="0" xfId="0" applyNumberFormat="1"/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10" fontId="7" fillId="0" borderId="1" xfId="0" applyNumberFormat="1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7" fillId="2" borderId="1" xfId="0" applyFont="1" applyFill="1" applyBorder="1" applyAlignment="1">
      <alignment horizontal="right" vertical="top"/>
    </xf>
    <xf numFmtId="0" fontId="0" fillId="2" borderId="0" xfId="0" applyFill="1" applyBorder="1"/>
    <xf numFmtId="0" fontId="0" fillId="0" borderId="0" xfId="0" applyBorder="1"/>
    <xf numFmtId="0" fontId="3" fillId="2" borderId="12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2" fontId="0" fillId="0" borderId="0" xfId="0" applyNumberFormat="1"/>
    <xf numFmtId="0" fontId="10" fillId="0" borderId="1" xfId="0" applyFont="1" applyBorder="1" applyAlignment="1">
      <alignment horizontal="left" vertical="center" wrapText="1"/>
    </xf>
    <xf numFmtId="1" fontId="12" fillId="0" borderId="16" xfId="0" applyNumberFormat="1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1" fontId="12" fillId="0" borderId="18" xfId="0" applyNumberFormat="1" applyFont="1" applyBorder="1" applyAlignment="1">
      <alignment horizontal="center" vertical="center" shrinkToFit="1"/>
    </xf>
    <xf numFmtId="0" fontId="11" fillId="0" borderId="18" xfId="0" applyFont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4" fillId="0" borderId="1" xfId="0" applyNumberFormat="1" applyFont="1" applyFill="1" applyBorder="1" applyAlignment="1" applyProtection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 applyProtection="1">
      <alignment horizontal="center" vertical="center" wrapText="1"/>
    </xf>
    <xf numFmtId="10" fontId="4" fillId="4" borderId="13" xfId="3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21" xfId="0" applyFont="1" applyBorder="1" applyAlignment="1">
      <alignment horizontal="center" vertical="center"/>
    </xf>
    <xf numFmtId="2" fontId="4" fillId="0" borderId="2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3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4" fillId="0" borderId="3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5" borderId="1" xfId="0" applyFont="1" applyFill="1" applyBorder="1"/>
    <xf numFmtId="0" fontId="3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left"/>
    </xf>
    <xf numFmtId="2" fontId="3" fillId="5" borderId="1" xfId="0" applyNumberFormat="1" applyFont="1" applyFill="1" applyBorder="1"/>
    <xf numFmtId="2" fontId="3" fillId="5" borderId="13" xfId="0" applyNumberFormat="1" applyFont="1" applyFill="1" applyBorder="1"/>
    <xf numFmtId="2" fontId="3" fillId="5" borderId="13" xfId="0" applyNumberFormat="1" applyFont="1" applyFill="1" applyBorder="1" applyAlignment="1">
      <alignment horizontal="center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 applyProtection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2" fontId="14" fillId="0" borderId="0" xfId="0" applyNumberFormat="1" applyFont="1"/>
    <xf numFmtId="0" fontId="14" fillId="0" borderId="0" xfId="0" applyFont="1" applyAlignment="1">
      <alignment horizontal="left"/>
    </xf>
    <xf numFmtId="0" fontId="4" fillId="0" borderId="19" xfId="0" applyFont="1" applyFill="1" applyBorder="1" applyAlignment="1" applyProtection="1">
      <alignment vertical="center" wrapText="1"/>
    </xf>
    <xf numFmtId="0" fontId="4" fillId="0" borderId="19" xfId="0" applyFont="1" applyFill="1" applyBorder="1" applyAlignment="1" applyProtection="1">
      <alignment horizontal="center" vertical="center" wrapText="1"/>
    </xf>
    <xf numFmtId="0" fontId="4" fillId="2" borderId="19" xfId="0" applyFont="1" applyFill="1" applyBorder="1" applyAlignment="1" applyProtection="1">
      <alignment vertical="center" wrapText="1"/>
    </xf>
    <xf numFmtId="0" fontId="4" fillId="0" borderId="23" xfId="0" applyFont="1" applyFill="1" applyBorder="1" applyAlignment="1" applyProtection="1">
      <alignment horizontal="center" vertical="center" wrapText="1"/>
    </xf>
    <xf numFmtId="0" fontId="4" fillId="2" borderId="24" xfId="0" applyFont="1" applyFill="1" applyBorder="1" applyAlignment="1" applyProtection="1">
      <alignment vertical="center" wrapText="1"/>
    </xf>
    <xf numFmtId="4" fontId="4" fillId="0" borderId="19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/>
    </xf>
    <xf numFmtId="2" fontId="4" fillId="0" borderId="2" xfId="0" applyNumberFormat="1" applyFont="1" applyFill="1" applyBorder="1" applyAlignment="1" applyProtection="1">
      <alignment horizontal="center" vertical="center" wrapText="1"/>
    </xf>
    <xf numFmtId="2" fontId="4" fillId="5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vertical="center" wrapText="1"/>
    </xf>
    <xf numFmtId="2" fontId="4" fillId="0" borderId="20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2" fontId="0" fillId="2" borderId="0" xfId="0" applyNumberFormat="1" applyFont="1" applyFill="1"/>
    <xf numFmtId="0" fontId="0" fillId="2" borderId="0" xfId="0" applyFont="1" applyFill="1"/>
    <xf numFmtId="0" fontId="0" fillId="0" borderId="0" xfId="0" applyFont="1"/>
    <xf numFmtId="0" fontId="11" fillId="5" borderId="14" xfId="0" applyFont="1" applyFill="1" applyBorder="1" applyAlignment="1">
      <alignment horizontal="center" vertical="top" wrapText="1"/>
    </xf>
    <xf numFmtId="0" fontId="11" fillId="5" borderId="14" xfId="0" applyFont="1" applyFill="1" applyBorder="1" applyAlignment="1">
      <alignment horizontal="left" vertical="top" wrapText="1"/>
    </xf>
    <xf numFmtId="0" fontId="11" fillId="5" borderId="15" xfId="0" applyFont="1" applyFill="1" applyBorder="1" applyAlignment="1">
      <alignment horizontal="center" vertical="top" wrapText="1"/>
    </xf>
    <xf numFmtId="4" fontId="12" fillId="5" borderId="1" xfId="0" applyNumberFormat="1" applyFont="1" applyFill="1" applyBorder="1" applyAlignment="1">
      <alignment horizontal="center" vertical="center" shrinkToFit="1"/>
    </xf>
    <xf numFmtId="10" fontId="8" fillId="5" borderId="1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2" fillId="5" borderId="5" xfId="0" applyFont="1" applyFill="1" applyBorder="1" applyAlignment="1">
      <alignment horizontal="center" vertical="top"/>
    </xf>
    <xf numFmtId="0" fontId="12" fillId="5" borderId="8" xfId="0" applyFont="1" applyFill="1" applyBorder="1" applyAlignment="1">
      <alignment horizontal="center" vertical="top"/>
    </xf>
    <xf numFmtId="0" fontId="12" fillId="5" borderId="6" xfId="0" applyFont="1" applyFill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12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10" fillId="3" borderId="3" xfId="0" applyFont="1" applyFill="1" applyBorder="1" applyAlignment="1">
      <alignment horizontal="center" vertical="top" wrapText="1"/>
    </xf>
    <xf numFmtId="0" fontId="10" fillId="3" borderId="12" xfId="0" applyFont="1" applyFill="1" applyBorder="1" applyAlignment="1">
      <alignment horizontal="center" vertical="top"/>
    </xf>
    <xf numFmtId="0" fontId="10" fillId="3" borderId="2" xfId="0" applyFont="1" applyFill="1" applyBorder="1" applyAlignment="1">
      <alignment horizontal="center" vertical="top"/>
    </xf>
    <xf numFmtId="0" fontId="10" fillId="0" borderId="3" xfId="0" applyFont="1" applyBorder="1" applyAlignment="1">
      <alignment horizontal="center" vertical="top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10" fillId="2" borderId="12" xfId="0" applyFont="1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/>
    </xf>
    <xf numFmtId="0" fontId="11" fillId="5" borderId="1" xfId="0" applyFont="1" applyFill="1" applyBorder="1" applyAlignment="1">
      <alignment horizontal="center" vertical="center" wrapText="1"/>
    </xf>
    <xf numFmtId="2" fontId="12" fillId="5" borderId="1" xfId="0" applyNumberFormat="1" applyFont="1" applyFill="1" applyBorder="1" applyAlignment="1">
      <alignment horizontal="center" vertical="center"/>
    </xf>
    <xf numFmtId="2" fontId="12" fillId="5" borderId="3" xfId="0" applyNumberFormat="1" applyFont="1" applyFill="1" applyBorder="1" applyAlignment="1">
      <alignment horizontal="center" vertical="center"/>
    </xf>
    <xf numFmtId="2" fontId="12" fillId="5" borderId="12" xfId="0" applyNumberFormat="1" applyFont="1" applyFill="1" applyBorder="1" applyAlignment="1">
      <alignment horizontal="center" vertical="center"/>
    </xf>
    <xf numFmtId="2" fontId="12" fillId="5" borderId="2" xfId="0" applyNumberFormat="1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center" vertical="top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2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</cellXfs>
  <cellStyles count="4">
    <cellStyle name="Normal" xfId="0" builtinId="0"/>
    <cellStyle name="Normal 2" xfId="2" xr:uid="{00000000-0005-0000-0000-000001000000}"/>
    <cellStyle name="Normal 3" xfId="1" xr:uid="{00000000-0005-0000-0000-000002000000}"/>
    <cellStyle name="Porcentagem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393488</xdr:colOff>
      <xdr:row>3</xdr:row>
      <xdr:rowOff>0</xdr:rowOff>
    </xdr:to>
    <xdr:pic>
      <xdr:nvPicPr>
        <xdr:cNvPr id="2" name="image2.jpg">
          <a:extLst>
            <a:ext uri="{FF2B5EF4-FFF2-40B4-BE49-F238E27FC236}">
              <a16:creationId xmlns:a16="http://schemas.microsoft.com/office/drawing/2014/main" id="{594682B1-090D-496C-9903-610B2AB4C55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" y="0"/>
          <a:ext cx="1871382" cy="605118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784860</xdr:colOff>
      <xdr:row>2</xdr:row>
      <xdr:rowOff>7620</xdr:rowOff>
    </xdr:to>
    <xdr:pic>
      <xdr:nvPicPr>
        <xdr:cNvPr id="2" name="image2.jpg">
          <a:extLst>
            <a:ext uri="{FF2B5EF4-FFF2-40B4-BE49-F238E27FC236}">
              <a16:creationId xmlns:a16="http://schemas.microsoft.com/office/drawing/2014/main" id="{20F4C047-1B0A-4EBC-A2DE-AFD5851839C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" y="0"/>
          <a:ext cx="1394459" cy="419100"/>
        </a:xfrm>
        <a:prstGeom prst="rect">
          <a:avLst/>
        </a:prstGeom>
        <a:ln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1242061</xdr:colOff>
      <xdr:row>2</xdr:row>
      <xdr:rowOff>45720</xdr:rowOff>
    </xdr:to>
    <xdr:pic>
      <xdr:nvPicPr>
        <xdr:cNvPr id="2" name="image2.jpg">
          <a:extLst>
            <a:ext uri="{FF2B5EF4-FFF2-40B4-BE49-F238E27FC236}">
              <a16:creationId xmlns:a16="http://schemas.microsoft.com/office/drawing/2014/main" id="{2806D70D-43F3-4AB4-BACF-16FAC6C10A5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" y="0"/>
          <a:ext cx="1242060" cy="411480"/>
        </a:xfrm>
        <a:prstGeom prst="rect">
          <a:avLst/>
        </a:prstGeom>
        <a:ln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91440</xdr:colOff>
      <xdr:row>31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AFB1F86-6C31-459F-A06A-BE0694085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968240" cy="5669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6"/>
  <sheetViews>
    <sheetView zoomScale="60" zoomScaleNormal="60" workbookViewId="0">
      <selection activeCell="I32" sqref="I32"/>
    </sheetView>
  </sheetViews>
  <sheetFormatPr defaultRowHeight="14.4" x14ac:dyDescent="0.3"/>
  <cols>
    <col min="1" max="1" width="10.6640625" customWidth="1"/>
    <col min="2" max="2" width="10.6640625" bestFit="1" customWidth="1"/>
    <col min="3" max="3" width="6.5546875" customWidth="1"/>
    <col min="4" max="4" width="104.88671875" bestFit="1" customWidth="1"/>
    <col min="5" max="5" width="11.33203125" customWidth="1"/>
    <col min="6" max="6" width="15.88671875" customWidth="1"/>
    <col min="7" max="7" width="20.21875" customWidth="1"/>
    <col min="8" max="8" width="21" bestFit="1" customWidth="1"/>
    <col min="9" max="9" width="24.6640625" customWidth="1"/>
    <col min="10" max="10" width="12.6640625" bestFit="1" customWidth="1"/>
    <col min="11" max="11" width="10.77734375" bestFit="1" customWidth="1"/>
    <col min="12" max="12" width="13.33203125" customWidth="1"/>
    <col min="13" max="13" width="11.33203125" customWidth="1"/>
  </cols>
  <sheetData>
    <row r="1" spans="1:15" ht="15.6" customHeight="1" x14ac:dyDescent="0.3">
      <c r="A1" s="119" t="s">
        <v>177</v>
      </c>
      <c r="B1" s="120"/>
      <c r="C1" s="120"/>
      <c r="D1" s="120"/>
      <c r="E1" s="120"/>
      <c r="F1" s="120"/>
      <c r="G1" s="120"/>
      <c r="H1" s="120"/>
      <c r="I1" s="121"/>
    </row>
    <row r="2" spans="1:15" ht="15.6" customHeight="1" x14ac:dyDescent="0.3">
      <c r="A2" s="122"/>
      <c r="B2" s="123"/>
      <c r="C2" s="123"/>
      <c r="D2" s="123"/>
      <c r="E2" s="123"/>
      <c r="F2" s="123"/>
      <c r="G2" s="123"/>
      <c r="H2" s="123"/>
      <c r="I2" s="124"/>
    </row>
    <row r="3" spans="1:15" ht="15.6" customHeight="1" x14ac:dyDescent="0.3">
      <c r="A3" s="125"/>
      <c r="B3" s="126"/>
      <c r="C3" s="126"/>
      <c r="D3" s="126"/>
      <c r="E3" s="126"/>
      <c r="F3" s="126"/>
      <c r="G3" s="126"/>
      <c r="H3" s="126"/>
      <c r="I3" s="127"/>
    </row>
    <row r="4" spans="1:15" ht="15.6" x14ac:dyDescent="0.3">
      <c r="A4" s="117" t="s">
        <v>48</v>
      </c>
      <c r="B4" s="118"/>
      <c r="C4" s="118"/>
      <c r="D4" s="118"/>
      <c r="E4" s="118"/>
      <c r="F4" s="118"/>
      <c r="G4" s="118"/>
      <c r="H4" s="13"/>
      <c r="I4" s="4"/>
    </row>
    <row r="5" spans="1:15" ht="22.2" customHeight="1" x14ac:dyDescent="0.3">
      <c r="A5" s="66" t="s">
        <v>0</v>
      </c>
      <c r="B5" s="66" t="s">
        <v>3</v>
      </c>
      <c r="C5" s="66" t="s">
        <v>1</v>
      </c>
      <c r="D5" s="66" t="s">
        <v>2</v>
      </c>
      <c r="E5" s="66" t="s">
        <v>4</v>
      </c>
      <c r="F5" s="66" t="s">
        <v>5</v>
      </c>
      <c r="G5" s="66" t="s">
        <v>49</v>
      </c>
      <c r="H5" s="67" t="s">
        <v>8</v>
      </c>
      <c r="I5" s="67" t="s">
        <v>9</v>
      </c>
    </row>
    <row r="6" spans="1:15" ht="15.6" x14ac:dyDescent="0.3">
      <c r="A6" s="2"/>
      <c r="B6" s="2"/>
      <c r="C6" s="2"/>
      <c r="D6" s="2"/>
      <c r="E6" s="2"/>
      <c r="F6" s="2"/>
      <c r="G6" s="2"/>
      <c r="H6" s="2"/>
      <c r="I6" s="2"/>
      <c r="J6" s="1"/>
    </row>
    <row r="7" spans="1:15" ht="20.399999999999999" customHeight="1" x14ac:dyDescent="0.3">
      <c r="A7" s="68"/>
      <c r="B7" s="68"/>
      <c r="C7" s="67" t="s">
        <v>17</v>
      </c>
      <c r="D7" s="69" t="s">
        <v>13</v>
      </c>
      <c r="E7" s="68"/>
      <c r="F7" s="68"/>
      <c r="G7" s="68"/>
      <c r="H7" s="68"/>
      <c r="I7" s="68"/>
      <c r="J7" s="1"/>
    </row>
    <row r="8" spans="1:15" ht="31.2" customHeight="1" x14ac:dyDescent="0.3">
      <c r="A8" s="35" t="s">
        <v>14</v>
      </c>
      <c r="B8" s="39" t="s">
        <v>100</v>
      </c>
      <c r="C8" s="35" t="s">
        <v>18</v>
      </c>
      <c r="D8" s="81" t="s">
        <v>101</v>
      </c>
      <c r="E8" s="39" t="s">
        <v>11</v>
      </c>
      <c r="F8" s="31">
        <f>O8</f>
        <v>3.3652500000000001</v>
      </c>
      <c r="G8" s="30">
        <v>68.84</v>
      </c>
      <c r="H8" s="53">
        <f>G8*(1+(23.67/100))</f>
        <v>85.134428</v>
      </c>
      <c r="I8" s="31">
        <f>H8*F8</f>
        <v>286.49863382699999</v>
      </c>
      <c r="J8" s="34"/>
      <c r="K8" s="107">
        <f>SUM(I8:I10)</f>
        <v>578.19953277299999</v>
      </c>
      <c r="L8" s="107"/>
      <c r="M8" s="108"/>
      <c r="O8">
        <f>2.08*3.5*0.15*2+2.25*3.5*0.15</f>
        <v>3.3652500000000001</v>
      </c>
    </row>
    <row r="9" spans="1:15" ht="31.2" customHeight="1" x14ac:dyDescent="0.3">
      <c r="A9" s="35" t="s">
        <v>14</v>
      </c>
      <c r="B9" s="39" t="s">
        <v>176</v>
      </c>
      <c r="C9" s="35" t="s">
        <v>102</v>
      </c>
      <c r="D9" s="89" t="s">
        <v>175</v>
      </c>
      <c r="E9" s="39" t="s">
        <v>11</v>
      </c>
      <c r="F9" s="90">
        <f>3.8*4*0.15*0.15</f>
        <v>0.34199999999999997</v>
      </c>
      <c r="G9" s="30">
        <v>599.49</v>
      </c>
      <c r="H9" s="53">
        <f>G9*(1+(23.67/100))</f>
        <v>741.38928299999998</v>
      </c>
      <c r="I9" s="31">
        <f>H9*F9</f>
        <v>253.55513478599997</v>
      </c>
      <c r="J9" s="65"/>
      <c r="K9" s="107"/>
      <c r="L9" s="107"/>
      <c r="M9" s="108"/>
    </row>
    <row r="10" spans="1:15" ht="31.2" customHeight="1" x14ac:dyDescent="0.3">
      <c r="A10" s="35" t="s">
        <v>14</v>
      </c>
      <c r="B10" s="90" t="s">
        <v>164</v>
      </c>
      <c r="C10" s="35" t="s">
        <v>189</v>
      </c>
      <c r="D10" s="91" t="s">
        <v>165</v>
      </c>
      <c r="E10" s="92" t="s">
        <v>7</v>
      </c>
      <c r="F10" s="31">
        <f>0.8*2.1</f>
        <v>1.6800000000000002</v>
      </c>
      <c r="G10" s="30">
        <v>18.36</v>
      </c>
      <c r="H10" s="53">
        <f t="shared" ref="H10" si="0">G10*(1+(23.67/100))</f>
        <v>22.705811999999998</v>
      </c>
      <c r="I10" s="31">
        <f t="shared" ref="I10" si="1">H10*F10</f>
        <v>38.145764159999999</v>
      </c>
      <c r="J10" s="61"/>
      <c r="K10" s="107"/>
      <c r="L10" s="107"/>
      <c r="M10" s="108"/>
    </row>
    <row r="11" spans="1:15" ht="15.6" x14ac:dyDescent="0.3">
      <c r="A11" s="70"/>
      <c r="B11" s="70"/>
      <c r="C11" s="71" t="s">
        <v>19</v>
      </c>
      <c r="D11" s="83" t="s">
        <v>12</v>
      </c>
      <c r="E11" s="70"/>
      <c r="F11" s="72"/>
      <c r="G11" s="72"/>
      <c r="H11" s="72"/>
      <c r="I11" s="72"/>
      <c r="J11" s="1"/>
      <c r="K11" s="108"/>
      <c r="L11" s="108"/>
      <c r="M11" s="108"/>
    </row>
    <row r="12" spans="1:15" ht="49.8" customHeight="1" x14ac:dyDescent="0.3">
      <c r="A12" s="52" t="s">
        <v>6</v>
      </c>
      <c r="B12" s="35" t="s">
        <v>32</v>
      </c>
      <c r="C12" s="36" t="s">
        <v>20</v>
      </c>
      <c r="D12" s="79" t="s">
        <v>33</v>
      </c>
      <c r="E12" s="35" t="s">
        <v>7</v>
      </c>
      <c r="F12" s="31">
        <f>N22+O12+3.5*2.3*8</f>
        <v>533.29539999999997</v>
      </c>
      <c r="G12" s="31">
        <v>39.85</v>
      </c>
      <c r="H12" s="30">
        <f>G12*(1+(23.67/100))</f>
        <v>49.282494999999997</v>
      </c>
      <c r="I12" s="31">
        <f t="shared" ref="I12:I33" si="2">H12*F12</f>
        <v>26282.127884022997</v>
      </c>
      <c r="J12" s="1"/>
      <c r="K12" s="107">
        <f>SUM(I12:I15)</f>
        <v>40720.834738672995</v>
      </c>
      <c r="L12" s="107"/>
      <c r="M12" s="108"/>
      <c r="O12">
        <f>0.45*4.5/2*2+4.5*2.6*2+1.6*2.6*2+2.6*1.6*2+2.6*4.5*2</f>
        <v>65.465000000000003</v>
      </c>
    </row>
    <row r="13" spans="1:15" ht="44.4" customHeight="1" x14ac:dyDescent="0.3">
      <c r="A13" s="52" t="s">
        <v>6</v>
      </c>
      <c r="B13" s="35" t="s">
        <v>137</v>
      </c>
      <c r="C13" s="36" t="s">
        <v>136</v>
      </c>
      <c r="D13" s="79" t="s">
        <v>138</v>
      </c>
      <c r="E13" s="35" t="s">
        <v>11</v>
      </c>
      <c r="F13" s="31">
        <f>(25*1.7*0.05+1.5*0.1*1.7+6.42*2*0.1*1.5)</f>
        <v>4.306</v>
      </c>
      <c r="G13" s="31">
        <v>821.75</v>
      </c>
      <c r="H13" s="30">
        <f>G13*(1+(23.67/100))</f>
        <v>1016.2582249999999</v>
      </c>
      <c r="I13" s="31">
        <f t="shared" si="2"/>
        <v>4376.0079168499997</v>
      </c>
      <c r="J13" s="51"/>
      <c r="K13" s="107"/>
      <c r="L13" s="107"/>
      <c r="M13" s="108"/>
    </row>
    <row r="14" spans="1:15" ht="56.4" customHeight="1" x14ac:dyDescent="0.3">
      <c r="A14" s="35" t="s">
        <v>6</v>
      </c>
      <c r="B14" s="35" t="s">
        <v>146</v>
      </c>
      <c r="C14" s="36" t="s">
        <v>190</v>
      </c>
      <c r="D14" s="79" t="s">
        <v>147</v>
      </c>
      <c r="E14" s="35" t="s">
        <v>15</v>
      </c>
      <c r="F14" s="31">
        <f>6.55*4+6.42*4+1.5+6.42*4+1.6*2+4.5*2</f>
        <v>91.26</v>
      </c>
      <c r="G14" s="31">
        <v>8.39</v>
      </c>
      <c r="H14" s="53">
        <f t="shared" ref="H14:H15" si="3">G14*(1+(23.67/100))</f>
        <v>10.375913000000001</v>
      </c>
      <c r="I14" s="31">
        <f>H14*F14</f>
        <v>946.90582038000014</v>
      </c>
      <c r="J14" s="51"/>
      <c r="K14" s="108"/>
      <c r="L14" s="107"/>
      <c r="M14" s="108"/>
    </row>
    <row r="15" spans="1:15" ht="42" customHeight="1" x14ac:dyDescent="0.3">
      <c r="A15" s="35" t="s">
        <v>6</v>
      </c>
      <c r="B15" s="35" t="s">
        <v>98</v>
      </c>
      <c r="C15" s="36" t="s">
        <v>174</v>
      </c>
      <c r="D15" s="79" t="s">
        <v>99</v>
      </c>
      <c r="E15" s="35" t="s">
        <v>7</v>
      </c>
      <c r="F15" s="30">
        <f>42.1*2+1.5*(6.42*2)+1.6*4.5</f>
        <v>110.66000000000001</v>
      </c>
      <c r="G15" s="31">
        <v>66.61</v>
      </c>
      <c r="H15" s="30">
        <f t="shared" si="3"/>
        <v>82.376586999999986</v>
      </c>
      <c r="I15" s="31">
        <f>H15*F15</f>
        <v>9115.7931174200003</v>
      </c>
      <c r="J15" s="34"/>
      <c r="K15" s="108"/>
      <c r="L15" s="107"/>
      <c r="M15" s="108"/>
      <c r="O15">
        <f>39.62+38.25+16.8+6.09</f>
        <v>100.76</v>
      </c>
    </row>
    <row r="16" spans="1:15" ht="15.6" x14ac:dyDescent="0.3">
      <c r="A16" s="70"/>
      <c r="B16" s="70"/>
      <c r="C16" s="71" t="s">
        <v>23</v>
      </c>
      <c r="D16" s="83" t="s">
        <v>141</v>
      </c>
      <c r="E16" s="70"/>
      <c r="F16" s="72"/>
      <c r="G16" s="72"/>
      <c r="H16" s="72"/>
      <c r="I16" s="72"/>
      <c r="J16" s="1"/>
      <c r="K16" s="108"/>
      <c r="L16" s="108"/>
      <c r="M16" s="108"/>
    </row>
    <row r="17" spans="1:18" ht="43.2" customHeight="1" x14ac:dyDescent="0.3">
      <c r="A17" s="36" t="s">
        <v>14</v>
      </c>
      <c r="B17" s="92" t="s">
        <v>166</v>
      </c>
      <c r="C17" s="35" t="s">
        <v>24</v>
      </c>
      <c r="D17" s="93" t="s">
        <v>167</v>
      </c>
      <c r="E17" s="90" t="s">
        <v>11</v>
      </c>
      <c r="F17" s="59">
        <f>N17+O17+P17</f>
        <v>7.1217000000000006</v>
      </c>
      <c r="G17" s="94">
        <v>576.30999999999995</v>
      </c>
      <c r="H17" s="30">
        <f t="shared" ref="H17:H33" si="4">G17*(1+(23.67/100))</f>
        <v>712.72257699999989</v>
      </c>
      <c r="I17" s="31">
        <f t="shared" si="2"/>
        <v>5075.7963766208995</v>
      </c>
      <c r="J17" s="62"/>
      <c r="K17" s="108"/>
      <c r="L17" s="108"/>
      <c r="M17" s="108"/>
      <c r="N17">
        <f>0.3*(8.05+1.5)*0.3+0.3*0.3*(12.84+1.2)*2+8.05*0.3*0.3*2</f>
        <v>4.8357000000000001</v>
      </c>
      <c r="O17">
        <f>2.8*0.3*0.3*4</f>
        <v>1.008</v>
      </c>
      <c r="P17">
        <f>5*0.3*0.3*2+2.1*0.3*0.3*2</f>
        <v>1.278</v>
      </c>
    </row>
    <row r="18" spans="1:18" ht="43.2" customHeight="1" x14ac:dyDescent="0.3">
      <c r="A18" s="35" t="s">
        <v>6</v>
      </c>
      <c r="B18" s="95" t="s">
        <v>34</v>
      </c>
      <c r="C18" s="35" t="s">
        <v>46</v>
      </c>
      <c r="D18" s="84" t="s">
        <v>183</v>
      </c>
      <c r="E18" s="35" t="s">
        <v>11</v>
      </c>
      <c r="F18" s="37">
        <f>N18+O18+P18+Q18</f>
        <v>7.6210000000000022</v>
      </c>
      <c r="G18" s="37">
        <v>1056.51</v>
      </c>
      <c r="H18" s="30">
        <f t="shared" si="4"/>
        <v>1306.5859169999999</v>
      </c>
      <c r="I18" s="31">
        <f t="shared" si="2"/>
        <v>9957.4912734570025</v>
      </c>
      <c r="J18" s="1"/>
      <c r="K18" s="107">
        <f>SUM(I17:I20)</f>
        <v>35971.481933459698</v>
      </c>
      <c r="L18" s="108"/>
      <c r="M18" s="108"/>
      <c r="N18">
        <f>0.15*0.2*7*(3.76+0.5)+6.55*0.2*0.2*2+(12.84+0.4)*4*0.2*0.2+(8.05+0.4)*4*0.2*0.2+O18+P18</f>
        <v>5.5920000000000014</v>
      </c>
      <c r="O18">
        <f>0.15*0.15*4*4</f>
        <v>0.36</v>
      </c>
      <c r="P18">
        <f>0.35*0.35*0.35*8</f>
        <v>0.34299999999999992</v>
      </c>
      <c r="Q18">
        <f>0.2*0.2*4.8*4+1.8*4*0.2*0.2+0.15*0.15*4*3</f>
        <v>1.3260000000000001</v>
      </c>
    </row>
    <row r="19" spans="1:18" ht="28.2" customHeight="1" x14ac:dyDescent="0.3">
      <c r="A19" s="35" t="s">
        <v>6</v>
      </c>
      <c r="B19" s="95" t="s">
        <v>35</v>
      </c>
      <c r="C19" s="35" t="s">
        <v>47</v>
      </c>
      <c r="D19" s="84" t="s">
        <v>36</v>
      </c>
      <c r="E19" s="35" t="s">
        <v>37</v>
      </c>
      <c r="F19" s="31">
        <f>N19+O19+P19+Q19</f>
        <v>204.56880000000001</v>
      </c>
      <c r="G19" s="31">
        <v>12.29</v>
      </c>
      <c r="H19" s="30">
        <f t="shared" si="4"/>
        <v>15.199042999999998</v>
      </c>
      <c r="I19" s="31">
        <f t="shared" si="2"/>
        <v>3109.2499876583997</v>
      </c>
      <c r="J19" s="1"/>
      <c r="K19" s="108"/>
      <c r="L19" s="107"/>
      <c r="M19" s="108"/>
      <c r="N19">
        <f>0.395*4*(3.76+0.5)*7+8.05*0.395*2+(12.84+0.4)*4*0.395+(6.55+0.4)*4*0.395</f>
        <v>85.37530000000001</v>
      </c>
      <c r="O19">
        <f>4*0.395*4*2.7+4*4*0.395*4</f>
        <v>42.344000000000008</v>
      </c>
      <c r="P19">
        <f>0.3*6*8</f>
        <v>14.399999999999999</v>
      </c>
      <c r="Q19">
        <f>4.8*0.395*4*4+1.8*0.395*4*4+0.395*4*4*3+0.395*0.3*3*4+0.395*3*0.3</f>
        <v>62.4495</v>
      </c>
    </row>
    <row r="20" spans="1:18" ht="45" x14ac:dyDescent="0.3">
      <c r="A20" s="35" t="s">
        <v>6</v>
      </c>
      <c r="B20" s="59">
        <v>103322</v>
      </c>
      <c r="C20" s="35" t="s">
        <v>173</v>
      </c>
      <c r="D20" s="78" t="s">
        <v>182</v>
      </c>
      <c r="E20" s="35" t="s">
        <v>7</v>
      </c>
      <c r="F20" s="31">
        <f>0.96*12.84/2*2+2.8*12.84*2+2.8*8.05+6.55*2.8+6.55*2.8+3.5*2.3*4+6.55*0.96/2+0.45*4.5/2*2+2.6*4.5*2+2.6*1.6*2</f>
        <v>212.5394</v>
      </c>
      <c r="G20" s="31">
        <v>67.83</v>
      </c>
      <c r="H20" s="30">
        <f t="shared" si="4"/>
        <v>83.885360999999989</v>
      </c>
      <c r="I20" s="31">
        <f t="shared" si="2"/>
        <v>17828.944295723399</v>
      </c>
      <c r="J20" s="1"/>
      <c r="K20" s="108"/>
      <c r="L20" s="108"/>
      <c r="M20" s="108"/>
    </row>
    <row r="21" spans="1:18" ht="15.6" x14ac:dyDescent="0.3">
      <c r="A21" s="70"/>
      <c r="B21" s="70"/>
      <c r="C21" s="71" t="s">
        <v>25</v>
      </c>
      <c r="D21" s="83" t="s">
        <v>28</v>
      </c>
      <c r="E21" s="70"/>
      <c r="F21" s="72"/>
      <c r="G21" s="72"/>
      <c r="H21" s="72"/>
      <c r="I21" s="72"/>
      <c r="J21" s="1"/>
      <c r="K21" s="108"/>
      <c r="L21" s="108"/>
      <c r="M21" s="108"/>
    </row>
    <row r="22" spans="1:18" ht="27" customHeight="1" x14ac:dyDescent="0.3">
      <c r="A22" s="35" t="s">
        <v>6</v>
      </c>
      <c r="B22" s="35" t="s">
        <v>38</v>
      </c>
      <c r="C22" s="38" t="s">
        <v>22</v>
      </c>
      <c r="D22" s="79" t="s">
        <v>39</v>
      </c>
      <c r="E22" s="38" t="s">
        <v>7</v>
      </c>
      <c r="F22" s="31">
        <f>N22+O12+3.5*2.3*8</f>
        <v>533.29539999999997</v>
      </c>
      <c r="G22" s="31">
        <v>4.1100000000000003</v>
      </c>
      <c r="H22" s="30">
        <f t="shared" si="4"/>
        <v>5.0828369999999996</v>
      </c>
      <c r="I22" s="31">
        <f t="shared" si="2"/>
        <v>2710.6535910497996</v>
      </c>
      <c r="J22" s="1"/>
      <c r="K22" s="108"/>
      <c r="L22" s="108"/>
      <c r="M22" s="108"/>
      <c r="N22">
        <f>2.8*12.84*3+1.5*2.8+2.8*8.05*6+6.42*8*2.8+(0.96*12.84/2)*2</f>
        <v>403.43039999999996</v>
      </c>
    </row>
    <row r="23" spans="1:18" ht="55.2" customHeight="1" x14ac:dyDescent="0.3">
      <c r="A23" s="35" t="s">
        <v>14</v>
      </c>
      <c r="B23" s="96" t="s">
        <v>180</v>
      </c>
      <c r="C23" s="38" t="s">
        <v>26</v>
      </c>
      <c r="D23" s="89" t="s">
        <v>181</v>
      </c>
      <c r="E23" s="38" t="s">
        <v>7</v>
      </c>
      <c r="F23" s="90">
        <f>1*2.1*2*3</f>
        <v>12.600000000000001</v>
      </c>
      <c r="G23" s="31">
        <v>48.18</v>
      </c>
      <c r="H23" s="30">
        <f t="shared" si="4"/>
        <v>59.584205999999995</v>
      </c>
      <c r="I23" s="31">
        <f t="shared" si="2"/>
        <v>750.7609956</v>
      </c>
      <c r="J23" s="47"/>
      <c r="K23" s="108"/>
      <c r="L23" s="108"/>
      <c r="M23" s="108"/>
    </row>
    <row r="24" spans="1:18" ht="43.2" customHeight="1" x14ac:dyDescent="0.3">
      <c r="A24" s="35" t="s">
        <v>6</v>
      </c>
      <c r="B24" s="35" t="s">
        <v>10</v>
      </c>
      <c r="C24" s="38" t="s">
        <v>131</v>
      </c>
      <c r="D24" s="79" t="s">
        <v>40</v>
      </c>
      <c r="E24" s="35" t="s">
        <v>7</v>
      </c>
      <c r="F24" s="31">
        <f>N22+O12+3.5*8*2.3</f>
        <v>533.29539999999997</v>
      </c>
      <c r="G24" s="31">
        <v>14.22</v>
      </c>
      <c r="H24" s="30">
        <f t="shared" si="4"/>
        <v>17.585874</v>
      </c>
      <c r="I24" s="31">
        <f t="shared" si="2"/>
        <v>9378.4657091795998</v>
      </c>
      <c r="J24" s="1"/>
      <c r="K24" s="107">
        <f>SUM(I22:I24)</f>
        <v>12839.8802958294</v>
      </c>
      <c r="L24" s="107"/>
      <c r="M24" s="108"/>
    </row>
    <row r="25" spans="1:18" ht="15.6" x14ac:dyDescent="0.3">
      <c r="A25" s="70"/>
      <c r="B25" s="70"/>
      <c r="C25" s="71" t="s">
        <v>27</v>
      </c>
      <c r="D25" s="83" t="s">
        <v>90</v>
      </c>
      <c r="E25" s="70"/>
      <c r="F25" s="72"/>
      <c r="G25" s="72"/>
      <c r="H25" s="72"/>
      <c r="I25" s="72"/>
      <c r="J25" s="1"/>
      <c r="K25" s="108"/>
      <c r="L25" s="108"/>
      <c r="M25" s="108"/>
    </row>
    <row r="26" spans="1:18" ht="38.4" customHeight="1" x14ac:dyDescent="0.3">
      <c r="A26" s="35" t="s">
        <v>6</v>
      </c>
      <c r="B26" s="35" t="s">
        <v>41</v>
      </c>
      <c r="C26" s="35" t="s">
        <v>21</v>
      </c>
      <c r="D26" s="79" t="s">
        <v>42</v>
      </c>
      <c r="E26" s="60" t="s">
        <v>15</v>
      </c>
      <c r="F26" s="31">
        <v>8</v>
      </c>
      <c r="G26" s="31">
        <v>95.64</v>
      </c>
      <c r="H26" s="30">
        <f t="shared" si="4"/>
        <v>118.27798799999999</v>
      </c>
      <c r="I26" s="31">
        <f t="shared" si="2"/>
        <v>946.22390399999995</v>
      </c>
      <c r="J26" s="1"/>
      <c r="K26" s="107">
        <f>SUM(I26:I31)</f>
        <v>36604.414863649996</v>
      </c>
      <c r="L26" s="108"/>
      <c r="M26" s="108"/>
    </row>
    <row r="27" spans="1:18" ht="41.4" customHeight="1" x14ac:dyDescent="0.3">
      <c r="A27" s="35" t="s">
        <v>6</v>
      </c>
      <c r="B27" s="35" t="s">
        <v>88</v>
      </c>
      <c r="C27" s="35" t="s">
        <v>161</v>
      </c>
      <c r="D27" s="79" t="s">
        <v>89</v>
      </c>
      <c r="E27" s="60" t="s">
        <v>7</v>
      </c>
      <c r="F27" s="31">
        <f>R27</f>
        <v>100.76</v>
      </c>
      <c r="G27" s="97">
        <v>77.25</v>
      </c>
      <c r="H27" s="30">
        <f t="shared" si="4"/>
        <v>95.535074999999992</v>
      </c>
      <c r="I27" s="31">
        <f t="shared" si="2"/>
        <v>9626.114157</v>
      </c>
      <c r="J27" s="28"/>
      <c r="K27" s="108"/>
      <c r="L27" s="108"/>
      <c r="M27" s="108"/>
      <c r="R27">
        <f>39.62+38.25+16.8+6.09</f>
        <v>100.76</v>
      </c>
    </row>
    <row r="28" spans="1:18" ht="22.8" customHeight="1" x14ac:dyDescent="0.3">
      <c r="A28" s="35" t="s">
        <v>14</v>
      </c>
      <c r="B28" s="35" t="s">
        <v>179</v>
      </c>
      <c r="C28" s="35" t="s">
        <v>162</v>
      </c>
      <c r="D28" s="89" t="s">
        <v>178</v>
      </c>
      <c r="E28" s="60" t="s">
        <v>7</v>
      </c>
      <c r="F28" s="90">
        <f>R29</f>
        <v>184.3</v>
      </c>
      <c r="G28" s="31">
        <f>77.85</f>
        <v>77.849999999999994</v>
      </c>
      <c r="H28" s="30">
        <f t="shared" si="4"/>
        <v>96.277094999999989</v>
      </c>
      <c r="I28" s="31">
        <f t="shared" si="2"/>
        <v>17743.868608499997</v>
      </c>
      <c r="J28" s="49"/>
      <c r="K28" s="108"/>
      <c r="L28" s="108"/>
      <c r="M28" s="108"/>
    </row>
    <row r="29" spans="1:18" ht="45" x14ac:dyDescent="0.3">
      <c r="A29" s="35" t="s">
        <v>6</v>
      </c>
      <c r="B29" s="35">
        <v>92543</v>
      </c>
      <c r="C29" s="35" t="s">
        <v>50</v>
      </c>
      <c r="D29" s="79" t="s">
        <v>159</v>
      </c>
      <c r="E29" s="60" t="s">
        <v>7</v>
      </c>
      <c r="F29" s="31">
        <f>F28</f>
        <v>184.3</v>
      </c>
      <c r="G29" s="59">
        <v>22.38</v>
      </c>
      <c r="H29" s="30">
        <f t="shared" si="4"/>
        <v>27.677345999999996</v>
      </c>
      <c r="I29" s="31">
        <f t="shared" si="2"/>
        <v>5100.9348677999997</v>
      </c>
      <c r="J29" s="51"/>
      <c r="K29" s="108"/>
      <c r="L29" s="108"/>
      <c r="M29" s="108"/>
      <c r="R29">
        <f>184.3</f>
        <v>184.3</v>
      </c>
    </row>
    <row r="30" spans="1:18" ht="42" customHeight="1" x14ac:dyDescent="0.3">
      <c r="A30" s="35" t="s">
        <v>6</v>
      </c>
      <c r="B30" s="35">
        <v>92255</v>
      </c>
      <c r="C30" s="35" t="s">
        <v>51</v>
      </c>
      <c r="D30" s="78" t="s">
        <v>210</v>
      </c>
      <c r="E30" s="35" t="s">
        <v>16</v>
      </c>
      <c r="F30" s="31">
        <v>8</v>
      </c>
      <c r="G30" s="35">
        <v>187.79</v>
      </c>
      <c r="H30" s="30">
        <f t="shared" si="4"/>
        <v>232.23989299999997</v>
      </c>
      <c r="I30" s="31">
        <f t="shared" si="2"/>
        <v>1857.9191439999997</v>
      </c>
      <c r="J30" s="115"/>
      <c r="K30" s="108"/>
      <c r="L30" s="108"/>
      <c r="M30" s="108"/>
    </row>
    <row r="31" spans="1:18" ht="41.4" customHeight="1" x14ac:dyDescent="0.3">
      <c r="A31" s="35" t="s">
        <v>6</v>
      </c>
      <c r="B31" s="35">
        <v>94229</v>
      </c>
      <c r="C31" s="35" t="s">
        <v>209</v>
      </c>
      <c r="D31" s="79" t="s">
        <v>160</v>
      </c>
      <c r="E31" s="59" t="s">
        <v>15</v>
      </c>
      <c r="F31" s="31">
        <v>6.55</v>
      </c>
      <c r="G31" s="31">
        <v>164.11</v>
      </c>
      <c r="H31" s="30">
        <f t="shared" si="4"/>
        <v>202.954837</v>
      </c>
      <c r="I31" s="31">
        <f t="shared" si="2"/>
        <v>1329.35418235</v>
      </c>
      <c r="J31" s="54"/>
      <c r="K31" s="108"/>
      <c r="L31" s="108"/>
      <c r="M31" s="108"/>
    </row>
    <row r="32" spans="1:18" ht="15.6" x14ac:dyDescent="0.3">
      <c r="A32" s="70"/>
      <c r="B32" s="70"/>
      <c r="C32" s="71" t="s">
        <v>29</v>
      </c>
      <c r="D32" s="83" t="s">
        <v>92</v>
      </c>
      <c r="E32" s="70"/>
      <c r="F32" s="72"/>
      <c r="G32" s="72"/>
      <c r="H32" s="72"/>
      <c r="I32" s="72"/>
      <c r="J32" s="1"/>
      <c r="K32" s="108"/>
      <c r="L32" s="108"/>
      <c r="M32" s="108"/>
    </row>
    <row r="33" spans="1:13" ht="38.4" customHeight="1" x14ac:dyDescent="0.3">
      <c r="A33" s="35" t="s">
        <v>6</v>
      </c>
      <c r="B33" s="35" t="s">
        <v>79</v>
      </c>
      <c r="C33" s="36" t="s">
        <v>78</v>
      </c>
      <c r="D33" s="79" t="s">
        <v>80</v>
      </c>
      <c r="E33" s="35" t="s">
        <v>15</v>
      </c>
      <c r="F33" s="30">
        <f>F34+F39</f>
        <v>49</v>
      </c>
      <c r="G33" s="31">
        <v>18.059999999999999</v>
      </c>
      <c r="H33" s="30">
        <f t="shared" si="4"/>
        <v>22.334801999999996</v>
      </c>
      <c r="I33" s="31">
        <f t="shared" si="2"/>
        <v>1094.4052979999999</v>
      </c>
      <c r="J33" s="28"/>
      <c r="K33" s="107">
        <f>SUM(I33:I39)</f>
        <v>2884.7758879999997</v>
      </c>
      <c r="L33" s="108"/>
      <c r="M33" s="108"/>
    </row>
    <row r="34" spans="1:13" ht="42" customHeight="1" x14ac:dyDescent="0.3">
      <c r="A34" s="35" t="s">
        <v>6</v>
      </c>
      <c r="B34" s="35" t="s">
        <v>83</v>
      </c>
      <c r="C34" s="36" t="s">
        <v>30</v>
      </c>
      <c r="D34" s="79" t="s">
        <v>84</v>
      </c>
      <c r="E34" s="35" t="s">
        <v>15</v>
      </c>
      <c r="F34" s="30">
        <f>2*4+1*6</f>
        <v>14</v>
      </c>
      <c r="G34" s="30">
        <v>5.64</v>
      </c>
      <c r="H34" s="30">
        <f>G34*(1+(23.67/100))</f>
        <v>6.9749879999999989</v>
      </c>
      <c r="I34" s="31">
        <f>H34*F34</f>
        <v>97.649831999999989</v>
      </c>
      <c r="J34" s="29"/>
      <c r="K34" s="108"/>
      <c r="L34" s="108"/>
      <c r="M34" s="108"/>
    </row>
    <row r="35" spans="1:13" ht="48" customHeight="1" x14ac:dyDescent="0.3">
      <c r="A35" s="35" t="s">
        <v>6</v>
      </c>
      <c r="B35" s="35">
        <v>92027</v>
      </c>
      <c r="C35" s="36" t="s">
        <v>171</v>
      </c>
      <c r="D35" s="79" t="s">
        <v>85</v>
      </c>
      <c r="E35" s="35" t="s">
        <v>16</v>
      </c>
      <c r="F35" s="31">
        <v>3</v>
      </c>
      <c r="G35" s="31">
        <v>73.53</v>
      </c>
      <c r="H35" s="30">
        <f>G35*(1+(23.67/100))</f>
        <v>90.934550999999999</v>
      </c>
      <c r="I35" s="31">
        <f>H35*F35</f>
        <v>272.803653</v>
      </c>
      <c r="J35" s="29"/>
      <c r="K35" s="108"/>
      <c r="L35" s="108"/>
      <c r="M35" s="108"/>
    </row>
    <row r="36" spans="1:13" ht="41.4" customHeight="1" x14ac:dyDescent="0.3">
      <c r="A36" s="35" t="s">
        <v>6</v>
      </c>
      <c r="B36" s="35" t="s">
        <v>94</v>
      </c>
      <c r="C36" s="36" t="s">
        <v>52</v>
      </c>
      <c r="D36" s="79" t="s">
        <v>95</v>
      </c>
      <c r="E36" s="35" t="s">
        <v>16</v>
      </c>
      <c r="F36" s="31">
        <v>4</v>
      </c>
      <c r="G36" s="31">
        <v>52</v>
      </c>
      <c r="H36" s="30">
        <f>G36*(1+(23.67/100))</f>
        <v>64.308399999999992</v>
      </c>
      <c r="I36" s="31">
        <f>H36*F36</f>
        <v>257.23359999999997</v>
      </c>
      <c r="J36" s="32"/>
      <c r="K36" s="108"/>
      <c r="L36" s="108"/>
      <c r="M36" s="108"/>
    </row>
    <row r="37" spans="1:13" ht="42" customHeight="1" x14ac:dyDescent="0.3">
      <c r="A37" s="35" t="s">
        <v>6</v>
      </c>
      <c r="B37" s="35" t="s">
        <v>86</v>
      </c>
      <c r="C37" s="36" t="s">
        <v>53</v>
      </c>
      <c r="D37" s="79" t="s">
        <v>87</v>
      </c>
      <c r="E37" s="35" t="s">
        <v>16</v>
      </c>
      <c r="F37" s="31">
        <v>10</v>
      </c>
      <c r="G37" s="31">
        <v>61.97</v>
      </c>
      <c r="H37" s="30">
        <f>G37*(1+(23.67/100))</f>
        <v>76.638298999999989</v>
      </c>
      <c r="I37" s="31">
        <f>H37*F37</f>
        <v>766.38298999999984</v>
      </c>
      <c r="J37" s="29"/>
      <c r="K37" s="108"/>
      <c r="L37" s="108"/>
      <c r="M37" s="108"/>
    </row>
    <row r="38" spans="1:13" ht="52.8" customHeight="1" x14ac:dyDescent="0.3">
      <c r="A38" s="35" t="s">
        <v>6</v>
      </c>
      <c r="B38" s="39">
        <v>103782</v>
      </c>
      <c r="C38" s="36" t="s">
        <v>54</v>
      </c>
      <c r="D38" s="79" t="s">
        <v>163</v>
      </c>
      <c r="E38" s="35" t="s">
        <v>16</v>
      </c>
      <c r="F38" s="31">
        <v>6</v>
      </c>
      <c r="G38" s="30">
        <v>30.95</v>
      </c>
      <c r="H38" s="30">
        <f t="shared" ref="H38" si="5">G38*(1+(23.67/100))</f>
        <v>38.275864999999996</v>
      </c>
      <c r="I38" s="31">
        <f t="shared" ref="I38" si="6">H38*F38</f>
        <v>229.65518999999998</v>
      </c>
      <c r="J38" s="47"/>
      <c r="K38" s="108"/>
      <c r="L38" s="108"/>
      <c r="M38" s="108"/>
    </row>
    <row r="39" spans="1:13" ht="52.8" customHeight="1" x14ac:dyDescent="0.3">
      <c r="A39" s="35" t="s">
        <v>6</v>
      </c>
      <c r="B39" s="35" t="s">
        <v>81</v>
      </c>
      <c r="C39" s="36" t="s">
        <v>172</v>
      </c>
      <c r="D39" s="79" t="s">
        <v>82</v>
      </c>
      <c r="E39" s="35" t="s">
        <v>15</v>
      </c>
      <c r="F39" s="30">
        <v>35</v>
      </c>
      <c r="G39" s="31">
        <v>3.85</v>
      </c>
      <c r="H39" s="30">
        <f>G39*(1+(23.67/100))</f>
        <v>4.7612949999999996</v>
      </c>
      <c r="I39" s="31">
        <f>H39*F39</f>
        <v>166.64532499999999</v>
      </c>
      <c r="J39" s="34"/>
      <c r="K39" s="108"/>
      <c r="L39" s="108"/>
      <c r="M39" s="108"/>
    </row>
    <row r="40" spans="1:13" ht="24" customHeight="1" x14ac:dyDescent="0.3">
      <c r="A40" s="70"/>
      <c r="B40" s="70"/>
      <c r="C40" s="71" t="s">
        <v>91</v>
      </c>
      <c r="D40" s="83" t="s">
        <v>107</v>
      </c>
      <c r="E40" s="70"/>
      <c r="F40" s="73"/>
      <c r="G40" s="72"/>
      <c r="H40" s="73"/>
      <c r="I40" s="72"/>
      <c r="J40" s="34"/>
      <c r="K40" s="108"/>
      <c r="L40" s="108"/>
      <c r="M40" s="108"/>
    </row>
    <row r="41" spans="1:13" ht="40.200000000000003" customHeight="1" x14ac:dyDescent="0.3">
      <c r="A41" s="45" t="s">
        <v>14</v>
      </c>
      <c r="B41" s="98" t="s">
        <v>113</v>
      </c>
      <c r="C41" s="35" t="s">
        <v>93</v>
      </c>
      <c r="D41" s="81" t="s">
        <v>114</v>
      </c>
      <c r="E41" s="39" t="s">
        <v>15</v>
      </c>
      <c r="F41" s="31">
        <f>15+6*2</f>
        <v>27</v>
      </c>
      <c r="G41" s="30">
        <v>44.59</v>
      </c>
      <c r="H41" s="46">
        <f t="shared" ref="H41:H49" si="7">G41*(1+(23.67/100))</f>
        <v>55.144452999999999</v>
      </c>
      <c r="I41" s="46">
        <f t="shared" ref="I41:I49" si="8">H41*F41</f>
        <v>1488.9002310000001</v>
      </c>
      <c r="J41" s="47"/>
      <c r="K41" s="107">
        <f>SUM(I41:I49)</f>
        <v>11403.999518479999</v>
      </c>
      <c r="L41" s="108"/>
      <c r="M41" s="108"/>
    </row>
    <row r="42" spans="1:13" ht="40.200000000000003" customHeight="1" x14ac:dyDescent="0.3">
      <c r="A42" s="45" t="s">
        <v>14</v>
      </c>
      <c r="B42" s="98" t="s">
        <v>115</v>
      </c>
      <c r="C42" s="35" t="s">
        <v>142</v>
      </c>
      <c r="D42" s="81" t="s">
        <v>116</v>
      </c>
      <c r="E42" s="39" t="s">
        <v>15</v>
      </c>
      <c r="F42" s="31">
        <f>4*1.5+23.84+2</f>
        <v>31.84</v>
      </c>
      <c r="G42" s="30">
        <v>25.91</v>
      </c>
      <c r="H42" s="46">
        <f t="shared" si="7"/>
        <v>32.042896999999996</v>
      </c>
      <c r="I42" s="46">
        <f t="shared" si="8"/>
        <v>1020.2458404799999</v>
      </c>
      <c r="J42" s="47"/>
      <c r="K42" s="108"/>
      <c r="L42" s="108"/>
      <c r="M42" s="108"/>
    </row>
    <row r="43" spans="1:13" ht="40.200000000000003" customHeight="1" x14ac:dyDescent="0.3">
      <c r="A43" s="45" t="s">
        <v>14</v>
      </c>
      <c r="B43" s="98" t="s">
        <v>117</v>
      </c>
      <c r="C43" s="35" t="s">
        <v>168</v>
      </c>
      <c r="D43" s="81" t="s">
        <v>118</v>
      </c>
      <c r="E43" s="39" t="s">
        <v>16</v>
      </c>
      <c r="F43" s="31">
        <v>3</v>
      </c>
      <c r="G43" s="30">
        <v>11.08</v>
      </c>
      <c r="H43" s="46">
        <f t="shared" si="7"/>
        <v>13.702635999999998</v>
      </c>
      <c r="I43" s="46">
        <f t="shared" si="8"/>
        <v>41.107907999999995</v>
      </c>
      <c r="J43" s="47"/>
      <c r="K43" s="108"/>
      <c r="L43" s="108"/>
      <c r="M43" s="108"/>
    </row>
    <row r="44" spans="1:13" ht="40.200000000000003" customHeight="1" x14ac:dyDescent="0.3">
      <c r="A44" s="45" t="s">
        <v>14</v>
      </c>
      <c r="B44" s="98" t="s">
        <v>119</v>
      </c>
      <c r="C44" s="35" t="s">
        <v>143</v>
      </c>
      <c r="D44" s="81" t="s">
        <v>120</v>
      </c>
      <c r="E44" s="39" t="s">
        <v>16</v>
      </c>
      <c r="F44" s="50">
        <v>2</v>
      </c>
      <c r="G44" s="30">
        <v>38.85</v>
      </c>
      <c r="H44" s="46">
        <f t="shared" si="7"/>
        <v>48.045794999999998</v>
      </c>
      <c r="I44" s="46">
        <f t="shared" si="8"/>
        <v>96.091589999999997</v>
      </c>
      <c r="J44" s="47"/>
      <c r="K44" s="108"/>
      <c r="L44" s="108"/>
      <c r="M44" s="108"/>
    </row>
    <row r="45" spans="1:13" ht="40.200000000000003" customHeight="1" x14ac:dyDescent="0.3">
      <c r="A45" s="45" t="s">
        <v>14</v>
      </c>
      <c r="B45" s="98" t="s">
        <v>121</v>
      </c>
      <c r="C45" s="35" t="s">
        <v>144</v>
      </c>
      <c r="D45" s="81" t="s">
        <v>122</v>
      </c>
      <c r="E45" s="39" t="s">
        <v>16</v>
      </c>
      <c r="F45" s="50">
        <v>4</v>
      </c>
      <c r="G45" s="30">
        <v>12.65</v>
      </c>
      <c r="H45" s="46">
        <f t="shared" si="7"/>
        <v>15.644254999999999</v>
      </c>
      <c r="I45" s="46">
        <f t="shared" si="8"/>
        <v>62.577019999999997</v>
      </c>
      <c r="J45" s="47"/>
      <c r="K45" s="108"/>
      <c r="L45" s="108"/>
      <c r="M45" s="108"/>
    </row>
    <row r="46" spans="1:13" ht="40.200000000000003" customHeight="1" x14ac:dyDescent="0.3">
      <c r="A46" s="35" t="s">
        <v>6</v>
      </c>
      <c r="B46" s="99">
        <v>89482</v>
      </c>
      <c r="C46" s="35" t="s">
        <v>169</v>
      </c>
      <c r="D46" s="79" t="s">
        <v>123</v>
      </c>
      <c r="E46" s="35" t="s">
        <v>16</v>
      </c>
      <c r="F46" s="30">
        <v>2</v>
      </c>
      <c r="G46" s="31">
        <v>37.53</v>
      </c>
      <c r="H46" s="46">
        <f t="shared" si="7"/>
        <v>46.413350999999999</v>
      </c>
      <c r="I46" s="46">
        <f t="shared" si="8"/>
        <v>92.826701999999997</v>
      </c>
      <c r="J46" s="47"/>
      <c r="K46" s="108"/>
      <c r="L46" s="108"/>
      <c r="M46" s="108"/>
    </row>
    <row r="47" spans="1:13" ht="40.200000000000003" customHeight="1" x14ac:dyDescent="0.3">
      <c r="A47" s="45" t="s">
        <v>14</v>
      </c>
      <c r="B47" s="98" t="s">
        <v>124</v>
      </c>
      <c r="C47" s="35" t="s">
        <v>128</v>
      </c>
      <c r="D47" s="81" t="s">
        <v>125</v>
      </c>
      <c r="E47" s="39" t="s">
        <v>16</v>
      </c>
      <c r="F47" s="30">
        <v>2</v>
      </c>
      <c r="G47" s="30">
        <v>80.31</v>
      </c>
      <c r="H47" s="46">
        <f t="shared" si="7"/>
        <v>99.319376999999989</v>
      </c>
      <c r="I47" s="46">
        <f t="shared" si="8"/>
        <v>198.63875399999998</v>
      </c>
      <c r="J47" s="47"/>
      <c r="K47" s="108"/>
      <c r="L47" s="108"/>
      <c r="M47" s="108"/>
    </row>
    <row r="48" spans="1:13" ht="40.200000000000003" customHeight="1" x14ac:dyDescent="0.3">
      <c r="A48" s="45" t="s">
        <v>14</v>
      </c>
      <c r="B48" s="98" t="s">
        <v>126</v>
      </c>
      <c r="C48" s="35" t="s">
        <v>129</v>
      </c>
      <c r="D48" s="81" t="s">
        <v>127</v>
      </c>
      <c r="E48" s="39" t="s">
        <v>16</v>
      </c>
      <c r="F48" s="31">
        <v>4</v>
      </c>
      <c r="G48" s="100">
        <v>504.44</v>
      </c>
      <c r="H48" s="46">
        <f t="shared" si="7"/>
        <v>623.84094799999991</v>
      </c>
      <c r="I48" s="46">
        <f t="shared" si="8"/>
        <v>2495.3637919999996</v>
      </c>
      <c r="J48" s="47"/>
      <c r="K48" s="108"/>
      <c r="L48" s="108"/>
      <c r="M48" s="108"/>
    </row>
    <row r="49" spans="1:13" ht="40.200000000000003" customHeight="1" x14ac:dyDescent="0.3">
      <c r="A49" s="45" t="s">
        <v>14</v>
      </c>
      <c r="B49" s="36" t="s">
        <v>185</v>
      </c>
      <c r="C49" s="35" t="s">
        <v>130</v>
      </c>
      <c r="D49" s="89" t="s">
        <v>184</v>
      </c>
      <c r="E49" s="39" t="s">
        <v>16</v>
      </c>
      <c r="F49" s="90">
        <v>1</v>
      </c>
      <c r="G49" s="94">
        <v>4777.43</v>
      </c>
      <c r="H49" s="46">
        <f t="shared" si="7"/>
        <v>5908.2476809999998</v>
      </c>
      <c r="I49" s="46">
        <f t="shared" si="8"/>
        <v>5908.2476809999998</v>
      </c>
      <c r="J49" s="48"/>
      <c r="K49" s="108"/>
      <c r="L49" s="108"/>
      <c r="M49" s="108"/>
    </row>
    <row r="50" spans="1:13" ht="22.2" customHeight="1" x14ac:dyDescent="0.3">
      <c r="A50" s="70"/>
      <c r="B50" s="70"/>
      <c r="C50" s="71" t="s">
        <v>103</v>
      </c>
      <c r="D50" s="83" t="s">
        <v>108</v>
      </c>
      <c r="E50" s="70"/>
      <c r="F50" s="73"/>
      <c r="G50" s="101"/>
      <c r="H50" s="73"/>
      <c r="I50" s="72"/>
      <c r="J50" s="34"/>
      <c r="K50" s="108"/>
      <c r="L50" s="108"/>
      <c r="M50" s="108"/>
    </row>
    <row r="51" spans="1:13" ht="40.200000000000003" customHeight="1" x14ac:dyDescent="0.3">
      <c r="A51" s="35" t="s">
        <v>6</v>
      </c>
      <c r="B51" s="95">
        <v>91341</v>
      </c>
      <c r="C51" s="36" t="s">
        <v>104</v>
      </c>
      <c r="D51" s="80" t="s">
        <v>154</v>
      </c>
      <c r="E51" s="35" t="s">
        <v>7</v>
      </c>
      <c r="F51" s="31">
        <f>1*2.1*2+0.8*2.1+0.8*2.1</f>
        <v>7.5600000000000005</v>
      </c>
      <c r="G51" s="31">
        <v>628.39</v>
      </c>
      <c r="H51" s="30">
        <f t="shared" ref="H51:H53" si="9">G51*(1+(23.67/100))</f>
        <v>777.12991299999987</v>
      </c>
      <c r="I51" s="31">
        <f t="shared" ref="I51:I53" si="10">H51*F51</f>
        <v>5875.1021422799995</v>
      </c>
      <c r="J51" s="34"/>
      <c r="K51" s="107">
        <f>SUM(I51:I53)</f>
        <v>8998.9037852223992</v>
      </c>
      <c r="L51" s="108"/>
      <c r="M51" s="108"/>
    </row>
    <row r="52" spans="1:13" ht="47.4" customHeight="1" x14ac:dyDescent="0.3">
      <c r="A52" s="35" t="s">
        <v>6</v>
      </c>
      <c r="B52" s="95" t="s">
        <v>133</v>
      </c>
      <c r="C52" s="36" t="s">
        <v>105</v>
      </c>
      <c r="D52" s="84" t="s">
        <v>134</v>
      </c>
      <c r="E52" s="35" t="s">
        <v>7</v>
      </c>
      <c r="F52" s="31">
        <f>1.27*1.15*4+1*1</f>
        <v>6.8419999999999996</v>
      </c>
      <c r="G52" s="31">
        <v>321.32</v>
      </c>
      <c r="H52" s="30">
        <f t="shared" si="9"/>
        <v>397.37644399999994</v>
      </c>
      <c r="I52" s="31">
        <f t="shared" si="10"/>
        <v>2718.8496298479995</v>
      </c>
      <c r="J52" s="48"/>
      <c r="K52" s="107"/>
      <c r="L52" s="108"/>
      <c r="M52" s="108"/>
    </row>
    <row r="53" spans="1:13" ht="40.200000000000003" customHeight="1" x14ac:dyDescent="0.3">
      <c r="A53" s="35" t="s">
        <v>14</v>
      </c>
      <c r="B53" s="102" t="s">
        <v>96</v>
      </c>
      <c r="C53" s="36" t="s">
        <v>106</v>
      </c>
      <c r="D53" s="103" t="s">
        <v>97</v>
      </c>
      <c r="E53" s="39" t="s">
        <v>11</v>
      </c>
      <c r="F53" s="31">
        <f>1.1*0.15*0.15+1.37*0.15*0.15*4+1.1*0.15*0.15</f>
        <v>0.17280000000000001</v>
      </c>
      <c r="G53" s="30">
        <v>1894.94</v>
      </c>
      <c r="H53" s="30">
        <f t="shared" si="9"/>
        <v>2343.4722979999997</v>
      </c>
      <c r="I53" s="31">
        <f t="shared" si="10"/>
        <v>404.95201309439994</v>
      </c>
      <c r="J53" s="34"/>
      <c r="K53" s="108"/>
      <c r="L53" s="108"/>
      <c r="M53" s="108"/>
    </row>
    <row r="54" spans="1:13" ht="21" customHeight="1" x14ac:dyDescent="0.3">
      <c r="A54" s="70"/>
      <c r="B54" s="70"/>
      <c r="C54" s="71" t="s">
        <v>109</v>
      </c>
      <c r="D54" s="83" t="s">
        <v>43</v>
      </c>
      <c r="E54" s="70"/>
      <c r="F54" s="73"/>
      <c r="G54" s="72"/>
      <c r="H54" s="73"/>
      <c r="I54" s="72"/>
      <c r="J54" s="34"/>
      <c r="K54" s="108"/>
      <c r="L54" s="108"/>
      <c r="M54" s="108"/>
    </row>
    <row r="55" spans="1:13" ht="26.4" customHeight="1" x14ac:dyDescent="0.3">
      <c r="A55" s="35" t="s">
        <v>14</v>
      </c>
      <c r="B55" s="39" t="s">
        <v>44</v>
      </c>
      <c r="C55" s="36" t="s">
        <v>110</v>
      </c>
      <c r="D55" s="81" t="s">
        <v>45</v>
      </c>
      <c r="E55" s="39" t="s">
        <v>7</v>
      </c>
      <c r="F55" s="30">
        <v>1.2</v>
      </c>
      <c r="G55" s="30">
        <v>187.01</v>
      </c>
      <c r="H55" s="30">
        <f t="shared" ref="H55:H60" si="11">G55*(1+(23.67/100))</f>
        <v>231.27526699999999</v>
      </c>
      <c r="I55" s="31">
        <f t="shared" ref="I55:I60" si="12">H55*F55</f>
        <v>277.53032039999999</v>
      </c>
      <c r="J55" s="28"/>
      <c r="K55" s="107"/>
      <c r="L55" s="108"/>
      <c r="M55" s="108"/>
    </row>
    <row r="56" spans="1:13" ht="26.4" customHeight="1" x14ac:dyDescent="0.3">
      <c r="A56" s="35" t="s">
        <v>14</v>
      </c>
      <c r="B56" s="39" t="s">
        <v>188</v>
      </c>
      <c r="C56" s="36" t="s">
        <v>170</v>
      </c>
      <c r="D56" s="89" t="s">
        <v>187</v>
      </c>
      <c r="E56" s="39" t="s">
        <v>7</v>
      </c>
      <c r="F56" s="90">
        <f>2.3*2.3</f>
        <v>5.2899999999999991</v>
      </c>
      <c r="G56" s="104">
        <v>135.05000000000001</v>
      </c>
      <c r="H56" s="30">
        <f t="shared" si="11"/>
        <v>167.016335</v>
      </c>
      <c r="I56" s="31">
        <f t="shared" si="12"/>
        <v>883.51641214999984</v>
      </c>
      <c r="J56" s="32"/>
      <c r="K56" s="107"/>
      <c r="L56" s="108"/>
      <c r="M56" s="108"/>
    </row>
    <row r="57" spans="1:13" ht="39" customHeight="1" x14ac:dyDescent="0.3">
      <c r="A57" s="35" t="s">
        <v>6</v>
      </c>
      <c r="B57" s="35">
        <v>94342</v>
      </c>
      <c r="C57" s="36" t="s">
        <v>145</v>
      </c>
      <c r="D57" s="82" t="s">
        <v>157</v>
      </c>
      <c r="E57" s="35" t="s">
        <v>11</v>
      </c>
      <c r="F57" s="57">
        <f>42.1*2*0.3+12.84*1.5*0.25+1.6*4.5*0.25</f>
        <v>31.875000000000004</v>
      </c>
      <c r="G57" s="31">
        <v>94.84</v>
      </c>
      <c r="H57" s="30">
        <f t="shared" si="11"/>
        <v>117.288628</v>
      </c>
      <c r="I57" s="31">
        <f t="shared" si="12"/>
        <v>3738.5750175000003</v>
      </c>
      <c r="J57" s="56"/>
      <c r="K57" s="107"/>
      <c r="L57" s="108"/>
      <c r="M57" s="108"/>
    </row>
    <row r="58" spans="1:13" ht="39" customHeight="1" x14ac:dyDescent="0.3">
      <c r="A58" s="35" t="s">
        <v>6</v>
      </c>
      <c r="B58" s="35">
        <v>87399</v>
      </c>
      <c r="C58" s="36" t="s">
        <v>111</v>
      </c>
      <c r="D58" s="80" t="s">
        <v>158</v>
      </c>
      <c r="E58" s="35" t="s">
        <v>11</v>
      </c>
      <c r="F58" s="57">
        <f>42.1*2*0.05+12.84*1.5*0.05+1.6*4.5*0.05+2.3*2.3*0.5</f>
        <v>8.1780000000000008</v>
      </c>
      <c r="G58" s="58">
        <v>2172.4499999999998</v>
      </c>
      <c r="H58" s="30">
        <f t="shared" si="11"/>
        <v>2686.6689149999997</v>
      </c>
      <c r="I58" s="31">
        <f t="shared" si="12"/>
        <v>21971.578386870002</v>
      </c>
      <c r="J58" s="56"/>
      <c r="K58" s="107"/>
      <c r="L58" s="108"/>
      <c r="M58" s="108"/>
    </row>
    <row r="59" spans="1:13" ht="39" customHeight="1" x14ac:dyDescent="0.3">
      <c r="A59" s="35" t="s">
        <v>14</v>
      </c>
      <c r="B59" s="35" t="s">
        <v>155</v>
      </c>
      <c r="C59" s="36" t="s">
        <v>112</v>
      </c>
      <c r="D59" s="79" t="s">
        <v>156</v>
      </c>
      <c r="E59" s="96" t="s">
        <v>7</v>
      </c>
      <c r="F59" s="57">
        <v>35</v>
      </c>
      <c r="G59" s="96">
        <v>5.07</v>
      </c>
      <c r="H59" s="30">
        <f t="shared" si="11"/>
        <v>6.2700690000000003</v>
      </c>
      <c r="I59" s="31">
        <f t="shared" si="12"/>
        <v>219.452415</v>
      </c>
      <c r="J59" s="56"/>
      <c r="K59" s="107"/>
      <c r="L59" s="108"/>
      <c r="M59" s="108"/>
    </row>
    <row r="60" spans="1:13" ht="27.6" customHeight="1" x14ac:dyDescent="0.3">
      <c r="A60" s="35" t="s">
        <v>14</v>
      </c>
      <c r="B60" s="39" t="s">
        <v>55</v>
      </c>
      <c r="C60" s="36" t="s">
        <v>132</v>
      </c>
      <c r="D60" s="81" t="s">
        <v>56</v>
      </c>
      <c r="E60" s="39" t="s">
        <v>7</v>
      </c>
      <c r="F60" s="30">
        <v>100</v>
      </c>
      <c r="G60" s="30">
        <v>14.18</v>
      </c>
      <c r="H60" s="30">
        <f t="shared" si="11"/>
        <v>17.536405999999999</v>
      </c>
      <c r="I60" s="31">
        <f t="shared" si="12"/>
        <v>1753.6405999999999</v>
      </c>
      <c r="J60" s="28"/>
      <c r="K60" s="107">
        <f>SUM(I55:I60)</f>
        <v>28844.293151919999</v>
      </c>
      <c r="L60" s="108"/>
      <c r="M60" s="108"/>
    </row>
    <row r="61" spans="1:13" ht="21.6" customHeight="1" x14ac:dyDescent="0.3">
      <c r="A61" s="40"/>
      <c r="B61" s="105"/>
      <c r="C61" s="41"/>
      <c r="D61" s="106"/>
      <c r="E61" s="105"/>
      <c r="F61" s="42"/>
      <c r="G61" s="42"/>
      <c r="H61" s="44" t="s">
        <v>57</v>
      </c>
      <c r="I61" s="43">
        <v>0.23669999999999999</v>
      </c>
      <c r="J61" s="32"/>
      <c r="K61" s="108"/>
      <c r="L61" s="108"/>
      <c r="M61" s="108"/>
    </row>
    <row r="62" spans="1:13" ht="24.6" customHeight="1" x14ac:dyDescent="0.3">
      <c r="A62" s="85"/>
      <c r="B62" s="86"/>
      <c r="C62" s="85"/>
      <c r="D62" s="106"/>
      <c r="E62" s="85"/>
      <c r="F62" s="87"/>
      <c r="G62" s="75" t="s">
        <v>31</v>
      </c>
      <c r="H62" s="76"/>
      <c r="I62" s="77">
        <f>SUM(I8:I60)</f>
        <v>178846.78370800748</v>
      </c>
      <c r="J62" s="28"/>
      <c r="K62" s="107">
        <f>SUM(K8:K60)</f>
        <v>178846.78370800751</v>
      </c>
      <c r="L62" s="108"/>
      <c r="M62" s="108"/>
    </row>
    <row r="63" spans="1:13" ht="15.6" customHeight="1" x14ac:dyDescent="0.3">
      <c r="A63" s="85"/>
      <c r="B63" s="85"/>
      <c r="C63" s="85"/>
      <c r="D63" s="88"/>
      <c r="E63" s="85"/>
      <c r="F63" s="85"/>
      <c r="G63" s="85"/>
      <c r="H63" s="85"/>
      <c r="I63" s="85"/>
      <c r="J63" s="1"/>
      <c r="K63" s="109"/>
      <c r="L63" s="109"/>
      <c r="M63" s="109"/>
    </row>
    <row r="64" spans="1:13" ht="15.6" x14ac:dyDescent="0.3">
      <c r="A64" s="85"/>
      <c r="B64" s="85"/>
      <c r="C64" s="85"/>
      <c r="D64" s="74" t="s">
        <v>208</v>
      </c>
      <c r="E64" s="85"/>
      <c r="F64" s="85"/>
      <c r="G64" s="85"/>
      <c r="H64" s="85"/>
      <c r="I64" s="85"/>
      <c r="J64" s="1"/>
      <c r="L64" s="16"/>
    </row>
    <row r="65" spans="1:18" ht="15.6" x14ac:dyDescent="0.3">
      <c r="A65" s="85"/>
      <c r="B65" s="85"/>
      <c r="C65" s="85"/>
      <c r="D65" s="33" t="s">
        <v>186</v>
      </c>
      <c r="E65" s="85"/>
      <c r="F65" s="85"/>
      <c r="G65" s="85"/>
      <c r="H65" s="85"/>
      <c r="I65" s="85"/>
      <c r="R65" s="5"/>
    </row>
    <row r="66" spans="1:18" x14ac:dyDescent="0.3">
      <c r="K66" s="16"/>
    </row>
    <row r="67" spans="1:18" x14ac:dyDescent="0.3">
      <c r="A67" s="11"/>
      <c r="B67" s="11"/>
      <c r="C67" s="11"/>
      <c r="L67" s="63"/>
      <c r="M67" s="63" t="s">
        <v>77</v>
      </c>
      <c r="N67" s="63"/>
      <c r="O67" s="63"/>
      <c r="P67" s="63"/>
      <c r="Q67" s="63"/>
    </row>
    <row r="68" spans="1:18" x14ac:dyDescent="0.3">
      <c r="A68" s="116"/>
      <c r="B68" s="116"/>
      <c r="C68" s="116"/>
      <c r="D68" s="3"/>
      <c r="L68" s="63" t="s">
        <v>13</v>
      </c>
      <c r="M68" s="63">
        <f>(2.7+1.04)*2.92+2.92*(2.7+1.04)+1.2*3.02+15.35*2.42</f>
        <v>62.6126</v>
      </c>
      <c r="N68" s="63">
        <f>M68*0.15</f>
        <v>9.3918900000000001</v>
      </c>
      <c r="O68" s="63"/>
      <c r="P68" s="63"/>
      <c r="Q68" s="63"/>
    </row>
    <row r="69" spans="1:18" x14ac:dyDescent="0.3">
      <c r="A69" s="129"/>
      <c r="B69" s="129"/>
      <c r="C69" s="12"/>
      <c r="D69" s="3"/>
      <c r="L69" s="63" t="s">
        <v>148</v>
      </c>
      <c r="M69" s="63">
        <f>2.83*(9.32+0.3+1.5+0.15)</f>
        <v>31.894100000000005</v>
      </c>
      <c r="N69" s="63"/>
      <c r="O69" s="63"/>
      <c r="P69" s="63"/>
      <c r="Q69" s="63"/>
    </row>
    <row r="70" spans="1:18" x14ac:dyDescent="0.3">
      <c r="L70" s="63" t="s">
        <v>149</v>
      </c>
      <c r="M70" s="63">
        <f>7.99*2+9.32+3.63+3.43*4+0.2*5+3.83</f>
        <v>47.48</v>
      </c>
      <c r="N70" s="64"/>
      <c r="O70" s="63"/>
      <c r="P70" s="63"/>
      <c r="Q70" s="63"/>
    </row>
    <row r="71" spans="1:18" x14ac:dyDescent="0.3">
      <c r="A71" s="128"/>
      <c r="B71" s="128"/>
      <c r="L71" s="63" t="s">
        <v>150</v>
      </c>
      <c r="M71" s="63">
        <f>2.59*2.83*2+1.45*2.83+3.32*2.82+3.32*7.99+3.32*3.88</f>
        <v>67.53370000000001</v>
      </c>
      <c r="N71" s="63">
        <f>M71+M72+M73</f>
        <v>142.73110000000003</v>
      </c>
      <c r="O71" s="63"/>
      <c r="P71" s="63"/>
      <c r="Q71" s="63"/>
    </row>
    <row r="72" spans="1:18" x14ac:dyDescent="0.3">
      <c r="L72" s="63" t="s">
        <v>151</v>
      </c>
      <c r="M72" s="63">
        <f>0.91*0.15*4+3.62+1.57+2.5</f>
        <v>8.2360000000000007</v>
      </c>
      <c r="N72" s="63"/>
      <c r="O72" s="63"/>
      <c r="P72" s="63"/>
      <c r="Q72" s="63"/>
    </row>
    <row r="73" spans="1:18" x14ac:dyDescent="0.3">
      <c r="L73" s="63" t="s">
        <v>152</v>
      </c>
      <c r="M73" s="63">
        <f>9.32*2.42+2.42*18.35</f>
        <v>66.961399999999998</v>
      </c>
      <c r="N73" s="63"/>
      <c r="O73" s="63"/>
      <c r="P73" s="63"/>
      <c r="Q73" s="63"/>
    </row>
    <row r="74" spans="1:18" x14ac:dyDescent="0.3">
      <c r="L74" s="63" t="s">
        <v>153</v>
      </c>
      <c r="M74" s="63">
        <f>(18.88+0.62*4+7.99*8+3.4*4+3.88*2)*3.9</f>
        <v>415.89600000000002</v>
      </c>
      <c r="N74" s="63"/>
      <c r="O74" s="63"/>
      <c r="P74" s="63"/>
      <c r="Q74" s="63"/>
    </row>
    <row r="75" spans="1:18" x14ac:dyDescent="0.3">
      <c r="L75" s="63" t="s">
        <v>139</v>
      </c>
      <c r="M75" s="63">
        <f>4*0.2*0.2*4+(9.32+1.5+0.45)*0.2*0.2+2.8*2*0.2*0.3+0.4*0.4*0.4*4+4*0.2*0.2*3.4</f>
        <v>2.2267999999999999</v>
      </c>
      <c r="N75" s="63"/>
      <c r="O75" s="63"/>
      <c r="P75" s="63"/>
      <c r="Q75" s="63"/>
    </row>
    <row r="76" spans="1:18" x14ac:dyDescent="0.3">
      <c r="L76" s="63" t="s">
        <v>140</v>
      </c>
      <c r="M76" s="63">
        <f>0.39*4*4*4+0.39*(9.32+1.5+0.45)*4+0.39*2.8*4*2+4*4*0.39*3.4</f>
        <v>72.493200000000002</v>
      </c>
      <c r="N76" s="63"/>
      <c r="O76" s="63"/>
      <c r="P76" s="63"/>
      <c r="Q76" s="63"/>
    </row>
  </sheetData>
  <mergeCells count="5">
    <mergeCell ref="A68:C68"/>
    <mergeCell ref="A4:G4"/>
    <mergeCell ref="A1:I3"/>
    <mergeCell ref="A71:B71"/>
    <mergeCell ref="A69:B69"/>
  </mergeCells>
  <pageMargins left="0.25" right="0.25" top="0.75" bottom="0.75" header="0.3" footer="0.3"/>
  <pageSetup paperSize="9" scale="60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3BED8-DB1F-4C89-B63C-A2712AFF113E}">
  <dimension ref="A1:S38"/>
  <sheetViews>
    <sheetView tabSelected="1" topLeftCell="B1" zoomScale="90" zoomScaleNormal="90" workbookViewId="0">
      <selection activeCell="P10" sqref="P10"/>
    </sheetView>
  </sheetViews>
  <sheetFormatPr defaultRowHeight="14.4" x14ac:dyDescent="0.3"/>
  <cols>
    <col min="2" max="2" width="20.77734375" customWidth="1"/>
    <col min="3" max="3" width="12.21875" bestFit="1" customWidth="1"/>
    <col min="7" max="7" width="10" bestFit="1" customWidth="1"/>
    <col min="11" max="11" width="9.44140625" bestFit="1" customWidth="1"/>
    <col min="17" max="17" width="14.5546875" customWidth="1"/>
  </cols>
  <sheetData>
    <row r="1" spans="1:19" ht="18" customHeight="1" x14ac:dyDescent="0.3">
      <c r="A1" s="130" t="s">
        <v>191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6"/>
      <c r="Q1" s="16">
        <f>'REFORMA UELMA'!K8</f>
        <v>578.19953277299999</v>
      </c>
    </row>
    <row r="2" spans="1:19" ht="14.4" customHeight="1" x14ac:dyDescent="0.3">
      <c r="A2" s="17"/>
      <c r="B2" s="131" t="s">
        <v>135</v>
      </c>
      <c r="C2" s="131"/>
      <c r="D2" s="131"/>
      <c r="E2" s="131"/>
      <c r="F2" s="131"/>
      <c r="G2" s="131"/>
      <c r="H2" s="131"/>
      <c r="I2" s="131"/>
      <c r="J2" s="131"/>
      <c r="K2" s="131"/>
      <c r="Q2" s="16">
        <f>'REFORMA UELMA'!K12</f>
        <v>40720.834738672995</v>
      </c>
      <c r="R2">
        <f>Q2/2</f>
        <v>20360.417369336497</v>
      </c>
    </row>
    <row r="3" spans="1:19" ht="28.8" x14ac:dyDescent="0.3">
      <c r="A3" s="110" t="s">
        <v>69</v>
      </c>
      <c r="B3" s="111" t="s">
        <v>70</v>
      </c>
      <c r="C3" s="110" t="s">
        <v>71</v>
      </c>
      <c r="D3" s="110" t="s">
        <v>72</v>
      </c>
      <c r="E3" s="112" t="s">
        <v>73</v>
      </c>
      <c r="F3" s="132" t="s">
        <v>74</v>
      </c>
      <c r="G3" s="133"/>
      <c r="H3" s="134"/>
      <c r="I3" s="132" t="s">
        <v>75</v>
      </c>
      <c r="J3" s="133"/>
      <c r="K3" s="134"/>
      <c r="Q3" s="16">
        <f>'REFORMA UELMA'!K18</f>
        <v>35971.481933459698</v>
      </c>
      <c r="R3">
        <f>Q3/2</f>
        <v>17985.740966729849</v>
      </c>
    </row>
    <row r="4" spans="1:19" ht="28.8" x14ac:dyDescent="0.3">
      <c r="A4" s="18">
        <v>1</v>
      </c>
      <c r="B4" s="19" t="str">
        <f>'REFORMA UELMA'!D7</f>
        <v>DEMOLIÇÃO</v>
      </c>
      <c r="C4" s="19" t="s">
        <v>192</v>
      </c>
      <c r="D4" s="20" t="str">
        <f>C4</f>
        <v>100,00%
578,20</v>
      </c>
      <c r="E4" s="21"/>
      <c r="F4" s="135"/>
      <c r="G4" s="136"/>
      <c r="H4" s="137"/>
      <c r="I4" s="135"/>
      <c r="J4" s="136"/>
      <c r="K4" s="137"/>
      <c r="Q4" s="16">
        <f>'REFORMA UELMA'!K24</f>
        <v>12839.8802958294</v>
      </c>
    </row>
    <row r="5" spans="1:19" ht="28.8" x14ac:dyDescent="0.3">
      <c r="A5" s="18">
        <v>2</v>
      </c>
      <c r="B5" s="19" t="str">
        <f>'REFORMA UELMA'!D11</f>
        <v>REVESTIMENTO/PAVIMENTAÇÃO</v>
      </c>
      <c r="C5" s="19" t="s">
        <v>193</v>
      </c>
      <c r="D5" s="22"/>
      <c r="E5" s="20" t="s">
        <v>194</v>
      </c>
      <c r="F5" s="138" t="str">
        <f>E5</f>
        <v>50,00%
20360,4</v>
      </c>
      <c r="G5" s="139"/>
      <c r="H5" s="140"/>
      <c r="I5" s="141"/>
      <c r="J5" s="136"/>
      <c r="K5" s="137"/>
      <c r="L5" s="16"/>
      <c r="Q5" s="16">
        <f>'REFORMA UELMA'!K26</f>
        <v>36604.414863649996</v>
      </c>
      <c r="R5">
        <f>Q5/2</f>
        <v>18302.207431824998</v>
      </c>
    </row>
    <row r="6" spans="1:19" ht="28.8" x14ac:dyDescent="0.3">
      <c r="A6" s="18">
        <v>3</v>
      </c>
      <c r="B6" s="19" t="str">
        <f>'REFORMA UELMA'!D16</f>
        <v>SUPRAESTRUTURA/INFRAESTRUTURA</v>
      </c>
      <c r="C6" s="19" t="s">
        <v>195</v>
      </c>
      <c r="D6" s="22"/>
      <c r="E6" s="20" t="s">
        <v>196</v>
      </c>
      <c r="F6" s="142" t="str">
        <f>E6</f>
        <v>50,00%
17985,7</v>
      </c>
      <c r="G6" s="143"/>
      <c r="H6" s="144"/>
      <c r="I6" s="141"/>
      <c r="J6" s="145"/>
      <c r="K6" s="146"/>
      <c r="N6" s="11"/>
      <c r="Q6" s="16">
        <f>'REFORMA UELMA'!K33</f>
        <v>2884.7758879999997</v>
      </c>
    </row>
    <row r="7" spans="1:19" ht="28.8" x14ac:dyDescent="0.3">
      <c r="A7" s="18">
        <v>4</v>
      </c>
      <c r="B7" s="19" t="str">
        <f>'REFORMA UELMA'!D21</f>
        <v>PINTURA INTERNA/EXTERNA</v>
      </c>
      <c r="C7" s="19" t="s">
        <v>197</v>
      </c>
      <c r="D7" s="22"/>
      <c r="E7" s="23"/>
      <c r="F7" s="147"/>
      <c r="G7" s="148"/>
      <c r="H7" s="149"/>
      <c r="I7" s="138" t="str">
        <f>C7</f>
        <v>100,00%
12839,88</v>
      </c>
      <c r="J7" s="139"/>
      <c r="K7" s="140"/>
      <c r="N7" s="55"/>
      <c r="Q7" s="16">
        <f>'REFORMA UELMA'!K41</f>
        <v>11403.999518479999</v>
      </c>
      <c r="R7">
        <f>Q7*0.2</f>
        <v>2280.799903696</v>
      </c>
      <c r="S7">
        <f>Q7*0.3</f>
        <v>3421.1998555439995</v>
      </c>
    </row>
    <row r="8" spans="1:19" ht="28.8" x14ac:dyDescent="0.3">
      <c r="A8" s="18">
        <v>5</v>
      </c>
      <c r="B8" s="19" t="str">
        <f>'REFORMA UELMA'!D25</f>
        <v>COBERTURA</v>
      </c>
      <c r="C8" s="19" t="s">
        <v>211</v>
      </c>
      <c r="D8" s="22"/>
      <c r="E8" s="23"/>
      <c r="F8" s="138" t="s">
        <v>212</v>
      </c>
      <c r="G8" s="139"/>
      <c r="H8" s="140"/>
      <c r="I8" s="138" t="str">
        <f>F8</f>
        <v>50,00%
18302,2</v>
      </c>
      <c r="J8" s="139"/>
      <c r="K8" s="140"/>
      <c r="N8" s="11"/>
      <c r="Q8" s="16">
        <f>'REFORMA UELMA'!K51</f>
        <v>8998.9037852223992</v>
      </c>
      <c r="R8">
        <f>0.3*Q8</f>
        <v>2699.6711355667198</v>
      </c>
      <c r="S8">
        <f>0.2*Q8</f>
        <v>1799.78075704448</v>
      </c>
    </row>
    <row r="9" spans="1:19" ht="28.8" x14ac:dyDescent="0.3">
      <c r="A9" s="18">
        <v>6</v>
      </c>
      <c r="B9" s="19" t="str">
        <f>'REFORMA UELMA'!D32</f>
        <v>INSTALAÇÕES ELÉTRICAS</v>
      </c>
      <c r="C9" s="19" t="s">
        <v>198</v>
      </c>
      <c r="D9" s="22"/>
      <c r="E9" s="23"/>
      <c r="F9" s="138" t="str">
        <f>C9</f>
        <v>100,00%
2884,78</v>
      </c>
      <c r="G9" s="139"/>
      <c r="H9" s="140"/>
      <c r="I9" s="160"/>
      <c r="J9" s="160"/>
      <c r="K9" s="160"/>
      <c r="Q9" s="16">
        <f>'REFORMA UELMA'!K60</f>
        <v>28844.293151919999</v>
      </c>
      <c r="R9">
        <f>0.3*Q9</f>
        <v>8653.2879455759994</v>
      </c>
      <c r="S9">
        <f>0.2*Q9</f>
        <v>5768.8586303840002</v>
      </c>
    </row>
    <row r="10" spans="1:19" ht="28.8" x14ac:dyDescent="0.3">
      <c r="A10" s="24">
        <v>7</v>
      </c>
      <c r="B10" s="25" t="str">
        <f>'REFORMA UELMA'!D40</f>
        <v>INSTALAÇÕES HIDROSSANITÁRIAS</v>
      </c>
      <c r="C10" s="25" t="s">
        <v>204</v>
      </c>
      <c r="D10" s="20" t="s">
        <v>206</v>
      </c>
      <c r="E10" s="26" t="s">
        <v>205</v>
      </c>
      <c r="F10" s="138" t="str">
        <f>E10</f>
        <v>30,00%
3421,2</v>
      </c>
      <c r="G10" s="155"/>
      <c r="H10" s="156"/>
      <c r="I10" s="138" t="str">
        <f>D10</f>
        <v>20,00%
2280,8</v>
      </c>
      <c r="J10" s="155"/>
      <c r="K10" s="156"/>
      <c r="Q10" s="16">
        <f>SUM(Q1:Q9)</f>
        <v>178846.78370800751</v>
      </c>
    </row>
    <row r="11" spans="1:19" ht="28.8" x14ac:dyDescent="0.3">
      <c r="A11" s="24">
        <v>8</v>
      </c>
      <c r="B11" s="25" t="str">
        <f>'REFORMA UELMA'!D50</f>
        <v>ESQUADRIAS</v>
      </c>
      <c r="C11" s="25" t="s">
        <v>207</v>
      </c>
      <c r="D11" s="20" t="s">
        <v>200</v>
      </c>
      <c r="E11" s="26" t="s">
        <v>199</v>
      </c>
      <c r="F11" s="138" t="str">
        <f>E11</f>
        <v>30,00%
2818,88</v>
      </c>
      <c r="G11" s="155"/>
      <c r="H11" s="156"/>
      <c r="I11" s="138" t="str">
        <f>D11</f>
        <v>20,00%
1879,26</v>
      </c>
      <c r="J11" s="139"/>
      <c r="K11" s="140"/>
    </row>
    <row r="12" spans="1:19" ht="28.8" x14ac:dyDescent="0.3">
      <c r="A12" s="24">
        <v>9</v>
      </c>
      <c r="B12" s="25" t="str">
        <f>'REFORMA UELMA'!D54</f>
        <v>SERVIÇOS DIVERSOS</v>
      </c>
      <c r="C12" s="25" t="s">
        <v>201</v>
      </c>
      <c r="D12" s="20" t="s">
        <v>203</v>
      </c>
      <c r="E12" s="26" t="s">
        <v>202</v>
      </c>
      <c r="F12" s="138" t="str">
        <f>E12</f>
        <v>30,00%
8653,29</v>
      </c>
      <c r="G12" s="155"/>
      <c r="H12" s="156"/>
      <c r="I12" s="157" t="str">
        <f>D12</f>
        <v>20,00%
5768,86</v>
      </c>
      <c r="J12" s="158"/>
      <c r="K12" s="159"/>
      <c r="L12" s="16"/>
    </row>
    <row r="13" spans="1:19" ht="19.2" customHeight="1" x14ac:dyDescent="0.3">
      <c r="A13" s="150" t="s">
        <v>76</v>
      </c>
      <c r="B13" s="150"/>
      <c r="C13" s="113">
        <f>SUM(D13:K13)</f>
        <v>178846.78370800748</v>
      </c>
      <c r="D13" s="113">
        <f>SUM(Q1,S7,S8,S9)</f>
        <v>11568.038775745481</v>
      </c>
      <c r="E13" s="113">
        <f>SUM(R2:R3,R7,R8,R9)</f>
        <v>51979.917320905071</v>
      </c>
      <c r="F13" s="151">
        <f>SUM(R2:R3,R5,R7,R8,R9)+Q6</f>
        <v>73166.900640730077</v>
      </c>
      <c r="G13" s="151"/>
      <c r="H13" s="151"/>
      <c r="I13" s="152">
        <f>SUM(Q4,R5,S7,S8,S9)</f>
        <v>42131.926970626875</v>
      </c>
      <c r="J13" s="153"/>
      <c r="K13" s="154"/>
    </row>
    <row r="15" spans="1:19" x14ac:dyDescent="0.3">
      <c r="G15" s="27"/>
    </row>
    <row r="16" spans="1:19" x14ac:dyDescent="0.3">
      <c r="L16" s="16"/>
    </row>
    <row r="19" spans="12:12" x14ac:dyDescent="0.3">
      <c r="L19" s="16"/>
    </row>
    <row r="27" spans="12:12" x14ac:dyDescent="0.3">
      <c r="L27" s="16"/>
    </row>
    <row r="34" spans="11:12" x14ac:dyDescent="0.3">
      <c r="L34" s="16"/>
    </row>
    <row r="38" spans="11:12" x14ac:dyDescent="0.3">
      <c r="K38" s="16"/>
    </row>
  </sheetData>
  <mergeCells count="25">
    <mergeCell ref="A13:B13"/>
    <mergeCell ref="F13:H13"/>
    <mergeCell ref="I13:K13"/>
    <mergeCell ref="F8:H8"/>
    <mergeCell ref="I8:K8"/>
    <mergeCell ref="F9:H9"/>
    <mergeCell ref="F12:H12"/>
    <mergeCell ref="I12:K12"/>
    <mergeCell ref="F10:H10"/>
    <mergeCell ref="I10:K10"/>
    <mergeCell ref="F11:H11"/>
    <mergeCell ref="I11:K11"/>
    <mergeCell ref="I9:K9"/>
    <mergeCell ref="F5:H5"/>
    <mergeCell ref="I5:K5"/>
    <mergeCell ref="F6:H6"/>
    <mergeCell ref="I6:K6"/>
    <mergeCell ref="F7:H7"/>
    <mergeCell ref="I7:K7"/>
    <mergeCell ref="A1:K1"/>
    <mergeCell ref="B2:K2"/>
    <mergeCell ref="F3:H3"/>
    <mergeCell ref="I3:K3"/>
    <mergeCell ref="F4:H4"/>
    <mergeCell ref="I4:K4"/>
  </mergeCells>
  <pageMargins left="0.511811024" right="0.511811024" top="0.78740157499999996" bottom="0.78740157499999996" header="0.31496062000000002" footer="0.31496062000000002"/>
  <pageSetup paperSize="9" orientation="landscape" horizontalDpi="4294967292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7BB3A-2875-4F24-B3EF-9866C4752AD3}">
  <dimension ref="A1:B21"/>
  <sheetViews>
    <sheetView workbookViewId="0">
      <selection activeCell="B14" sqref="B14"/>
    </sheetView>
  </sheetViews>
  <sheetFormatPr defaultRowHeight="14.4" x14ac:dyDescent="0.3"/>
  <cols>
    <col min="1" max="1" width="21.44140625" customWidth="1"/>
    <col min="2" max="2" width="20.6640625" customWidth="1"/>
  </cols>
  <sheetData>
    <row r="1" spans="1:2" x14ac:dyDescent="0.3">
      <c r="A1" s="161" t="s">
        <v>57</v>
      </c>
      <c r="B1" s="161"/>
    </row>
    <row r="2" spans="1:2" x14ac:dyDescent="0.3">
      <c r="A2" s="161"/>
      <c r="B2" s="161"/>
    </row>
    <row r="3" spans="1:2" x14ac:dyDescent="0.3">
      <c r="A3" s="6" t="s">
        <v>1</v>
      </c>
      <c r="B3" s="7" t="s">
        <v>58</v>
      </c>
    </row>
    <row r="4" spans="1:2" x14ac:dyDescent="0.3">
      <c r="A4" s="6" t="s">
        <v>59</v>
      </c>
      <c r="B4" s="8">
        <v>0.03</v>
      </c>
    </row>
    <row r="5" spans="1:2" x14ac:dyDescent="0.3">
      <c r="A5" s="6" t="s">
        <v>60</v>
      </c>
      <c r="B5" s="8">
        <v>1.23E-2</v>
      </c>
    </row>
    <row r="6" spans="1:2" x14ac:dyDescent="0.3">
      <c r="A6" s="6" t="s">
        <v>61</v>
      </c>
      <c r="B6" s="8">
        <v>6.0000000000000001E-3</v>
      </c>
    </row>
    <row r="7" spans="1:2" x14ac:dyDescent="0.3">
      <c r="A7" s="6" t="s">
        <v>62</v>
      </c>
      <c r="B7" s="8">
        <v>2E-3</v>
      </c>
    </row>
    <row r="8" spans="1:2" x14ac:dyDescent="0.3">
      <c r="A8" s="6" t="s">
        <v>63</v>
      </c>
      <c r="B8" s="8">
        <v>1.2699999999999999E-2</v>
      </c>
    </row>
    <row r="9" spans="1:2" x14ac:dyDescent="0.3">
      <c r="A9" s="6" t="s">
        <v>64</v>
      </c>
      <c r="B9" s="8">
        <v>0.03</v>
      </c>
    </row>
    <row r="10" spans="1:2" x14ac:dyDescent="0.3">
      <c r="A10" s="6" t="s">
        <v>65</v>
      </c>
      <c r="B10" s="7">
        <v>0</v>
      </c>
    </row>
    <row r="11" spans="1:2" x14ac:dyDescent="0.3">
      <c r="A11" s="6" t="s">
        <v>66</v>
      </c>
      <c r="B11" s="8">
        <v>3.6499999999999998E-2</v>
      </c>
    </row>
    <row r="12" spans="1:2" x14ac:dyDescent="0.3">
      <c r="A12" s="6" t="s">
        <v>67</v>
      </c>
      <c r="B12" s="8">
        <v>7.3999999999999996E-2</v>
      </c>
    </row>
    <row r="13" spans="1:2" x14ac:dyDescent="0.3">
      <c r="A13" s="9"/>
      <c r="B13" s="9"/>
    </row>
    <row r="14" spans="1:2" x14ac:dyDescent="0.3">
      <c r="A14" s="10" t="s">
        <v>68</v>
      </c>
      <c r="B14" s="114">
        <v>0.23669999999999999</v>
      </c>
    </row>
    <row r="17" spans="1:2" x14ac:dyDescent="0.3">
      <c r="B17" s="12"/>
    </row>
    <row r="18" spans="1:2" x14ac:dyDescent="0.3">
      <c r="A18" s="14"/>
      <c r="B18" s="15"/>
    </row>
    <row r="19" spans="1:2" x14ac:dyDescent="0.3">
      <c r="A19" s="12"/>
      <c r="B19" s="12"/>
    </row>
    <row r="20" spans="1:2" x14ac:dyDescent="0.3">
      <c r="A20" s="12"/>
      <c r="B20" s="12"/>
    </row>
    <row r="21" spans="1:2" x14ac:dyDescent="0.3">
      <c r="A21" s="12"/>
      <c r="B21" s="12"/>
    </row>
  </sheetData>
  <mergeCells count="1">
    <mergeCell ref="A1:B2"/>
  </mergeCells>
  <pageMargins left="0.51181102362204722" right="0.51181102362204722" top="0.78740157480314965" bottom="0.78740157480314965" header="0.31496062992125984" footer="0.31496062992125984"/>
  <pageSetup paperSize="9" orientation="portrait" horizontalDpi="4294967292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13017-F2DC-44A1-BE94-A4A6436A8834}">
  <dimension ref="B34:C35"/>
  <sheetViews>
    <sheetView workbookViewId="0">
      <selection activeCell="B35" sqref="B34:C35"/>
    </sheetView>
  </sheetViews>
  <sheetFormatPr defaultRowHeight="14.4" x14ac:dyDescent="0.3"/>
  <sheetData>
    <row r="34" spans="2:3" x14ac:dyDescent="0.3">
      <c r="B34" s="12"/>
      <c r="C34" s="12"/>
    </row>
    <row r="35" spans="2:3" x14ac:dyDescent="0.3">
      <c r="B35" s="129"/>
      <c r="C35" s="129"/>
    </row>
  </sheetData>
  <mergeCells count="1">
    <mergeCell ref="B35:C35"/>
  </mergeCells>
  <pageMargins left="0.511811024" right="0.511811024" top="0.78740157499999996" bottom="0.78740157499999996" header="0.31496062000000002" footer="0.31496062000000002"/>
  <pageSetup paperSize="9" orientation="portrait" horizontalDpi="4294967292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REFORMA UELMA</vt:lpstr>
      <vt:lpstr>CRONOGRAMA</vt:lpstr>
      <vt:lpstr>BDI</vt:lpstr>
      <vt:lpstr>ENCARGOS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RAVENA</dc:creator>
  <cp:lastModifiedBy>ravena</cp:lastModifiedBy>
  <cp:lastPrinted>2026-10-20T14:45:30Z</cp:lastPrinted>
  <dcterms:created xsi:type="dcterms:W3CDTF">2020-08-07T21:48:21Z</dcterms:created>
  <dcterms:modified xsi:type="dcterms:W3CDTF">2026-10-20T14:46:37Z</dcterms:modified>
</cp:coreProperties>
</file>