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60" windowWidth="20730" windowHeight="11100"/>
  </bookViews>
  <sheets>
    <sheet name="Custo por trabalhador" sheetId="2" r:id="rId1"/>
    <sheet name="PC- ELETRICISTA" sheetId="3" state="hidden" r:id="rId2"/>
    <sheet name="PC - Axiliar" sheetId="4" state="hidden" r:id="rId3"/>
    <sheet name="PC - MOTORISTA" sheetId="5" state="hidden" r:id="rId4"/>
    <sheet name="PC - MOTORISTA CM" sheetId="8" state="hidden" r:id="rId5"/>
    <sheet name="PC - ELETROTÉCNICO" sheetId="6" state="hidden" r:id="rId6"/>
    <sheet name="PC - COORDENADOR" sheetId="7" state="hidden" r:id="rId7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74" i="2" l="1"/>
  <c r="G460" i="2"/>
  <c r="G459" i="2"/>
  <c r="D451" i="2"/>
  <c r="E446" i="2"/>
  <c r="E445" i="2"/>
  <c r="E444" i="2"/>
  <c r="E443" i="2"/>
  <c r="E442" i="2"/>
  <c r="E441" i="2"/>
  <c r="D452" i="2"/>
  <c r="G461" i="2" l="1"/>
  <c r="G462" i="2"/>
  <c r="G463" i="2"/>
  <c r="G464" i="2"/>
  <c r="G465" i="2"/>
  <c r="G466" i="2"/>
  <c r="G467" i="2"/>
  <c r="G468" i="2"/>
  <c r="G469" i="2"/>
  <c r="C478" i="2" l="1"/>
  <c r="C452" i="2"/>
  <c r="C10" i="8"/>
  <c r="C11" i="8" s="1"/>
  <c r="C17" i="8" s="1"/>
  <c r="C121" i="8"/>
  <c r="C120" i="8"/>
  <c r="C119" i="8"/>
  <c r="C118" i="8"/>
  <c r="C101" i="8"/>
  <c r="C41" i="8"/>
  <c r="F526" i="2"/>
  <c r="E512" i="2"/>
  <c r="D500" i="2"/>
  <c r="C451" i="2" l="1"/>
  <c r="C454" i="2"/>
  <c r="D454" i="2" s="1"/>
  <c r="C485" i="2" s="1"/>
  <c r="C453" i="2"/>
  <c r="C455" i="2"/>
  <c r="C130" i="8"/>
  <c r="D332" i="2" l="1"/>
  <c r="D311" i="2"/>
  <c r="D281" i="2"/>
  <c r="F228" i="2"/>
  <c r="E208" i="2"/>
  <c r="D179" i="2"/>
  <c r="E179" i="2" s="1"/>
  <c r="C188" i="2" s="1"/>
  <c r="E188" i="2" s="1"/>
  <c r="D197" i="2" s="1"/>
  <c r="C159" i="2"/>
  <c r="F159" i="2" s="1"/>
  <c r="D168" i="2" s="1"/>
  <c r="D128" i="2"/>
  <c r="D119" i="2"/>
  <c r="E86" i="2"/>
  <c r="D86" i="2"/>
  <c r="D77" i="2"/>
  <c r="D68" i="2"/>
  <c r="C55" i="2"/>
  <c r="C29" i="2"/>
  <c r="E29" i="2" s="1"/>
  <c r="C41" i="2" l="1"/>
  <c r="E41" i="2" s="1"/>
  <c r="E55" i="2" s="1"/>
  <c r="E228" i="2"/>
  <c r="C49" i="8"/>
  <c r="C197" i="2"/>
  <c r="E197" i="2" s="1"/>
  <c r="D228" i="2" s="1"/>
  <c r="C121" i="7"/>
  <c r="C120" i="7"/>
  <c r="C119" i="7"/>
  <c r="C118" i="7"/>
  <c r="C101" i="7"/>
  <c r="C41" i="7"/>
  <c r="C17" i="7"/>
  <c r="C101" i="6"/>
  <c r="C56" i="2"/>
  <c r="C47" i="6"/>
  <c r="C229" i="2"/>
  <c r="C10" i="6"/>
  <c r="C11" i="6" s="1"/>
  <c r="C121" i="6"/>
  <c r="C120" i="6"/>
  <c r="C119" i="6"/>
  <c r="C118" i="6"/>
  <c r="C41" i="6"/>
  <c r="C10" i="5"/>
  <c r="C17" i="5" s="1"/>
  <c r="C121" i="5"/>
  <c r="C120" i="5"/>
  <c r="C119" i="5"/>
  <c r="C118" i="5"/>
  <c r="C101" i="5"/>
  <c r="C41" i="5"/>
  <c r="C100" i="4"/>
  <c r="C9" i="4"/>
  <c r="C10" i="4" s="1"/>
  <c r="C16" i="4" s="1"/>
  <c r="C120" i="4"/>
  <c r="C119" i="4"/>
  <c r="C118" i="4"/>
  <c r="C117" i="4"/>
  <c r="C40" i="4"/>
  <c r="C17" i="6" l="1"/>
  <c r="C130" i="6" s="1"/>
  <c r="C130" i="7"/>
  <c r="C130" i="5"/>
  <c r="C129" i="4"/>
  <c r="C120" i="3"/>
  <c r="C119" i="3" l="1"/>
  <c r="C118" i="3"/>
  <c r="C117" i="3"/>
  <c r="C40" i="3" l="1"/>
  <c r="C10" i="3" l="1"/>
  <c r="H526" i="2"/>
  <c r="G526" i="2"/>
  <c r="E511" i="2"/>
  <c r="E513" i="2"/>
  <c r="E514" i="2"/>
  <c r="C475" i="2" l="1"/>
  <c r="C474" i="2"/>
  <c r="G470" i="2"/>
  <c r="D477" i="2"/>
  <c r="E477" i="2" s="1"/>
  <c r="C110" i="8" s="1"/>
  <c r="D476" i="2"/>
  <c r="E476" i="2" s="1"/>
  <c r="C110" i="5" s="1"/>
  <c r="D478" i="2"/>
  <c r="E478" i="2" s="1"/>
  <c r="C110" i="6" s="1"/>
  <c r="C110" i="7"/>
  <c r="E206" i="2"/>
  <c r="C48" i="4" s="1"/>
  <c r="E207" i="2"/>
  <c r="C49" i="5" s="1"/>
  <c r="E209" i="2"/>
  <c r="C49" i="6" s="1"/>
  <c r="E210" i="2"/>
  <c r="C49" i="7" s="1"/>
  <c r="E205" i="2"/>
  <c r="E170" i="2"/>
  <c r="C47" i="7" s="1"/>
  <c r="C157" i="2"/>
  <c r="C158" i="2"/>
  <c r="C161" i="2"/>
  <c r="D485" i="2" l="1"/>
  <c r="E225" i="2"/>
  <c r="C48" i="3"/>
  <c r="D474" i="2"/>
  <c r="C109" i="3" s="1"/>
  <c r="D475" i="2"/>
  <c r="E475" i="2" s="1"/>
  <c r="C109" i="4" s="1"/>
  <c r="C148" i="2"/>
  <c r="E485" i="2" l="1"/>
  <c r="F524" i="2" s="1"/>
  <c r="C53" i="2"/>
  <c r="C54" i="2"/>
  <c r="C57" i="2"/>
  <c r="D39" i="2"/>
  <c r="C28" i="2"/>
  <c r="E28" i="2" s="1"/>
  <c r="C27" i="2"/>
  <c r="E27" i="2" s="1"/>
  <c r="D55" i="2" s="1"/>
  <c r="H55" i="2" s="1"/>
  <c r="C69" i="8" s="1"/>
  <c r="B31" i="2"/>
  <c r="B30" i="2"/>
  <c r="B28" i="2"/>
  <c r="B27" i="2"/>
  <c r="F520" i="2" l="1"/>
  <c r="C86" i="2"/>
  <c r="F86" i="2" s="1"/>
  <c r="C68" i="2"/>
  <c r="E68" i="2" s="1"/>
  <c r="C25" i="8" s="1"/>
  <c r="C77" i="2"/>
  <c r="E77" i="2" s="1"/>
  <c r="C30" i="2"/>
  <c r="C160" i="2"/>
  <c r="C40" i="2"/>
  <c r="C39" i="2"/>
  <c r="C25" i="3"/>
  <c r="C26" i="3" s="1"/>
  <c r="C16" i="3"/>
  <c r="E447" i="2"/>
  <c r="C129" i="3" l="1"/>
  <c r="D34" i="3"/>
  <c r="D38" i="3"/>
  <c r="D35" i="3"/>
  <c r="D39" i="3"/>
  <c r="D32" i="3"/>
  <c r="D33" i="3"/>
  <c r="D37" i="3"/>
  <c r="D36" i="3"/>
  <c r="C26" i="8"/>
  <c r="C27" i="8" s="1"/>
  <c r="D35" i="8" s="1"/>
  <c r="D455" i="2"/>
  <c r="C95" i="2"/>
  <c r="C323" i="2"/>
  <c r="D95" i="2"/>
  <c r="D323" i="2"/>
  <c r="E95" i="2"/>
  <c r="E323" i="2"/>
  <c r="E30" i="2"/>
  <c r="C42" i="2"/>
  <c r="E42" i="2" s="1"/>
  <c r="E56" i="2" s="1"/>
  <c r="D189" i="2"/>
  <c r="D190" i="2" s="1"/>
  <c r="D186" i="2"/>
  <c r="C180" i="2"/>
  <c r="C181" i="2" s="1"/>
  <c r="C177" i="2"/>
  <c r="C149" i="2"/>
  <c r="C108" i="7" l="1"/>
  <c r="C112" i="7" s="1"/>
  <c r="C134" i="7" s="1"/>
  <c r="C108" i="6"/>
  <c r="C112" i="6" s="1"/>
  <c r="C134" i="6" s="1"/>
  <c r="C486" i="2"/>
  <c r="D40" i="3"/>
  <c r="D40" i="8"/>
  <c r="D34" i="8"/>
  <c r="D37" i="8"/>
  <c r="D36" i="8"/>
  <c r="C57" i="8"/>
  <c r="D33" i="8"/>
  <c r="D38" i="8"/>
  <c r="C151" i="2"/>
  <c r="C152" i="2" s="1"/>
  <c r="C150" i="2"/>
  <c r="D39" i="8"/>
  <c r="F95" i="2"/>
  <c r="C239" i="2" s="1"/>
  <c r="F323" i="2"/>
  <c r="C332" i="2" s="1"/>
  <c r="E332" i="2" s="1"/>
  <c r="E343" i="2" s="1"/>
  <c r="C107" i="3"/>
  <c r="C111" i="3" s="1"/>
  <c r="C133" i="3" s="1"/>
  <c r="D453" i="2"/>
  <c r="C484" i="2" s="1"/>
  <c r="C483" i="2"/>
  <c r="D116" i="2"/>
  <c r="C108" i="8" l="1"/>
  <c r="C112" i="8" s="1"/>
  <c r="C134" i="8" s="1"/>
  <c r="C108" i="5"/>
  <c r="C112" i="5" s="1"/>
  <c r="C134" i="5" s="1"/>
  <c r="D41" i="8"/>
  <c r="C58" i="8" s="1"/>
  <c r="C128" i="2"/>
  <c r="E128" i="2" s="1"/>
  <c r="D137" i="2" s="1"/>
  <c r="C119" i="2"/>
  <c r="E119" i="2" s="1"/>
  <c r="C137" i="2" s="1"/>
  <c r="C107" i="4"/>
  <c r="C111" i="4" s="1"/>
  <c r="C133" i="4" s="1"/>
  <c r="E39" i="2"/>
  <c r="C302" i="2" l="1"/>
  <c r="E302" i="2" s="1"/>
  <c r="C71" i="8" s="1"/>
  <c r="C67" i="8"/>
  <c r="E137" i="2"/>
  <c r="D239" i="2" s="1"/>
  <c r="C272" i="2"/>
  <c r="E272" i="2" s="1"/>
  <c r="C68" i="8" s="1"/>
  <c r="D483" i="2"/>
  <c r="E483" i="2" s="1"/>
  <c r="D484" i="2"/>
  <c r="E484" i="2" s="1"/>
  <c r="D486" i="2"/>
  <c r="E486" i="2" s="1"/>
  <c r="C482" i="2"/>
  <c r="D482" i="2"/>
  <c r="E482" i="2" l="1"/>
  <c r="C524" i="2" s="1"/>
  <c r="D498" i="2"/>
  <c r="D499" i="2"/>
  <c r="D501" i="2"/>
  <c r="D502" i="2"/>
  <c r="D497" i="2"/>
  <c r="C124" i="8" s="1"/>
  <c r="C123" i="4" l="1"/>
  <c r="C124" i="6"/>
  <c r="C124" i="5"/>
  <c r="C124" i="7"/>
  <c r="C123" i="3"/>
  <c r="C31" i="2"/>
  <c r="E31" i="2" l="1"/>
  <c r="D56" i="2" s="1"/>
  <c r="C43" i="2"/>
  <c r="E43" i="2" s="1"/>
  <c r="C112" i="2"/>
  <c r="D57" i="2" l="1"/>
  <c r="D390" i="2"/>
  <c r="D391" i="2" s="1"/>
  <c r="D411" i="2"/>
  <c r="D412" i="2" s="1"/>
  <c r="D334" i="2"/>
  <c r="D333" i="2"/>
  <c r="D331" i="2"/>
  <c r="D330" i="2"/>
  <c r="D329" i="2"/>
  <c r="D261" i="2"/>
  <c r="D262" i="2" s="1"/>
  <c r="D282" i="2"/>
  <c r="F230" i="2"/>
  <c r="E230" i="2"/>
  <c r="F229" i="2"/>
  <c r="E229" i="2"/>
  <c r="F227" i="2"/>
  <c r="E227" i="2"/>
  <c r="F226" i="2"/>
  <c r="E226" i="2"/>
  <c r="F225" i="2"/>
  <c r="D181" i="2"/>
  <c r="D180" i="2"/>
  <c r="D178" i="2"/>
  <c r="D177" i="2"/>
  <c r="D176" i="2"/>
  <c r="E176" i="2" s="1"/>
  <c r="C185" i="2" s="1"/>
  <c r="E185" i="2" s="1"/>
  <c r="D194" i="2" s="1"/>
  <c r="F161" i="2"/>
  <c r="D170" i="2" s="1"/>
  <c r="F160" i="2"/>
  <c r="D169" i="2" s="1"/>
  <c r="F158" i="2"/>
  <c r="D167" i="2" s="1"/>
  <c r="F157" i="2"/>
  <c r="D166" i="2" s="1"/>
  <c r="C156" i="2"/>
  <c r="F156" i="2" s="1"/>
  <c r="D165" i="2" s="1"/>
  <c r="F147" i="2"/>
  <c r="C165" i="2" s="1"/>
  <c r="D148" i="2"/>
  <c r="D149" i="2" s="1"/>
  <c r="D126" i="2"/>
  <c r="D127" i="2"/>
  <c r="D129" i="2"/>
  <c r="D130" i="2"/>
  <c r="D125" i="2"/>
  <c r="D117" i="2"/>
  <c r="D118" i="2"/>
  <c r="D120" i="2"/>
  <c r="D121" i="2"/>
  <c r="D414" i="2" l="1"/>
  <c r="D415" i="2" s="1"/>
  <c r="D413" i="2"/>
  <c r="D264" i="2"/>
  <c r="D265" i="2" s="1"/>
  <c r="D263" i="2"/>
  <c r="D393" i="2"/>
  <c r="D394" i="2" s="1"/>
  <c r="D392" i="2"/>
  <c r="D151" i="2"/>
  <c r="D152" i="2" s="1"/>
  <c r="D150" i="2"/>
  <c r="F150" i="2" s="1"/>
  <c r="C168" i="2" s="1"/>
  <c r="E168" i="2" s="1"/>
  <c r="H524" i="2"/>
  <c r="G524" i="2"/>
  <c r="D280" i="2"/>
  <c r="F148" i="2"/>
  <c r="C166" i="2" s="1"/>
  <c r="E166" i="2" s="1"/>
  <c r="D279" i="2"/>
  <c r="E165" i="2"/>
  <c r="D308" i="2"/>
  <c r="D309" i="2"/>
  <c r="D278" i="2"/>
  <c r="D310" i="2"/>
  <c r="D312" i="2"/>
  <c r="D283" i="2"/>
  <c r="D313" i="2"/>
  <c r="E180" i="2"/>
  <c r="E177" i="2"/>
  <c r="C194" i="2"/>
  <c r="E194" i="2" s="1"/>
  <c r="E178" i="2"/>
  <c r="D66" i="2"/>
  <c r="D67" i="2"/>
  <c r="D69" i="2"/>
  <c r="D70" i="2"/>
  <c r="D65" i="2"/>
  <c r="E84" i="2"/>
  <c r="E85" i="2"/>
  <c r="E87" i="2"/>
  <c r="E88" i="2"/>
  <c r="E83" i="2"/>
  <c r="D84" i="2"/>
  <c r="D85" i="2"/>
  <c r="D87" i="2"/>
  <c r="D88" i="2"/>
  <c r="D83" i="2"/>
  <c r="D75" i="2"/>
  <c r="D76" i="2"/>
  <c r="D78" i="2"/>
  <c r="D79" i="2"/>
  <c r="D74" i="2"/>
  <c r="C52" i="2"/>
  <c r="C26" i="2"/>
  <c r="C38" i="2" s="1"/>
  <c r="E38" i="2" s="1"/>
  <c r="E52" i="2" s="1"/>
  <c r="C228" i="2" l="1"/>
  <c r="G228" i="2" s="1"/>
  <c r="E239" i="2" s="1"/>
  <c r="F239" i="2" s="1"/>
  <c r="C70" i="8" s="1"/>
  <c r="C47" i="8"/>
  <c r="C225" i="2"/>
  <c r="C46" i="3"/>
  <c r="D225" i="2"/>
  <c r="C47" i="3"/>
  <c r="C226" i="2"/>
  <c r="C46" i="4"/>
  <c r="E26" i="2"/>
  <c r="D52" i="2" s="1"/>
  <c r="H52" i="2" s="1"/>
  <c r="E40" i="2"/>
  <c r="H56" i="2"/>
  <c r="E181" i="2"/>
  <c r="C196" i="2"/>
  <c r="C187" i="2"/>
  <c r="E187" i="2" s="1"/>
  <c r="D196" i="2" s="1"/>
  <c r="C186" i="2"/>
  <c r="E186" i="2" s="1"/>
  <c r="D195" i="2" s="1"/>
  <c r="C195" i="2"/>
  <c r="C198" i="2"/>
  <c r="C189" i="2"/>
  <c r="E189" i="2" s="1"/>
  <c r="D198" i="2" s="1"/>
  <c r="F149" i="2"/>
  <c r="C167" i="2" s="1"/>
  <c r="E167" i="2" s="1"/>
  <c r="H365" i="2"/>
  <c r="E381" i="2" s="1"/>
  <c r="F365" i="2"/>
  <c r="D381" i="2" s="1"/>
  <c r="G364" i="2"/>
  <c r="H364" i="2" s="1"/>
  <c r="E380" i="2" s="1"/>
  <c r="F364" i="2"/>
  <c r="C380" i="2" s="1"/>
  <c r="G363" i="2"/>
  <c r="H363" i="2" s="1"/>
  <c r="E379" i="2" s="1"/>
  <c r="F363" i="2"/>
  <c r="D379" i="2" s="1"/>
  <c r="H362" i="2"/>
  <c r="E378" i="2" s="1"/>
  <c r="F362" i="2"/>
  <c r="C378" i="2" s="1"/>
  <c r="H361" i="2"/>
  <c r="E377" i="2" s="1"/>
  <c r="F361" i="2"/>
  <c r="D377" i="2" s="1"/>
  <c r="H360" i="2"/>
  <c r="E376" i="2" s="1"/>
  <c r="F360" i="2"/>
  <c r="C376" i="2" s="1"/>
  <c r="G359" i="2"/>
  <c r="H359" i="2" s="1"/>
  <c r="E375" i="2" s="1"/>
  <c r="F359" i="2"/>
  <c r="C375" i="2" s="1"/>
  <c r="H358" i="2"/>
  <c r="E374" i="2" s="1"/>
  <c r="F358" i="2"/>
  <c r="D374" i="2" s="1"/>
  <c r="G357" i="2"/>
  <c r="H357" i="2" s="1"/>
  <c r="E373" i="2" s="1"/>
  <c r="F357" i="2"/>
  <c r="D373" i="2" s="1"/>
  <c r="G356" i="2"/>
  <c r="H356" i="2" s="1"/>
  <c r="E372" i="2" s="1"/>
  <c r="F356" i="2"/>
  <c r="H355" i="2"/>
  <c r="E371" i="2" s="1"/>
  <c r="F355" i="2"/>
  <c r="C371" i="2" s="1"/>
  <c r="G354" i="2"/>
  <c r="H354" i="2" s="1"/>
  <c r="E370" i="2" s="1"/>
  <c r="F354" i="2"/>
  <c r="D370" i="2" s="1"/>
  <c r="C253" i="2"/>
  <c r="G520" i="2" l="1"/>
  <c r="C69" i="6"/>
  <c r="C520" i="2"/>
  <c r="C68" i="3"/>
  <c r="F521" i="2"/>
  <c r="C293" i="2"/>
  <c r="E293" i="2" s="1"/>
  <c r="C263" i="2"/>
  <c r="E263" i="2" s="1"/>
  <c r="C66" i="8" s="1"/>
  <c r="C72" i="8" s="1"/>
  <c r="G225" i="2"/>
  <c r="E236" i="2" s="1"/>
  <c r="C58" i="3" s="1"/>
  <c r="C50" i="3"/>
  <c r="C227" i="2"/>
  <c r="C47" i="5"/>
  <c r="D53" i="2"/>
  <c r="E54" i="2"/>
  <c r="D54" i="2"/>
  <c r="E53" i="2"/>
  <c r="E195" i="2"/>
  <c r="C65" i="2"/>
  <c r="E65" i="2" s="1"/>
  <c r="C320" i="2" s="1"/>
  <c r="E196" i="2"/>
  <c r="C48" i="8" s="1"/>
  <c r="C51" i="8" s="1"/>
  <c r="C59" i="8" s="1"/>
  <c r="C60" i="8" s="1"/>
  <c r="C74" i="2"/>
  <c r="E74" i="2" s="1"/>
  <c r="D92" i="2" s="1"/>
  <c r="C83" i="2"/>
  <c r="F83" i="2" s="1"/>
  <c r="E320" i="2" s="1"/>
  <c r="E198" i="2"/>
  <c r="E57" i="2"/>
  <c r="C199" i="2"/>
  <c r="C190" i="2"/>
  <c r="E190" i="2" s="1"/>
  <c r="D199" i="2" s="1"/>
  <c r="F151" i="2"/>
  <c r="C169" i="2" s="1"/>
  <c r="C69" i="2"/>
  <c r="E69" i="2" s="1"/>
  <c r="C87" i="2"/>
  <c r="C78" i="2"/>
  <c r="E78" i="2" s="1"/>
  <c r="C373" i="2"/>
  <c r="C381" i="2"/>
  <c r="C370" i="2"/>
  <c r="D378" i="2"/>
  <c r="C379" i="2"/>
  <c r="C374" i="2"/>
  <c r="D376" i="2"/>
  <c r="C377" i="2"/>
  <c r="C372" i="2"/>
  <c r="D372" i="2"/>
  <c r="E382" i="2"/>
  <c r="D375" i="2"/>
  <c r="D371" i="2"/>
  <c r="D380" i="2"/>
  <c r="C131" i="8" l="1"/>
  <c r="C281" i="2"/>
  <c r="E281" i="2" s="1"/>
  <c r="C343" i="2" s="1"/>
  <c r="C311" i="2"/>
  <c r="E311" i="2" s="1"/>
  <c r="D343" i="2" s="1"/>
  <c r="D401" i="2"/>
  <c r="D400" i="2"/>
  <c r="D229" i="2"/>
  <c r="G229" i="2" s="1"/>
  <c r="E240" i="2" s="1"/>
  <c r="C48" i="6"/>
  <c r="C51" i="6" s="1"/>
  <c r="C59" i="6" s="1"/>
  <c r="D226" i="2"/>
  <c r="G226" i="2" s="1"/>
  <c r="E237" i="2" s="1"/>
  <c r="C47" i="4"/>
  <c r="C50" i="4" s="1"/>
  <c r="C58" i="4" s="1"/>
  <c r="D227" i="2"/>
  <c r="G227" i="2" s="1"/>
  <c r="E238" i="2" s="1"/>
  <c r="C48" i="5"/>
  <c r="C51" i="5" s="1"/>
  <c r="C59" i="5" s="1"/>
  <c r="F87" i="2"/>
  <c r="E96" i="2" s="1"/>
  <c r="D96" i="2"/>
  <c r="C25" i="6"/>
  <c r="C96" i="2"/>
  <c r="D403" i="2"/>
  <c r="D402" i="2"/>
  <c r="D399" i="2"/>
  <c r="D398" i="2"/>
  <c r="H53" i="2"/>
  <c r="H57" i="2"/>
  <c r="D320" i="2"/>
  <c r="F320" i="2" s="1"/>
  <c r="C329" i="2" s="1"/>
  <c r="E329" i="2" s="1"/>
  <c r="E340" i="2" s="1"/>
  <c r="C92" i="2"/>
  <c r="E92" i="2"/>
  <c r="H54" i="2"/>
  <c r="E199" i="2"/>
  <c r="F152" i="2"/>
  <c r="C170" i="2" s="1"/>
  <c r="C230" i="2" s="1"/>
  <c r="D324" i="2"/>
  <c r="C324" i="2"/>
  <c r="C382" i="2"/>
  <c r="D382" i="2"/>
  <c r="D520" i="2" l="1"/>
  <c r="C68" i="4"/>
  <c r="E520" i="2"/>
  <c r="C69" i="5"/>
  <c r="H520" i="2"/>
  <c r="C69" i="7"/>
  <c r="C132" i="8"/>
  <c r="F343" i="2"/>
  <c r="E324" i="2"/>
  <c r="F324" i="2" s="1"/>
  <c r="C333" i="2" s="1"/>
  <c r="E333" i="2" s="1"/>
  <c r="E344" i="2" s="1"/>
  <c r="D230" i="2"/>
  <c r="G230" i="2" s="1"/>
  <c r="E241" i="2" s="1"/>
  <c r="C48" i="7"/>
  <c r="C51" i="7" s="1"/>
  <c r="C59" i="7" s="1"/>
  <c r="C26" i="6"/>
  <c r="C27" i="6" s="1"/>
  <c r="C79" i="2"/>
  <c r="E79" i="2" s="1"/>
  <c r="C88" i="2"/>
  <c r="F88" i="2" s="1"/>
  <c r="C75" i="2"/>
  <c r="E75" i="2" s="1"/>
  <c r="C84" i="2"/>
  <c r="F84" i="2" s="1"/>
  <c r="E93" i="2" s="1"/>
  <c r="C66" i="2"/>
  <c r="E66" i="2" s="1"/>
  <c r="C70" i="2"/>
  <c r="E70" i="2" s="1"/>
  <c r="F92" i="2"/>
  <c r="C85" i="2"/>
  <c r="F85" i="2" s="1"/>
  <c r="E94" i="2" s="1"/>
  <c r="C76" i="2"/>
  <c r="E76" i="2" s="1"/>
  <c r="C67" i="2"/>
  <c r="E67" i="2" s="1"/>
  <c r="F96" i="2"/>
  <c r="C120" i="2" s="1"/>
  <c r="E120" i="2" s="1"/>
  <c r="F522" i="2" l="1"/>
  <c r="C392" i="2"/>
  <c r="E392" i="2" s="1"/>
  <c r="C401" i="2" s="1"/>
  <c r="E401" i="2" s="1"/>
  <c r="F401" i="2" s="1"/>
  <c r="C413" i="2"/>
  <c r="E413" i="2" s="1"/>
  <c r="C422" i="2" s="1"/>
  <c r="E422" i="2" s="1"/>
  <c r="C57" i="6"/>
  <c r="D38" i="6"/>
  <c r="D40" i="6"/>
  <c r="D35" i="6"/>
  <c r="D33" i="6"/>
  <c r="D36" i="6"/>
  <c r="D34" i="6"/>
  <c r="D37" i="6"/>
  <c r="D321" i="2"/>
  <c r="C25" i="4"/>
  <c r="C236" i="2"/>
  <c r="C56" i="3" s="1"/>
  <c r="C125" i="2"/>
  <c r="E125" i="2" s="1"/>
  <c r="C66" i="3" s="1"/>
  <c r="E325" i="2"/>
  <c r="E97" i="2"/>
  <c r="C94" i="2"/>
  <c r="C25" i="5"/>
  <c r="C25" i="7"/>
  <c r="C97" i="2"/>
  <c r="C26" i="5"/>
  <c r="D94" i="2"/>
  <c r="C93" i="2"/>
  <c r="C24" i="4"/>
  <c r="C26" i="7"/>
  <c r="D97" i="2"/>
  <c r="D39" i="6"/>
  <c r="C129" i="2"/>
  <c r="E129" i="2" s="1"/>
  <c r="C67" i="6" s="1"/>
  <c r="C240" i="2"/>
  <c r="D325" i="2"/>
  <c r="E321" i="2"/>
  <c r="D93" i="2"/>
  <c r="C321" i="2"/>
  <c r="C325" i="2"/>
  <c r="C116" i="2"/>
  <c r="E116" i="2" s="1"/>
  <c r="C134" i="2" s="1"/>
  <c r="C322" i="2"/>
  <c r="D322" i="2"/>
  <c r="E322" i="2"/>
  <c r="C138" i="2"/>
  <c r="D433" i="2" l="1"/>
  <c r="C93" i="8"/>
  <c r="C433" i="2"/>
  <c r="C81" i="8"/>
  <c r="C87" i="8" s="1"/>
  <c r="D124" i="8" s="1"/>
  <c r="C136" i="8" s="1"/>
  <c r="F97" i="2"/>
  <c r="C241" i="2" s="1"/>
  <c r="D41" i="6"/>
  <c r="C58" i="6" s="1"/>
  <c r="C60" i="6" s="1"/>
  <c r="C131" i="6" s="1"/>
  <c r="C27" i="7"/>
  <c r="D34" i="7" s="1"/>
  <c r="C269" i="2"/>
  <c r="E269" i="2" s="1"/>
  <c r="C67" i="3" s="1"/>
  <c r="C299" i="2"/>
  <c r="E299" i="2" s="1"/>
  <c r="C70" i="3" s="1"/>
  <c r="D134" i="2"/>
  <c r="E134" i="2" s="1"/>
  <c r="C27" i="5"/>
  <c r="F93" i="2"/>
  <c r="C117" i="2" s="1"/>
  <c r="E117" i="2" s="1"/>
  <c r="C135" i="2" s="1"/>
  <c r="F325" i="2"/>
  <c r="C334" i="2" s="1"/>
  <c r="E334" i="2" s="1"/>
  <c r="E345" i="2" s="1"/>
  <c r="C26" i="4"/>
  <c r="C273" i="2"/>
  <c r="E273" i="2" s="1"/>
  <c r="C68" i="6" s="1"/>
  <c r="C303" i="2"/>
  <c r="E303" i="2" s="1"/>
  <c r="C71" i="6" s="1"/>
  <c r="C121" i="2"/>
  <c r="E121" i="2" s="1"/>
  <c r="C139" i="2" s="1"/>
  <c r="F321" i="2"/>
  <c r="C330" i="2" s="1"/>
  <c r="E330" i="2" s="1"/>
  <c r="E341" i="2" s="1"/>
  <c r="F322" i="2"/>
  <c r="C331" i="2" s="1"/>
  <c r="E331" i="2" s="1"/>
  <c r="E342" i="2" s="1"/>
  <c r="F94" i="2"/>
  <c r="D138" i="2"/>
  <c r="E138" i="2" s="1"/>
  <c r="E433" i="2" l="1"/>
  <c r="C500" i="2" s="1"/>
  <c r="E500" i="2" s="1"/>
  <c r="F525" i="2" s="1"/>
  <c r="C100" i="8"/>
  <c r="C102" i="8" s="1"/>
  <c r="D119" i="8"/>
  <c r="D120" i="8"/>
  <c r="C57" i="7"/>
  <c r="D36" i="7"/>
  <c r="D37" i="7"/>
  <c r="D35" i="7"/>
  <c r="C130" i="2"/>
  <c r="E130" i="2" s="1"/>
  <c r="D33" i="7"/>
  <c r="C237" i="2"/>
  <c r="D39" i="7"/>
  <c r="D40" i="7"/>
  <c r="D38" i="7"/>
  <c r="D34" i="4"/>
  <c r="D38" i="4"/>
  <c r="D39" i="4"/>
  <c r="C56" i="4"/>
  <c r="D35" i="4"/>
  <c r="D36" i="4"/>
  <c r="D33" i="4"/>
  <c r="D32" i="4"/>
  <c r="D37" i="4"/>
  <c r="C57" i="5"/>
  <c r="D34" i="5"/>
  <c r="D33" i="5"/>
  <c r="D35" i="5"/>
  <c r="D40" i="5"/>
  <c r="D38" i="5"/>
  <c r="D37" i="5"/>
  <c r="D39" i="5"/>
  <c r="D36" i="5"/>
  <c r="D236" i="2"/>
  <c r="C57" i="3" s="1"/>
  <c r="C59" i="3" s="1"/>
  <c r="C126" i="2"/>
  <c r="E126" i="2" s="1"/>
  <c r="D240" i="2"/>
  <c r="F240" i="2" s="1"/>
  <c r="C70" i="6" s="1"/>
  <c r="C118" i="2"/>
  <c r="E118" i="2" s="1"/>
  <c r="C136" i="2" s="1"/>
  <c r="C127" i="2"/>
  <c r="E127" i="2" s="1"/>
  <c r="C67" i="5" s="1"/>
  <c r="C238" i="2"/>
  <c r="D135" i="2" l="1"/>
  <c r="E135" i="2" s="1"/>
  <c r="C66" i="4"/>
  <c r="C274" i="2"/>
  <c r="E274" i="2" s="1"/>
  <c r="C68" i="7" s="1"/>
  <c r="C67" i="7"/>
  <c r="F523" i="2"/>
  <c r="F527" i="2" s="1"/>
  <c r="F528" i="2" s="1"/>
  <c r="D118" i="8"/>
  <c r="C133" i="8"/>
  <c r="C135" i="8" s="1"/>
  <c r="C137" i="8" s="1"/>
  <c r="D139" i="2"/>
  <c r="E139" i="2" s="1"/>
  <c r="D241" i="2" s="1"/>
  <c r="F241" i="2" s="1"/>
  <c r="C304" i="2"/>
  <c r="E304" i="2" s="1"/>
  <c r="C71" i="7" s="1"/>
  <c r="D41" i="7"/>
  <c r="C58" i="7" s="1"/>
  <c r="C60" i="7" s="1"/>
  <c r="C131" i="7" s="1"/>
  <c r="C300" i="2"/>
  <c r="E300" i="2" s="1"/>
  <c r="C70" i="4" s="1"/>
  <c r="F236" i="2"/>
  <c r="D40" i="4"/>
  <c r="C57" i="4" s="1"/>
  <c r="C59" i="4" s="1"/>
  <c r="D41" i="5"/>
  <c r="C58" i="5" s="1"/>
  <c r="C60" i="5" s="1"/>
  <c r="D237" i="2"/>
  <c r="F237" i="2" s="1"/>
  <c r="C270" i="2"/>
  <c r="E270" i="2" s="1"/>
  <c r="C67" i="4" s="1"/>
  <c r="C130" i="3"/>
  <c r="C294" i="2"/>
  <c r="E294" i="2" s="1"/>
  <c r="G521" i="2"/>
  <c r="C264" i="2"/>
  <c r="E264" i="2" s="1"/>
  <c r="C66" i="6" s="1"/>
  <c r="C72" i="6" s="1"/>
  <c r="C301" i="2"/>
  <c r="E301" i="2" s="1"/>
  <c r="C71" i="5" s="1"/>
  <c r="C271" i="2"/>
  <c r="E271" i="2" s="1"/>
  <c r="C68" i="5" s="1"/>
  <c r="D136" i="2"/>
  <c r="E136" i="2" s="1"/>
  <c r="C521" i="2" l="1"/>
  <c r="C69" i="3"/>
  <c r="C260" i="2"/>
  <c r="E260" i="2" s="1"/>
  <c r="C65" i="3" s="1"/>
  <c r="C261" i="2"/>
  <c r="E261" i="2" s="1"/>
  <c r="C65" i="4" s="1"/>
  <c r="C69" i="4"/>
  <c r="H521" i="2"/>
  <c r="C70" i="7"/>
  <c r="C291" i="2"/>
  <c r="E291" i="2" s="1"/>
  <c r="D521" i="2"/>
  <c r="C265" i="2"/>
  <c r="E265" i="2" s="1"/>
  <c r="C290" i="2"/>
  <c r="E290" i="2" s="1"/>
  <c r="C295" i="2"/>
  <c r="E295" i="2" s="1"/>
  <c r="D238" i="2"/>
  <c r="F238" i="2" s="1"/>
  <c r="C130" i="4"/>
  <c r="C131" i="5"/>
  <c r="C312" i="2"/>
  <c r="E312" i="2" s="1"/>
  <c r="D344" i="2" s="1"/>
  <c r="C282" i="2"/>
  <c r="E282" i="2" s="1"/>
  <c r="E526" i="2"/>
  <c r="C71" i="4" l="1"/>
  <c r="C131" i="4" s="1"/>
  <c r="C71" i="3"/>
  <c r="C283" i="2"/>
  <c r="E283" i="2" s="1"/>
  <c r="C345" i="2" s="1"/>
  <c r="C66" i="7"/>
  <c r="C72" i="7" s="1"/>
  <c r="C262" i="2"/>
  <c r="E262" i="2" s="1"/>
  <c r="C66" i="5" s="1"/>
  <c r="C70" i="5"/>
  <c r="C309" i="2"/>
  <c r="E309" i="2" s="1"/>
  <c r="D341" i="2" s="1"/>
  <c r="C279" i="2"/>
  <c r="E279" i="2" s="1"/>
  <c r="C341" i="2" s="1"/>
  <c r="F341" i="2" s="1"/>
  <c r="C411" i="2" s="1"/>
  <c r="E411" i="2" s="1"/>
  <c r="C420" i="2" s="1"/>
  <c r="E420" i="2" s="1"/>
  <c r="D431" i="2" s="1"/>
  <c r="C313" i="2"/>
  <c r="E313" i="2" s="1"/>
  <c r="D345" i="2" s="1"/>
  <c r="E521" i="2"/>
  <c r="C292" i="2"/>
  <c r="E292" i="2" s="1"/>
  <c r="C278" i="2"/>
  <c r="E278" i="2" s="1"/>
  <c r="C340" i="2" s="1"/>
  <c r="C308" i="2"/>
  <c r="E308" i="2" s="1"/>
  <c r="D340" i="2" s="1"/>
  <c r="C132" i="6"/>
  <c r="C344" i="2"/>
  <c r="F344" i="2" s="1"/>
  <c r="C72" i="5" l="1"/>
  <c r="C132" i="5" s="1"/>
  <c r="C280" i="2"/>
  <c r="E280" i="2" s="1"/>
  <c r="C342" i="2" s="1"/>
  <c r="F345" i="2"/>
  <c r="H522" i="2" s="1"/>
  <c r="C92" i="4"/>
  <c r="C310" i="2"/>
  <c r="E310" i="2" s="1"/>
  <c r="D342" i="2" s="1"/>
  <c r="C390" i="2"/>
  <c r="E390" i="2" s="1"/>
  <c r="C399" i="2" s="1"/>
  <c r="E399" i="2" s="1"/>
  <c r="F399" i="2" s="1"/>
  <c r="C431" i="2" s="1"/>
  <c r="E431" i="2" s="1"/>
  <c r="C498" i="2" s="1"/>
  <c r="E498" i="2" s="1"/>
  <c r="D525" i="2" s="1"/>
  <c r="D522" i="2"/>
  <c r="C131" i="3"/>
  <c r="F340" i="2"/>
  <c r="C522" i="2" s="1"/>
  <c r="C132" i="7"/>
  <c r="G522" i="2"/>
  <c r="C414" i="2"/>
  <c r="E414" i="2" s="1"/>
  <c r="C423" i="2" s="1"/>
  <c r="E423" i="2" s="1"/>
  <c r="C393" i="2"/>
  <c r="E393" i="2" s="1"/>
  <c r="C402" i="2" s="1"/>
  <c r="E402" i="2" s="1"/>
  <c r="F402" i="2" s="1"/>
  <c r="E509" i="2"/>
  <c r="C526" i="2" s="1"/>
  <c r="D524" i="2"/>
  <c r="C415" i="2" l="1"/>
  <c r="E415" i="2" s="1"/>
  <c r="C424" i="2" s="1"/>
  <c r="E424" i="2" s="1"/>
  <c r="C93" i="7" s="1"/>
  <c r="C394" i="2"/>
  <c r="E394" i="2" s="1"/>
  <c r="C403" i="2" s="1"/>
  <c r="E403" i="2" s="1"/>
  <c r="F403" i="2" s="1"/>
  <c r="C435" i="2" s="1"/>
  <c r="F342" i="2"/>
  <c r="E522" i="2" s="1"/>
  <c r="C80" i="4"/>
  <c r="C86" i="4" s="1"/>
  <c r="D123" i="4" s="1"/>
  <c r="C135" i="4" s="1"/>
  <c r="D523" i="2"/>
  <c r="C410" i="2"/>
  <c r="E410" i="2" s="1"/>
  <c r="C419" i="2" s="1"/>
  <c r="E419" i="2" s="1"/>
  <c r="D430" i="2" s="1"/>
  <c r="C389" i="2"/>
  <c r="E389" i="2" s="1"/>
  <c r="C398" i="2" s="1"/>
  <c r="E398" i="2" s="1"/>
  <c r="F398" i="2" s="1"/>
  <c r="D434" i="2"/>
  <c r="C93" i="6"/>
  <c r="C434" i="2"/>
  <c r="C81" i="6"/>
  <c r="C87" i="6" s="1"/>
  <c r="C391" i="2" l="1"/>
  <c r="E391" i="2" s="1"/>
  <c r="C400" i="2" s="1"/>
  <c r="E400" i="2" s="1"/>
  <c r="F400" i="2" s="1"/>
  <c r="C432" i="2" s="1"/>
  <c r="C81" i="7"/>
  <c r="C87" i="7" s="1"/>
  <c r="D124" i="7" s="1"/>
  <c r="C136" i="7" s="1"/>
  <c r="C412" i="2"/>
  <c r="E412" i="2" s="1"/>
  <c r="C421" i="2" s="1"/>
  <c r="E421" i="2" s="1"/>
  <c r="D432" i="2" s="1"/>
  <c r="E432" i="2" s="1"/>
  <c r="E523" i="2" s="1"/>
  <c r="D435" i="2"/>
  <c r="E435" i="2" s="1"/>
  <c r="H523" i="2" s="1"/>
  <c r="C99" i="4"/>
  <c r="C101" i="4" s="1"/>
  <c r="D117" i="4" s="1"/>
  <c r="C132" i="4"/>
  <c r="C134" i="4" s="1"/>
  <c r="C136" i="4" s="1"/>
  <c r="D118" i="4"/>
  <c r="D119" i="4"/>
  <c r="C81" i="5"/>
  <c r="C87" i="5" s="1"/>
  <c r="D120" i="5" s="1"/>
  <c r="C80" i="3"/>
  <c r="C86" i="3" s="1"/>
  <c r="C430" i="2"/>
  <c r="E430" i="2" s="1"/>
  <c r="C523" i="2" s="1"/>
  <c r="E434" i="2"/>
  <c r="G523" i="2" s="1"/>
  <c r="C100" i="6"/>
  <c r="C102" i="6" s="1"/>
  <c r="D118" i="6" s="1"/>
  <c r="C133" i="6"/>
  <c r="C135" i="6" s="1"/>
  <c r="D120" i="6"/>
  <c r="D124" i="6"/>
  <c r="C136" i="6" s="1"/>
  <c r="D119" i="6"/>
  <c r="E510" i="2"/>
  <c r="D526" i="2" s="1"/>
  <c r="D527" i="2" s="1"/>
  <c r="D528" i="2" s="1"/>
  <c r="C93" i="5" l="1"/>
  <c r="D120" i="7"/>
  <c r="C133" i="7"/>
  <c r="C135" i="7" s="1"/>
  <c r="C137" i="7" s="1"/>
  <c r="D119" i="7"/>
  <c r="C100" i="7"/>
  <c r="C102" i="7" s="1"/>
  <c r="D118" i="7" s="1"/>
  <c r="C502" i="2"/>
  <c r="E502" i="2" s="1"/>
  <c r="H525" i="2" s="1"/>
  <c r="H527" i="2" s="1"/>
  <c r="H528" i="2" s="1"/>
  <c r="D124" i="5"/>
  <c r="C136" i="5" s="1"/>
  <c r="C133" i="5"/>
  <c r="C135" i="5" s="1"/>
  <c r="D119" i="5"/>
  <c r="C100" i="5"/>
  <c r="C102" i="5" s="1"/>
  <c r="D118" i="5" s="1"/>
  <c r="C497" i="2"/>
  <c r="E497" i="2" s="1"/>
  <c r="C525" i="2" s="1"/>
  <c r="C501" i="2"/>
  <c r="E501" i="2" s="1"/>
  <c r="G525" i="2" s="1"/>
  <c r="G527" i="2" s="1"/>
  <c r="G528" i="2" s="1"/>
  <c r="C99" i="3"/>
  <c r="C101" i="3" s="1"/>
  <c r="D118" i="3"/>
  <c r="D123" i="3"/>
  <c r="C135" i="3" s="1"/>
  <c r="C132" i="3"/>
  <c r="C134" i="3" s="1"/>
  <c r="D117" i="3"/>
  <c r="D119" i="3"/>
  <c r="C137" i="6"/>
  <c r="E524" i="2"/>
  <c r="C499" i="2"/>
  <c r="E499" i="2" s="1"/>
  <c r="E525" i="2" s="1"/>
  <c r="C137" i="5" l="1"/>
  <c r="C136" i="3"/>
  <c r="C527" i="2"/>
  <c r="C528" i="2" s="1"/>
  <c r="E527" i="2"/>
  <c r="E528" i="2" s="1"/>
  <c r="C530" i="2" l="1"/>
</calcChain>
</file>

<file path=xl/comments1.xml><?xml version="1.0" encoding="utf-8"?>
<comments xmlns="http://schemas.openxmlformats.org/spreadsheetml/2006/main">
  <authors>
    <author>Scheyla Cristina de Souza Belmiro do Amaral</author>
    <author>BRUNA</author>
  </authors>
  <commentList>
    <comment ref="C14" authorId="0">
      <text>
        <r>
          <rPr>
            <b/>
            <sz val="9"/>
            <color indexed="81"/>
            <rFont val="Segoe UI"/>
            <family val="2"/>
          </rPr>
          <t xml:space="preserve">Seges: </t>
        </r>
        <r>
          <rPr>
            <sz val="9"/>
            <color indexed="81"/>
            <rFont val="Segoe UI"/>
            <family val="2"/>
          </rPr>
          <t xml:space="preserve">Informar salário base conforme Convenção Coletiva de Trabalho vigente para a categoria e no município de prestação do serviço.
</t>
        </r>
      </text>
    </comment>
    <comment ref="D26" authorId="0">
      <text>
        <r>
          <rPr>
            <b/>
            <sz val="9"/>
            <color indexed="81"/>
            <rFont val="Segoe UI"/>
            <family val="2"/>
          </rPr>
          <t xml:space="preserve">Seges: </t>
        </r>
        <r>
          <rPr>
            <sz val="9"/>
            <color indexed="81"/>
            <rFont val="Segoe UI"/>
            <family val="2"/>
          </rPr>
          <t>Percentual conforme definido em CCT, se houver gratificação de função.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B50" authorId="0">
      <text>
        <r>
          <rPr>
            <b/>
            <sz val="9"/>
            <color indexed="81"/>
            <rFont val="Segoe UI"/>
            <family val="2"/>
          </rPr>
          <t xml:space="preserve">Seges: </t>
        </r>
        <r>
          <rPr>
            <sz val="9"/>
            <color indexed="81"/>
            <rFont val="Segoe UI"/>
            <family val="2"/>
          </rPr>
          <t xml:space="preserve">Automatizada, desde que não haja alterações de fórmulas ou estrutura da planilha.
</t>
        </r>
      </text>
    </comment>
    <comment ref="D64" authorId="0">
      <text>
        <r>
          <rPr>
            <b/>
            <sz val="9"/>
            <color indexed="81"/>
            <rFont val="Segoe UI"/>
            <family val="2"/>
          </rPr>
          <t xml:space="preserve">Seges: </t>
        </r>
        <r>
          <rPr>
            <sz val="9"/>
            <color indexed="81"/>
            <rFont val="Segoe UI"/>
            <family val="2"/>
          </rPr>
          <t>Por tratar-se de planilha mensal será contabilizado 1/12 avos do custo.</t>
        </r>
      </text>
    </comment>
    <comment ref="B72" authorId="0">
      <text>
        <r>
          <rPr>
            <b/>
            <sz val="9"/>
            <color indexed="81"/>
            <rFont val="Segoe UI"/>
            <family val="2"/>
          </rPr>
          <t xml:space="preserve">Seges: </t>
        </r>
        <r>
          <rPr>
            <sz val="9"/>
            <color indexed="81"/>
            <rFont val="Segoe UI"/>
            <family val="2"/>
          </rPr>
          <t xml:space="preserve">Observações importantes: 
1ª - Levando em consideração a vigência contratual prevista no art. 57 da Lei nº 8.666, de 23 de junho de 1993, a referida rubrica tem como principal objetivo suprir a necessidade no final do contrato de 12 meses o pagamento ao direito às férias remuneradas, na forma prevista na Consolidação das Leis do Trabalho. Esta rubrica, quando da prorrogação contratual, torna-se objeto de custo não renovável. 
2ª - Deve ser ponderado pelo gestor no momento da composição de custos, a necessidade ou não da inclusão dessa rubrica, observada nesses casos sempre a duração do contrato. Caso seja firmado contrato com duração superior a 12 meses, sugere-se a exclusão dessa rubrica.
</t>
        </r>
      </text>
    </comment>
    <comment ref="D83" authorId="0">
      <text>
        <r>
          <rPr>
            <b/>
            <sz val="9"/>
            <color indexed="81"/>
            <rFont val="Segoe UI"/>
            <family val="2"/>
          </rPr>
          <t>Seges:</t>
        </r>
        <r>
          <rPr>
            <sz val="9"/>
            <color indexed="81"/>
            <rFont val="Segoe UI"/>
            <family val="2"/>
          </rPr>
          <t xml:space="preserve"> Corresponde ao previsto na Constituição. Adicional de 1/3 a mais do salário normal.
</t>
        </r>
      </text>
    </comment>
    <comment ref="B90" authorId="0">
      <text>
        <r>
          <rPr>
            <b/>
            <sz val="9"/>
            <color indexed="81"/>
            <rFont val="Segoe UI"/>
            <family val="2"/>
          </rPr>
          <t xml:space="preserve">Seges: </t>
        </r>
        <r>
          <rPr>
            <sz val="9"/>
            <color indexed="81"/>
            <rFont val="Segoe UI"/>
            <family val="2"/>
          </rPr>
          <t xml:space="preserve">apenas totaliza a previsão mensal de custos com 13° Salário, Férias e Adicional de Férias.
</t>
        </r>
      </text>
    </comment>
    <comment ref="C106" authorId="0">
      <text>
        <r>
          <rPr>
            <b/>
            <sz val="9"/>
            <color indexed="81"/>
            <rFont val="Segoe UI"/>
            <family val="2"/>
          </rPr>
          <t xml:space="preserve">Seges: </t>
        </r>
        <r>
          <rPr>
            <sz val="9"/>
            <color indexed="81"/>
            <rFont val="Segoe UI"/>
            <family val="2"/>
          </rPr>
          <t xml:space="preserve">Informar o percentual adequado à categoria profissional a ser contratada para a prestação do serviço.
</t>
        </r>
      </text>
    </comment>
    <comment ref="D116" authorId="0">
      <text>
        <r>
          <rPr>
            <b/>
            <sz val="9"/>
            <color indexed="81"/>
            <rFont val="Segoe UI"/>
            <family val="2"/>
          </rPr>
          <t xml:space="preserve">Seges: </t>
        </r>
        <r>
          <rPr>
            <sz val="9"/>
            <color indexed="81"/>
            <rFont val="Segoe UI"/>
            <family val="2"/>
          </rPr>
          <t xml:space="preserve">Corresponde ao somatório dos encargos para financiamento da seguridade social.
O percentual será alterado quando do preenchimento da aliquota do SAT/GIIL-RAT
</t>
        </r>
      </text>
    </comment>
    <comment ref="D125" authorId="0">
      <text>
        <r>
          <rPr>
            <b/>
            <sz val="9"/>
            <color indexed="81"/>
            <rFont val="Segoe UI"/>
            <family val="2"/>
          </rPr>
          <t xml:space="preserve">Seges: </t>
        </r>
        <r>
          <rPr>
            <sz val="9"/>
            <color indexed="81"/>
            <rFont val="Segoe UI"/>
            <family val="2"/>
          </rPr>
          <t xml:space="preserve">Alíquota mensal de depóstio à título de FGTS, conforme Lei n° 8.036, de 1990.
</t>
        </r>
      </text>
    </comment>
    <comment ref="B132" authorId="0">
      <text>
        <r>
          <rPr>
            <b/>
            <sz val="9"/>
            <color indexed="81"/>
            <rFont val="Segoe UI"/>
            <family val="2"/>
          </rPr>
          <t xml:space="preserve">Seges: </t>
        </r>
        <r>
          <rPr>
            <sz val="9"/>
            <color indexed="81"/>
            <rFont val="Segoe UI"/>
            <family val="2"/>
          </rPr>
          <t xml:space="preserve">Totalização dos Encargos. Automatizada, desde que não haja alteração nas fórmulas e estrutura da planilha.
</t>
        </r>
      </text>
    </comment>
    <comment ref="C146" authorId="0">
      <text>
        <r>
          <rPr>
            <b/>
            <sz val="9"/>
            <color indexed="81"/>
            <rFont val="Segoe UI"/>
            <family val="2"/>
          </rPr>
          <t xml:space="preserve">Seges: </t>
        </r>
        <r>
          <rPr>
            <sz val="9"/>
            <color indexed="81"/>
            <rFont val="Segoe UI"/>
            <family val="2"/>
          </rPr>
          <t xml:space="preserve">Valor da tarifa de transporte público praticada no município de prestação do serviço.
</t>
        </r>
      </text>
    </comment>
    <comment ref="E147" authorId="0">
      <text>
        <r>
          <rPr>
            <b/>
            <sz val="9"/>
            <color indexed="81"/>
            <rFont val="Segoe UI"/>
            <family val="2"/>
          </rPr>
          <t xml:space="preserve">Seges: </t>
        </r>
        <r>
          <rPr>
            <sz val="9"/>
            <color indexed="81"/>
            <rFont val="Segoe UI"/>
            <family val="2"/>
          </rPr>
          <t xml:space="preserve">apenas sugerido, depende de disposições constantes na CCT.
</t>
        </r>
      </text>
    </comment>
    <comment ref="D155" authorId="0">
      <text>
        <r>
          <rPr>
            <b/>
            <sz val="9"/>
            <color indexed="81"/>
            <rFont val="Segoe UI"/>
            <family val="2"/>
          </rPr>
          <t xml:space="preserve">Seges: exemplificativo... </t>
        </r>
        <r>
          <rPr>
            <sz val="9"/>
            <color indexed="81"/>
            <rFont val="Segoe UI"/>
            <family val="2"/>
          </rPr>
          <t xml:space="preserve">O desconto poderá ser proporcional, conforme disposto no art. 10 do Decreto n° 95.247, de 1987.
O órgão contatante deverá apreciar o comportamento das empresas prestadoras de serviço e ajustar, conforme necessidade.
</t>
        </r>
      </text>
    </comment>
    <comment ref="C175" authorId="0">
      <text>
        <r>
          <rPr>
            <b/>
            <sz val="9"/>
            <color indexed="81"/>
            <rFont val="Segoe UI"/>
            <family val="2"/>
          </rPr>
          <t xml:space="preserve">Seges: </t>
        </r>
        <r>
          <rPr>
            <sz val="9"/>
            <color indexed="81"/>
            <rFont val="Segoe UI"/>
            <family val="2"/>
          </rPr>
          <t xml:space="preserve">Conforme estabelecido em Convenção Coletiva de Trabalho
</t>
        </r>
      </text>
    </comment>
    <comment ref="D176" authorId="0">
      <text>
        <r>
          <rPr>
            <b/>
            <sz val="9"/>
            <color indexed="81"/>
            <rFont val="Segoe UI"/>
            <family val="2"/>
          </rPr>
          <t xml:space="preserve">Seges: </t>
        </r>
        <r>
          <rPr>
            <sz val="9"/>
            <color indexed="81"/>
            <rFont val="Segoe UI"/>
            <family val="2"/>
          </rPr>
          <t xml:space="preserve">apenas sugerido, depende de disposições constantes na CCT.
</t>
        </r>
      </text>
    </comment>
    <comment ref="D184" authorId="0">
      <text>
        <r>
          <rPr>
            <b/>
            <sz val="9"/>
            <color indexed="81"/>
            <rFont val="Segoe UI"/>
            <family val="2"/>
          </rPr>
          <t xml:space="preserve">Seges: </t>
        </r>
        <r>
          <rPr>
            <sz val="9"/>
            <color indexed="81"/>
            <rFont val="Segoe UI"/>
            <family val="2"/>
          </rPr>
          <t xml:space="preserve">Observar desconto informado em Convenção Coletiva.
</t>
        </r>
      </text>
    </comment>
    <comment ref="C185" authorId="0">
      <text>
        <r>
          <rPr>
            <b/>
            <sz val="9"/>
            <color indexed="81"/>
            <rFont val="Segoe UI"/>
            <family val="2"/>
          </rPr>
          <t xml:space="preserve">Seges: </t>
        </r>
        <r>
          <rPr>
            <sz val="9"/>
            <color indexed="81"/>
            <rFont val="Segoe UI"/>
            <family val="2"/>
          </rPr>
          <t>Observar Convenção Coletiva sobre base de cálculo, habitualmente o desconto é sobre o valor do benefício concedido.</t>
        </r>
      </text>
    </comment>
    <comment ref="B223" authorId="0">
      <text>
        <r>
          <rPr>
            <b/>
            <sz val="9"/>
            <color indexed="81"/>
            <rFont val="Segoe UI"/>
            <family val="2"/>
          </rPr>
          <t xml:space="preserve">Seges: </t>
        </r>
        <r>
          <rPr>
            <sz val="9"/>
            <color indexed="81"/>
            <rFont val="Segoe UI"/>
            <family val="2"/>
          </rPr>
          <t>Apenas totaliza os custos efetivos com benefícios mensais do trabalhador.
Automatizada, desde que não haja alteração de fórmulas ou estrutura da planilha</t>
        </r>
      </text>
    </comment>
    <comment ref="B234" authorId="0">
      <text>
        <r>
          <rPr>
            <b/>
            <sz val="9"/>
            <color indexed="81"/>
            <rFont val="Segoe UI"/>
            <family val="2"/>
          </rPr>
          <t xml:space="preserve">Seges: </t>
        </r>
        <r>
          <rPr>
            <sz val="9"/>
            <color indexed="81"/>
            <rFont val="Segoe UI"/>
            <family val="2"/>
          </rPr>
          <t xml:space="preserve">Totaliza o módulo 2, com somatória de 13° salário, férias, adicional, encargos e benefícios.
</t>
        </r>
      </text>
    </comment>
    <comment ref="C235" authorId="1">
      <text>
        <r>
          <rPr>
            <b/>
            <sz val="9"/>
            <color indexed="81"/>
            <rFont val="Segoe UI"/>
            <family val="2"/>
          </rPr>
          <t>BRUNA:</t>
        </r>
        <r>
          <rPr>
            <sz val="9"/>
            <color indexed="81"/>
            <rFont val="Segoe UI"/>
            <family val="2"/>
          </rPr>
          <t xml:space="preserve">
13º Salário, Férias e adicional de férias</t>
        </r>
      </text>
    </comment>
    <comment ref="D235" authorId="1">
      <text>
        <r>
          <rPr>
            <b/>
            <sz val="9"/>
            <color indexed="81"/>
            <rFont val="Segoe UI"/>
            <family val="2"/>
          </rPr>
          <t>BRUNA:</t>
        </r>
        <r>
          <rPr>
            <sz val="9"/>
            <color indexed="81"/>
            <rFont val="Segoe UI"/>
            <family val="2"/>
          </rPr>
          <t xml:space="preserve">
Encargos previdenciários e FGTS</t>
        </r>
      </text>
    </comment>
    <comment ref="E235" authorId="1">
      <text>
        <r>
          <rPr>
            <b/>
            <sz val="9"/>
            <color indexed="81"/>
            <rFont val="Segoe UI"/>
            <family val="2"/>
          </rPr>
          <t>BRUNA:</t>
        </r>
        <r>
          <rPr>
            <sz val="9"/>
            <color indexed="81"/>
            <rFont val="Segoe UI"/>
            <family val="2"/>
          </rPr>
          <t xml:space="preserve">
Benefícios mensais e diários
</t>
        </r>
      </text>
    </comment>
    <comment ref="C249" authorId="0">
      <text>
        <r>
          <rPr>
            <b/>
            <sz val="9"/>
            <color indexed="81"/>
            <rFont val="Segoe UI"/>
            <family val="2"/>
          </rPr>
          <t xml:space="preserve">Seges: exemplificativo
</t>
        </r>
        <r>
          <rPr>
            <sz val="9"/>
            <color indexed="81"/>
            <rFont val="Segoe UI"/>
            <family val="2"/>
          </rPr>
          <t xml:space="preserve">Para o modelo utiliza-se probabilidade de 45% de API e 55% de APT. Observar fórmula.
O percentual de probabilidade de ocorrência deverá ser avaliado pelo órgão contratante, mediante histórico das contratações, ajustando a planilha ao caso em concreto.
</t>
        </r>
      </text>
    </comment>
    <comment ref="B338" authorId="0">
      <text>
        <r>
          <rPr>
            <b/>
            <sz val="9"/>
            <color indexed="81"/>
            <rFont val="Segoe UI"/>
            <family val="2"/>
          </rPr>
          <t>Seges:</t>
        </r>
        <r>
          <rPr>
            <sz val="9"/>
            <color indexed="81"/>
            <rFont val="Segoe UI"/>
            <family val="2"/>
          </rPr>
          <t xml:space="preserve">
Totaliza o custo estimado a ser provisionado mensalmente. Está automatizada, desde que não haja alteração de fórmulas e/ou estrutura da planilha.</t>
        </r>
      </text>
    </comment>
    <comment ref="C339" authorId="1">
      <text>
        <r>
          <rPr>
            <b/>
            <sz val="9"/>
            <color indexed="81"/>
            <rFont val="Segoe UI"/>
            <family val="2"/>
          </rPr>
          <t>BRUNA:</t>
        </r>
        <r>
          <rPr>
            <sz val="9"/>
            <color indexed="81"/>
            <rFont val="Segoe UI"/>
            <family val="2"/>
          </rPr>
          <t xml:space="preserve">
Custo aviso prévio idenizado</t>
        </r>
      </text>
    </comment>
    <comment ref="D339" authorId="1">
      <text>
        <r>
          <rPr>
            <b/>
            <sz val="9"/>
            <color indexed="81"/>
            <rFont val="Segoe UI"/>
            <family val="2"/>
          </rPr>
          <t>BRUNA:</t>
        </r>
        <r>
          <rPr>
            <sz val="9"/>
            <color indexed="81"/>
            <rFont val="Segoe UI"/>
            <family val="2"/>
          </rPr>
          <t xml:space="preserve">
Custo aviso prévio trabalhado
</t>
        </r>
      </text>
    </comment>
    <comment ref="E339" authorId="1">
      <text>
        <r>
          <rPr>
            <b/>
            <sz val="9"/>
            <color indexed="81"/>
            <rFont val="Segoe UI"/>
            <family val="2"/>
          </rPr>
          <t>BRUNA:</t>
        </r>
        <r>
          <rPr>
            <sz val="9"/>
            <color indexed="81"/>
            <rFont val="Segoe UI"/>
            <family val="2"/>
          </rPr>
          <t xml:space="preserve">
Custo demição com justa causa</t>
        </r>
      </text>
    </comment>
    <comment ref="C352" authorId="0">
      <text>
        <r>
          <rPr>
            <b/>
            <sz val="9"/>
            <color indexed="81"/>
            <rFont val="Segoe UI"/>
            <family val="2"/>
          </rPr>
          <t xml:space="preserve">Seges: </t>
        </r>
        <r>
          <rPr>
            <sz val="9"/>
            <color indexed="81"/>
            <rFont val="Segoe UI"/>
            <family val="2"/>
          </rPr>
          <t xml:space="preserve">Probabilidade de ocorrência de ausência do profissional residente quando será necessária a presença de um repositor. O órgão deverá observar o histórico das contratações anteriores para estimar tais probabilidades.
</t>
        </r>
      </text>
    </comment>
    <comment ref="D352" authorId="0">
      <text>
        <r>
          <rPr>
            <b/>
            <sz val="9"/>
            <color indexed="81"/>
            <rFont val="Segoe UI"/>
            <family val="2"/>
          </rPr>
          <t xml:space="preserve">Segesl: </t>
        </r>
        <r>
          <rPr>
            <sz val="9"/>
            <color indexed="81"/>
            <rFont val="Segoe UI"/>
            <family val="2"/>
          </rPr>
          <t xml:space="preserve">Duração computada em dias, conforme previsão em legislação.
</t>
        </r>
      </text>
    </comment>
    <comment ref="B367" authorId="0">
      <text>
        <r>
          <rPr>
            <b/>
            <sz val="9"/>
            <color indexed="81"/>
            <rFont val="Segoe UI"/>
            <family val="2"/>
          </rPr>
          <t xml:space="preserve">Seges: </t>
        </r>
        <r>
          <rPr>
            <sz val="9"/>
            <color indexed="81"/>
            <rFont val="Segoe UI"/>
            <family val="2"/>
          </rPr>
          <t>Esta tabela apresenta o resumo dos dias prováveis de ausência, quando seria necessária a presença de um profissional repositor.
Seu cálculo está automatizado mediante preenchimento da tabela anterior.</t>
        </r>
      </text>
    </comment>
    <comment ref="B370" authorId="0">
      <text>
        <r>
          <rPr>
            <b/>
            <sz val="9"/>
            <color indexed="81"/>
            <rFont val="Segoe UI"/>
            <family val="2"/>
          </rPr>
          <t xml:space="preserve">Seges: </t>
        </r>
        <r>
          <rPr>
            <sz val="9"/>
            <color indexed="81"/>
            <rFont val="Segoe UI"/>
            <family val="2"/>
          </rPr>
          <t xml:space="preserve">este ítem destina-se ao cálculo do custo do empregado substituto que virá cobrir o período de férias do residente, portanto, não se confunde com o direito ao pagamento de férias daquele.
Desde que não haja alteração de fórmulas e/ou estrutura da planilha.
</t>
        </r>
      </text>
    </comment>
    <comment ref="B396" authorId="0">
      <text>
        <r>
          <rPr>
            <b/>
            <sz val="9"/>
            <color indexed="81"/>
            <rFont val="Segoe UI"/>
            <family val="2"/>
          </rPr>
          <t xml:space="preserve">Seges: </t>
        </r>
        <r>
          <rPr>
            <sz val="9"/>
            <color indexed="81"/>
            <rFont val="Segoe UI"/>
            <family val="2"/>
          </rPr>
          <t xml:space="preserve">Tabela automatizada para cálculo do custo mensal com reposição do profissional ausente, mediante preenchimento das anteriores. Desde que não haja alteração de fórmulas e/ou estrutura da planilha.
</t>
        </r>
      </text>
    </comment>
    <comment ref="B428" authorId="0">
      <text>
        <r>
          <rPr>
            <b/>
            <sz val="9"/>
            <color indexed="81"/>
            <rFont val="Segoe UI"/>
            <family val="2"/>
          </rPr>
          <t>Seges:</t>
        </r>
        <r>
          <rPr>
            <sz val="9"/>
            <color indexed="81"/>
            <rFont val="Segoe UI"/>
            <family val="2"/>
          </rPr>
          <t xml:space="preserve"> Esta tabela totaliza os custos com reposição de profissional ausente e está automatizada mediante preenchimento das anteriores. Desde que não haja alteração de fórmulas e/ou estrutura da planilha.</t>
        </r>
      </text>
    </comment>
    <comment ref="C429" authorId="1">
      <text>
        <r>
          <rPr>
            <b/>
            <sz val="9"/>
            <color indexed="81"/>
            <rFont val="Segoe UI"/>
            <family val="2"/>
          </rPr>
          <t>BRUNA:</t>
        </r>
        <r>
          <rPr>
            <sz val="9"/>
            <color indexed="81"/>
            <rFont val="Segoe UI"/>
            <family val="2"/>
          </rPr>
          <t xml:space="preserve">
AUSÊNCIAS LEGAIS
</t>
        </r>
      </text>
    </comment>
    <comment ref="D429" authorId="1">
      <text>
        <r>
          <rPr>
            <b/>
            <sz val="9"/>
            <color indexed="81"/>
            <rFont val="Segoe UI"/>
            <family val="2"/>
          </rPr>
          <t>BRUNA:</t>
        </r>
        <r>
          <rPr>
            <sz val="9"/>
            <color indexed="81"/>
            <rFont val="Segoe UI"/>
            <family val="2"/>
          </rPr>
          <t xml:space="preserve">
INTRAJORNADA</t>
        </r>
      </text>
    </comment>
    <comment ref="E440" authorId="0">
      <text>
        <r>
          <rPr>
            <b/>
            <sz val="9"/>
            <color indexed="81"/>
            <rFont val="Segoe UI"/>
            <family val="2"/>
          </rPr>
          <t>Seges:</t>
        </r>
        <r>
          <rPr>
            <sz val="9"/>
            <color indexed="81"/>
            <rFont val="Segoe UI"/>
            <family val="2"/>
          </rPr>
          <t xml:space="preserve"> todos os itens relacionados a insumos deverão ser objeto de pesquisa de preços conforme diretrizes da Instrução Normativa específica (IN n° 3, de 20 de abril de 2017).
</t>
        </r>
      </text>
    </comment>
    <comment ref="B490" authorId="0">
      <text>
        <r>
          <rPr>
            <b/>
            <sz val="9"/>
            <color indexed="81"/>
            <rFont val="Segoe UI"/>
            <family val="2"/>
          </rPr>
          <t xml:space="preserve">Seges: </t>
        </r>
        <r>
          <rPr>
            <sz val="9"/>
            <color indexed="81"/>
            <rFont val="Segoe UI"/>
            <family val="2"/>
          </rPr>
          <t xml:space="preserve">Nesta tabela poderão ser informados os percentuais previstos de Custos Indiretos, Tributos e Lucro separadamente para permitir o cálculo automático segundo metodologia Seges. Desde que não haja alteração de modelo da planilha e de fórmulas.
</t>
        </r>
      </text>
    </comment>
    <comment ref="B518" authorId="0">
      <text>
        <r>
          <rPr>
            <b/>
            <sz val="9"/>
            <color indexed="81"/>
            <rFont val="Segoe UI"/>
            <family val="2"/>
          </rPr>
          <t xml:space="preserve">Seges: </t>
        </r>
        <r>
          <rPr>
            <sz val="9"/>
            <color indexed="81"/>
            <rFont val="Segoe UI"/>
            <family val="2"/>
          </rPr>
          <t>Esta tabela totaliza o custo do trabalhador e está automatizada, desde que não haja alteração nas formulas e no modelo da presente planilha. Ajustes necessários são responsailidade do órgão contratante, por quem deverão ser conferidos.</t>
        </r>
      </text>
    </comment>
  </commentList>
</comments>
</file>

<file path=xl/sharedStrings.xml><?xml version="1.0" encoding="utf-8"?>
<sst xmlns="http://schemas.openxmlformats.org/spreadsheetml/2006/main" count="1626" uniqueCount="323">
  <si>
    <t>SALÁRIO BASE</t>
  </si>
  <si>
    <t>Base de cálculo</t>
  </si>
  <si>
    <t>Percentual</t>
  </si>
  <si>
    <t>Categoria</t>
  </si>
  <si>
    <t>Valor</t>
  </si>
  <si>
    <t>MÓDULO 1 - REMUNERAÇÃO</t>
  </si>
  <si>
    <t>Base de Cálculo</t>
  </si>
  <si>
    <t>Adicional Noturno</t>
  </si>
  <si>
    <t>Salário Base</t>
  </si>
  <si>
    <t>Adicional XXX</t>
  </si>
  <si>
    <t>Total</t>
  </si>
  <si>
    <t>ADICIONAL DE FÉRIAS - 1/3 CONSTITUCIONAL</t>
  </si>
  <si>
    <t>Alíquota Adicional</t>
  </si>
  <si>
    <t>1/3 Constitucional</t>
  </si>
  <si>
    <t>Férias</t>
  </si>
  <si>
    <t>SUBMÓDULO 2.2 - ENCARGOS PREVIDENCIÁRIOS E FGTS</t>
  </si>
  <si>
    <t>COMPOSIÇÃO DO GPS E FGTS</t>
  </si>
  <si>
    <t>Encargos</t>
  </si>
  <si>
    <t>INSS - empregador</t>
  </si>
  <si>
    <t>Salário-Educação</t>
  </si>
  <si>
    <t>SAT- GIL/RAT</t>
  </si>
  <si>
    <t>SESC</t>
  </si>
  <si>
    <t>SENAC</t>
  </si>
  <si>
    <t>SEBRAE</t>
  </si>
  <si>
    <t>INCRA</t>
  </si>
  <si>
    <t>FGTS</t>
  </si>
  <si>
    <t>TOTAL</t>
  </si>
  <si>
    <t>GPS - GUIA DA PREVIDÊNCIA SOCIAL</t>
  </si>
  <si>
    <t>FGTS - FUNDO DE GARANTIA POR TEMPO DE SERVIÇO</t>
  </si>
  <si>
    <t>GPS</t>
  </si>
  <si>
    <t>SUBMÓDULO 2.3 - BENEFÍCIOS MENSAIS E DIÁRIOS</t>
  </si>
  <si>
    <t>VALE TRANSPORTE</t>
  </si>
  <si>
    <t>Vr. Unitário</t>
  </si>
  <si>
    <t xml:space="preserve">Vales por dia </t>
  </si>
  <si>
    <t>Custo total</t>
  </si>
  <si>
    <t>Dias efetivamente trabalhados</t>
  </si>
  <si>
    <t>CUSTO DA PASSAGEM</t>
  </si>
  <si>
    <t>Proporcionalidade</t>
  </si>
  <si>
    <t>Desconto</t>
  </si>
  <si>
    <t>Valor do desconto</t>
  </si>
  <si>
    <t>DESCONTO DO VALE TRANSPORTE</t>
  </si>
  <si>
    <t>Custo efetivo</t>
  </si>
  <si>
    <t>CUSTO EFETIVO DO VALE TRANSPORTE</t>
  </si>
  <si>
    <t>VALE ALIMENTAÇÃO/REFEIÇÃO</t>
  </si>
  <si>
    <t>Valor diário</t>
  </si>
  <si>
    <t>DESCONTO DO VALE ALIMENTAÇÃO/REFEIÇÃO</t>
  </si>
  <si>
    <t>CUSTO EFETIVO DO VALE ALIMENTAÇÃO/REFEIÇÃO</t>
  </si>
  <si>
    <t>Vale Transporte</t>
  </si>
  <si>
    <t>Vale Refeição</t>
  </si>
  <si>
    <t>MÓDULO 3 - PROVISÃO PARA RESCISÃO</t>
  </si>
  <si>
    <t>PERCENTUAIS POR TIPO DE
 DESLIGAMENTO</t>
  </si>
  <si>
    <t>Tipos</t>
  </si>
  <si>
    <t>Demissão 
SEM  justa Causa</t>
  </si>
  <si>
    <t>SEM justa Causa
AP INDENIZADO</t>
  </si>
  <si>
    <t>SEM justa Causa 
AP TRABALHADO</t>
  </si>
  <si>
    <t>Demissão
 COM  justa Causa</t>
  </si>
  <si>
    <t>Desligamentos 
OUTROS TIPOS</t>
  </si>
  <si>
    <t>SUBMÓDULO 3.1 - AVISO PRÉVIO INDENIZADO</t>
  </si>
  <si>
    <t>AVISO PRÉVIO INDENIZADO</t>
  </si>
  <si>
    <t>Submódulo 2.1</t>
  </si>
  <si>
    <t>Submódulo 2.2</t>
  </si>
  <si>
    <t>Submódulo 2.3</t>
  </si>
  <si>
    <t>MULTA DO FGTS E CONTRIBUIÇÃO SOCIAL SOBRE O AVISO PRÉVIO INDENIZADO</t>
  </si>
  <si>
    <t>Percentual da 
Multa</t>
  </si>
  <si>
    <t>SUBMÓDULO 3.1 - CUSTO DO AVISO PRÉVIO INDENIZADO</t>
  </si>
  <si>
    <t>SUBMÓDULO 3.2 - AVISO PRÉVIO TRABALHADO</t>
  </si>
  <si>
    <t>AVISO PRÉVIO TRABALHADO</t>
  </si>
  <si>
    <t>MULTA DO FGTS E CONTRIBUIÇÃO SOCIAL SOBRE O AVISO PRÉVIO TRABALHADO</t>
  </si>
  <si>
    <t>SUBMÓDULO 3.3 - DEMISSÃO POR JUSTA CAUSA</t>
  </si>
  <si>
    <t>Valor provisionado do Adicional de Férias</t>
  </si>
  <si>
    <t>Valor provisionado das Férias</t>
  </si>
  <si>
    <t>BASE DE CÁLCULO PARA DEMISSÃO POR JUSTA CAUSA</t>
  </si>
  <si>
    <t>SUBMÓDULO 3.3 - CUSTO DA DEMISSÃO COM JUSTA CAUSA</t>
  </si>
  <si>
    <t>Submódulo 3.1</t>
  </si>
  <si>
    <t>Submódulo 3.2</t>
  </si>
  <si>
    <t>Submódulo 3.3</t>
  </si>
  <si>
    <t>SUBMÓDULO 3.2 - CUSTO DO AVISO PRÉVIO TRABALHADO</t>
  </si>
  <si>
    <t>MÓDULO 4 - CUSTO DE REPOSIÇÃO DO PROFISSIONAL AUSENTE</t>
  </si>
  <si>
    <t>Custo diário</t>
  </si>
  <si>
    <t>Divisor do dia</t>
  </si>
  <si>
    <t>CUSTO DIÁRIO PARA O REPOSITOR</t>
  </si>
  <si>
    <t xml:space="preserve">Memória de Cálculo - número de dias de reposição do profissional ausente para cada evento </t>
  </si>
  <si>
    <t>Incidencia anual</t>
  </si>
  <si>
    <t>Duração Legal  
da Ausência</t>
  </si>
  <si>
    <t>12x36</t>
  </si>
  <si>
    <t>44h</t>
  </si>
  <si>
    <t>Proporção dias afetados</t>
  </si>
  <si>
    <t>Dias de reposição</t>
  </si>
  <si>
    <t>Ausência justificada</t>
  </si>
  <si>
    <t>Acidente trabalho</t>
  </si>
  <si>
    <t>Afastamento por doença</t>
  </si>
  <si>
    <t>Consulta médica filho</t>
  </si>
  <si>
    <t>Óbitos na família</t>
  </si>
  <si>
    <t>Casamento</t>
  </si>
  <si>
    <t>Doação de sangue</t>
  </si>
  <si>
    <t>Testemunho</t>
  </si>
  <si>
    <t>Paternidade</t>
  </si>
  <si>
    <t>Maternidade</t>
  </si>
  <si>
    <t>Consulta pré-natal</t>
  </si>
  <si>
    <t>Composição</t>
  </si>
  <si>
    <t xml:space="preserve"> 12 x 36 D</t>
  </si>
  <si>
    <t>12 x 36 N</t>
  </si>
  <si>
    <t>44 SEM</t>
  </si>
  <si>
    <t>Total Para reposição</t>
  </si>
  <si>
    <t>ESTIMATIVA DA NECESSIDADE DE REPOSIÇÃO DE PROFISSIONAL</t>
  </si>
  <si>
    <t>Necessidade de Reposição</t>
  </si>
  <si>
    <t>Custo anual</t>
  </si>
  <si>
    <t>Custo mensal</t>
  </si>
  <si>
    <t>SUBMÓDULO 4.1 - AUSÊNCIAS LEGAIS</t>
  </si>
  <si>
    <t>SUBMÓDULO 4.2 - INTRAJORNADA</t>
  </si>
  <si>
    <t>divisor de hora</t>
  </si>
  <si>
    <t>CUSTO POR HORA DO REPOSITOR</t>
  </si>
  <si>
    <t>Valor da hora</t>
  </si>
  <si>
    <t>Necessidade de Reposição (horas)</t>
  </si>
  <si>
    <t>Submódulo 4.1</t>
  </si>
  <si>
    <t>Submódulo 4.2</t>
  </si>
  <si>
    <t>MÓDULO 5 - INSUMOS DE MÃO DE OBRA</t>
  </si>
  <si>
    <t>MÓDULO 6 - CUSTOS INDIRETOS, TRIBUTOS E LUCRO</t>
  </si>
  <si>
    <t>Subordinados</t>
  </si>
  <si>
    <t>RATEIO DA CHEFIA DE CAMPO</t>
  </si>
  <si>
    <t>Módulo</t>
  </si>
  <si>
    <t>Remuneração</t>
  </si>
  <si>
    <t>Encargos e Benefícios</t>
  </si>
  <si>
    <t>Rescisão</t>
  </si>
  <si>
    <t>Reposição do Profissional Ausente</t>
  </si>
  <si>
    <t>Insumos Diversos</t>
  </si>
  <si>
    <t>Custos Indiretos, Tributos e Lucro</t>
  </si>
  <si>
    <t>Valor por Empregado</t>
  </si>
  <si>
    <t>Valor por Posto</t>
  </si>
  <si>
    <t>Rateio da Chefia de Campo</t>
  </si>
  <si>
    <t xml:space="preserve">Férias </t>
  </si>
  <si>
    <t>13° Salário</t>
  </si>
  <si>
    <t>MÓDULO 2 - ENCARGOS E BENEFÍCIOS (ANUAIS, MENSAIS E DIÁRIOS)</t>
  </si>
  <si>
    <t>Valor provisionado do 13º Salário</t>
  </si>
  <si>
    <t>Provisionamento Mensal</t>
  </si>
  <si>
    <t>SUBMÓDULO 2.1 – 13° SALÁRIO, FÉRIAS E ADICIONAL DE FÉRIAS</t>
  </si>
  <si>
    <t>GRATIFICAÇÃO DE FUNÇÃO</t>
  </si>
  <si>
    <t>ADICIONAIS (periculosidade ou insalubridade, se houver)</t>
  </si>
  <si>
    <t>ESCALAS -  Cargo A</t>
  </si>
  <si>
    <t>RATEIO DO Cargo B</t>
  </si>
  <si>
    <t>Este quadro totaliza a remuneração devida ao trabalhador, conforme previsão da Consolidação das Leis do Trabalho e valores disponíveis na Convenção Coletiva para a categoria</t>
  </si>
  <si>
    <t>Gratificação de função</t>
  </si>
  <si>
    <t>13° SALÁRIO
Previsto no Decreto 57.155, de 1965.</t>
  </si>
  <si>
    <t>FÉRIAS
Previsto no art. 7° da Constituição Federal</t>
  </si>
  <si>
    <t>Adicional de Periculosidade ou Insalubridade</t>
  </si>
  <si>
    <t>Porobabilidade de ocorrência de ausências legais, conforme previsão do art. 473 da Consolidação das Leis do Trabalho.</t>
  </si>
  <si>
    <t>INFORMAÇÃO DE PERCENTUAIS ESTIMADOS DE CITL</t>
  </si>
  <si>
    <t>Custos Indiretos</t>
  </si>
  <si>
    <t>Tributos</t>
  </si>
  <si>
    <t>Lucro</t>
  </si>
  <si>
    <t>CUSTO DO TRABALHADOR</t>
  </si>
  <si>
    <t>CUSTO TOTAL POR TRABALHADOR</t>
  </si>
  <si>
    <t>Item</t>
  </si>
  <si>
    <t xml:space="preserve">Custo mensal </t>
  </si>
  <si>
    <t>Descrição</t>
  </si>
  <si>
    <t>Cotação</t>
  </si>
  <si>
    <t>12x36 h</t>
  </si>
  <si>
    <t>44 horas</t>
  </si>
  <si>
    <t xml:space="preserve">Valor total </t>
  </si>
  <si>
    <t>CUSTO MENSAL DOS EQUIPAMENTOS</t>
  </si>
  <si>
    <t>Valor por empregado</t>
  </si>
  <si>
    <t>Custo com Uniformes</t>
  </si>
  <si>
    <t>Custo com Equipamentos</t>
  </si>
  <si>
    <t>Módulo 1 - Composição da Remuneração</t>
  </si>
  <si>
    <t>Composição da Remuneração</t>
  </si>
  <si>
    <t>Valor (R$)</t>
  </si>
  <si>
    <t>A</t>
  </si>
  <si>
    <t>Salário-Base</t>
  </si>
  <si>
    <t>B</t>
  </si>
  <si>
    <t>Adicional de Periculosidade</t>
  </si>
  <si>
    <t>C</t>
  </si>
  <si>
    <t>Adicional de Insalubridade</t>
  </si>
  <si>
    <t>D</t>
  </si>
  <si>
    <t>E</t>
  </si>
  <si>
    <t>Adicional de Hora Noturna Reduzida</t>
  </si>
  <si>
    <t>F</t>
  </si>
  <si>
    <t>G</t>
  </si>
  <si>
    <t>Outros (especificar)</t>
  </si>
  <si>
    <t>Módulo 2 - Encargos e Benefícios Anuais, Mensais e Diários</t>
  </si>
  <si>
    <t>Submódulo 2.1 - 13º (décimo terceiro) Salário, Férias e Adicional de Férias</t>
  </si>
  <si>
    <t>2.1</t>
  </si>
  <si>
    <t>13º (décimo terceiro) Salário, Férias e Adicional de Férias</t>
  </si>
  <si>
    <t>13º (décimo terceiro) Salário</t>
  </si>
  <si>
    <t>Férias e Adicional de Férias</t>
  </si>
  <si>
    <t>Submódulo 2.2 - Encargos Previdenciários (GPS), Fundo de Garantia por Tempo de Serviço (FGTS) e outras contribuições.</t>
  </si>
  <si>
    <t>2.2</t>
  </si>
  <si>
    <t>GPS, FGTS e outras contribuições</t>
  </si>
  <si>
    <t>Percentual (%)</t>
  </si>
  <si>
    <t>INSS</t>
  </si>
  <si>
    <t>Salário Educação</t>
  </si>
  <si>
    <t>SAT</t>
  </si>
  <si>
    <t>SESC ou SESI</t>
  </si>
  <si>
    <t>SENAI - SENAC</t>
  </si>
  <si>
    <t>H</t>
  </si>
  <si>
    <t xml:space="preserve">Total </t>
  </si>
  <si>
    <t>Submódulo 2.3 - Benefícios Mensais e Diários.</t>
  </si>
  <si>
    <t>2.3</t>
  </si>
  <si>
    <t>Benefícios Mensais e Diários</t>
  </si>
  <si>
    <t>Transporte</t>
  </si>
  <si>
    <t>Auxílio-Refeição/Alimentação</t>
  </si>
  <si>
    <t>Quadro-Resumo do Módulo 2 - Encargos e Benefícios anuais, mensais e diários</t>
  </si>
  <si>
    <t>Encargos e Benefícios Anuais, Mensais e Diários</t>
  </si>
  <si>
    <t>Módulo 3 - Provisão para Rescisão</t>
  </si>
  <si>
    <t>Provisão para Rescisão</t>
  </si>
  <si>
    <t>Aviso Prévio Indenizado</t>
  </si>
  <si>
    <t>Incidência do FGTS sobre o Aviso Prévio Indenizado</t>
  </si>
  <si>
    <t>Multa do FGTS e contribuição social sobre o Aviso Prévio Indenizado</t>
  </si>
  <si>
    <t>Aviso Prévio Trabalhado</t>
  </si>
  <si>
    <t>Incidência dos encargos do submódulo 2.2 sobre o Aviso Prévio Trabalhado</t>
  </si>
  <si>
    <t>Multa do FGTS e contribuição social sobre o Aviso Prévio Trabalhado</t>
  </si>
  <si>
    <t>Módulo 4 - Custo de Reposição do Profissional Ausente</t>
  </si>
  <si>
    <t>Submódulo 4.1 - Ausências Legais</t>
  </si>
  <si>
    <t>4.1</t>
  </si>
  <si>
    <t>Ausências Legais</t>
  </si>
  <si>
    <t>Licença-Paternidade</t>
  </si>
  <si>
    <t>Ausência por acidente de trabalho</t>
  </si>
  <si>
    <t>Afastamento Maternidade</t>
  </si>
  <si>
    <t>Submódulo 4.2 - Intrajornada</t>
  </si>
  <si>
    <t>4.2</t>
  </si>
  <si>
    <t>Intrajornada</t>
  </si>
  <si>
    <t>Quadro-Resumo do Módulo 4 - Custo de Reposição do Profissional Ausente</t>
  </si>
  <si>
    <t>Custo de Reposição do Profissional Ausente</t>
  </si>
  <si>
    <t>Módulo 5 - Insumos Diversos</t>
  </si>
  <si>
    <t>Uniformes</t>
  </si>
  <si>
    <t>Materiais</t>
  </si>
  <si>
    <t>Equipamentos</t>
  </si>
  <si>
    <t>Módulo 6 - Custos Indiretos, Tributos e Lucro</t>
  </si>
  <si>
    <t>2. QUADRO-RESUMO DO CUSTO POR EMPREGADO</t>
  </si>
  <si>
    <t>Mão de obra vinculada à execução contratual (valor por empregado)</t>
  </si>
  <si>
    <t>Subtotal (A + B +C+ D+E)</t>
  </si>
  <si>
    <t>Módulo 6 – Custos Indiretos, Tributos e Lucro</t>
  </si>
  <si>
    <t xml:space="preserve">Valor Total por Empregado </t>
  </si>
  <si>
    <t>PLANILHA DE CUSTOS E FORMAÇÃO DE PREÇOS</t>
  </si>
  <si>
    <t xml:space="preserve">MODELO DE FORMAÇÃO DE CUSTO MENSAL PARA UM EMPREGADO </t>
  </si>
  <si>
    <t>BENEFÍCIO yyy</t>
  </si>
  <si>
    <t>Benefício y</t>
  </si>
  <si>
    <t>* A remuneração é definida no art. 457 da Consolidação das Leis do Trabalho. 
* É composta por Salário Base, Adicionais (noturno, de insalubridade ou periculosidade) e gratificações, quando houver.</t>
  </si>
  <si>
    <t xml:space="preserve">* Os adicionais de periculosidade ou insalubridade, em conformidade com os art. 192 e 193 da CLT, dependem da natureza do serviço a ser prestado. 
* O órgão contrantante deverá observar, além da existência de previsão em CLT, se há informações na Convenção Coletiva de Trabalho acerca dos adicionais, bem como seu percentual e a base de cálculo, devendo adaptar a planilha ao caso em concreto. </t>
  </si>
  <si>
    <t>* Previsto no art. 195 da Constituição Federal. 
* Os percentuais informados não são taxativos e deverão observar o enquadramento real das empresas prestadoras de serviço, em especial no que diz respeito ao SAT-GIIL/RAT.</t>
  </si>
  <si>
    <t>* O cálculo de benefícios mensais e diários dependerá das disposições constantes em Convenção Coletiva de Trabalho sobre os direitos negociados aos trabalhadores, observando sempre o custo efetivo a ser suportado pela Administração no contrato de prestação de serviços (descontados os valores arcados pelos empregados).</t>
  </si>
  <si>
    <t>* O Custo de reposição do profissional ausente refere-se ao custo necessário para substituir, no posto de trabalho, o profissional residente quando estiver em gozo de férias ou no caso de um das ausências legais previstas no art 473 da Consolidação das Leis do Trabalho. 
* Na metodologia Seges utiliza-se uma probabilidade de ocorrência, mediante estatísticas da Relação Anual de Informações Sociais-2016 (RAIS/MTE), da Pesquisa Nacional por Amostra de Domicílios-2016 (PNAD/IBGE), do Registro Civil (IBGE)-2016.
* São computados, então, a probabilidade de dias de ausência para cobertura, conforme escala de trabalho mensal.
* Para jornadas jornadas 12x36h a necessidade de reposição incide somente em 50% do dias de ausência devido à escala. 
* Na jornada 44h computa-se somente a reposição nos dias úteis, portanto, 69,04% da ausência total.</t>
  </si>
  <si>
    <t>Duração dos itens 
(vida útil)</t>
  </si>
  <si>
    <t>* Para os casos em que há Supervisor e este não for contratado como um posto de trabalho, a exemplo dos serviços de vigilância patrimonial, seu custo deverá ser rateado pelo total de empregados supervisionados, conforme disposição do Anexo VII-D da Insrução Normativa n° 5, de 2017.</t>
  </si>
  <si>
    <t>Com ajustes após publicação da Lei n° 13.467, de 2017.</t>
  </si>
  <si>
    <t>Intervalo para repouso e alimentação</t>
  </si>
  <si>
    <t>* Este módulo destina-se a calcular o custo de possível desligamento de um empregado vinculado ao contrato de prestação de seviços. 
* Na metodologia Seges calcula-se uma probabilidade de ocorrência, por tipos de desligamentos, como fator de ponderação do custo total.</t>
  </si>
  <si>
    <t>* O submódulo 4.2 destina-se a calcular o custo de um repositor para cobertura do tempo de concessão do intervalo para repouso e alimentação, previsto no art. 71 da Consolidação das Leis do Trabalho, ao empregado residente. 
* Na metodologia Seges, calcula-se o custo da hora de trabalho e multiplica-se pela necessidade de horas de cobertura no mês. 
* Por tratar-se de condição excepcional, dependerá de decisão do órgão contratante, bem como de disposições constantes da Convenção Coletiva quanto ao tempo de intervalo e ao adicional para pagamento.
* Não se computa custo de reposição intrajornada para supervisores por considerar que estes não realizam a cobertura de posto de trabalho e poderiam se ausentar durante o tempo previsto em lei, definição que também deverá ser objeto de apreciação pelos órgãos contratantes.</t>
  </si>
  <si>
    <t>* O Salário Base vem definido na Convenção Coletiva de Trabalho da categoria profissional a ser contratada para o objeto da prestação de serviço. 
* O contratante deverá observar se a CCT abrange o município de prestação de serviço e se está vigente.</t>
  </si>
  <si>
    <t>* Gratificação de função, quando houver, virá informada na Convenção Coletiva de Trabalho da categoria profissional a ser contratada. 
* O órgão contrantante deverá observar, além da existência de gratificação, se esta incidirá sobre os adicionais, devendo adaptar a planilha ao caso em concreto.
*  Para o presente modelo foi considerada gratificação como percentual sobre o salário base e sem incidência sobre os adicionais (noturno, periculosidade ou insalubridade).</t>
  </si>
  <si>
    <r>
      <rPr>
        <b/>
        <sz val="12"/>
        <color theme="1"/>
        <rFont val="Times New Roman"/>
        <family val="1"/>
      </rPr>
      <t>BENEFÍCIO YYY</t>
    </r>
    <r>
      <rPr>
        <sz val="12"/>
        <color theme="1"/>
        <rFont val="Times New Roman"/>
        <family val="1"/>
      </rPr>
      <t xml:space="preserve">
</t>
    </r>
    <r>
      <rPr>
        <sz val="12"/>
        <color rgb="FFFF0000"/>
        <rFont val="Times New Roman"/>
        <family val="1"/>
      </rPr>
      <t>Utilizar este campo em caso de outros benefícios previstos em Convenção Coletiva, sempre especificando o tipo, finalidade e previsão legal do mesmo.</t>
    </r>
  </si>
  <si>
    <t>* Quando ocorrer a demissão de uma trabalhador e a empresa não conceder prazo de aviso prévio, o trabalhador terá direito a receber o salário referente ao mês completo, conforme dispõe o art. 487 § 1º da CLT.
* A metodologia utilizada pela Seges computa todos os direitos do trabalhador, aplicando a proporcionalidade estimada de ocorrência de aviso prévio indenizado, relizando provisionamento mensal do custo.
* Estes custos deverão ser apreciados atentamente nos casos de prorrogaçao contratual para verificar a necessidade de sua renovação ou não.
* Deverão, ainda, ser obsrvados os ditames da Lei nº 12.506, de 2011 e seus impactos no custo quando das prorrogações contratuais.</t>
  </si>
  <si>
    <t>* Quando ocorrer a demissão de um trabalhador com aviso prévio, o trabalhador cumprirá os dias em atividade, e terá direito a receber o salário referente ao mês completo, conforme dispõe o art. 487 § 1º da CLT.
* A metodologia utilizada pela Seges computa todos os direitos do trabalhador, aplicando a proporcionalidade estimada de ocorrência de aviso prévio trabalhado, relizando provisionamento mensal do custo.
* Estes custos deverão ser apreciados atentamente nos casos de prorrogaçao contratual para verificar a necessidade de sua renovação ou não.
* Deverão, ainda, ser observados os ditames da Lei nº 12.506, de 2011, e seus impactos no custo quando das prorrogações contratuais.</t>
  </si>
  <si>
    <t>*Na hipotese de demissão por justa causa o empregado perde o direito ao pagamento de 13° salário, férias e adicional de férias, como previsto no parágrafo único do art. 146 da CLT.
* Para estes casos,  na metodologia Seges, haverá o desconto dos valores que, por tratar-se de provisão mensal, deverão ser reduzidos da fatura da empresa contratada.
* Igualmente, o cômputo de custos com demissão por justa causa considera a probabilidade de ocorrência desta para provisionamento.</t>
  </si>
  <si>
    <t>* O Submódulo 4.1 destina-se ao cálculo do custo estimado para a reposição de ausências legais do empregado residente.
* Na metodologia Seges computa-se o custo total de um empregado, com direito à remuneração, 13° salário, férias, encargos e benefícios, bem como probabilidade de rescisão, para a base de cálculo do presente submódulo que, em seguida, servirá para estipular o custo diário de um profissional para a contratação. 
* Com base neste custo diário estima-se o custo mensal com reposição de profissional ausente.</t>
  </si>
  <si>
    <t>Eletricista</t>
  </si>
  <si>
    <t>Eletricista (44h semanais)</t>
  </si>
  <si>
    <t xml:space="preserve">Auxiliar </t>
  </si>
  <si>
    <t>Motorista</t>
  </si>
  <si>
    <t xml:space="preserve">Eletrotécnico </t>
  </si>
  <si>
    <t>Coordenador</t>
  </si>
  <si>
    <t>Auxiliar (44h semanais)</t>
  </si>
  <si>
    <t>Motorista (44h semanais)</t>
  </si>
  <si>
    <t>Eletrotécnico (44h semanais)</t>
  </si>
  <si>
    <t>Coordenador (44h semanais)</t>
  </si>
  <si>
    <t>ADICIONAL DE PERICULOSIDADE</t>
  </si>
  <si>
    <t>Auxiliar</t>
  </si>
  <si>
    <t>Eletrotécnico</t>
  </si>
  <si>
    <t>Custo Total</t>
  </si>
  <si>
    <t>clausula sétima - CCT- Nos Termos previstos no Inciso IV do § 2.º, e § 5.º, do Art. 458 da CLT e da alínea “q”, do § 9.º do art. 28 daLei 8.212/1991, as empresas concederão aos seus empregados o valor, fixo, mensal para fins de consessão de assistência prestada por serviço ambulatorial (auxílio saude)</t>
  </si>
  <si>
    <t>Eletrotécnio</t>
  </si>
  <si>
    <t>Benefício - Auxilio saúde</t>
  </si>
  <si>
    <t>.</t>
  </si>
  <si>
    <t>Uniforme para eletricista</t>
  </si>
  <si>
    <t>Óculos de proteção</t>
  </si>
  <si>
    <t>Eletotécnico</t>
  </si>
  <si>
    <t>Benefício Auxílio Saúde</t>
  </si>
  <si>
    <t>BENEFÍCIO - AUXILIO SAÚDE</t>
  </si>
  <si>
    <t>Luva em Vaqueta</t>
  </si>
  <si>
    <t>Luva isolante de borracha 00 500V</t>
  </si>
  <si>
    <t>Capacete para eletricista aba total</t>
  </si>
  <si>
    <t>12meses</t>
  </si>
  <si>
    <t>12 meses</t>
  </si>
  <si>
    <t>Luva Algodão pigmentada</t>
  </si>
  <si>
    <t>C.1. Tributos Federais (PIS = 1,65%, CONFINS = 7,6% )</t>
  </si>
  <si>
    <t>C.2. Tributos Estaduais (= 0%)</t>
  </si>
  <si>
    <t>C.3. Tributos Municipais (ISS = 5% )</t>
  </si>
  <si>
    <t>MOTORISTA</t>
  </si>
  <si>
    <t>ELETROTÉCNICO</t>
  </si>
  <si>
    <t>COORDENADOR</t>
  </si>
  <si>
    <t>Motorista de Caminhão Munck (44h semanais)</t>
  </si>
  <si>
    <t>Motorista de Caminhão Munck</t>
  </si>
  <si>
    <t>Motorista de caminhão Munck</t>
  </si>
  <si>
    <t>Motorista caminhão Munck</t>
  </si>
  <si>
    <t>Motorista Caminhão Munck</t>
  </si>
  <si>
    <t>MOTORISTA CAMINHÃO MUNCK</t>
  </si>
  <si>
    <r>
      <rPr>
        <b/>
        <sz val="12"/>
        <color theme="1"/>
        <rFont val="Times New Roman"/>
        <family val="1"/>
      </rPr>
      <t>BENEFÍCIO AUXILIO SAÚDE</t>
    </r>
    <r>
      <rPr>
        <sz val="12"/>
        <color theme="1"/>
        <rFont val="Times New Roman"/>
        <family val="1"/>
      </rPr>
      <t xml:space="preserve">
</t>
    </r>
  </si>
  <si>
    <t>Utilizar este campo em caso de outros benefícios previstos em Convenção Coletiva, sempre especificando o tipo, finalidade e previsão legal do mesmo.</t>
  </si>
  <si>
    <t>ELETRICISTA</t>
  </si>
  <si>
    <t>AUXILIAR DE ELETRICISTA</t>
  </si>
  <si>
    <t>CENTO E SESSENTA E SETE MIL, TREZENTOS E CINQUENTA E NOVE REAIS E NOVENTA E CINCO CENTAVOS</t>
  </si>
  <si>
    <t>Mossoró, 13 de Outubro de 2022</t>
  </si>
  <si>
    <t xml:space="preserve">_____________________________________
Bruna Luana Fontes Rodrigues
Diretora de Iluminação Pública
CREA: 2117598560 Mat.: 50747-4
</t>
  </si>
  <si>
    <t>Camisa - Fardamento mangas curtas</t>
  </si>
  <si>
    <t>Camisa - Uniforme brim</t>
  </si>
  <si>
    <t>Bota velcro</t>
  </si>
  <si>
    <t>Bota elastico</t>
  </si>
  <si>
    <t>Calça - Uniforme brim</t>
  </si>
  <si>
    <t>Cinto couro para eletricista</t>
  </si>
  <si>
    <t>Balaclava</t>
  </si>
  <si>
    <t>Talabarte</t>
  </si>
  <si>
    <t>Teste neon</t>
  </si>
  <si>
    <t xml:space="preserve">Protetor Solar 60 UVA </t>
  </si>
  <si>
    <t>Quant.</t>
  </si>
  <si>
    <t>V. Unitário</t>
  </si>
  <si>
    <r>
      <t xml:space="preserve">_____________________________________
</t>
    </r>
    <r>
      <rPr>
        <b/>
        <sz val="12"/>
        <color theme="1"/>
        <rFont val="Times New Roman"/>
        <family val="1"/>
      </rPr>
      <t>Lorena Gabriela de Góis Lira</t>
    </r>
    <r>
      <rPr>
        <sz val="12"/>
        <color theme="1"/>
        <rFont val="Times New Roman"/>
        <family val="1"/>
      </rPr>
      <t xml:space="preserve">
Gerente Executiva de Operações 
e Manutenção de Iluminação
Matrícula 510912-6
</t>
    </r>
  </si>
  <si>
    <t>Valor total</t>
  </si>
  <si>
    <t xml:space="preserve">UNIFORMES  - VALOR ANUAL </t>
  </si>
  <si>
    <t>EQUIPAMENTOS - VALOR ANUAL</t>
  </si>
  <si>
    <t xml:space="preserve">CUSTO MENSAL DOS UNIFORMES </t>
  </si>
  <si>
    <t>Luva mista curta</t>
  </si>
  <si>
    <t>Mossoró, 19 de Maio de 2025</t>
  </si>
  <si>
    <t>Auxiliar de eletricista</t>
  </si>
  <si>
    <t>Motorista Cat.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</si>
</sst>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_-;\-* #,##0.00_-;_-* &quot;-&quot;??_-;_-@_-"/>
    <numFmt numFmtId="164" formatCode="#,##0.00;[Red]#,##0.00"/>
    <numFmt numFmtId="165" formatCode="0.0000"/>
    <numFmt numFmtId="166" formatCode="#,##0.0000_ ;\-#,##0.0000\ "/>
    <numFmt numFmtId="167" formatCode="_(* #,##0.00_);_(* \(#,##0.00\);_(* \-??_);_(@_)"/>
    <numFmt numFmtId="168" formatCode="0.000"/>
    <numFmt numFmtId="169" formatCode="&quot;R$&quot;#,##0.00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b/>
      <sz val="12"/>
      <color rgb="FF00B050"/>
      <name val="Times New Roman"/>
      <family val="1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64"/>
      <name val="Calibri"/>
      <family val="2"/>
      <scheme val="minor"/>
    </font>
    <font>
      <sz val="12"/>
      <color rgb="FFFF0000"/>
      <name val="Times New Roman"/>
      <family val="1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b/>
      <sz val="12"/>
      <color rgb="FFFF0000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8"/>
      <color theme="0"/>
      <name val="Times New Roman"/>
      <family val="1"/>
    </font>
    <font>
      <sz val="14"/>
      <color theme="1"/>
      <name val="Times New Roman"/>
      <family val="1"/>
    </font>
    <font>
      <sz val="14"/>
      <color theme="0"/>
      <name val="Times New Roman"/>
      <family val="1"/>
    </font>
    <font>
      <sz val="12"/>
      <color theme="0"/>
      <name val="Times New Roman"/>
      <family val="1"/>
    </font>
  </fonts>
  <fills count="42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41"/>
      </patternFill>
    </fill>
    <fill>
      <patternFill patternType="solid">
        <fgColor theme="4" tint="0.59999389629810485"/>
        <bgColor indexed="26"/>
      </patternFill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5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0" borderId="39" applyNumberFormat="0" applyFill="0" applyAlignment="0" applyProtection="0"/>
    <xf numFmtId="0" fontId="9" fillId="0" borderId="40" applyNumberFormat="0" applyFill="0" applyAlignment="0" applyProtection="0"/>
    <xf numFmtId="0" fontId="10" fillId="0" borderId="41" applyNumberFormat="0" applyFill="0" applyAlignment="0" applyProtection="0"/>
    <xf numFmtId="0" fontId="10" fillId="0" borderId="0" applyNumberFormat="0" applyFill="0" applyBorder="0" applyAlignment="0" applyProtection="0"/>
    <xf numFmtId="0" fontId="11" fillId="3" borderId="0" applyNumberFormat="0" applyBorder="0" applyAlignment="0" applyProtection="0"/>
    <xf numFmtId="0" fontId="12" fillId="4" borderId="0" applyNumberFormat="0" applyBorder="0" applyAlignment="0" applyProtection="0"/>
    <xf numFmtId="0" fontId="13" fillId="5" borderId="0" applyNumberFormat="0" applyBorder="0" applyAlignment="0" applyProtection="0"/>
    <xf numFmtId="0" fontId="14" fillId="6" borderId="42" applyNumberFormat="0" applyAlignment="0" applyProtection="0"/>
    <xf numFmtId="0" fontId="15" fillId="7" borderId="43" applyNumberFormat="0" applyAlignment="0" applyProtection="0"/>
    <xf numFmtId="0" fontId="16" fillId="7" borderId="42" applyNumberFormat="0" applyAlignment="0" applyProtection="0"/>
    <xf numFmtId="0" fontId="17" fillId="0" borderId="44" applyNumberFormat="0" applyFill="0" applyAlignment="0" applyProtection="0"/>
    <xf numFmtId="0" fontId="18" fillId="8" borderId="45" applyNumberFormat="0" applyAlignment="0" applyProtection="0"/>
    <xf numFmtId="0" fontId="19" fillId="0" borderId="0" applyNumberFormat="0" applyFill="0" applyBorder="0" applyAlignment="0" applyProtection="0"/>
    <xf numFmtId="0" fontId="1" fillId="9" borderId="46" applyNumberFormat="0" applyFont="0" applyAlignment="0" applyProtection="0"/>
    <xf numFmtId="0" fontId="20" fillId="0" borderId="0" applyNumberFormat="0" applyFill="0" applyBorder="0" applyAlignment="0" applyProtection="0"/>
    <xf numFmtId="0" fontId="21" fillId="0" borderId="47" applyNumberFormat="0" applyFill="0" applyAlignment="0" applyProtection="0"/>
    <xf numFmtId="0" fontId="22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22" fillId="13" borderId="0" applyNumberFormat="0" applyBorder="0" applyAlignment="0" applyProtection="0"/>
    <xf numFmtId="0" fontId="22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22" fillId="17" borderId="0" applyNumberFormat="0" applyBorder="0" applyAlignment="0" applyProtection="0"/>
    <xf numFmtId="0" fontId="22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22" fillId="21" borderId="0" applyNumberFormat="0" applyBorder="0" applyAlignment="0" applyProtection="0"/>
    <xf numFmtId="0" fontId="22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22" fillId="25" borderId="0" applyNumberFormat="0" applyBorder="0" applyAlignment="0" applyProtection="0"/>
    <xf numFmtId="0" fontId="22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22" fillId="29" borderId="0" applyNumberFormat="0" applyBorder="0" applyAlignment="0" applyProtection="0"/>
    <xf numFmtId="0" fontId="22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2" fillId="33" borderId="0" applyNumberFormat="0" applyBorder="0" applyAlignment="0" applyProtection="0"/>
    <xf numFmtId="43" fontId="1" fillId="0" borderId="0" applyFont="0" applyFill="0" applyBorder="0" applyAlignment="0" applyProtection="0"/>
    <xf numFmtId="0" fontId="23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00">
    <xf numFmtId="0" fontId="0" fillId="0" borderId="0" xfId="0"/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64" fontId="3" fillId="0" borderId="12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164" fontId="3" fillId="0" borderId="14" xfId="0" applyNumberFormat="1" applyFont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 wrapText="1"/>
    </xf>
    <xf numFmtId="10" fontId="3" fillId="0" borderId="5" xfId="1" applyNumberFormat="1" applyFont="1" applyBorder="1" applyAlignment="1">
      <alignment horizontal="center" vertical="center"/>
    </xf>
    <xf numFmtId="10" fontId="3" fillId="0" borderId="3" xfId="1" applyNumberFormat="1" applyFont="1" applyBorder="1" applyAlignment="1">
      <alignment horizontal="center" vertical="center"/>
    </xf>
    <xf numFmtId="10" fontId="3" fillId="0" borderId="7" xfId="1" applyNumberFormat="1" applyFont="1" applyBorder="1" applyAlignment="1">
      <alignment horizontal="center" vertical="center"/>
    </xf>
    <xf numFmtId="1" fontId="3" fillId="0" borderId="12" xfId="0" applyNumberFormat="1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1" fontId="3" fillId="0" borderId="13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4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10" fontId="2" fillId="2" borderId="11" xfId="0" applyNumberFormat="1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0" fontId="3" fillId="0" borderId="1" xfId="0" applyNumberFormat="1" applyFont="1" applyBorder="1" applyAlignment="1">
      <alignment horizontal="center" vertical="center"/>
    </xf>
    <xf numFmtId="40" fontId="2" fillId="0" borderId="5" xfId="0" applyNumberFormat="1" applyFont="1" applyBorder="1" applyAlignment="1">
      <alignment horizontal="center" vertical="center"/>
    </xf>
    <xf numFmtId="40" fontId="3" fillId="0" borderId="12" xfId="0" applyNumberFormat="1" applyFont="1" applyBorder="1" applyAlignment="1">
      <alignment horizontal="center" vertical="center"/>
    </xf>
    <xf numFmtId="40" fontId="2" fillId="0" borderId="3" xfId="0" applyNumberFormat="1" applyFont="1" applyBorder="1" applyAlignment="1">
      <alignment horizontal="center" vertical="center"/>
    </xf>
    <xf numFmtId="164" fontId="3" fillId="0" borderId="5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165" fontId="3" fillId="0" borderId="12" xfId="0" applyNumberFormat="1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9" fontId="3" fillId="0" borderId="2" xfId="1" applyFont="1" applyBorder="1" applyAlignment="1">
      <alignment horizontal="center" vertical="center" wrapText="1"/>
    </xf>
    <xf numFmtId="166" fontId="2" fillId="0" borderId="3" xfId="2" applyNumberFormat="1" applyFont="1" applyBorder="1" applyAlignment="1">
      <alignment horizontal="center" vertical="center" wrapText="1"/>
    </xf>
    <xf numFmtId="10" fontId="3" fillId="0" borderId="2" xfId="1" applyNumberFormat="1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9" fontId="3" fillId="0" borderId="4" xfId="1" applyFont="1" applyBorder="1" applyAlignment="1">
      <alignment horizontal="center" vertical="center" wrapText="1"/>
    </xf>
    <xf numFmtId="166" fontId="2" fillId="0" borderId="5" xfId="2" applyNumberFormat="1" applyFont="1" applyBorder="1" applyAlignment="1">
      <alignment horizontal="center" vertical="center" wrapText="1"/>
    </xf>
    <xf numFmtId="10" fontId="3" fillId="0" borderId="4" xfId="1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9" fontId="3" fillId="0" borderId="6" xfId="1" applyFont="1" applyBorder="1" applyAlignment="1">
      <alignment horizontal="center" vertical="center" wrapText="1"/>
    </xf>
    <xf numFmtId="166" fontId="2" fillId="0" borderId="7" xfId="2" applyNumberFormat="1" applyFont="1" applyBorder="1" applyAlignment="1">
      <alignment horizontal="center" vertical="center" wrapText="1"/>
    </xf>
    <xf numFmtId="10" fontId="3" fillId="0" borderId="6" xfId="1" applyNumberFormat="1" applyFont="1" applyBorder="1" applyAlignment="1">
      <alignment horizontal="center" vertical="center" wrapText="1"/>
    </xf>
    <xf numFmtId="165" fontId="3" fillId="0" borderId="3" xfId="0" applyNumberFormat="1" applyFont="1" applyBorder="1" applyAlignment="1">
      <alignment horizontal="center" vertical="center" wrapText="1"/>
    </xf>
    <xf numFmtId="165" fontId="3" fillId="0" borderId="5" xfId="0" applyNumberFormat="1" applyFont="1" applyBorder="1" applyAlignment="1">
      <alignment horizontal="center" vertical="center" wrapText="1"/>
    </xf>
    <xf numFmtId="165" fontId="3" fillId="0" borderId="25" xfId="0" applyNumberFormat="1" applyFont="1" applyBorder="1" applyAlignment="1">
      <alignment horizontal="center" vertical="center" wrapText="1"/>
    </xf>
    <xf numFmtId="165" fontId="3" fillId="0" borderId="26" xfId="0" applyNumberFormat="1" applyFont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  <xf numFmtId="165" fontId="2" fillId="2" borderId="15" xfId="0" applyNumberFormat="1" applyFont="1" applyFill="1" applyBorder="1" applyAlignment="1">
      <alignment horizontal="center" vertical="center" wrapText="1"/>
    </xf>
    <xf numFmtId="165" fontId="2" fillId="2" borderId="11" xfId="0" applyNumberFormat="1" applyFont="1" applyFill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/>
    </xf>
    <xf numFmtId="165" fontId="3" fillId="0" borderId="13" xfId="0" applyNumberFormat="1" applyFont="1" applyBorder="1" applyAlignment="1">
      <alignment horizontal="center" vertical="center"/>
    </xf>
    <xf numFmtId="165" fontId="3" fillId="0" borderId="12" xfId="0" applyNumberFormat="1" applyFont="1" applyBorder="1" applyAlignment="1">
      <alignment horizontal="center" vertical="center"/>
    </xf>
    <xf numFmtId="164" fontId="2" fillId="2" borderId="15" xfId="0" applyNumberFormat="1" applyFont="1" applyFill="1" applyBorder="1" applyAlignment="1">
      <alignment horizontal="center" vertical="center"/>
    </xf>
    <xf numFmtId="164" fontId="2" fillId="2" borderId="11" xfId="0" applyNumberFormat="1" applyFont="1" applyFill="1" applyBorder="1" applyAlignment="1">
      <alignment horizontal="center" vertical="center"/>
    </xf>
    <xf numFmtId="10" fontId="3" fillId="0" borderId="9" xfId="1" applyNumberFormat="1" applyFont="1" applyFill="1" applyBorder="1" applyAlignment="1">
      <alignment horizontal="center" vertical="center"/>
    </xf>
    <xf numFmtId="10" fontId="3" fillId="0" borderId="5" xfId="1" applyNumberFormat="1" applyFont="1" applyFill="1" applyBorder="1" applyAlignment="1">
      <alignment horizontal="center" vertical="center"/>
    </xf>
    <xf numFmtId="10" fontId="3" fillId="0" borderId="26" xfId="1" applyNumberFormat="1" applyFont="1" applyFill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165" fontId="3" fillId="0" borderId="13" xfId="0" applyNumberFormat="1" applyFont="1" applyBorder="1" applyAlignment="1">
      <alignment horizontal="center" vertical="center" wrapText="1"/>
    </xf>
    <xf numFmtId="164" fontId="3" fillId="0" borderId="13" xfId="0" applyNumberFormat="1" applyFont="1" applyBorder="1" applyAlignment="1">
      <alignment horizontal="center" vertical="center"/>
    </xf>
    <xf numFmtId="40" fontId="3" fillId="0" borderId="13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9" fontId="3" fillId="0" borderId="12" xfId="1" applyFont="1" applyBorder="1" applyAlignment="1">
      <alignment horizontal="center" vertical="center"/>
    </xf>
    <xf numFmtId="9" fontId="3" fillId="0" borderId="1" xfId="1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164" fontId="3" fillId="0" borderId="25" xfId="0" applyNumberFormat="1" applyFont="1" applyBorder="1" applyAlignment="1">
      <alignment horizontal="center" vertical="center"/>
    </xf>
    <xf numFmtId="10" fontId="3" fillId="0" borderId="12" xfId="1" applyNumberFormat="1" applyFont="1" applyBorder="1" applyAlignment="1">
      <alignment horizontal="center" vertical="center"/>
    </xf>
    <xf numFmtId="10" fontId="3" fillId="0" borderId="13" xfId="1" applyNumberFormat="1" applyFont="1" applyBorder="1" applyAlignment="1">
      <alignment horizontal="center" vertical="center"/>
    </xf>
    <xf numFmtId="164" fontId="2" fillId="0" borderId="26" xfId="0" applyNumberFormat="1" applyFont="1" applyBorder="1" applyAlignment="1">
      <alignment horizontal="center" vertical="center"/>
    </xf>
    <xf numFmtId="10" fontId="3" fillId="0" borderId="1" xfId="0" applyNumberFormat="1" applyFont="1" applyBorder="1" applyAlignment="1">
      <alignment horizontal="center" vertical="center"/>
    </xf>
    <xf numFmtId="10" fontId="3" fillId="0" borderId="13" xfId="0" applyNumberFormat="1" applyFont="1" applyBorder="1" applyAlignment="1">
      <alignment horizontal="center" vertical="center"/>
    </xf>
    <xf numFmtId="10" fontId="3" fillId="0" borderId="12" xfId="0" applyNumberFormat="1" applyFont="1" applyBorder="1" applyAlignment="1">
      <alignment horizontal="center" vertical="center"/>
    </xf>
    <xf numFmtId="10" fontId="3" fillId="0" borderId="1" xfId="1" applyNumberFormat="1" applyFont="1" applyBorder="1" applyAlignment="1">
      <alignment horizontal="center" vertical="center"/>
    </xf>
    <xf numFmtId="39" fontId="3" fillId="0" borderId="12" xfId="5" applyNumberFormat="1" applyFont="1" applyFill="1" applyBorder="1" applyAlignment="1" applyProtection="1">
      <alignment horizontal="center" vertical="center"/>
    </xf>
    <xf numFmtId="39" fontId="3" fillId="0" borderId="1" xfId="5" applyNumberFormat="1" applyFont="1" applyFill="1" applyBorder="1" applyAlignment="1" applyProtection="1">
      <alignment horizontal="center" vertical="center"/>
    </xf>
    <xf numFmtId="39" fontId="3" fillId="0" borderId="13" xfId="5" applyNumberFormat="1" applyFont="1" applyFill="1" applyBorder="1" applyAlignment="1" applyProtection="1">
      <alignment horizontal="center" vertical="center"/>
    </xf>
    <xf numFmtId="4" fontId="3" fillId="0" borderId="12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4" fontId="3" fillId="0" borderId="13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164" fontId="6" fillId="0" borderId="13" xfId="0" applyNumberFormat="1" applyFont="1" applyBorder="1" applyAlignment="1">
      <alignment horizontal="center" vertical="center"/>
    </xf>
    <xf numFmtId="164" fontId="6" fillId="0" borderId="7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0" fontId="3" fillId="0" borderId="12" xfId="1" applyNumberFormat="1" applyFont="1" applyFill="1" applyBorder="1" applyAlignment="1">
      <alignment horizontal="center" vertical="center"/>
    </xf>
    <xf numFmtId="10" fontId="3" fillId="0" borderId="13" xfId="1" applyNumberFormat="1" applyFont="1" applyFill="1" applyBorder="1" applyAlignment="1">
      <alignment horizontal="center" vertical="center"/>
    </xf>
    <xf numFmtId="0" fontId="3" fillId="35" borderId="4" xfId="0" applyFont="1" applyFill="1" applyBorder="1" applyAlignment="1">
      <alignment horizontal="center" vertical="center" wrapText="1"/>
    </xf>
    <xf numFmtId="10" fontId="3" fillId="35" borderId="5" xfId="1" applyNumberFormat="1" applyFont="1" applyFill="1" applyBorder="1" applyAlignment="1">
      <alignment horizontal="center" vertical="center"/>
    </xf>
    <xf numFmtId="0" fontId="28" fillId="0" borderId="4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10" fontId="28" fillId="0" borderId="5" xfId="1" applyNumberFormat="1" applyFont="1" applyBorder="1" applyAlignment="1">
      <alignment horizontal="center" vertical="center"/>
    </xf>
    <xf numFmtId="10" fontId="28" fillId="0" borderId="7" xfId="1" applyNumberFormat="1" applyFont="1" applyBorder="1" applyAlignment="1">
      <alignment horizontal="center" vertical="center"/>
    </xf>
    <xf numFmtId="10" fontId="3" fillId="0" borderId="12" xfId="1" applyNumberFormat="1" applyFont="1" applyFill="1" applyBorder="1" applyAlignment="1" applyProtection="1">
      <alignment horizontal="center" vertical="center"/>
    </xf>
    <xf numFmtId="10" fontId="3" fillId="0" borderId="1" xfId="1" applyNumberFormat="1" applyFont="1" applyFill="1" applyBorder="1" applyAlignment="1" applyProtection="1">
      <alignment horizontal="center" vertical="center"/>
    </xf>
    <xf numFmtId="10" fontId="3" fillId="0" borderId="13" xfId="1" applyNumberFormat="1" applyFont="1" applyFill="1" applyBorder="1" applyAlignment="1" applyProtection="1">
      <alignment horizontal="center" vertical="center"/>
    </xf>
    <xf numFmtId="0" fontId="4" fillId="0" borderId="0" xfId="0" applyFont="1" applyAlignment="1">
      <alignment vertical="center"/>
    </xf>
    <xf numFmtId="3" fontId="3" fillId="0" borderId="14" xfId="3" applyNumberFormat="1" applyFont="1" applyFill="1" applyBorder="1" applyAlignment="1" applyProtection="1">
      <alignment horizontal="center" vertical="center"/>
    </xf>
    <xf numFmtId="3" fontId="3" fillId="0" borderId="1" xfId="3" applyNumberFormat="1" applyFont="1" applyFill="1" applyBorder="1" applyAlignment="1" applyProtection="1">
      <alignment horizontal="center" vertical="center"/>
    </xf>
    <xf numFmtId="167" fontId="3" fillId="0" borderId="0" xfId="3" applyFont="1" applyFill="1" applyBorder="1" applyAlignment="1" applyProtection="1">
      <alignment horizontal="center" vertical="center"/>
    </xf>
    <xf numFmtId="167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4" fontId="3" fillId="0" borderId="12" xfId="3" applyNumberFormat="1" applyFont="1" applyFill="1" applyBorder="1" applyAlignment="1" applyProtection="1">
      <alignment horizontal="center" vertical="center"/>
    </xf>
    <xf numFmtId="4" fontId="4" fillId="0" borderId="3" xfId="3" applyNumberFormat="1" applyFont="1" applyFill="1" applyBorder="1" applyAlignment="1" applyProtection="1">
      <alignment horizontal="center" vertical="center"/>
    </xf>
    <xf numFmtId="4" fontId="3" fillId="0" borderId="1" xfId="3" applyNumberFormat="1" applyFont="1" applyFill="1" applyBorder="1" applyAlignment="1" applyProtection="1">
      <alignment horizontal="center" vertical="center"/>
    </xf>
    <xf numFmtId="4" fontId="4" fillId="0" borderId="5" xfId="3" applyNumberFormat="1" applyFont="1" applyFill="1" applyBorder="1" applyAlignment="1" applyProtection="1">
      <alignment horizontal="center" vertical="center"/>
    </xf>
    <xf numFmtId="4" fontId="3" fillId="0" borderId="13" xfId="3" applyNumberFormat="1" applyFont="1" applyFill="1" applyBorder="1" applyAlignment="1" applyProtection="1">
      <alignment horizontal="center" vertical="center"/>
    </xf>
    <xf numFmtId="1" fontId="30" fillId="0" borderId="14" xfId="3" applyNumberFormat="1" applyFont="1" applyBorder="1" applyAlignment="1">
      <alignment horizontal="center" vertical="center"/>
    </xf>
    <xf numFmtId="2" fontId="30" fillId="0" borderId="14" xfId="3" applyNumberFormat="1" applyFont="1" applyBorder="1" applyAlignment="1">
      <alignment horizontal="center" vertical="center"/>
    </xf>
    <xf numFmtId="4" fontId="30" fillId="0" borderId="14" xfId="3" applyNumberFormat="1" applyFont="1" applyBorder="1" applyAlignment="1">
      <alignment horizontal="center" vertical="center"/>
    </xf>
    <xf numFmtId="4" fontId="3" fillId="0" borderId="9" xfId="0" applyNumberFormat="1" applyFont="1" applyBorder="1" applyAlignment="1">
      <alignment horizontal="center" vertical="center"/>
    </xf>
    <xf numFmtId="1" fontId="30" fillId="0" borderId="1" xfId="3" applyNumberFormat="1" applyFont="1" applyBorder="1" applyAlignment="1">
      <alignment horizontal="center" vertical="center"/>
    </xf>
    <xf numFmtId="2" fontId="30" fillId="0" borderId="1" xfId="3" applyNumberFormat="1" applyFont="1" applyBorder="1" applyAlignment="1">
      <alignment horizontal="center" vertical="center"/>
    </xf>
    <xf numFmtId="4" fontId="30" fillId="0" borderId="1" xfId="3" applyNumberFormat="1" applyFont="1" applyBorder="1" applyAlignment="1">
      <alignment horizontal="center" vertical="center"/>
    </xf>
    <xf numFmtId="4" fontId="4" fillId="0" borderId="3" xfId="0" applyNumberFormat="1" applyFont="1" applyBorder="1" applyAlignment="1">
      <alignment horizontal="center" vertical="center"/>
    </xf>
    <xf numFmtId="4" fontId="4" fillId="0" borderId="5" xfId="0" applyNumberFormat="1" applyFont="1" applyBorder="1" applyAlignment="1">
      <alignment horizontal="center" vertical="center"/>
    </xf>
    <xf numFmtId="4" fontId="4" fillId="0" borderId="7" xfId="0" applyNumberFormat="1" applyFont="1" applyBorder="1" applyAlignment="1">
      <alignment horizontal="center" vertical="center"/>
    </xf>
    <xf numFmtId="4" fontId="28" fillId="0" borderId="3" xfId="0" applyNumberFormat="1" applyFont="1" applyBorder="1" applyAlignment="1">
      <alignment horizontal="center" vertical="center"/>
    </xf>
    <xf numFmtId="4" fontId="28" fillId="0" borderId="5" xfId="0" applyNumberFormat="1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50" xfId="0" applyFont="1" applyBorder="1" applyAlignment="1">
      <alignment vertical="center" wrapText="1"/>
    </xf>
    <xf numFmtId="0" fontId="3" fillId="0" borderId="50" xfId="0" applyFont="1" applyBorder="1" applyAlignment="1">
      <alignment horizontal="center" vertical="center" wrapText="1"/>
    </xf>
    <xf numFmtId="10" fontId="3" fillId="0" borderId="50" xfId="0" applyNumberFormat="1" applyFont="1" applyBorder="1" applyAlignment="1">
      <alignment horizontal="center" vertical="center" wrapText="1"/>
    </xf>
    <xf numFmtId="10" fontId="3" fillId="34" borderId="5" xfId="1" applyNumberFormat="1" applyFont="1" applyFill="1" applyBorder="1" applyAlignment="1">
      <alignment horizontal="center" vertical="center"/>
    </xf>
    <xf numFmtId="0" fontId="3" fillId="0" borderId="50" xfId="0" applyFont="1" applyBorder="1" applyAlignment="1">
      <alignment horizontal="justify" vertical="center" wrapText="1"/>
    </xf>
    <xf numFmtId="0" fontId="2" fillId="0" borderId="29" xfId="0" applyFont="1" applyBorder="1" applyAlignment="1">
      <alignment vertical="center" wrapText="1"/>
    </xf>
    <xf numFmtId="0" fontId="3" fillId="0" borderId="0" xfId="0" applyFont="1"/>
    <xf numFmtId="0" fontId="2" fillId="0" borderId="33" xfId="0" applyFont="1" applyBorder="1" applyAlignment="1">
      <alignment horizontal="center" vertical="center" wrapText="1"/>
    </xf>
    <xf numFmtId="0" fontId="2" fillId="38" borderId="16" xfId="0" applyFont="1" applyFill="1" applyBorder="1" applyAlignment="1">
      <alignment horizontal="center" vertical="center"/>
    </xf>
    <xf numFmtId="10" fontId="2" fillId="38" borderId="17" xfId="1" applyNumberFormat="1" applyFont="1" applyFill="1" applyBorder="1" applyAlignment="1">
      <alignment horizontal="center" vertical="center"/>
    </xf>
    <xf numFmtId="10" fontId="3" fillId="34" borderId="12" xfId="0" applyNumberFormat="1" applyFont="1" applyFill="1" applyBorder="1" applyAlignment="1">
      <alignment horizontal="center" vertical="center"/>
    </xf>
    <xf numFmtId="10" fontId="3" fillId="34" borderId="1" xfId="0" applyNumberFormat="1" applyFont="1" applyFill="1" applyBorder="1" applyAlignment="1">
      <alignment horizontal="center" vertical="center"/>
    </xf>
    <xf numFmtId="10" fontId="3" fillId="34" borderId="13" xfId="0" applyNumberFormat="1" applyFont="1" applyFill="1" applyBorder="1" applyAlignment="1">
      <alignment horizontal="center" vertical="center"/>
    </xf>
    <xf numFmtId="2" fontId="3" fillId="0" borderId="50" xfId="0" applyNumberFormat="1" applyFont="1" applyBorder="1" applyAlignment="1">
      <alignment horizontal="center" vertical="center" wrapText="1"/>
    </xf>
    <xf numFmtId="10" fontId="3" fillId="0" borderId="1" xfId="1" applyNumberFormat="1" applyFont="1" applyFill="1" applyBorder="1" applyAlignment="1">
      <alignment horizontal="center" vertical="center"/>
    </xf>
    <xf numFmtId="10" fontId="3" fillId="0" borderId="14" xfId="0" applyNumberFormat="1" applyFont="1" applyBorder="1" applyAlignment="1">
      <alignment horizontal="center" vertical="center"/>
    </xf>
    <xf numFmtId="10" fontId="3" fillId="0" borderId="14" xfId="1" applyNumberFormat="1" applyFont="1" applyBorder="1" applyAlignment="1">
      <alignment horizontal="center" vertical="center"/>
    </xf>
    <xf numFmtId="10" fontId="3" fillId="34" borderId="14" xfId="0" applyNumberFormat="1" applyFont="1" applyFill="1" applyBorder="1" applyAlignment="1">
      <alignment horizontal="center" vertical="center"/>
    </xf>
    <xf numFmtId="1" fontId="3" fillId="0" borderId="14" xfId="0" applyNumberFormat="1" applyFont="1" applyBorder="1" applyAlignment="1">
      <alignment horizontal="center" vertical="center"/>
    </xf>
    <xf numFmtId="9" fontId="3" fillId="0" borderId="14" xfId="1" applyFont="1" applyBorder="1" applyAlignment="1">
      <alignment horizontal="center" vertical="center"/>
    </xf>
    <xf numFmtId="2" fontId="3" fillId="0" borderId="12" xfId="1" applyNumberFormat="1" applyFont="1" applyBorder="1" applyAlignment="1">
      <alignment horizontal="center" vertical="center"/>
    </xf>
    <xf numFmtId="2" fontId="3" fillId="0" borderId="1" xfId="1" applyNumberFormat="1" applyFont="1" applyBorder="1" applyAlignment="1">
      <alignment horizontal="center" vertical="center"/>
    </xf>
    <xf numFmtId="2" fontId="3" fillId="0" borderId="14" xfId="1" applyNumberFormat="1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40" fontId="3" fillId="0" borderId="14" xfId="0" applyNumberFormat="1" applyFont="1" applyBorder="1" applyAlignment="1">
      <alignment horizontal="center" vertical="center"/>
    </xf>
    <xf numFmtId="40" fontId="2" fillId="0" borderId="9" xfId="0" applyNumberFormat="1" applyFont="1" applyBorder="1" applyAlignment="1">
      <alignment horizontal="center" vertical="center"/>
    </xf>
    <xf numFmtId="165" fontId="3" fillId="0" borderId="14" xfId="0" applyNumberFormat="1" applyFont="1" applyBorder="1" applyAlignment="1">
      <alignment horizontal="center" vertical="center"/>
    </xf>
    <xf numFmtId="0" fontId="3" fillId="36" borderId="0" xfId="0" applyFont="1" applyFill="1" applyAlignment="1">
      <alignment horizontal="center" vertical="center"/>
    </xf>
    <xf numFmtId="164" fontId="3" fillId="0" borderId="53" xfId="0" applyNumberFormat="1" applyFont="1" applyBorder="1" applyAlignment="1">
      <alignment horizontal="center" vertical="center"/>
    </xf>
    <xf numFmtId="0" fontId="3" fillId="0" borderId="53" xfId="0" applyFont="1" applyBorder="1" applyAlignment="1">
      <alignment horizontal="center" vertical="center"/>
    </xf>
    <xf numFmtId="164" fontId="2" fillId="0" borderId="17" xfId="0" applyNumberFormat="1" applyFont="1" applyBorder="1" applyAlignment="1">
      <alignment horizontal="center" vertical="center"/>
    </xf>
    <xf numFmtId="0" fontId="30" fillId="0" borderId="4" xfId="0" applyFont="1" applyBorder="1" applyAlignment="1">
      <alignment horizontal="left" vertical="center"/>
    </xf>
    <xf numFmtId="0" fontId="30" fillId="0" borderId="4" xfId="0" applyFont="1" applyBorder="1" applyAlignment="1">
      <alignment horizontal="left" vertical="center" wrapText="1"/>
    </xf>
    <xf numFmtId="0" fontId="30" fillId="0" borderId="8" xfId="0" applyFont="1" applyBorder="1" applyAlignment="1">
      <alignment horizontal="left" vertical="center"/>
    </xf>
    <xf numFmtId="4" fontId="28" fillId="0" borderId="9" xfId="0" applyNumberFormat="1" applyFont="1" applyBorder="1" applyAlignment="1">
      <alignment horizontal="center" vertical="center"/>
    </xf>
    <xf numFmtId="39" fontId="3" fillId="0" borderId="14" xfId="5" applyNumberFormat="1" applyFont="1" applyFill="1" applyBorder="1" applyAlignment="1" applyProtection="1">
      <alignment horizontal="center" vertical="center"/>
    </xf>
    <xf numFmtId="10" fontId="3" fillId="0" borderId="14" xfId="1" applyNumberFormat="1" applyFont="1" applyFill="1" applyBorder="1" applyAlignment="1" applyProtection="1">
      <alignment horizontal="center" vertical="center"/>
    </xf>
    <xf numFmtId="10" fontId="3" fillId="34" borderId="50" xfId="0" applyNumberFormat="1" applyFont="1" applyFill="1" applyBorder="1" applyAlignment="1">
      <alignment horizontal="center" vertical="center" wrapText="1"/>
    </xf>
    <xf numFmtId="0" fontId="3" fillId="0" borderId="31" xfId="0" applyFont="1" applyBorder="1" applyAlignment="1">
      <alignment horizontal="center"/>
    </xf>
    <xf numFmtId="4" fontId="3" fillId="0" borderId="50" xfId="0" applyNumberFormat="1" applyFont="1" applyBorder="1" applyAlignment="1">
      <alignment horizontal="center" vertical="center" wrapText="1"/>
    </xf>
    <xf numFmtId="10" fontId="3" fillId="0" borderId="50" xfId="1" applyNumberFormat="1" applyFont="1" applyBorder="1" applyAlignment="1">
      <alignment horizontal="center" vertical="center" wrapText="1"/>
    </xf>
    <xf numFmtId="4" fontId="3" fillId="0" borderId="50" xfId="0" applyNumberFormat="1" applyFont="1" applyBorder="1" applyAlignment="1">
      <alignment vertical="center" wrapText="1"/>
    </xf>
    <xf numFmtId="2" fontId="3" fillId="0" borderId="50" xfId="0" applyNumberFormat="1" applyFont="1" applyBorder="1" applyAlignment="1">
      <alignment vertical="center" wrapText="1"/>
    </xf>
    <xf numFmtId="0" fontId="3" fillId="0" borderId="55" xfId="0" applyFont="1" applyBorder="1"/>
    <xf numFmtId="0" fontId="3" fillId="0" borderId="57" xfId="0" applyFont="1" applyBorder="1"/>
    <xf numFmtId="0" fontId="3" fillId="0" borderId="56" xfId="0" applyFont="1" applyBorder="1" applyAlignment="1">
      <alignment horizontal="center"/>
    </xf>
    <xf numFmtId="2" fontId="3" fillId="0" borderId="31" xfId="0" applyNumberFormat="1" applyFont="1" applyBorder="1" applyAlignment="1">
      <alignment horizontal="center"/>
    </xf>
    <xf numFmtId="0" fontId="2" fillId="2" borderId="58" xfId="0" applyFont="1" applyFill="1" applyBorder="1" applyAlignment="1">
      <alignment horizontal="center" vertical="center" wrapText="1"/>
    </xf>
    <xf numFmtId="164" fontId="3" fillId="36" borderId="1" xfId="0" applyNumberFormat="1" applyFont="1" applyFill="1" applyBorder="1" applyAlignment="1">
      <alignment horizontal="center" vertical="center"/>
    </xf>
    <xf numFmtId="9" fontId="3" fillId="36" borderId="1" xfId="1" applyFont="1" applyFill="1" applyBorder="1" applyAlignment="1">
      <alignment horizontal="center" vertical="center"/>
    </xf>
    <xf numFmtId="9" fontId="3" fillId="36" borderId="14" xfId="1" applyFont="1" applyFill="1" applyBorder="1" applyAlignment="1">
      <alignment horizontal="center" vertical="center"/>
    </xf>
    <xf numFmtId="168" fontId="3" fillId="0" borderId="50" xfId="0" applyNumberFormat="1" applyFont="1" applyBorder="1" applyAlignment="1">
      <alignment horizontal="center" vertical="center" wrapText="1"/>
    </xf>
    <xf numFmtId="2" fontId="3" fillId="0" borderId="0" xfId="0" applyNumberFormat="1" applyFont="1"/>
    <xf numFmtId="0" fontId="2" fillId="2" borderId="1" xfId="0" applyFont="1" applyFill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vertical="center" wrapText="1"/>
    </xf>
    <xf numFmtId="4" fontId="3" fillId="0" borderId="14" xfId="3" applyNumberFormat="1" applyFont="1" applyFill="1" applyBorder="1" applyAlignment="1" applyProtection="1">
      <alignment horizontal="center" vertical="center"/>
    </xf>
    <xf numFmtId="0" fontId="32" fillId="0" borderId="0" xfId="0" applyFont="1" applyAlignment="1">
      <alignment horizontal="center" vertical="center"/>
    </xf>
    <xf numFmtId="0" fontId="33" fillId="0" borderId="0" xfId="0" applyFont="1" applyFill="1" applyAlignment="1"/>
    <xf numFmtId="0" fontId="3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167" fontId="3" fillId="0" borderId="35" xfId="3" applyFont="1" applyFill="1" applyBorder="1" applyAlignment="1" applyProtection="1">
      <alignment horizontal="center" vertical="center"/>
    </xf>
    <xf numFmtId="4" fontId="28" fillId="0" borderId="26" xfId="0" applyNumberFormat="1" applyFont="1" applyBorder="1" applyAlignment="1">
      <alignment horizontal="center" vertical="center"/>
    </xf>
    <xf numFmtId="4" fontId="3" fillId="0" borderId="53" xfId="3" applyNumberFormat="1" applyFont="1" applyFill="1" applyBorder="1" applyAlignment="1" applyProtection="1">
      <alignment horizontal="center" vertical="center"/>
    </xf>
    <xf numFmtId="4" fontId="4" fillId="0" borderId="7" xfId="3" applyNumberFormat="1" applyFont="1" applyFill="1" applyBorder="1" applyAlignment="1" applyProtection="1">
      <alignment horizontal="center" vertical="center"/>
    </xf>
    <xf numFmtId="0" fontId="3" fillId="0" borderId="48" xfId="0" applyFont="1" applyBorder="1" applyAlignment="1">
      <alignment horizontal="left" vertical="center"/>
    </xf>
    <xf numFmtId="0" fontId="28" fillId="0" borderId="24" xfId="0" applyFont="1" applyBorder="1" applyAlignment="1">
      <alignment horizontal="left" vertical="center"/>
    </xf>
    <xf numFmtId="1" fontId="3" fillId="0" borderId="25" xfId="0" applyNumberFormat="1" applyFont="1" applyBorder="1" applyAlignment="1">
      <alignment horizontal="center" vertical="center"/>
    </xf>
    <xf numFmtId="2" fontId="30" fillId="0" borderId="25" xfId="3" applyNumberFormat="1" applyFont="1" applyBorder="1" applyAlignment="1">
      <alignment horizontal="center" vertical="center"/>
    </xf>
    <xf numFmtId="4" fontId="30" fillId="0" borderId="25" xfId="3" applyNumberFormat="1" applyFont="1" applyBorder="1" applyAlignment="1">
      <alignment horizontal="center" vertical="center"/>
    </xf>
    <xf numFmtId="4" fontId="3" fillId="0" borderId="23" xfId="0" applyNumberFormat="1" applyFont="1" applyBorder="1" applyAlignment="1">
      <alignment horizontal="center" vertical="center"/>
    </xf>
    <xf numFmtId="4" fontId="30" fillId="0" borderId="14" xfId="3" applyNumberFormat="1" applyFont="1" applyFill="1" applyBorder="1" applyAlignment="1">
      <alignment horizontal="center" vertical="center"/>
    </xf>
    <xf numFmtId="4" fontId="30" fillId="0" borderId="1" xfId="3" applyNumberFormat="1" applyFont="1" applyFill="1" applyBorder="1" applyAlignment="1">
      <alignment horizontal="center" vertical="center"/>
    </xf>
    <xf numFmtId="4" fontId="30" fillId="0" borderId="25" xfId="3" applyNumberFormat="1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4" fontId="28" fillId="0" borderId="17" xfId="0" applyNumberFormat="1" applyFont="1" applyBorder="1" applyAlignment="1">
      <alignment horizontal="center" vertical="center"/>
    </xf>
    <xf numFmtId="4" fontId="4" fillId="0" borderId="17" xfId="0" applyNumberFormat="1" applyFont="1" applyBorder="1" applyAlignment="1">
      <alignment horizontal="center" vertical="center"/>
    </xf>
    <xf numFmtId="0" fontId="3" fillId="0" borderId="0" xfId="0" applyFont="1" applyFill="1" applyAlignment="1">
      <alignment vertical="center" wrapText="1"/>
    </xf>
    <xf numFmtId="0" fontId="4" fillId="40" borderId="31" xfId="0" applyFont="1" applyFill="1" applyBorder="1" applyAlignment="1">
      <alignment horizontal="center" vertical="center"/>
    </xf>
    <xf numFmtId="167" fontId="4" fillId="40" borderId="31" xfId="3" applyFont="1" applyFill="1" applyBorder="1" applyAlignment="1" applyProtection="1">
      <alignment horizontal="center" vertical="center"/>
    </xf>
    <xf numFmtId="0" fontId="2" fillId="38" borderId="31" xfId="0" applyFont="1" applyFill="1" applyBorder="1" applyAlignment="1">
      <alignment horizontal="center" vertical="center"/>
    </xf>
    <xf numFmtId="4" fontId="4" fillId="40" borderId="31" xfId="0" applyNumberFormat="1" applyFont="1" applyFill="1" applyBorder="1" applyAlignment="1">
      <alignment horizontal="center" vertical="center"/>
    </xf>
    <xf numFmtId="0" fontId="4" fillId="40" borderId="18" xfId="0" applyFont="1" applyFill="1" applyBorder="1" applyAlignment="1">
      <alignment horizontal="center" vertical="center"/>
    </xf>
    <xf numFmtId="0" fontId="4" fillId="40" borderId="19" xfId="0" applyFont="1" applyFill="1" applyBorder="1" applyAlignment="1">
      <alignment horizontal="center" vertical="center"/>
    </xf>
    <xf numFmtId="0" fontId="4" fillId="40" borderId="20" xfId="0" applyFont="1" applyFill="1" applyBorder="1" applyAlignment="1">
      <alignment horizontal="center" vertical="center"/>
    </xf>
    <xf numFmtId="0" fontId="29" fillId="40" borderId="10" xfId="0" applyFont="1" applyFill="1" applyBorder="1" applyAlignment="1">
      <alignment horizontal="center" vertical="center"/>
    </xf>
    <xf numFmtId="0" fontId="29" fillId="40" borderId="15" xfId="0" applyFont="1" applyFill="1" applyBorder="1" applyAlignment="1">
      <alignment horizontal="center" vertical="center"/>
    </xf>
    <xf numFmtId="0" fontId="29" fillId="40" borderId="15" xfId="0" applyFont="1" applyFill="1" applyBorder="1" applyAlignment="1">
      <alignment horizontal="center" vertical="center" wrapText="1"/>
    </xf>
    <xf numFmtId="0" fontId="2" fillId="38" borderId="11" xfId="0" applyFont="1" applyFill="1" applyBorder="1" applyAlignment="1">
      <alignment horizontal="center" vertical="center"/>
    </xf>
    <xf numFmtId="4" fontId="4" fillId="40" borderId="29" xfId="0" applyNumberFormat="1" applyFont="1" applyFill="1" applyBorder="1" applyAlignment="1">
      <alignment horizontal="center" vertical="center"/>
    </xf>
    <xf numFmtId="4" fontId="2" fillId="38" borderId="31" xfId="0" applyNumberFormat="1" applyFont="1" applyFill="1" applyBorder="1" applyAlignment="1">
      <alignment horizontal="center" vertical="center"/>
    </xf>
    <xf numFmtId="0" fontId="4" fillId="40" borderId="10" xfId="0" applyFont="1" applyFill="1" applyBorder="1" applyAlignment="1">
      <alignment horizontal="center" vertical="center"/>
    </xf>
    <xf numFmtId="0" fontId="4" fillId="40" borderId="15" xfId="0" applyFont="1" applyFill="1" applyBorder="1" applyAlignment="1">
      <alignment horizontal="center" vertical="center"/>
    </xf>
    <xf numFmtId="167" fontId="4" fillId="40" borderId="11" xfId="0" applyNumberFormat="1" applyFont="1" applyFill="1" applyBorder="1" applyAlignment="1">
      <alignment horizontal="center" vertical="center" wrapText="1"/>
    </xf>
    <xf numFmtId="0" fontId="4" fillId="41" borderId="18" xfId="0" applyFont="1" applyFill="1" applyBorder="1" applyAlignment="1">
      <alignment horizontal="center" vertical="center"/>
    </xf>
    <xf numFmtId="0" fontId="4" fillId="41" borderId="19" xfId="0" applyFont="1" applyFill="1" applyBorder="1" applyAlignment="1">
      <alignment horizontal="center" vertical="center" wrapText="1"/>
    </xf>
    <xf numFmtId="0" fontId="4" fillId="41" borderId="20" xfId="0" applyFont="1" applyFill="1" applyBorder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2" borderId="27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2" fillId="2" borderId="18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48" xfId="0" applyFont="1" applyFill="1" applyBorder="1" applyAlignment="1">
      <alignment vertical="center" wrapText="1"/>
    </xf>
    <xf numFmtId="0" fontId="2" fillId="2" borderId="0" xfId="0" applyFont="1" applyFill="1" applyAlignment="1">
      <alignment vertical="center" wrapText="1"/>
    </xf>
    <xf numFmtId="0" fontId="24" fillId="0" borderId="0" xfId="0" applyFont="1" applyAlignment="1">
      <alignment vertical="center" wrapText="1"/>
    </xf>
    <xf numFmtId="0" fontId="2" fillId="2" borderId="55" xfId="0" applyFont="1" applyFill="1" applyBorder="1" applyAlignment="1">
      <alignment vertical="center"/>
    </xf>
    <xf numFmtId="0" fontId="2" fillId="2" borderId="56" xfId="0" applyFont="1" applyFill="1" applyBorder="1" applyAlignment="1">
      <alignment vertical="center"/>
    </xf>
    <xf numFmtId="0" fontId="2" fillId="2" borderId="57" xfId="0" applyFont="1" applyFill="1" applyBorder="1" applyAlignment="1">
      <alignment vertical="center"/>
    </xf>
    <xf numFmtId="0" fontId="2" fillId="39" borderId="0" xfId="0" applyFont="1" applyFill="1" applyAlignment="1">
      <alignment vertical="center"/>
    </xf>
    <xf numFmtId="0" fontId="34" fillId="39" borderId="0" xfId="0" applyFont="1" applyFill="1" applyAlignment="1"/>
    <xf numFmtId="0" fontId="27" fillId="0" borderId="0" xfId="0" applyFont="1" applyAlignment="1">
      <alignment vertical="center" wrapText="1"/>
    </xf>
    <xf numFmtId="0" fontId="2" fillId="2" borderId="55" xfId="0" applyFont="1" applyFill="1" applyBorder="1" applyAlignment="1">
      <alignment vertical="center" wrapText="1"/>
    </xf>
    <xf numFmtId="0" fontId="2" fillId="2" borderId="56" xfId="0" applyFont="1" applyFill="1" applyBorder="1" applyAlignment="1">
      <alignment vertical="center" wrapText="1"/>
    </xf>
    <xf numFmtId="0" fontId="2" fillId="2" borderId="57" xfId="0" applyFont="1" applyFill="1" applyBorder="1" applyAlignment="1">
      <alignment vertical="center" wrapText="1"/>
    </xf>
    <xf numFmtId="0" fontId="3" fillId="0" borderId="0" xfId="0" applyFont="1" applyAlignment="1">
      <alignment vertical="top" wrapText="1"/>
    </xf>
    <xf numFmtId="0" fontId="24" fillId="36" borderId="0" xfId="0" applyFont="1" applyFill="1" applyAlignment="1">
      <alignment vertical="center" wrapText="1"/>
    </xf>
    <xf numFmtId="0" fontId="2" fillId="2" borderId="32" xfId="0" applyFont="1" applyFill="1" applyBorder="1" applyAlignment="1">
      <alignment vertical="center" wrapText="1"/>
    </xf>
    <xf numFmtId="0" fontId="2" fillId="2" borderId="33" xfId="0" applyFont="1" applyFill="1" applyBorder="1" applyAlignment="1">
      <alignment vertical="center" wrapText="1"/>
    </xf>
    <xf numFmtId="0" fontId="2" fillId="2" borderId="60" xfId="0" applyFont="1" applyFill="1" applyBorder="1" applyAlignment="1">
      <alignment vertical="center" wrapText="1"/>
    </xf>
    <xf numFmtId="0" fontId="2" fillId="2" borderId="50" xfId="0" applyFont="1" applyFill="1" applyBorder="1" applyAlignment="1">
      <alignment vertical="center" wrapText="1"/>
    </xf>
    <xf numFmtId="0" fontId="2" fillId="2" borderId="49" xfId="0" applyFont="1" applyFill="1" applyBorder="1" applyAlignment="1">
      <alignment vertical="center"/>
    </xf>
    <xf numFmtId="0" fontId="2" fillId="2" borderId="37" xfId="0" applyFont="1" applyFill="1" applyBorder="1" applyAlignment="1">
      <alignment vertical="center"/>
    </xf>
    <xf numFmtId="0" fontId="2" fillId="2" borderId="35" xfId="0" applyFont="1" applyFill="1" applyBorder="1" applyAlignment="1">
      <alignment vertical="center" wrapText="1"/>
    </xf>
    <xf numFmtId="0" fontId="2" fillId="2" borderId="61" xfId="0" applyFont="1" applyFill="1" applyBorder="1" applyAlignment="1">
      <alignment vertical="center" wrapText="1"/>
    </xf>
    <xf numFmtId="0" fontId="2" fillId="2" borderId="62" xfId="0" applyFont="1" applyFill="1" applyBorder="1" applyAlignment="1">
      <alignment vertical="center" wrapText="1"/>
    </xf>
    <xf numFmtId="0" fontId="24" fillId="0" borderId="0" xfId="0" applyFont="1" applyAlignment="1">
      <alignment vertical="center"/>
    </xf>
    <xf numFmtId="0" fontId="4" fillId="2" borderId="51" xfId="0" applyFont="1" applyFill="1" applyBorder="1" applyAlignment="1">
      <alignment vertical="center" wrapText="1"/>
    </xf>
    <xf numFmtId="0" fontId="4" fillId="2" borderId="52" xfId="0" applyFont="1" applyFill="1" applyBorder="1" applyAlignment="1">
      <alignment vertical="center" wrapText="1"/>
    </xf>
    <xf numFmtId="0" fontId="34" fillId="39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40" borderId="38" xfId="0" applyFont="1" applyFill="1" applyBorder="1" applyAlignment="1">
      <alignment horizontal="center" vertical="center"/>
    </xf>
    <xf numFmtId="0" fontId="4" fillId="40" borderId="59" xfId="0" applyFont="1" applyFill="1" applyBorder="1" applyAlignment="1">
      <alignment horizontal="center" vertical="center"/>
    </xf>
    <xf numFmtId="0" fontId="4" fillId="40" borderId="60" xfId="0" applyFont="1" applyFill="1" applyBorder="1" applyAlignment="1">
      <alignment horizontal="center" vertical="center"/>
    </xf>
    <xf numFmtId="0" fontId="4" fillId="40" borderId="27" xfId="0" applyFont="1" applyFill="1" applyBorder="1" applyAlignment="1">
      <alignment horizontal="center" vertical="center"/>
    </xf>
    <xf numFmtId="0" fontId="4" fillId="40" borderId="28" xfId="0" applyFont="1" applyFill="1" applyBorder="1" applyAlignment="1">
      <alignment horizontal="center" vertical="center"/>
    </xf>
    <xf numFmtId="0" fontId="4" fillId="40" borderId="29" xfId="0" applyFont="1" applyFill="1" applyBorder="1" applyAlignment="1">
      <alignment horizontal="center" vertical="center"/>
    </xf>
    <xf numFmtId="0" fontId="29" fillId="40" borderId="38" xfId="0" applyFont="1" applyFill="1" applyBorder="1" applyAlignment="1">
      <alignment horizontal="center" vertical="center"/>
    </xf>
    <xf numFmtId="0" fontId="29" fillId="40" borderId="59" xfId="0" applyFont="1" applyFill="1" applyBorder="1" applyAlignment="1">
      <alignment horizontal="center" vertical="center"/>
    </xf>
    <xf numFmtId="0" fontId="29" fillId="40" borderId="60" xfId="0" applyFont="1" applyFill="1" applyBorder="1" applyAlignment="1">
      <alignment horizontal="center" vertical="center"/>
    </xf>
    <xf numFmtId="0" fontId="29" fillId="40" borderId="27" xfId="0" applyFont="1" applyFill="1" applyBorder="1" applyAlignment="1">
      <alignment horizontal="center" vertical="center"/>
    </xf>
    <xf numFmtId="0" fontId="29" fillId="40" borderId="28" xfId="0" applyFont="1" applyFill="1" applyBorder="1" applyAlignment="1">
      <alignment horizontal="center" vertical="center"/>
    </xf>
    <xf numFmtId="0" fontId="29" fillId="40" borderId="29" xfId="0" applyFont="1" applyFill="1" applyBorder="1" applyAlignment="1">
      <alignment horizontal="center" vertical="center"/>
    </xf>
    <xf numFmtId="0" fontId="31" fillId="39" borderId="0" xfId="0" applyFont="1" applyFill="1" applyAlignment="1">
      <alignment horizontal="center"/>
    </xf>
    <xf numFmtId="0" fontId="2" fillId="0" borderId="27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37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4" fillId="0" borderId="0" xfId="0" applyFont="1" applyAlignment="1">
      <alignment horizontal="center"/>
    </xf>
    <xf numFmtId="0" fontId="2" fillId="37" borderId="0" xfId="0" applyFont="1" applyFill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</cellXfs>
  <cellStyles count="53">
    <cellStyle name="20% - Ênfase1" xfId="24" builtinId="30" customBuiltin="1"/>
    <cellStyle name="20% - Ênfase2" xfId="28" builtinId="34" customBuiltin="1"/>
    <cellStyle name="20% - Ênfase3" xfId="32" builtinId="38" customBuiltin="1"/>
    <cellStyle name="20% - Ênfase4" xfId="36" builtinId="42" customBuiltin="1"/>
    <cellStyle name="20% - Ênfase5" xfId="40" builtinId="46" customBuiltin="1"/>
    <cellStyle name="20% - Ênfase6" xfId="44" builtinId="50" customBuiltin="1"/>
    <cellStyle name="40% - Ênfase1" xfId="25" builtinId="31" customBuiltin="1"/>
    <cellStyle name="40% - Ênfase2" xfId="29" builtinId="35" customBuiltin="1"/>
    <cellStyle name="40% - Ênfase3" xfId="33" builtinId="39" customBuiltin="1"/>
    <cellStyle name="40% - Ênfase4" xfId="37" builtinId="43" customBuiltin="1"/>
    <cellStyle name="40% - Ênfase5" xfId="41" builtinId="47" customBuiltin="1"/>
    <cellStyle name="40% - Ênfase6" xfId="45" builtinId="51" customBuiltin="1"/>
    <cellStyle name="60% - Ênfase1" xfId="26" builtinId="32" customBuiltin="1"/>
    <cellStyle name="60% - Ênfase2" xfId="30" builtinId="36" customBuiltin="1"/>
    <cellStyle name="60% - Ênfase3" xfId="34" builtinId="40" customBuiltin="1"/>
    <cellStyle name="60% - Ênfase4" xfId="38" builtinId="44" customBuiltin="1"/>
    <cellStyle name="60% - Ênfase5" xfId="42" builtinId="48" customBuiltin="1"/>
    <cellStyle name="60% - Ênfase6" xfId="46" builtinId="52" customBuiltin="1"/>
    <cellStyle name="Bom" xfId="11" builtinId="26" customBuiltin="1"/>
    <cellStyle name="Cálculo" xfId="16" builtinId="22" customBuiltin="1"/>
    <cellStyle name="Célula de Verificação" xfId="18" builtinId="23" customBuiltin="1"/>
    <cellStyle name="Célula Vinculada" xfId="17" builtinId="24" customBuiltin="1"/>
    <cellStyle name="Ênfase1" xfId="23" builtinId="29" customBuiltin="1"/>
    <cellStyle name="Ênfase2" xfId="27" builtinId="33" customBuiltin="1"/>
    <cellStyle name="Ênfase3" xfId="31" builtinId="37" customBuiltin="1"/>
    <cellStyle name="Ênfase4" xfId="35" builtinId="41" customBuiltin="1"/>
    <cellStyle name="Ênfase5" xfId="39" builtinId="45" customBuiltin="1"/>
    <cellStyle name="Ênfase6" xfId="43" builtinId="49" customBuiltin="1"/>
    <cellStyle name="Entrada" xfId="14" builtinId="20" customBuiltin="1"/>
    <cellStyle name="Incorreto" xfId="12" builtinId="27" customBuiltin="1"/>
    <cellStyle name="Neutra" xfId="13" builtinId="28" customBuiltin="1"/>
    <cellStyle name="Normal" xfId="0" builtinId="0"/>
    <cellStyle name="Normal 2" xfId="48"/>
    <cellStyle name="Nota" xfId="20" builtinId="10" customBuiltin="1"/>
    <cellStyle name="Porcentagem" xfId="1" builtinId="5"/>
    <cellStyle name="Saída" xfId="15" builtinId="21" customBuiltin="1"/>
    <cellStyle name="Texto de Aviso" xfId="19" builtinId="11" customBuiltin="1"/>
    <cellStyle name="Texto Explicativo" xfId="21" builtinId="53" customBuiltin="1"/>
    <cellStyle name="Título" xfId="6" builtinId="15" customBuiltin="1"/>
    <cellStyle name="Título 1" xfId="7" builtinId="16" customBuiltin="1"/>
    <cellStyle name="Título 2" xfId="8" builtinId="17" customBuiltin="1"/>
    <cellStyle name="Título 3" xfId="9" builtinId="18" customBuiltin="1"/>
    <cellStyle name="Título 4" xfId="10" builtinId="19" customBuiltin="1"/>
    <cellStyle name="Total" xfId="22" builtinId="25" customBuiltin="1"/>
    <cellStyle name="Vírgula" xfId="2" builtinId="3"/>
    <cellStyle name="Vírgula 2" xfId="3"/>
    <cellStyle name="Vírgula 3" xfId="5"/>
    <cellStyle name="Vírgula 3 2" xfId="51"/>
    <cellStyle name="Vírgula 4" xfId="4"/>
    <cellStyle name="Vírgula 4 2" xfId="50"/>
    <cellStyle name="Vírgula 5" xfId="47"/>
    <cellStyle name="Vírgula 5 2" xfId="52"/>
    <cellStyle name="Vírgula 6" xfId="4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35625</xdr:colOff>
      <xdr:row>0</xdr:row>
      <xdr:rowOff>0</xdr:rowOff>
    </xdr:from>
    <xdr:to>
      <xdr:col>7</xdr:col>
      <xdr:colOff>77958</xdr:colOff>
      <xdr:row>3</xdr:row>
      <xdr:rowOff>95250</xdr:rowOff>
    </xdr:to>
    <xdr:grpSp>
      <xdr:nvGrpSpPr>
        <xdr:cNvPr id="3" name="Agrupar 9"/>
        <xdr:cNvGrpSpPr/>
      </xdr:nvGrpSpPr>
      <xdr:grpSpPr>
        <a:xfrm>
          <a:off x="646663" y="0"/>
          <a:ext cx="7743205" cy="1784590"/>
          <a:chOff x="-791480" y="139244"/>
          <a:chExt cx="9099032" cy="1806667"/>
        </a:xfrm>
      </xdr:grpSpPr>
      <xdr:pic>
        <xdr:nvPicPr>
          <xdr:cNvPr id="5" name="Imagem 4"/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9494"/>
          <a:stretch/>
        </xdr:blipFill>
        <xdr:spPr bwMode="auto">
          <a:xfrm>
            <a:off x="-300639" y="139244"/>
            <a:ext cx="8030421" cy="1229489"/>
          </a:xfrm>
          <a:prstGeom prst="rect">
            <a:avLst/>
          </a:prstGeom>
          <a:noFill/>
          <a:ln>
            <a:noFill/>
          </a:ln>
          <a:extLst>
            <a:ext uri="{53640926-AAD7-44D8-BBD7-CCE9431645EC}">
              <a14:shadowObscured xmlns:a14="http://schemas.microsoft.com/office/drawing/2010/main"/>
            </a:ext>
          </a:extLst>
        </xdr:spPr>
      </xdr:pic>
      <xdr:pic>
        <xdr:nvPicPr>
          <xdr:cNvPr id="6" name="Imagem 5"/>
          <xdr:cNvPicPr>
            <a:picLocks noChangeAspect="1"/>
          </xdr:cNvPicPr>
        </xdr:nvPicPr>
        <xdr:blipFill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81746"/>
          <a:stretch/>
        </xdr:blipFill>
        <xdr:spPr bwMode="auto">
          <a:xfrm>
            <a:off x="-791480" y="1568807"/>
            <a:ext cx="9099032" cy="377104"/>
          </a:xfrm>
          <a:prstGeom prst="rect">
            <a:avLst/>
          </a:prstGeom>
          <a:noFill/>
          <a:ln>
            <a:noFill/>
          </a:ln>
          <a:extLst>
            <a:ext uri="{53640926-AAD7-44D8-BBD7-CCE9431645EC}">
              <a14:shadowObscured xmlns:a14="http://schemas.microsoft.com/office/drawing/2010/main"/>
            </a:ext>
          </a:extLst>
        </xdr:spPr>
      </xdr:pic>
    </xdr:grpSp>
    <xdr:clientData/>
  </xdr:twoCellAnchor>
  <xdr:oneCellAnchor>
    <xdr:from>
      <xdr:col>1</xdr:col>
      <xdr:colOff>2100768</xdr:colOff>
      <xdr:row>2</xdr:row>
      <xdr:rowOff>343455</xdr:rowOff>
    </xdr:from>
    <xdr:ext cx="3803605" cy="702885"/>
    <xdr:sp macro="" textlink="">
      <xdr:nvSpPr>
        <xdr:cNvPr id="2" name="CaixaDeTexto 1"/>
        <xdr:cNvSpPr txBox="1"/>
      </xdr:nvSpPr>
      <xdr:spPr>
        <a:xfrm>
          <a:off x="2711806" y="954493"/>
          <a:ext cx="3803605" cy="7028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4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pt-BR" sz="14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SECRETARIA MUNICIPAL DE SERVIÇOS URBANOS</a:t>
          </a:r>
        </a:p>
        <a:p>
          <a:endParaRPr lang="pt-B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3</xdr:col>
      <xdr:colOff>944217</xdr:colOff>
      <xdr:row>0</xdr:row>
      <xdr:rowOff>1109871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"/>
          <a:ext cx="7570304" cy="110987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844826</xdr:colOff>
      <xdr:row>1</xdr:row>
      <xdr:rowOff>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470913" cy="107673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753717</xdr:colOff>
      <xdr:row>0</xdr:row>
      <xdr:rowOff>1076739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379804" cy="107673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720587</xdr:colOff>
      <xdr:row>0</xdr:row>
      <xdr:rowOff>1018761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346674" cy="101876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762000</xdr:colOff>
      <xdr:row>0</xdr:row>
      <xdr:rowOff>993912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388087" cy="993912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886239</xdr:colOff>
      <xdr:row>0</xdr:row>
      <xdr:rowOff>944217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512326" cy="94421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3:L535"/>
  <sheetViews>
    <sheetView showGridLines="0" tabSelected="1" topLeftCell="A478" zoomScale="106" zoomScaleNormal="106" workbookViewId="0">
      <selection sqref="A1:G534"/>
    </sheetView>
  </sheetViews>
  <sheetFormatPr defaultRowHeight="24" customHeight="1" x14ac:dyDescent="0.25"/>
  <cols>
    <col min="1" max="1" width="9.140625" style="30"/>
    <col min="2" max="2" width="34.140625" style="30" customWidth="1"/>
    <col min="3" max="3" width="19.28515625" style="30" bestFit="1" customWidth="1"/>
    <col min="4" max="5" width="22.28515625" style="30" bestFit="1" customWidth="1"/>
    <col min="6" max="6" width="18.5703125" style="30" hidden="1" customWidth="1"/>
    <col min="7" max="7" width="17.7109375" style="30" customWidth="1"/>
    <col min="8" max="8" width="11.140625" style="30" customWidth="1"/>
    <col min="9" max="9" width="21.140625" style="30" customWidth="1"/>
    <col min="10" max="10" width="9.140625" style="30"/>
    <col min="11" max="11" width="16.140625" style="30" customWidth="1"/>
    <col min="12" max="16384" width="9.140625" style="30"/>
  </cols>
  <sheetData>
    <row r="3" spans="2:10" ht="84.75" customHeight="1" x14ac:dyDescent="0.25"/>
    <row r="4" spans="2:10" s="190" customFormat="1" ht="18.75" x14ac:dyDescent="0.3">
      <c r="B4" s="275" t="s">
        <v>232</v>
      </c>
      <c r="C4" s="275"/>
      <c r="D4" s="275"/>
      <c r="E4" s="275"/>
      <c r="F4" s="275"/>
      <c r="G4" s="275"/>
      <c r="H4" s="191"/>
      <c r="I4" s="191"/>
      <c r="J4" s="192"/>
    </row>
    <row r="5" spans="2:10" s="190" customFormat="1" ht="18.75" x14ac:dyDescent="0.3">
      <c r="B5" s="256" t="s">
        <v>233</v>
      </c>
      <c r="C5" s="256"/>
      <c r="D5" s="256"/>
      <c r="E5" s="256"/>
      <c r="F5" s="256"/>
      <c r="G5" s="256"/>
      <c r="H5" s="191"/>
      <c r="I5" s="191"/>
      <c r="J5" s="192"/>
    </row>
    <row r="6" spans="2:10" ht="24" hidden="1" customHeight="1" x14ac:dyDescent="0.25">
      <c r="B6" s="237"/>
      <c r="C6" s="237"/>
      <c r="D6" s="237"/>
      <c r="E6" s="237"/>
      <c r="F6" s="237"/>
      <c r="G6" s="237"/>
      <c r="H6" s="236"/>
      <c r="I6" s="236"/>
    </row>
    <row r="7" spans="2:10" ht="24" hidden="1" customHeight="1" x14ac:dyDescent="0.25">
      <c r="B7" s="255" t="s">
        <v>5</v>
      </c>
      <c r="C7" s="255"/>
      <c r="D7" s="255"/>
      <c r="E7" s="255"/>
      <c r="F7" s="255"/>
      <c r="G7" s="255"/>
      <c r="H7" s="255"/>
      <c r="I7" s="255"/>
    </row>
    <row r="8" spans="2:10" ht="40.5" hidden="1" customHeight="1" x14ac:dyDescent="0.25">
      <c r="B8" s="251" t="s">
        <v>236</v>
      </c>
      <c r="C8" s="251"/>
      <c r="D8" s="251"/>
      <c r="E8" s="251"/>
      <c r="F8" s="251"/>
      <c r="G8" s="251"/>
      <c r="H8" s="251"/>
      <c r="I8" s="251"/>
    </row>
    <row r="9" spans="2:10" ht="24" hidden="1" customHeight="1" x14ac:dyDescent="0.25">
      <c r="B9" s="237"/>
      <c r="C9" s="237"/>
      <c r="D9" s="237"/>
      <c r="E9" s="237"/>
      <c r="F9" s="237"/>
      <c r="G9" s="237"/>
      <c r="H9" s="236"/>
      <c r="I9" s="236"/>
    </row>
    <row r="10" spans="2:10" ht="24" hidden="1" customHeight="1" x14ac:dyDescent="0.25">
      <c r="B10" s="249" t="s">
        <v>0</v>
      </c>
      <c r="C10" s="250"/>
      <c r="D10" s="250"/>
      <c r="E10" s="250"/>
      <c r="F10" s="250"/>
      <c r="G10" s="250"/>
      <c r="H10" s="250"/>
      <c r="I10" s="250"/>
    </row>
    <row r="11" spans="2:10" ht="33.75" hidden="1" customHeight="1" x14ac:dyDescent="0.25">
      <c r="B11" s="251" t="s">
        <v>247</v>
      </c>
      <c r="C11" s="251"/>
      <c r="D11" s="251"/>
      <c r="E11" s="251"/>
      <c r="F11" s="251"/>
      <c r="G11" s="251"/>
      <c r="H11" s="251"/>
      <c r="I11" s="251"/>
    </row>
    <row r="12" spans="2:10" ht="24" hidden="1" customHeight="1" thickBot="1" x14ac:dyDescent="0.25"/>
    <row r="13" spans="2:10" ht="24" hidden="1" customHeight="1" thickBot="1" x14ac:dyDescent="0.3">
      <c r="B13" s="252" t="s">
        <v>0</v>
      </c>
      <c r="C13" s="254"/>
    </row>
    <row r="14" spans="2:10" ht="24" hidden="1" customHeight="1" x14ac:dyDescent="0.25">
      <c r="B14" s="1" t="s">
        <v>254</v>
      </c>
      <c r="C14" s="10">
        <v>1899.04</v>
      </c>
    </row>
    <row r="15" spans="2:10" ht="24" hidden="1" customHeight="1" x14ac:dyDescent="0.25">
      <c r="B15" s="4" t="s">
        <v>256</v>
      </c>
      <c r="C15" s="8">
        <v>1282.27</v>
      </c>
    </row>
    <row r="16" spans="2:10" ht="24" hidden="1" customHeight="1" x14ac:dyDescent="0.25">
      <c r="B16" s="4" t="s">
        <v>257</v>
      </c>
      <c r="C16" s="8">
        <v>1899.04</v>
      </c>
    </row>
    <row r="17" spans="2:9" ht="24" hidden="1" customHeight="1" x14ac:dyDescent="0.25">
      <c r="B17" s="4" t="s">
        <v>290</v>
      </c>
      <c r="C17" s="8">
        <v>1899.04</v>
      </c>
    </row>
    <row r="18" spans="2:9" ht="24" hidden="1" customHeight="1" x14ac:dyDescent="0.25">
      <c r="B18" s="4" t="s">
        <v>258</v>
      </c>
      <c r="C18" s="8">
        <v>3404.77</v>
      </c>
    </row>
    <row r="19" spans="2:9" ht="24" hidden="1" customHeight="1" thickBot="1" x14ac:dyDescent="0.3">
      <c r="B19" s="2" t="s">
        <v>259</v>
      </c>
      <c r="C19" s="9">
        <v>5000</v>
      </c>
    </row>
    <row r="20" spans="2:9" ht="24" hidden="1" customHeight="1" x14ac:dyDescent="0.25"/>
    <row r="21" spans="2:9" ht="24" hidden="1" customHeight="1" x14ac:dyDescent="0.25">
      <c r="B21" s="249" t="s">
        <v>136</v>
      </c>
      <c r="C21" s="250"/>
      <c r="D21" s="250"/>
      <c r="E21" s="250"/>
      <c r="F21" s="250"/>
      <c r="G21" s="250"/>
      <c r="H21" s="250"/>
      <c r="I21" s="250"/>
    </row>
    <row r="22" spans="2:9" ht="85.5" hidden="1" customHeight="1" x14ac:dyDescent="0.25">
      <c r="B22" s="251" t="s">
        <v>248</v>
      </c>
      <c r="C22" s="251"/>
      <c r="D22" s="251"/>
      <c r="E22" s="251"/>
      <c r="F22" s="251"/>
      <c r="G22" s="251"/>
      <c r="H22" s="251"/>
      <c r="I22" s="251"/>
    </row>
    <row r="23" spans="2:9" ht="24" hidden="1" customHeight="1" thickBot="1" x14ac:dyDescent="0.25">
      <c r="B23" s="237"/>
      <c r="C23" s="237"/>
      <c r="D23" s="237"/>
      <c r="E23" s="237"/>
      <c r="F23" s="237"/>
      <c r="G23" s="237"/>
    </row>
    <row r="24" spans="2:9" ht="24" hidden="1" customHeight="1" thickBot="1" x14ac:dyDescent="0.3">
      <c r="B24" s="252" t="s">
        <v>136</v>
      </c>
      <c r="C24" s="253"/>
      <c r="D24" s="253"/>
      <c r="E24" s="254"/>
    </row>
    <row r="25" spans="2:9" ht="24" hidden="1" customHeight="1" thickBot="1" x14ac:dyDescent="0.25">
      <c r="B25" s="244" t="s">
        <v>3</v>
      </c>
      <c r="C25" s="245" t="s">
        <v>1</v>
      </c>
      <c r="D25" s="245" t="s">
        <v>2</v>
      </c>
      <c r="E25" s="246"/>
    </row>
    <row r="26" spans="2:9" ht="24" hidden="1" customHeight="1" x14ac:dyDescent="0.25">
      <c r="B26" s="3" t="s">
        <v>254</v>
      </c>
      <c r="C26" s="5">
        <f t="shared" ref="C26:C31" si="0">C14</f>
        <v>1899.04</v>
      </c>
      <c r="D26" s="95">
        <v>0</v>
      </c>
      <c r="E26" s="67">
        <f>C26*D26</f>
        <v>0</v>
      </c>
      <c r="F26" s="236"/>
      <c r="H26" s="236"/>
      <c r="I26" s="236"/>
    </row>
    <row r="27" spans="2:9" ht="24" hidden="1" customHeight="1" x14ac:dyDescent="0.25">
      <c r="B27" s="72" t="str">
        <f>B15</f>
        <v xml:space="preserve">Auxiliar </v>
      </c>
      <c r="C27" s="6">
        <f t="shared" si="0"/>
        <v>1282.27</v>
      </c>
      <c r="D27" s="146">
        <v>0</v>
      </c>
      <c r="E27" s="35">
        <f t="shared" ref="E27:E31" si="1">C27*D27</f>
        <v>0</v>
      </c>
      <c r="F27" s="236"/>
      <c r="H27" s="236"/>
      <c r="I27" s="236"/>
    </row>
    <row r="28" spans="2:9" ht="24" hidden="1" customHeight="1" x14ac:dyDescent="0.25">
      <c r="B28" s="72" t="str">
        <f>B16</f>
        <v>Motorista</v>
      </c>
      <c r="C28" s="6">
        <f t="shared" si="0"/>
        <v>1899.04</v>
      </c>
      <c r="D28" s="146">
        <v>0</v>
      </c>
      <c r="E28" s="35">
        <f t="shared" si="1"/>
        <v>0</v>
      </c>
      <c r="F28" s="236"/>
      <c r="H28" s="236"/>
      <c r="I28" s="236"/>
    </row>
    <row r="29" spans="2:9" ht="24" hidden="1" customHeight="1" x14ac:dyDescent="0.25">
      <c r="B29" s="72" t="s">
        <v>290</v>
      </c>
      <c r="C29" s="6">
        <f t="shared" si="0"/>
        <v>1899.04</v>
      </c>
      <c r="D29" s="146">
        <v>0</v>
      </c>
      <c r="E29" s="35">
        <f t="shared" si="1"/>
        <v>0</v>
      </c>
      <c r="F29" s="236"/>
      <c r="H29" s="236"/>
      <c r="I29" s="236"/>
    </row>
    <row r="30" spans="2:9" ht="24" hidden="1" customHeight="1" x14ac:dyDescent="0.25">
      <c r="B30" s="72" t="str">
        <f>B18</f>
        <v xml:space="preserve">Eletrotécnico </v>
      </c>
      <c r="C30" s="6">
        <f t="shared" si="0"/>
        <v>3404.77</v>
      </c>
      <c r="D30" s="146">
        <v>0</v>
      </c>
      <c r="E30" s="35">
        <f t="shared" si="1"/>
        <v>0</v>
      </c>
      <c r="F30" s="236"/>
      <c r="H30" s="236"/>
      <c r="I30" s="236"/>
    </row>
    <row r="31" spans="2:9" ht="24" hidden="1" customHeight="1" thickBot="1" x14ac:dyDescent="0.3">
      <c r="B31" s="2" t="str">
        <f>B19</f>
        <v>Coordenador</v>
      </c>
      <c r="C31" s="69">
        <f t="shared" si="0"/>
        <v>5000</v>
      </c>
      <c r="D31" s="96">
        <v>0</v>
      </c>
      <c r="E31" s="69">
        <f t="shared" si="1"/>
        <v>0</v>
      </c>
      <c r="F31" s="236"/>
      <c r="H31" s="236"/>
      <c r="I31" s="236"/>
    </row>
    <row r="32" spans="2:9" ht="24" hidden="1" customHeight="1" x14ac:dyDescent="0.25"/>
    <row r="33" spans="2:9" ht="24" hidden="1" customHeight="1" x14ac:dyDescent="0.25">
      <c r="B33" s="249" t="s">
        <v>137</v>
      </c>
      <c r="C33" s="250"/>
      <c r="D33" s="250"/>
      <c r="E33" s="250"/>
      <c r="F33" s="250"/>
      <c r="G33" s="250"/>
      <c r="H33" s="250"/>
      <c r="I33" s="250"/>
    </row>
    <row r="34" spans="2:9" ht="72" hidden="1" customHeight="1" x14ac:dyDescent="0.25">
      <c r="B34" s="251" t="s">
        <v>237</v>
      </c>
      <c r="C34" s="251"/>
      <c r="D34" s="251"/>
      <c r="E34" s="251"/>
      <c r="F34" s="251"/>
      <c r="G34" s="251"/>
      <c r="H34" s="251"/>
      <c r="I34" s="251"/>
    </row>
    <row r="35" spans="2:9" ht="24" hidden="1" customHeight="1" thickBot="1" x14ac:dyDescent="0.25">
      <c r="B35" s="236"/>
      <c r="C35" s="236"/>
      <c r="D35" s="236"/>
      <c r="E35" s="236"/>
      <c r="G35" s="236"/>
    </row>
    <row r="36" spans="2:9" ht="24" hidden="1" customHeight="1" thickBot="1" x14ac:dyDescent="0.3">
      <c r="B36" s="252" t="s">
        <v>264</v>
      </c>
      <c r="C36" s="253"/>
      <c r="D36" s="253"/>
      <c r="E36" s="254"/>
    </row>
    <row r="37" spans="2:9" ht="24" hidden="1" customHeight="1" thickBot="1" x14ac:dyDescent="0.25">
      <c r="B37" s="244" t="s">
        <v>3</v>
      </c>
      <c r="C37" s="245" t="s">
        <v>1</v>
      </c>
      <c r="D37" s="245" t="s">
        <v>2</v>
      </c>
      <c r="E37" s="246" t="s">
        <v>4</v>
      </c>
    </row>
    <row r="38" spans="2:9" ht="24" hidden="1" customHeight="1" x14ac:dyDescent="0.25">
      <c r="B38" s="3" t="s">
        <v>255</v>
      </c>
      <c r="C38" s="5">
        <f>C26</f>
        <v>1899.04</v>
      </c>
      <c r="D38" s="74">
        <v>0.3</v>
      </c>
      <c r="E38" s="7">
        <f t="shared" ref="E38:E43" si="2">C38*D38</f>
        <v>569.71199999999999</v>
      </c>
    </row>
    <row r="39" spans="2:9" ht="24" hidden="1" customHeight="1" x14ac:dyDescent="0.25">
      <c r="B39" s="4" t="s">
        <v>260</v>
      </c>
      <c r="C39" s="180">
        <f>C27</f>
        <v>1282.27</v>
      </c>
      <c r="D39" s="181">
        <f>D38</f>
        <v>0.3</v>
      </c>
      <c r="E39" s="8">
        <f t="shared" si="2"/>
        <v>384.68099999999998</v>
      </c>
    </row>
    <row r="40" spans="2:9" ht="24" hidden="1" customHeight="1" x14ac:dyDescent="0.25">
      <c r="B40" s="4" t="s">
        <v>261</v>
      </c>
      <c r="C40" s="6">
        <f>C28</f>
        <v>1899.04</v>
      </c>
      <c r="D40" s="75">
        <v>0</v>
      </c>
      <c r="E40" s="8">
        <f t="shared" si="2"/>
        <v>0</v>
      </c>
    </row>
    <row r="41" spans="2:9" ht="33" hidden="1" customHeight="1" x14ac:dyDescent="0.25">
      <c r="B41" s="24" t="s">
        <v>289</v>
      </c>
      <c r="C41" s="6">
        <f>C29</f>
        <v>1899.04</v>
      </c>
      <c r="D41" s="151">
        <v>0.3</v>
      </c>
      <c r="E41" s="8">
        <f t="shared" si="2"/>
        <v>569.71199999999999</v>
      </c>
    </row>
    <row r="42" spans="2:9" ht="24" hidden="1" customHeight="1" x14ac:dyDescent="0.25">
      <c r="B42" s="4" t="s">
        <v>262</v>
      </c>
      <c r="C42" s="180">
        <f>ROUND(C30,2)</f>
        <v>3404.77</v>
      </c>
      <c r="D42" s="182">
        <v>0.3</v>
      </c>
      <c r="E42" s="10">
        <f>ROUND(C42*D42,2)</f>
        <v>1021.43</v>
      </c>
    </row>
    <row r="43" spans="2:9" ht="24" hidden="1" customHeight="1" x14ac:dyDescent="0.25">
      <c r="B43" s="4" t="s">
        <v>263</v>
      </c>
      <c r="C43" s="6">
        <f>C31</f>
        <v>5000</v>
      </c>
      <c r="D43" s="75">
        <v>0</v>
      </c>
      <c r="E43" s="8">
        <f t="shared" si="2"/>
        <v>0</v>
      </c>
    </row>
    <row r="44" spans="2:9" ht="24" hidden="1" customHeight="1" x14ac:dyDescent="0.25"/>
    <row r="45" spans="2:9" ht="24" hidden="1" customHeight="1" x14ac:dyDescent="0.25"/>
    <row r="46" spans="2:9" ht="24" hidden="1" customHeight="1" x14ac:dyDescent="0.25"/>
    <row r="47" spans="2:9" ht="24" hidden="1" customHeight="1" x14ac:dyDescent="0.25">
      <c r="B47" s="255" t="s">
        <v>5</v>
      </c>
      <c r="C47" s="255"/>
      <c r="D47" s="255"/>
      <c r="E47" s="255"/>
      <c r="F47" s="255"/>
      <c r="G47" s="255"/>
      <c r="H47" s="255"/>
      <c r="I47" s="255"/>
    </row>
    <row r="48" spans="2:9" ht="42" hidden="1" customHeight="1" x14ac:dyDescent="0.25">
      <c r="B48" s="257" t="s">
        <v>140</v>
      </c>
      <c r="C48" s="257"/>
      <c r="D48" s="257"/>
      <c r="E48" s="257"/>
      <c r="F48" s="257"/>
      <c r="G48" s="257"/>
      <c r="H48" s="257"/>
      <c r="I48" s="257"/>
    </row>
    <row r="49" spans="2:9" ht="30.75" hidden="1" customHeight="1" thickBot="1" x14ac:dyDescent="0.25"/>
    <row r="50" spans="2:9" ht="24" hidden="1" customHeight="1" thickBot="1" x14ac:dyDescent="0.3">
      <c r="B50" s="252" t="s">
        <v>5</v>
      </c>
      <c r="C50" s="253"/>
      <c r="D50" s="253"/>
      <c r="E50" s="253"/>
      <c r="F50" s="253"/>
      <c r="G50" s="253"/>
      <c r="H50" s="254"/>
    </row>
    <row r="51" spans="2:9" ht="48" hidden="1" customHeight="1" thickBot="1" x14ac:dyDescent="0.3">
      <c r="B51" s="232" t="s">
        <v>3</v>
      </c>
      <c r="C51" s="233" t="s">
        <v>8</v>
      </c>
      <c r="D51" s="247" t="s">
        <v>141</v>
      </c>
      <c r="E51" s="247" t="s">
        <v>144</v>
      </c>
      <c r="F51" s="233" t="s">
        <v>7</v>
      </c>
      <c r="G51" s="233" t="s">
        <v>9</v>
      </c>
      <c r="H51" s="234" t="s">
        <v>10</v>
      </c>
    </row>
    <row r="52" spans="2:9" ht="24" hidden="1" customHeight="1" x14ac:dyDescent="0.25">
      <c r="B52" s="3" t="s">
        <v>254</v>
      </c>
      <c r="C52" s="5">
        <f t="shared" ref="C52:C57" si="3">C14</f>
        <v>1899.04</v>
      </c>
      <c r="D52" s="5">
        <f>E26</f>
        <v>0</v>
      </c>
      <c r="E52" s="5">
        <f>E38</f>
        <v>569.71199999999999</v>
      </c>
      <c r="F52" s="71">
        <v>0</v>
      </c>
      <c r="G52" s="88">
        <v>0</v>
      </c>
      <c r="H52" s="7">
        <f t="shared" ref="H52:H57" si="4">SUM(C52:G52)</f>
        <v>2468.752</v>
      </c>
    </row>
    <row r="53" spans="2:9" ht="24" hidden="1" customHeight="1" x14ac:dyDescent="0.25">
      <c r="B53" s="4" t="s">
        <v>265</v>
      </c>
      <c r="C53" s="6">
        <f t="shared" si="3"/>
        <v>1282.27</v>
      </c>
      <c r="D53" s="6">
        <f>E26</f>
        <v>0</v>
      </c>
      <c r="E53" s="6">
        <f>E39</f>
        <v>384.68099999999998</v>
      </c>
      <c r="F53" s="72">
        <v>0</v>
      </c>
      <c r="G53" s="89">
        <v>0</v>
      </c>
      <c r="H53" s="8">
        <f t="shared" si="4"/>
        <v>1666.951</v>
      </c>
    </row>
    <row r="54" spans="2:9" ht="24" hidden="1" customHeight="1" x14ac:dyDescent="0.25">
      <c r="B54" s="4" t="s">
        <v>257</v>
      </c>
      <c r="C54" s="6">
        <f t="shared" si="3"/>
        <v>1899.04</v>
      </c>
      <c r="D54" s="6">
        <f>E26</f>
        <v>0</v>
      </c>
      <c r="E54" s="6">
        <f>E40</f>
        <v>0</v>
      </c>
      <c r="F54" s="72">
        <v>0</v>
      </c>
      <c r="G54" s="89">
        <v>0</v>
      </c>
      <c r="H54" s="8">
        <f t="shared" si="4"/>
        <v>1899.04</v>
      </c>
    </row>
    <row r="55" spans="2:9" ht="24" hidden="1" customHeight="1" x14ac:dyDescent="0.25">
      <c r="B55" s="1" t="s">
        <v>291</v>
      </c>
      <c r="C55" s="6">
        <f t="shared" si="3"/>
        <v>1899.04</v>
      </c>
      <c r="D55" s="6">
        <f>E27</f>
        <v>0</v>
      </c>
      <c r="E55" s="6">
        <f>E41</f>
        <v>569.71199999999999</v>
      </c>
      <c r="F55" s="72">
        <v>0</v>
      </c>
      <c r="G55" s="89">
        <v>0</v>
      </c>
      <c r="H55" s="8">
        <f t="shared" si="4"/>
        <v>2468.752</v>
      </c>
    </row>
    <row r="56" spans="2:9" ht="24" hidden="1" customHeight="1" x14ac:dyDescent="0.25">
      <c r="B56" s="1" t="s">
        <v>266</v>
      </c>
      <c r="C56" s="6">
        <f t="shared" si="3"/>
        <v>3404.77</v>
      </c>
      <c r="D56" s="11">
        <f>E31</f>
        <v>0</v>
      </c>
      <c r="E56" s="11">
        <f>ROUND(E42,2)</f>
        <v>1021.43</v>
      </c>
      <c r="F56" s="72">
        <v>0</v>
      </c>
      <c r="G56" s="89">
        <v>0</v>
      </c>
      <c r="H56" s="10">
        <f t="shared" si="4"/>
        <v>4426.2</v>
      </c>
    </row>
    <row r="57" spans="2:9" ht="24" hidden="1" customHeight="1" thickBot="1" x14ac:dyDescent="0.3">
      <c r="B57" s="2" t="s">
        <v>259</v>
      </c>
      <c r="C57" s="69">
        <f t="shared" si="3"/>
        <v>5000</v>
      </c>
      <c r="D57" s="69">
        <f>E31</f>
        <v>0</v>
      </c>
      <c r="E57" s="69">
        <f>E43</f>
        <v>0</v>
      </c>
      <c r="F57" s="73">
        <v>0</v>
      </c>
      <c r="G57" s="90">
        <v>0</v>
      </c>
      <c r="H57" s="9">
        <f t="shared" si="4"/>
        <v>5000</v>
      </c>
    </row>
    <row r="58" spans="2:9" ht="24" hidden="1" customHeight="1" x14ac:dyDescent="0.25"/>
    <row r="59" spans="2:9" ht="24" hidden="1" customHeight="1" x14ac:dyDescent="0.25">
      <c r="B59" s="255" t="s">
        <v>132</v>
      </c>
      <c r="C59" s="255"/>
      <c r="D59" s="255"/>
      <c r="E59" s="255"/>
      <c r="F59" s="255"/>
      <c r="G59" s="255"/>
      <c r="H59" s="255"/>
      <c r="I59" s="255"/>
    </row>
    <row r="60" spans="2:9" ht="24" hidden="1" customHeight="1" x14ac:dyDescent="0.25"/>
    <row r="61" spans="2:9" ht="24" hidden="1" customHeight="1" x14ac:dyDescent="0.25">
      <c r="B61" s="249" t="s">
        <v>135</v>
      </c>
      <c r="C61" s="250"/>
      <c r="D61" s="250"/>
      <c r="E61" s="250"/>
      <c r="F61" s="250"/>
      <c r="G61" s="250"/>
      <c r="H61" s="250"/>
      <c r="I61" s="250"/>
    </row>
    <row r="62" spans="2:9" ht="15.75" hidden="1" customHeight="1" x14ac:dyDescent="0.25"/>
    <row r="63" spans="2:9" ht="31.5" hidden="1" customHeight="1" thickBot="1" x14ac:dyDescent="0.3">
      <c r="B63" s="258" t="s">
        <v>142</v>
      </c>
      <c r="C63" s="253"/>
      <c r="D63" s="253"/>
      <c r="E63" s="254"/>
      <c r="F63" s="243"/>
    </row>
    <row r="64" spans="2:9" ht="31.5" hidden="1" customHeight="1" x14ac:dyDescent="0.25">
      <c r="B64" s="13" t="s">
        <v>3</v>
      </c>
      <c r="C64" s="14" t="s">
        <v>1</v>
      </c>
      <c r="D64" s="16" t="s">
        <v>134</v>
      </c>
      <c r="E64" s="15" t="s">
        <v>4</v>
      </c>
    </row>
    <row r="65" spans="2:5" ht="24" hidden="1" customHeight="1" x14ac:dyDescent="0.25">
      <c r="B65" s="3" t="s">
        <v>254</v>
      </c>
      <c r="C65" s="5">
        <f t="shared" ref="C65:C70" si="5">H52</f>
        <v>2468.752</v>
      </c>
      <c r="D65" s="83">
        <f>1/12</f>
        <v>8.3333333333333329E-2</v>
      </c>
      <c r="E65" s="7">
        <f>C65*D65</f>
        <v>205.72933333333333</v>
      </c>
    </row>
    <row r="66" spans="2:5" ht="24" hidden="1" customHeight="1" x14ac:dyDescent="0.25">
      <c r="B66" s="4" t="s">
        <v>265</v>
      </c>
      <c r="C66" s="6">
        <f t="shared" si="5"/>
        <v>1666.951</v>
      </c>
      <c r="D66" s="81">
        <f t="shared" ref="D66:D70" si="6">1/12</f>
        <v>8.3333333333333329E-2</v>
      </c>
      <c r="E66" s="8">
        <f t="shared" ref="E66:E70" si="7">C66*D66</f>
        <v>138.91258333333332</v>
      </c>
    </row>
    <row r="67" spans="2:5" ht="24" hidden="1" customHeight="1" x14ac:dyDescent="0.25">
      <c r="B67" s="4" t="s">
        <v>257</v>
      </c>
      <c r="C67" s="6">
        <f t="shared" si="5"/>
        <v>1899.04</v>
      </c>
      <c r="D67" s="81">
        <f t="shared" si="6"/>
        <v>8.3333333333333329E-2</v>
      </c>
      <c r="E67" s="8">
        <f t="shared" si="7"/>
        <v>158.25333333333333</v>
      </c>
    </row>
    <row r="68" spans="2:5" ht="24" hidden="1" customHeight="1" x14ac:dyDescent="0.25">
      <c r="B68" s="1" t="s">
        <v>291</v>
      </c>
      <c r="C68" s="6">
        <f t="shared" si="5"/>
        <v>2468.752</v>
      </c>
      <c r="D68" s="81">
        <f t="shared" si="6"/>
        <v>8.3333333333333329E-2</v>
      </c>
      <c r="E68" s="8">
        <f t="shared" si="7"/>
        <v>205.72933333333333</v>
      </c>
    </row>
    <row r="69" spans="2:5" ht="24" hidden="1" customHeight="1" x14ac:dyDescent="0.25">
      <c r="B69" s="1" t="s">
        <v>266</v>
      </c>
      <c r="C69" s="11">
        <f t="shared" si="5"/>
        <v>4426.2</v>
      </c>
      <c r="D69" s="147">
        <f t="shared" si="6"/>
        <v>8.3333333333333329E-2</v>
      </c>
      <c r="E69" s="10">
        <f t="shared" si="7"/>
        <v>368.84999999999997</v>
      </c>
    </row>
    <row r="70" spans="2:5" ht="24" hidden="1" customHeight="1" thickBot="1" x14ac:dyDescent="0.3">
      <c r="B70" s="2" t="s">
        <v>259</v>
      </c>
      <c r="C70" s="69">
        <f t="shared" si="5"/>
        <v>5000</v>
      </c>
      <c r="D70" s="82">
        <f t="shared" si="6"/>
        <v>8.3333333333333329E-2</v>
      </c>
      <c r="E70" s="9">
        <f t="shared" si="7"/>
        <v>416.66666666666663</v>
      </c>
    </row>
    <row r="71" spans="2:5" ht="15.75" hidden="1" customHeight="1" x14ac:dyDescent="0.25"/>
    <row r="72" spans="2:5" ht="36.75" hidden="1" customHeight="1" thickBot="1" x14ac:dyDescent="0.3">
      <c r="B72" s="258" t="s">
        <v>143</v>
      </c>
      <c r="C72" s="253"/>
      <c r="D72" s="253"/>
      <c r="E72" s="254"/>
    </row>
    <row r="73" spans="2:5" ht="30.75" hidden="1" customHeight="1" thickBot="1" x14ac:dyDescent="0.25">
      <c r="B73" s="13" t="s">
        <v>3</v>
      </c>
      <c r="C73" s="14" t="s">
        <v>1</v>
      </c>
      <c r="D73" s="16" t="s">
        <v>134</v>
      </c>
      <c r="E73" s="15" t="s">
        <v>4</v>
      </c>
    </row>
    <row r="74" spans="2:5" ht="24" hidden="1" customHeight="1" x14ac:dyDescent="0.25">
      <c r="B74" s="3" t="s">
        <v>254</v>
      </c>
      <c r="C74" s="5">
        <f t="shared" ref="C74:C79" si="8">H52</f>
        <v>2468.752</v>
      </c>
      <c r="D74" s="83">
        <f>1/12</f>
        <v>8.3333333333333329E-2</v>
      </c>
      <c r="E74" s="7">
        <f>C74*D74</f>
        <v>205.72933333333333</v>
      </c>
    </row>
    <row r="75" spans="2:5" ht="24" hidden="1" customHeight="1" x14ac:dyDescent="0.25">
      <c r="B75" s="4" t="s">
        <v>265</v>
      </c>
      <c r="C75" s="6">
        <f t="shared" si="8"/>
        <v>1666.951</v>
      </c>
      <c r="D75" s="81">
        <f t="shared" ref="D75:D79" si="9">1/12</f>
        <v>8.3333333333333329E-2</v>
      </c>
      <c r="E75" s="8">
        <f t="shared" ref="E75:E79" si="10">C75*D75</f>
        <v>138.91258333333332</v>
      </c>
    </row>
    <row r="76" spans="2:5" ht="24" hidden="1" customHeight="1" x14ac:dyDescent="0.25">
      <c r="B76" s="4" t="s">
        <v>257</v>
      </c>
      <c r="C76" s="6">
        <f t="shared" si="8"/>
        <v>1899.04</v>
      </c>
      <c r="D76" s="81">
        <f t="shared" si="9"/>
        <v>8.3333333333333329E-2</v>
      </c>
      <c r="E76" s="8">
        <f t="shared" si="10"/>
        <v>158.25333333333333</v>
      </c>
    </row>
    <row r="77" spans="2:5" ht="24" hidden="1" customHeight="1" x14ac:dyDescent="0.25">
      <c r="B77" s="1" t="s">
        <v>291</v>
      </c>
      <c r="C77" s="6">
        <f t="shared" si="8"/>
        <v>2468.752</v>
      </c>
      <c r="D77" s="81">
        <f t="shared" si="9"/>
        <v>8.3333333333333329E-2</v>
      </c>
      <c r="E77" s="8">
        <f t="shared" si="10"/>
        <v>205.72933333333333</v>
      </c>
    </row>
    <row r="78" spans="2:5" ht="24" hidden="1" customHeight="1" x14ac:dyDescent="0.25">
      <c r="B78" s="1" t="s">
        <v>266</v>
      </c>
      <c r="C78" s="11">
        <f t="shared" si="8"/>
        <v>4426.2</v>
      </c>
      <c r="D78" s="147">
        <f t="shared" si="9"/>
        <v>8.3333333333333329E-2</v>
      </c>
      <c r="E78" s="10">
        <f>ROUND(C78*D78,2)</f>
        <v>368.85</v>
      </c>
    </row>
    <row r="79" spans="2:5" ht="24" hidden="1" customHeight="1" x14ac:dyDescent="0.25">
      <c r="B79" s="4" t="s">
        <v>259</v>
      </c>
      <c r="C79" s="6">
        <f t="shared" si="8"/>
        <v>5000</v>
      </c>
      <c r="D79" s="81">
        <f t="shared" si="9"/>
        <v>8.3333333333333329E-2</v>
      </c>
      <c r="E79" s="8">
        <f t="shared" si="10"/>
        <v>416.66666666666663</v>
      </c>
    </row>
    <row r="80" spans="2:5" ht="38.25" hidden="1" customHeight="1" thickBot="1" x14ac:dyDescent="0.25"/>
    <row r="81" spans="2:6" ht="24" hidden="1" customHeight="1" thickBot="1" x14ac:dyDescent="0.3">
      <c r="B81" s="258" t="s">
        <v>11</v>
      </c>
      <c r="C81" s="259"/>
      <c r="D81" s="259"/>
      <c r="E81" s="259"/>
      <c r="F81" s="260"/>
    </row>
    <row r="82" spans="2:6" ht="30" hidden="1" customHeight="1" thickBot="1" x14ac:dyDescent="0.25">
      <c r="B82" s="13" t="s">
        <v>3</v>
      </c>
      <c r="C82" s="14" t="s">
        <v>1</v>
      </c>
      <c r="D82" s="16" t="s">
        <v>12</v>
      </c>
      <c r="E82" s="16" t="s">
        <v>134</v>
      </c>
      <c r="F82" s="15" t="s">
        <v>4</v>
      </c>
    </row>
    <row r="83" spans="2:6" ht="24" hidden="1" customHeight="1" x14ac:dyDescent="0.25">
      <c r="B83" s="3" t="s">
        <v>254</v>
      </c>
      <c r="C83" s="5">
        <f t="shared" ref="C83:C88" si="11">H52</f>
        <v>2468.752</v>
      </c>
      <c r="D83" s="78">
        <f>1/3</f>
        <v>0.33333333333333331</v>
      </c>
      <c r="E83" s="83">
        <f>1/12</f>
        <v>8.3333333333333329E-2</v>
      </c>
      <c r="F83" s="7">
        <f>C83*D83*E83</f>
        <v>68.576444444444434</v>
      </c>
    </row>
    <row r="84" spans="2:6" ht="24" hidden="1" customHeight="1" x14ac:dyDescent="0.25">
      <c r="B84" s="4" t="s">
        <v>265</v>
      </c>
      <c r="C84" s="6">
        <f t="shared" si="11"/>
        <v>1666.951</v>
      </c>
      <c r="D84" s="84">
        <f t="shared" ref="D84:D88" si="12">1/3</f>
        <v>0.33333333333333331</v>
      </c>
      <c r="E84" s="81">
        <f t="shared" ref="E84:E88" si="13">1/12</f>
        <v>8.3333333333333329E-2</v>
      </c>
      <c r="F84" s="8">
        <f>C84*D84*E84</f>
        <v>46.304194444444434</v>
      </c>
    </row>
    <row r="85" spans="2:6" ht="24" hidden="1" customHeight="1" x14ac:dyDescent="0.25">
      <c r="B85" s="4" t="s">
        <v>257</v>
      </c>
      <c r="C85" s="6">
        <f t="shared" si="11"/>
        <v>1899.04</v>
      </c>
      <c r="D85" s="84">
        <f t="shared" si="12"/>
        <v>0.33333333333333331</v>
      </c>
      <c r="E85" s="81">
        <f t="shared" si="13"/>
        <v>8.3333333333333329E-2</v>
      </c>
      <c r="F85" s="8">
        <f>C85*D85*E85</f>
        <v>52.751111111111108</v>
      </c>
    </row>
    <row r="86" spans="2:6" ht="24" hidden="1" customHeight="1" x14ac:dyDescent="0.25">
      <c r="B86" s="1" t="s">
        <v>291</v>
      </c>
      <c r="C86" s="6">
        <f t="shared" si="11"/>
        <v>2468.752</v>
      </c>
      <c r="D86" s="84">
        <f t="shared" si="12"/>
        <v>0.33333333333333331</v>
      </c>
      <c r="E86" s="81">
        <f t="shared" si="13"/>
        <v>8.3333333333333329E-2</v>
      </c>
      <c r="F86" s="8">
        <f>C86*D86*E86</f>
        <v>68.576444444444434</v>
      </c>
    </row>
    <row r="87" spans="2:6" ht="24" hidden="1" customHeight="1" x14ac:dyDescent="0.25">
      <c r="B87" s="1" t="s">
        <v>266</v>
      </c>
      <c r="C87" s="11">
        <f t="shared" si="11"/>
        <v>4426.2</v>
      </c>
      <c r="D87" s="148">
        <f t="shared" si="12"/>
        <v>0.33333333333333331</v>
      </c>
      <c r="E87" s="147">
        <f t="shared" si="13"/>
        <v>8.3333333333333329E-2</v>
      </c>
      <c r="F87" s="10">
        <f>ROUND(C87*D87*E87,2)</f>
        <v>122.95</v>
      </c>
    </row>
    <row r="88" spans="2:6" ht="24" hidden="1" customHeight="1" thickBot="1" x14ac:dyDescent="0.3">
      <c r="B88" s="2" t="s">
        <v>259</v>
      </c>
      <c r="C88" s="69">
        <f t="shared" si="11"/>
        <v>5000</v>
      </c>
      <c r="D88" s="79">
        <f t="shared" si="12"/>
        <v>0.33333333333333331</v>
      </c>
      <c r="E88" s="82">
        <f t="shared" si="13"/>
        <v>8.3333333333333329E-2</v>
      </c>
      <c r="F88" s="9">
        <f>C88*D88*E88</f>
        <v>138.88888888888886</v>
      </c>
    </row>
    <row r="89" spans="2:6" ht="24" hidden="1" customHeight="1" thickBot="1" x14ac:dyDescent="0.25"/>
    <row r="90" spans="2:6" ht="24" hidden="1" customHeight="1" thickBot="1" x14ac:dyDescent="0.3">
      <c r="B90" s="252" t="s">
        <v>135</v>
      </c>
      <c r="C90" s="253"/>
      <c r="D90" s="253"/>
      <c r="E90" s="253"/>
      <c r="F90" s="254"/>
    </row>
    <row r="91" spans="2:6" ht="24" hidden="1" customHeight="1" thickBot="1" x14ac:dyDescent="0.25">
      <c r="B91" s="13" t="s">
        <v>3</v>
      </c>
      <c r="C91" s="14" t="s">
        <v>131</v>
      </c>
      <c r="D91" s="14" t="s">
        <v>130</v>
      </c>
      <c r="E91" s="14" t="s">
        <v>13</v>
      </c>
      <c r="F91" s="15" t="s">
        <v>10</v>
      </c>
    </row>
    <row r="92" spans="2:6" ht="24" hidden="1" customHeight="1" x14ac:dyDescent="0.25">
      <c r="B92" s="3" t="s">
        <v>254</v>
      </c>
      <c r="C92" s="5">
        <f>E65</f>
        <v>205.72933333333333</v>
      </c>
      <c r="D92" s="5">
        <f>E74</f>
        <v>205.72933333333333</v>
      </c>
      <c r="E92" s="5">
        <f>F83</f>
        <v>68.576444444444434</v>
      </c>
      <c r="F92" s="7">
        <f t="shared" ref="F92:F97" si="14">SUM(C92:E92)</f>
        <v>480.03511111111106</v>
      </c>
    </row>
    <row r="93" spans="2:6" ht="24" hidden="1" customHeight="1" x14ac:dyDescent="0.25">
      <c r="B93" s="4" t="s">
        <v>265</v>
      </c>
      <c r="C93" s="6">
        <f>E66</f>
        <v>138.91258333333332</v>
      </c>
      <c r="D93" s="6">
        <f>E75</f>
        <v>138.91258333333332</v>
      </c>
      <c r="E93" s="6">
        <f>F84</f>
        <v>46.304194444444434</v>
      </c>
      <c r="F93" s="8">
        <f t="shared" si="14"/>
        <v>324.12936111111105</v>
      </c>
    </row>
    <row r="94" spans="2:6" ht="24" hidden="1" customHeight="1" x14ac:dyDescent="0.25">
      <c r="B94" s="4" t="s">
        <v>257</v>
      </c>
      <c r="C94" s="6">
        <f>ROUND(E67,2)</f>
        <v>158.25</v>
      </c>
      <c r="D94" s="6">
        <f>ROUND(E76,2)</f>
        <v>158.25</v>
      </c>
      <c r="E94" s="6">
        <f>ROUND(F85,2)</f>
        <v>52.75</v>
      </c>
      <c r="F94" s="8">
        <f t="shared" si="14"/>
        <v>369.25</v>
      </c>
    </row>
    <row r="95" spans="2:6" ht="24" hidden="1" customHeight="1" x14ac:dyDescent="0.25">
      <c r="B95" s="1" t="s">
        <v>291</v>
      </c>
      <c r="C95" s="6">
        <f>ROUND(E68,2)</f>
        <v>205.73</v>
      </c>
      <c r="D95" s="6">
        <f>ROUND(E77,2)</f>
        <v>205.73</v>
      </c>
      <c r="E95" s="6">
        <f>ROUND(F86,2)</f>
        <v>68.58</v>
      </c>
      <c r="F95" s="8">
        <f t="shared" si="14"/>
        <v>480.03999999999996</v>
      </c>
    </row>
    <row r="96" spans="2:6" ht="24" hidden="1" customHeight="1" x14ac:dyDescent="0.25">
      <c r="B96" s="1" t="s">
        <v>266</v>
      </c>
      <c r="C96" s="11">
        <f>ROUND(E69,2)</f>
        <v>368.85</v>
      </c>
      <c r="D96" s="11">
        <f>ROUND(E78,2)</f>
        <v>368.85</v>
      </c>
      <c r="E96" s="11">
        <f>ROUND(F87,2)</f>
        <v>122.95</v>
      </c>
      <c r="F96" s="10">
        <f t="shared" si="14"/>
        <v>860.65000000000009</v>
      </c>
    </row>
    <row r="97" spans="2:9" ht="24" hidden="1" customHeight="1" thickBot="1" x14ac:dyDescent="0.3">
      <c r="B97" s="2" t="s">
        <v>259</v>
      </c>
      <c r="C97" s="69">
        <f>ROUND(E70,2)</f>
        <v>416.67</v>
      </c>
      <c r="D97" s="69">
        <f>ROUND(E79,2)</f>
        <v>416.67</v>
      </c>
      <c r="E97" s="69">
        <f>ROUND(F88,2)</f>
        <v>138.88999999999999</v>
      </c>
      <c r="F97" s="9">
        <f t="shared" si="14"/>
        <v>972.23</v>
      </c>
    </row>
    <row r="98" spans="2:9" ht="24" hidden="1" customHeight="1" x14ac:dyDescent="0.25"/>
    <row r="99" spans="2:9" ht="24" hidden="1" customHeight="1" x14ac:dyDescent="0.25">
      <c r="B99" s="249" t="s">
        <v>15</v>
      </c>
      <c r="C99" s="250"/>
      <c r="D99" s="250"/>
      <c r="E99" s="250"/>
      <c r="F99" s="250"/>
      <c r="G99" s="250"/>
      <c r="H99" s="250"/>
      <c r="I99" s="250"/>
    </row>
    <row r="100" spans="2:9" ht="51.75" hidden="1" customHeight="1" x14ac:dyDescent="0.25">
      <c r="B100" s="251" t="s">
        <v>238</v>
      </c>
      <c r="C100" s="251"/>
      <c r="D100" s="251"/>
      <c r="E100" s="251"/>
      <c r="F100" s="251"/>
      <c r="G100" s="251"/>
      <c r="H100" s="251"/>
      <c r="I100" s="251"/>
    </row>
    <row r="101" spans="2:9" ht="24" hidden="1" customHeight="1" thickBot="1" x14ac:dyDescent="0.25"/>
    <row r="102" spans="2:9" ht="24" hidden="1" customHeight="1" thickBot="1" x14ac:dyDescent="0.3">
      <c r="B102" s="252" t="s">
        <v>16</v>
      </c>
      <c r="C102" s="254"/>
    </row>
    <row r="103" spans="2:9" ht="24" hidden="1" customHeight="1" thickBot="1" x14ac:dyDescent="0.25">
      <c r="B103" s="13" t="s">
        <v>17</v>
      </c>
      <c r="C103" s="15" t="s">
        <v>2</v>
      </c>
    </row>
    <row r="104" spans="2:9" ht="24" hidden="1" customHeight="1" x14ac:dyDescent="0.25">
      <c r="B104" s="3" t="s">
        <v>18</v>
      </c>
      <c r="C104" s="18">
        <v>0.2</v>
      </c>
    </row>
    <row r="105" spans="2:9" ht="24" hidden="1" customHeight="1" x14ac:dyDescent="0.25">
      <c r="B105" s="4" t="s">
        <v>19</v>
      </c>
      <c r="C105" s="17">
        <v>2.5000000000000001E-2</v>
      </c>
    </row>
    <row r="106" spans="2:9" ht="24" hidden="1" customHeight="1" x14ac:dyDescent="0.25">
      <c r="B106" s="4" t="s">
        <v>20</v>
      </c>
      <c r="C106" s="135">
        <v>0.06</v>
      </c>
    </row>
    <row r="107" spans="2:9" ht="24" hidden="1" customHeight="1" x14ac:dyDescent="0.25">
      <c r="B107" s="4" t="s">
        <v>21</v>
      </c>
      <c r="C107" s="17">
        <v>1.4999999999999999E-2</v>
      </c>
    </row>
    <row r="108" spans="2:9" ht="24" hidden="1" customHeight="1" x14ac:dyDescent="0.25">
      <c r="B108" s="4" t="s">
        <v>22</v>
      </c>
      <c r="C108" s="17">
        <v>0.01</v>
      </c>
    </row>
    <row r="109" spans="2:9" ht="24" hidden="1" customHeight="1" x14ac:dyDescent="0.25">
      <c r="B109" s="4" t="s">
        <v>23</v>
      </c>
      <c r="C109" s="17">
        <v>6.0000000000000001E-3</v>
      </c>
    </row>
    <row r="110" spans="2:9" ht="24" hidden="1" customHeight="1" x14ac:dyDescent="0.25">
      <c r="B110" s="4" t="s">
        <v>24</v>
      </c>
      <c r="C110" s="17">
        <v>2E-3</v>
      </c>
    </row>
    <row r="111" spans="2:9" ht="24" hidden="1" customHeight="1" thickBot="1" x14ac:dyDescent="0.3">
      <c r="B111" s="2" t="s">
        <v>25</v>
      </c>
      <c r="C111" s="19">
        <v>0.08</v>
      </c>
    </row>
    <row r="112" spans="2:9" ht="24" hidden="1" customHeight="1" thickBot="1" x14ac:dyDescent="0.3">
      <c r="B112" s="140" t="s">
        <v>26</v>
      </c>
      <c r="C112" s="141">
        <f>SUM(C104:C111)</f>
        <v>0.39800000000000008</v>
      </c>
    </row>
    <row r="113" spans="2:5" ht="24" hidden="1" customHeight="1" thickBot="1" x14ac:dyDescent="0.25"/>
    <row r="114" spans="2:5" ht="24" hidden="1" customHeight="1" thickBot="1" x14ac:dyDescent="0.3">
      <c r="B114" s="252" t="s">
        <v>27</v>
      </c>
      <c r="C114" s="253"/>
      <c r="D114" s="253"/>
      <c r="E114" s="254"/>
    </row>
    <row r="115" spans="2:5" ht="24" hidden="1" customHeight="1" thickBot="1" x14ac:dyDescent="0.25">
      <c r="B115" s="13" t="s">
        <v>3</v>
      </c>
      <c r="C115" s="14" t="s">
        <v>1</v>
      </c>
      <c r="D115" s="14" t="s">
        <v>2</v>
      </c>
      <c r="E115" s="15" t="s">
        <v>4</v>
      </c>
    </row>
    <row r="116" spans="2:5" ht="24" hidden="1" customHeight="1" x14ac:dyDescent="0.25">
      <c r="B116" s="3" t="s">
        <v>254</v>
      </c>
      <c r="C116" s="5">
        <f>H52+F92</f>
        <v>2948.7871111111108</v>
      </c>
      <c r="D116" s="142">
        <f>SUM($C$104:$C$110)</f>
        <v>0.31800000000000006</v>
      </c>
      <c r="E116" s="7">
        <f>C116*D116</f>
        <v>937.71430133333342</v>
      </c>
    </row>
    <row r="117" spans="2:5" ht="24" hidden="1" customHeight="1" x14ac:dyDescent="0.25">
      <c r="B117" s="4" t="s">
        <v>265</v>
      </c>
      <c r="C117" s="6">
        <f>H53+F93</f>
        <v>1991.080361111111</v>
      </c>
      <c r="D117" s="143">
        <f t="shared" ref="D117:D121" si="15">SUM($C$104:$C$110)</f>
        <v>0.31800000000000006</v>
      </c>
      <c r="E117" s="8">
        <f t="shared" ref="E117:E121" si="16">C117*D117</f>
        <v>633.16355483333336</v>
      </c>
    </row>
    <row r="118" spans="2:5" ht="24" hidden="1" customHeight="1" x14ac:dyDescent="0.25">
      <c r="B118" s="4" t="s">
        <v>257</v>
      </c>
      <c r="C118" s="6">
        <f>H54+F94</f>
        <v>2268.29</v>
      </c>
      <c r="D118" s="143">
        <f t="shared" si="15"/>
        <v>0.31800000000000006</v>
      </c>
      <c r="E118" s="8">
        <f t="shared" si="16"/>
        <v>721.31622000000016</v>
      </c>
    </row>
    <row r="119" spans="2:5" ht="24" hidden="1" customHeight="1" x14ac:dyDescent="0.25">
      <c r="B119" s="1" t="s">
        <v>291</v>
      </c>
      <c r="C119" s="6">
        <f>H55+F95</f>
        <v>2948.7919999999999</v>
      </c>
      <c r="D119" s="143">
        <f t="shared" si="15"/>
        <v>0.31800000000000006</v>
      </c>
      <c r="E119" s="8">
        <f t="shared" si="16"/>
        <v>937.71585600000014</v>
      </c>
    </row>
    <row r="120" spans="2:5" ht="24" hidden="1" customHeight="1" x14ac:dyDescent="0.25">
      <c r="B120" s="1" t="s">
        <v>266</v>
      </c>
      <c r="C120" s="11">
        <f>ROUND(H56+F96,2)</f>
        <v>5286.85</v>
      </c>
      <c r="D120" s="149">
        <f t="shared" si="15"/>
        <v>0.31800000000000006</v>
      </c>
      <c r="E120" s="10">
        <f>ROUND(C120*D120,2)</f>
        <v>1681.22</v>
      </c>
    </row>
    <row r="121" spans="2:5" ht="24" hidden="1" customHeight="1" thickBot="1" x14ac:dyDescent="0.3">
      <c r="B121" s="2" t="s">
        <v>259</v>
      </c>
      <c r="C121" s="69">
        <f>H57+F97</f>
        <v>5972.23</v>
      </c>
      <c r="D121" s="144">
        <f t="shared" si="15"/>
        <v>0.31800000000000006</v>
      </c>
      <c r="E121" s="9">
        <f t="shared" si="16"/>
        <v>1899.1691400000002</v>
      </c>
    </row>
    <row r="122" spans="2:5" ht="24" hidden="1" customHeight="1" thickBot="1" x14ac:dyDescent="0.25"/>
    <row r="123" spans="2:5" ht="24" hidden="1" customHeight="1" thickBot="1" x14ac:dyDescent="0.3">
      <c r="B123" s="252" t="s">
        <v>28</v>
      </c>
      <c r="C123" s="253"/>
      <c r="D123" s="253"/>
      <c r="E123" s="254"/>
    </row>
    <row r="124" spans="2:5" ht="24" hidden="1" customHeight="1" thickBot="1" x14ac:dyDescent="0.25">
      <c r="B124" s="13" t="s">
        <v>3</v>
      </c>
      <c r="C124" s="14" t="s">
        <v>1</v>
      </c>
      <c r="D124" s="14" t="s">
        <v>2</v>
      </c>
      <c r="E124" s="15" t="s">
        <v>4</v>
      </c>
    </row>
    <row r="125" spans="2:5" ht="24" hidden="1" customHeight="1" x14ac:dyDescent="0.25">
      <c r="B125" s="3" t="s">
        <v>254</v>
      </c>
      <c r="C125" s="5">
        <f>H52+F92</f>
        <v>2948.7871111111108</v>
      </c>
      <c r="D125" s="83">
        <f>$C$111</f>
        <v>0.08</v>
      </c>
      <c r="E125" s="7">
        <f>C125*D125</f>
        <v>235.90296888888886</v>
      </c>
    </row>
    <row r="126" spans="2:5" ht="24" hidden="1" customHeight="1" x14ac:dyDescent="0.25">
      <c r="B126" s="4" t="s">
        <v>265</v>
      </c>
      <c r="C126" s="6">
        <f>H53+F93</f>
        <v>1991.080361111111</v>
      </c>
      <c r="D126" s="81">
        <f t="shared" ref="D126:D130" si="17">$C$111</f>
        <v>0.08</v>
      </c>
      <c r="E126" s="8">
        <f t="shared" ref="E126:E130" si="18">C126*D126</f>
        <v>159.28642888888888</v>
      </c>
    </row>
    <row r="127" spans="2:5" ht="24" hidden="1" customHeight="1" x14ac:dyDescent="0.25">
      <c r="B127" s="4" t="s">
        <v>257</v>
      </c>
      <c r="C127" s="6">
        <f>H54+F94</f>
        <v>2268.29</v>
      </c>
      <c r="D127" s="81">
        <f t="shared" si="17"/>
        <v>0.08</v>
      </c>
      <c r="E127" s="8">
        <f t="shared" si="18"/>
        <v>181.4632</v>
      </c>
    </row>
    <row r="128" spans="2:5" ht="24" hidden="1" customHeight="1" x14ac:dyDescent="0.25">
      <c r="B128" s="1" t="s">
        <v>291</v>
      </c>
      <c r="C128" s="6">
        <f>H55+F95</f>
        <v>2948.7919999999999</v>
      </c>
      <c r="D128" s="81">
        <f t="shared" si="17"/>
        <v>0.08</v>
      </c>
      <c r="E128" s="8">
        <f t="shared" si="18"/>
        <v>235.90335999999999</v>
      </c>
    </row>
    <row r="129" spans="2:9" ht="24" hidden="1" customHeight="1" x14ac:dyDescent="0.25">
      <c r="B129" s="1" t="s">
        <v>266</v>
      </c>
      <c r="C129" s="11">
        <f>ROUND(H56+F96,2)</f>
        <v>5286.85</v>
      </c>
      <c r="D129" s="147">
        <f t="shared" si="17"/>
        <v>0.08</v>
      </c>
      <c r="E129" s="10">
        <f>ROUND(C129*D129,2)</f>
        <v>422.95</v>
      </c>
    </row>
    <row r="130" spans="2:9" ht="24" hidden="1" customHeight="1" thickBot="1" x14ac:dyDescent="0.3">
      <c r="B130" s="2" t="s">
        <v>259</v>
      </c>
      <c r="C130" s="69">
        <f>H57+F97</f>
        <v>5972.23</v>
      </c>
      <c r="D130" s="82">
        <f t="shared" si="17"/>
        <v>0.08</v>
      </c>
      <c r="E130" s="9">
        <f t="shared" si="18"/>
        <v>477.77839999999998</v>
      </c>
    </row>
    <row r="131" spans="2:9" ht="24" hidden="1" customHeight="1" thickBot="1" x14ac:dyDescent="0.25"/>
    <row r="132" spans="2:9" ht="24" hidden="1" customHeight="1" thickBot="1" x14ac:dyDescent="0.3">
      <c r="B132" s="252" t="s">
        <v>15</v>
      </c>
      <c r="C132" s="253"/>
      <c r="D132" s="253"/>
      <c r="E132" s="254"/>
    </row>
    <row r="133" spans="2:9" ht="24" hidden="1" customHeight="1" thickBot="1" x14ac:dyDescent="0.25">
      <c r="B133" s="13" t="s">
        <v>3</v>
      </c>
      <c r="C133" s="14" t="s">
        <v>29</v>
      </c>
      <c r="D133" s="14" t="s">
        <v>25</v>
      </c>
      <c r="E133" s="15" t="s">
        <v>10</v>
      </c>
    </row>
    <row r="134" spans="2:9" ht="24" hidden="1" customHeight="1" x14ac:dyDescent="0.25">
      <c r="B134" s="3" t="s">
        <v>254</v>
      </c>
      <c r="C134" s="5">
        <f t="shared" ref="C134:C139" si="19">E116</f>
        <v>937.71430133333342</v>
      </c>
      <c r="D134" s="5">
        <f t="shared" ref="D134:D139" si="20">E125</f>
        <v>235.90296888888886</v>
      </c>
      <c r="E134" s="7">
        <f>C134+D134</f>
        <v>1173.6172702222223</v>
      </c>
    </row>
    <row r="135" spans="2:9" ht="24" hidden="1" customHeight="1" x14ac:dyDescent="0.25">
      <c r="B135" s="4" t="s">
        <v>265</v>
      </c>
      <c r="C135" s="6">
        <f t="shared" si="19"/>
        <v>633.16355483333336</v>
      </c>
      <c r="D135" s="6">
        <f t="shared" si="20"/>
        <v>159.28642888888888</v>
      </c>
      <c r="E135" s="8">
        <f t="shared" ref="E135:E139" si="21">C135+D135</f>
        <v>792.44998372222221</v>
      </c>
    </row>
    <row r="136" spans="2:9" ht="24" hidden="1" customHeight="1" x14ac:dyDescent="0.25">
      <c r="B136" s="4" t="s">
        <v>257</v>
      </c>
      <c r="C136" s="6">
        <f t="shared" si="19"/>
        <v>721.31622000000016</v>
      </c>
      <c r="D136" s="6">
        <f t="shared" si="20"/>
        <v>181.4632</v>
      </c>
      <c r="E136" s="8">
        <f t="shared" si="21"/>
        <v>902.77942000000019</v>
      </c>
    </row>
    <row r="137" spans="2:9" ht="24" hidden="1" customHeight="1" x14ac:dyDescent="0.25">
      <c r="B137" s="1" t="s">
        <v>291</v>
      </c>
      <c r="C137" s="6">
        <f t="shared" si="19"/>
        <v>937.71585600000014</v>
      </c>
      <c r="D137" s="6">
        <f t="shared" si="20"/>
        <v>235.90335999999999</v>
      </c>
      <c r="E137" s="8">
        <f t="shared" si="21"/>
        <v>1173.6192160000001</v>
      </c>
    </row>
    <row r="138" spans="2:9" ht="24" hidden="1" customHeight="1" x14ac:dyDescent="0.25">
      <c r="B138" s="1" t="s">
        <v>266</v>
      </c>
      <c r="C138" s="11">
        <f t="shared" si="19"/>
        <v>1681.22</v>
      </c>
      <c r="D138" s="11">
        <f t="shared" si="20"/>
        <v>422.95</v>
      </c>
      <c r="E138" s="10">
        <f>ROUND(C138+D138,2)</f>
        <v>2104.17</v>
      </c>
    </row>
    <row r="139" spans="2:9" ht="24" hidden="1" customHeight="1" thickBot="1" x14ac:dyDescent="0.3">
      <c r="B139" s="2" t="s">
        <v>259</v>
      </c>
      <c r="C139" s="69">
        <f t="shared" si="19"/>
        <v>1899.1691400000002</v>
      </c>
      <c r="D139" s="69">
        <f t="shared" si="20"/>
        <v>477.77839999999998</v>
      </c>
      <c r="E139" s="9">
        <f t="shared" si="21"/>
        <v>2376.9475400000001</v>
      </c>
    </row>
    <row r="140" spans="2:9" ht="24" hidden="1" customHeight="1" x14ac:dyDescent="0.25"/>
    <row r="141" spans="2:9" ht="24" hidden="1" customHeight="1" x14ac:dyDescent="0.25">
      <c r="B141" s="249" t="s">
        <v>30</v>
      </c>
      <c r="C141" s="250"/>
      <c r="D141" s="250"/>
      <c r="E141" s="250"/>
      <c r="F141" s="250"/>
      <c r="G141" s="250"/>
      <c r="H141" s="250"/>
      <c r="I141" s="250"/>
    </row>
    <row r="142" spans="2:9" ht="72.75" hidden="1" customHeight="1" x14ac:dyDescent="0.25">
      <c r="B142" s="251" t="s">
        <v>239</v>
      </c>
      <c r="C142" s="251"/>
      <c r="D142" s="251"/>
      <c r="E142" s="251"/>
      <c r="F142" s="251"/>
      <c r="G142" s="251"/>
      <c r="H142" s="251"/>
      <c r="I142" s="251"/>
    </row>
    <row r="143" spans="2:9" ht="24" hidden="1" customHeight="1" x14ac:dyDescent="0.25">
      <c r="B143" s="29" t="s">
        <v>31</v>
      </c>
      <c r="C143" s="29"/>
      <c r="D143" s="29"/>
      <c r="E143" s="29"/>
      <c r="F143" s="29"/>
      <c r="G143" s="29"/>
      <c r="H143" s="236"/>
    </row>
    <row r="144" spans="2:9" ht="36" hidden="1" customHeight="1" thickBot="1" x14ac:dyDescent="0.25"/>
    <row r="145" spans="2:6" ht="24" hidden="1" customHeight="1" thickBot="1" x14ac:dyDescent="0.3">
      <c r="B145" s="252" t="s">
        <v>36</v>
      </c>
      <c r="C145" s="253"/>
      <c r="D145" s="253"/>
      <c r="E145" s="253"/>
      <c r="F145" s="254"/>
    </row>
    <row r="146" spans="2:6" ht="31.5" hidden="1" customHeight="1" x14ac:dyDescent="0.25">
      <c r="B146" s="13" t="s">
        <v>3</v>
      </c>
      <c r="C146" s="14" t="s">
        <v>32</v>
      </c>
      <c r="D146" s="14" t="s">
        <v>33</v>
      </c>
      <c r="E146" s="16" t="s">
        <v>35</v>
      </c>
      <c r="F146" s="15" t="s">
        <v>34</v>
      </c>
    </row>
    <row r="147" spans="2:6" ht="24" hidden="1" customHeight="1" x14ac:dyDescent="0.25">
      <c r="B147" s="3" t="s">
        <v>254</v>
      </c>
      <c r="C147" s="5">
        <v>3.3</v>
      </c>
      <c r="D147" s="20">
        <v>2</v>
      </c>
      <c r="E147" s="20">
        <v>26</v>
      </c>
      <c r="F147" s="7">
        <f t="shared" ref="F147:F152" si="22">C147*D147*E147</f>
        <v>171.6</v>
      </c>
    </row>
    <row r="148" spans="2:6" ht="24" hidden="1" customHeight="1" x14ac:dyDescent="0.25">
      <c r="B148" s="4" t="s">
        <v>265</v>
      </c>
      <c r="C148" s="6">
        <f>C147</f>
        <v>3.3</v>
      </c>
      <c r="D148" s="21">
        <f t="shared" ref="D148:D152" si="23">D147</f>
        <v>2</v>
      </c>
      <c r="E148" s="21">
        <v>26</v>
      </c>
      <c r="F148" s="8">
        <f t="shared" si="22"/>
        <v>171.6</v>
      </c>
    </row>
    <row r="149" spans="2:6" ht="24" hidden="1" customHeight="1" x14ac:dyDescent="0.25">
      <c r="B149" s="4" t="s">
        <v>257</v>
      </c>
      <c r="C149" s="6">
        <f>C148</f>
        <v>3.3</v>
      </c>
      <c r="D149" s="21">
        <f t="shared" si="23"/>
        <v>2</v>
      </c>
      <c r="E149" s="21">
        <v>26</v>
      </c>
      <c r="F149" s="8">
        <f t="shared" si="22"/>
        <v>171.6</v>
      </c>
    </row>
    <row r="150" spans="2:6" ht="24" hidden="1" customHeight="1" x14ac:dyDescent="0.25">
      <c r="B150" s="1" t="s">
        <v>291</v>
      </c>
      <c r="C150" s="6">
        <f>C149</f>
        <v>3.3</v>
      </c>
      <c r="D150" s="21">
        <f t="shared" si="23"/>
        <v>2</v>
      </c>
      <c r="E150" s="21">
        <v>26</v>
      </c>
      <c r="F150" s="8">
        <f t="shared" si="22"/>
        <v>171.6</v>
      </c>
    </row>
    <row r="151" spans="2:6" ht="24" hidden="1" customHeight="1" x14ac:dyDescent="0.25">
      <c r="B151" s="1" t="s">
        <v>266</v>
      </c>
      <c r="C151" s="11">
        <f>C149</f>
        <v>3.3</v>
      </c>
      <c r="D151" s="150">
        <f>D149</f>
        <v>2</v>
      </c>
      <c r="E151" s="150">
        <v>26</v>
      </c>
      <c r="F151" s="10">
        <f t="shared" si="22"/>
        <v>171.6</v>
      </c>
    </row>
    <row r="152" spans="2:6" ht="24" hidden="1" customHeight="1" x14ac:dyDescent="0.25">
      <c r="B152" s="4" t="s">
        <v>259</v>
      </c>
      <c r="C152" s="6">
        <f>C151</f>
        <v>3.3</v>
      </c>
      <c r="D152" s="21">
        <f t="shared" si="23"/>
        <v>2</v>
      </c>
      <c r="E152" s="21">
        <v>26</v>
      </c>
      <c r="F152" s="8">
        <f t="shared" si="22"/>
        <v>171.6</v>
      </c>
    </row>
    <row r="153" spans="2:6" ht="24" hidden="1" customHeight="1" thickBot="1" x14ac:dyDescent="0.25"/>
    <row r="154" spans="2:6" ht="24" hidden="1" customHeight="1" thickBot="1" x14ac:dyDescent="0.3">
      <c r="B154" s="252" t="s">
        <v>40</v>
      </c>
      <c r="C154" s="253"/>
      <c r="D154" s="253"/>
      <c r="E154" s="253"/>
      <c r="F154" s="254"/>
    </row>
    <row r="155" spans="2:6" ht="24" hidden="1" customHeight="1" thickBot="1" x14ac:dyDescent="0.25">
      <c r="B155" s="13" t="s">
        <v>3</v>
      </c>
      <c r="C155" s="14" t="s">
        <v>1</v>
      </c>
      <c r="D155" s="14" t="s">
        <v>37</v>
      </c>
      <c r="E155" s="14" t="s">
        <v>2</v>
      </c>
      <c r="F155" s="15" t="s">
        <v>38</v>
      </c>
    </row>
    <row r="156" spans="2:6" ht="24" hidden="1" customHeight="1" x14ac:dyDescent="0.25">
      <c r="B156" s="3" t="s">
        <v>254</v>
      </c>
      <c r="C156" s="5">
        <f t="shared" ref="C156:C161" si="24">C14</f>
        <v>1899.04</v>
      </c>
      <c r="D156" s="74">
        <v>1</v>
      </c>
      <c r="E156" s="74">
        <v>0.06</v>
      </c>
      <c r="F156" s="7">
        <f t="shared" ref="F156:F161" si="25">C156*D156*E156</f>
        <v>113.94239999999999</v>
      </c>
    </row>
    <row r="157" spans="2:6" ht="24" hidden="1" customHeight="1" x14ac:dyDescent="0.25">
      <c r="B157" s="4" t="s">
        <v>265</v>
      </c>
      <c r="C157" s="6">
        <f t="shared" si="24"/>
        <v>1282.27</v>
      </c>
      <c r="D157" s="75">
        <v>1</v>
      </c>
      <c r="E157" s="75">
        <v>0.06</v>
      </c>
      <c r="F157" s="8">
        <f t="shared" si="25"/>
        <v>76.936199999999999</v>
      </c>
    </row>
    <row r="158" spans="2:6" ht="24" hidden="1" customHeight="1" x14ac:dyDescent="0.25">
      <c r="B158" s="4" t="s">
        <v>257</v>
      </c>
      <c r="C158" s="6">
        <f t="shared" si="24"/>
        <v>1899.04</v>
      </c>
      <c r="D158" s="75">
        <v>1</v>
      </c>
      <c r="E158" s="75">
        <v>0.06</v>
      </c>
      <c r="F158" s="8">
        <f t="shared" si="25"/>
        <v>113.94239999999999</v>
      </c>
    </row>
    <row r="159" spans="2:6" ht="24" hidden="1" customHeight="1" x14ac:dyDescent="0.25">
      <c r="B159" s="1" t="s">
        <v>291</v>
      </c>
      <c r="C159" s="6">
        <f t="shared" si="24"/>
        <v>1899.04</v>
      </c>
      <c r="D159" s="75">
        <v>1</v>
      </c>
      <c r="E159" s="75">
        <v>0.06</v>
      </c>
      <c r="F159" s="8">
        <f t="shared" si="25"/>
        <v>113.94239999999999</v>
      </c>
    </row>
    <row r="160" spans="2:6" ht="24" hidden="1" customHeight="1" x14ac:dyDescent="0.25">
      <c r="B160" s="1" t="s">
        <v>266</v>
      </c>
      <c r="C160" s="6">
        <f t="shared" si="24"/>
        <v>3404.77</v>
      </c>
      <c r="D160" s="151">
        <v>1</v>
      </c>
      <c r="E160" s="151">
        <v>0.06</v>
      </c>
      <c r="F160" s="10">
        <f t="shared" si="25"/>
        <v>204.28619999999998</v>
      </c>
    </row>
    <row r="161" spans="2:8" ht="24" hidden="1" customHeight="1" thickBot="1" x14ac:dyDescent="0.3">
      <c r="B161" s="4" t="s">
        <v>259</v>
      </c>
      <c r="C161" s="69">
        <f t="shared" si="24"/>
        <v>5000</v>
      </c>
      <c r="D161" s="75">
        <v>1</v>
      </c>
      <c r="E161" s="75">
        <v>0.06</v>
      </c>
      <c r="F161" s="8">
        <f t="shared" si="25"/>
        <v>300</v>
      </c>
    </row>
    <row r="162" spans="2:8" ht="24" hidden="1" customHeight="1" thickBot="1" x14ac:dyDescent="0.25"/>
    <row r="163" spans="2:8" ht="24" hidden="1" customHeight="1" thickBot="1" x14ac:dyDescent="0.3">
      <c r="B163" s="252" t="s">
        <v>42</v>
      </c>
      <c r="C163" s="253"/>
      <c r="D163" s="253"/>
      <c r="E163" s="254"/>
    </row>
    <row r="164" spans="2:8" ht="24" hidden="1" customHeight="1" thickBot="1" x14ac:dyDescent="0.25">
      <c r="B164" s="13" t="s">
        <v>3</v>
      </c>
      <c r="C164" s="14" t="s">
        <v>34</v>
      </c>
      <c r="D164" s="14" t="s">
        <v>39</v>
      </c>
      <c r="E164" s="15" t="s">
        <v>41</v>
      </c>
    </row>
    <row r="165" spans="2:8" ht="24" hidden="1" customHeight="1" x14ac:dyDescent="0.25">
      <c r="B165" s="3" t="s">
        <v>254</v>
      </c>
      <c r="C165" s="5">
        <f t="shared" ref="C165:C170" si="26">F147</f>
        <v>171.6</v>
      </c>
      <c r="D165" s="5">
        <f t="shared" ref="D165:D170" si="27">F156</f>
        <v>113.94239999999999</v>
      </c>
      <c r="E165" s="7">
        <f>C165-D165</f>
        <v>57.657600000000002</v>
      </c>
    </row>
    <row r="166" spans="2:8" ht="24" hidden="1" customHeight="1" x14ac:dyDescent="0.25">
      <c r="B166" s="4" t="s">
        <v>265</v>
      </c>
      <c r="C166" s="6">
        <f t="shared" si="26"/>
        <v>171.6</v>
      </c>
      <c r="D166" s="6">
        <f t="shared" si="27"/>
        <v>76.936199999999999</v>
      </c>
      <c r="E166" s="8">
        <f t="shared" ref="E166:E168" si="28">C166-D166</f>
        <v>94.663799999999995</v>
      </c>
    </row>
    <row r="167" spans="2:8" ht="24" hidden="1" customHeight="1" x14ac:dyDescent="0.25">
      <c r="B167" s="4" t="s">
        <v>257</v>
      </c>
      <c r="C167" s="6">
        <f t="shared" si="26"/>
        <v>171.6</v>
      </c>
      <c r="D167" s="6">
        <f t="shared" si="27"/>
        <v>113.94239999999999</v>
      </c>
      <c r="E167" s="8">
        <f t="shared" si="28"/>
        <v>57.657600000000002</v>
      </c>
    </row>
    <row r="168" spans="2:8" ht="24" hidden="1" customHeight="1" x14ac:dyDescent="0.25">
      <c r="B168" s="1" t="s">
        <v>292</v>
      </c>
      <c r="C168" s="6">
        <f t="shared" si="26"/>
        <v>171.6</v>
      </c>
      <c r="D168" s="6">
        <f t="shared" si="27"/>
        <v>113.94239999999999</v>
      </c>
      <c r="E168" s="8">
        <f t="shared" si="28"/>
        <v>57.657600000000002</v>
      </c>
    </row>
    <row r="169" spans="2:8" ht="24" hidden="1" customHeight="1" x14ac:dyDescent="0.25">
      <c r="B169" s="1" t="s">
        <v>266</v>
      </c>
      <c r="C169" s="11">
        <f t="shared" si="26"/>
        <v>171.6</v>
      </c>
      <c r="D169" s="11">
        <f t="shared" si="27"/>
        <v>204.28619999999998</v>
      </c>
      <c r="E169" s="10">
        <v>0</v>
      </c>
    </row>
    <row r="170" spans="2:8" ht="24" hidden="1" customHeight="1" thickBot="1" x14ac:dyDescent="0.3">
      <c r="B170" s="2" t="s">
        <v>259</v>
      </c>
      <c r="C170" s="69">
        <f t="shared" si="26"/>
        <v>171.6</v>
      </c>
      <c r="D170" s="69">
        <f t="shared" si="27"/>
        <v>300</v>
      </c>
      <c r="E170" s="9">
        <f>0</f>
        <v>0</v>
      </c>
    </row>
    <row r="171" spans="2:8" ht="24" hidden="1" customHeight="1" x14ac:dyDescent="0.25"/>
    <row r="172" spans="2:8" ht="24" hidden="1" customHeight="1" x14ac:dyDescent="0.25">
      <c r="B172" s="29" t="s">
        <v>43</v>
      </c>
      <c r="C172" s="29"/>
      <c r="D172" s="29"/>
      <c r="E172" s="29"/>
      <c r="F172" s="29"/>
      <c r="G172" s="29"/>
      <c r="H172" s="236"/>
    </row>
    <row r="173" spans="2:8" ht="31.5" hidden="1" customHeight="1" thickBot="1" x14ac:dyDescent="0.25"/>
    <row r="174" spans="2:8" ht="24" hidden="1" customHeight="1" thickBot="1" x14ac:dyDescent="0.3">
      <c r="B174" s="252" t="s">
        <v>43</v>
      </c>
      <c r="C174" s="253"/>
      <c r="D174" s="253"/>
      <c r="E174" s="254"/>
    </row>
    <row r="175" spans="2:8" ht="29.25" hidden="1" customHeight="1" thickBot="1" x14ac:dyDescent="0.25">
      <c r="B175" s="244" t="s">
        <v>3</v>
      </c>
      <c r="C175" s="245" t="s">
        <v>44</v>
      </c>
      <c r="D175" s="12" t="s">
        <v>35</v>
      </c>
      <c r="E175" s="246" t="s">
        <v>4</v>
      </c>
    </row>
    <row r="176" spans="2:8" ht="24" hidden="1" customHeight="1" x14ac:dyDescent="0.25">
      <c r="B176" s="3" t="s">
        <v>254</v>
      </c>
      <c r="C176" s="5">
        <v>0</v>
      </c>
      <c r="D176" s="20">
        <f t="shared" ref="D176:D181" si="29">E147</f>
        <v>26</v>
      </c>
      <c r="E176" s="7">
        <f>C176*D176</f>
        <v>0</v>
      </c>
    </row>
    <row r="177" spans="2:5" ht="24" hidden="1" customHeight="1" x14ac:dyDescent="0.25">
      <c r="B177" s="4" t="s">
        <v>265</v>
      </c>
      <c r="C177" s="6">
        <f>C176</f>
        <v>0</v>
      </c>
      <c r="D177" s="21">
        <f t="shared" si="29"/>
        <v>26</v>
      </c>
      <c r="E177" s="8">
        <f t="shared" ref="E177:E181" si="30">C177*D177</f>
        <v>0</v>
      </c>
    </row>
    <row r="178" spans="2:5" ht="24" hidden="1" customHeight="1" x14ac:dyDescent="0.25">
      <c r="B178" s="4" t="s">
        <v>257</v>
      </c>
      <c r="C178" s="6">
        <v>0</v>
      </c>
      <c r="D178" s="21">
        <f t="shared" si="29"/>
        <v>26</v>
      </c>
      <c r="E178" s="8">
        <f t="shared" si="30"/>
        <v>0</v>
      </c>
    </row>
    <row r="179" spans="2:5" ht="24" hidden="1" customHeight="1" x14ac:dyDescent="0.25">
      <c r="B179" s="1" t="s">
        <v>292</v>
      </c>
      <c r="C179" s="6">
        <v>0</v>
      </c>
      <c r="D179" s="21">
        <f t="shared" si="29"/>
        <v>26</v>
      </c>
      <c r="E179" s="8">
        <f t="shared" si="30"/>
        <v>0</v>
      </c>
    </row>
    <row r="180" spans="2:5" ht="24" hidden="1" customHeight="1" x14ac:dyDescent="0.25">
      <c r="B180" s="1" t="s">
        <v>266</v>
      </c>
      <c r="C180" s="11">
        <f>C178</f>
        <v>0</v>
      </c>
      <c r="D180" s="150">
        <f t="shared" si="29"/>
        <v>26</v>
      </c>
      <c r="E180" s="10">
        <f t="shared" si="30"/>
        <v>0</v>
      </c>
    </row>
    <row r="181" spans="2:5" ht="24" hidden="1" customHeight="1" thickBot="1" x14ac:dyDescent="0.3">
      <c r="B181" s="2" t="s">
        <v>259</v>
      </c>
      <c r="C181" s="69">
        <f>C180</f>
        <v>0</v>
      </c>
      <c r="D181" s="22">
        <f t="shared" si="29"/>
        <v>26</v>
      </c>
      <c r="E181" s="9">
        <f t="shared" si="30"/>
        <v>0</v>
      </c>
    </row>
    <row r="182" spans="2:5" ht="24" hidden="1" customHeight="1" thickBot="1" x14ac:dyDescent="0.25"/>
    <row r="183" spans="2:5" ht="24" hidden="1" customHeight="1" thickBot="1" x14ac:dyDescent="0.3">
      <c r="B183" s="252" t="s">
        <v>45</v>
      </c>
      <c r="C183" s="253"/>
      <c r="D183" s="253"/>
      <c r="E183" s="254"/>
    </row>
    <row r="184" spans="2:5" ht="24" hidden="1" customHeight="1" thickBot="1" x14ac:dyDescent="0.25">
      <c r="B184" s="13" t="s">
        <v>3</v>
      </c>
      <c r="C184" s="14" t="s">
        <v>1</v>
      </c>
      <c r="D184" s="14" t="s">
        <v>2</v>
      </c>
      <c r="E184" s="15" t="s">
        <v>38</v>
      </c>
    </row>
    <row r="185" spans="2:5" ht="24" hidden="1" customHeight="1" x14ac:dyDescent="0.25">
      <c r="B185" s="3" t="s">
        <v>254</v>
      </c>
      <c r="C185" s="5">
        <f t="shared" ref="C185:C190" si="31">E176</f>
        <v>0</v>
      </c>
      <c r="D185" s="74">
        <v>0</v>
      </c>
      <c r="E185" s="7">
        <f>C185*D185</f>
        <v>0</v>
      </c>
    </row>
    <row r="186" spans="2:5" ht="24" hidden="1" customHeight="1" x14ac:dyDescent="0.25">
      <c r="B186" s="4" t="s">
        <v>265</v>
      </c>
      <c r="C186" s="6">
        <f t="shared" si="31"/>
        <v>0</v>
      </c>
      <c r="D186" s="75">
        <f>D185</f>
        <v>0</v>
      </c>
      <c r="E186" s="8">
        <f t="shared" ref="E186:E190" si="32">C186*D186</f>
        <v>0</v>
      </c>
    </row>
    <row r="187" spans="2:5" ht="24" hidden="1" customHeight="1" x14ac:dyDescent="0.25">
      <c r="B187" s="4" t="s">
        <v>257</v>
      </c>
      <c r="C187" s="6">
        <f t="shared" si="31"/>
        <v>0</v>
      </c>
      <c r="D187" s="75">
        <v>0</v>
      </c>
      <c r="E187" s="8">
        <f t="shared" si="32"/>
        <v>0</v>
      </c>
    </row>
    <row r="188" spans="2:5" ht="24" hidden="1" customHeight="1" x14ac:dyDescent="0.25">
      <c r="B188" s="1" t="s">
        <v>292</v>
      </c>
      <c r="C188" s="6">
        <f t="shared" si="31"/>
        <v>0</v>
      </c>
      <c r="D188" s="75">
        <v>0</v>
      </c>
      <c r="E188" s="8">
        <f t="shared" si="32"/>
        <v>0</v>
      </c>
    </row>
    <row r="189" spans="2:5" ht="24" hidden="1" customHeight="1" x14ac:dyDescent="0.25">
      <c r="B189" s="4" t="s">
        <v>266</v>
      </c>
      <c r="C189" s="6">
        <f t="shared" si="31"/>
        <v>0</v>
      </c>
      <c r="D189" s="75">
        <f>D187</f>
        <v>0</v>
      </c>
      <c r="E189" s="8">
        <f t="shared" si="32"/>
        <v>0</v>
      </c>
    </row>
    <row r="190" spans="2:5" ht="24" hidden="1" customHeight="1" x14ac:dyDescent="0.25">
      <c r="B190" s="4" t="s">
        <v>259</v>
      </c>
      <c r="C190" s="6">
        <f t="shared" si="31"/>
        <v>0</v>
      </c>
      <c r="D190" s="75">
        <f>D189</f>
        <v>0</v>
      </c>
      <c r="E190" s="8">
        <f t="shared" si="32"/>
        <v>0</v>
      </c>
    </row>
    <row r="191" spans="2:5" ht="24" hidden="1" customHeight="1" thickBot="1" x14ac:dyDescent="0.25"/>
    <row r="192" spans="2:5" ht="24" hidden="1" customHeight="1" thickBot="1" x14ac:dyDescent="0.3">
      <c r="B192" s="252" t="s">
        <v>46</v>
      </c>
      <c r="C192" s="253"/>
      <c r="D192" s="253"/>
      <c r="E192" s="254"/>
    </row>
    <row r="193" spans="2:9" ht="24" hidden="1" customHeight="1" thickBot="1" x14ac:dyDescent="0.25">
      <c r="B193" s="13" t="s">
        <v>3</v>
      </c>
      <c r="C193" s="14" t="s">
        <v>34</v>
      </c>
      <c r="D193" s="14" t="s">
        <v>38</v>
      </c>
      <c r="E193" s="15" t="s">
        <v>41</v>
      </c>
    </row>
    <row r="194" spans="2:9" ht="24" hidden="1" customHeight="1" x14ac:dyDescent="0.25">
      <c r="B194" s="3" t="s">
        <v>254</v>
      </c>
      <c r="C194" s="5">
        <f t="shared" ref="C194:C199" si="33">E176</f>
        <v>0</v>
      </c>
      <c r="D194" s="5">
        <f t="shared" ref="D194:D199" si="34">E185</f>
        <v>0</v>
      </c>
      <c r="E194" s="7">
        <f>C194-D194</f>
        <v>0</v>
      </c>
    </row>
    <row r="195" spans="2:9" ht="24" hidden="1" customHeight="1" x14ac:dyDescent="0.25">
      <c r="B195" s="4" t="s">
        <v>265</v>
      </c>
      <c r="C195" s="6">
        <f t="shared" si="33"/>
        <v>0</v>
      </c>
      <c r="D195" s="6">
        <f t="shared" si="34"/>
        <v>0</v>
      </c>
      <c r="E195" s="8">
        <f t="shared" ref="E195:E199" si="35">C195-D195</f>
        <v>0</v>
      </c>
    </row>
    <row r="196" spans="2:9" ht="24" hidden="1" customHeight="1" x14ac:dyDescent="0.25">
      <c r="B196" s="4" t="s">
        <v>257</v>
      </c>
      <c r="C196" s="6">
        <f t="shared" si="33"/>
        <v>0</v>
      </c>
      <c r="D196" s="6">
        <f t="shared" si="34"/>
        <v>0</v>
      </c>
      <c r="E196" s="8">
        <f t="shared" si="35"/>
        <v>0</v>
      </c>
    </row>
    <row r="197" spans="2:9" ht="24" hidden="1" customHeight="1" x14ac:dyDescent="0.25">
      <c r="B197" s="4" t="s">
        <v>293</v>
      </c>
      <c r="C197" s="6">
        <f t="shared" si="33"/>
        <v>0</v>
      </c>
      <c r="D197" s="6">
        <f t="shared" si="34"/>
        <v>0</v>
      </c>
      <c r="E197" s="8">
        <f t="shared" si="35"/>
        <v>0</v>
      </c>
    </row>
    <row r="198" spans="2:9" ht="24" hidden="1" customHeight="1" x14ac:dyDescent="0.25">
      <c r="B198" s="1" t="s">
        <v>266</v>
      </c>
      <c r="C198" s="11">
        <f t="shared" si="33"/>
        <v>0</v>
      </c>
      <c r="D198" s="11">
        <f t="shared" si="34"/>
        <v>0</v>
      </c>
      <c r="E198" s="10">
        <f t="shared" si="35"/>
        <v>0</v>
      </c>
    </row>
    <row r="199" spans="2:9" ht="24" hidden="1" customHeight="1" thickBot="1" x14ac:dyDescent="0.3">
      <c r="B199" s="2" t="s">
        <v>259</v>
      </c>
      <c r="C199" s="69">
        <f t="shared" si="33"/>
        <v>0</v>
      </c>
      <c r="D199" s="69">
        <f t="shared" si="34"/>
        <v>0</v>
      </c>
      <c r="E199" s="9">
        <f t="shared" si="35"/>
        <v>0</v>
      </c>
    </row>
    <row r="200" spans="2:9" ht="24" hidden="1" customHeight="1" x14ac:dyDescent="0.25"/>
    <row r="201" spans="2:9" ht="32.25" hidden="1" customHeight="1" thickBot="1" x14ac:dyDescent="0.25">
      <c r="B201" s="188" t="s">
        <v>295</v>
      </c>
      <c r="C201" s="188"/>
      <c r="D201" s="188"/>
      <c r="E201" s="188"/>
      <c r="F201" s="188"/>
      <c r="G201" s="188"/>
      <c r="H201" s="188"/>
      <c r="I201" s="188"/>
    </row>
    <row r="202" spans="2:9" ht="24" hidden="1" customHeight="1" thickBot="1" x14ac:dyDescent="0.25">
      <c r="B202" s="251" t="s">
        <v>296</v>
      </c>
      <c r="C202" s="188"/>
      <c r="D202" s="188"/>
      <c r="E202" s="188"/>
      <c r="F202" s="188"/>
      <c r="G202" s="188"/>
      <c r="H202" s="188"/>
    </row>
    <row r="203" spans="2:9" ht="24" hidden="1" customHeight="1" thickBot="1" x14ac:dyDescent="0.3">
      <c r="B203" s="252" t="s">
        <v>276</v>
      </c>
      <c r="C203" s="253"/>
      <c r="D203" s="253"/>
      <c r="E203" s="254"/>
      <c r="G203" s="261" t="s">
        <v>268</v>
      </c>
      <c r="H203" s="261"/>
      <c r="I203" s="261"/>
    </row>
    <row r="204" spans="2:9" ht="24" hidden="1" customHeight="1" thickBot="1" x14ac:dyDescent="0.25">
      <c r="B204" s="13" t="s">
        <v>3</v>
      </c>
      <c r="C204" s="14" t="s">
        <v>267</v>
      </c>
      <c r="D204" s="14" t="s">
        <v>38</v>
      </c>
      <c r="E204" s="15" t="s">
        <v>41</v>
      </c>
      <c r="G204" s="261"/>
      <c r="H204" s="261"/>
      <c r="I204" s="261"/>
    </row>
    <row r="205" spans="2:9" ht="24" hidden="1" customHeight="1" x14ac:dyDescent="0.25">
      <c r="B205" s="3" t="s">
        <v>254</v>
      </c>
      <c r="C205" s="5">
        <v>110.16</v>
      </c>
      <c r="D205" s="152">
        <v>0</v>
      </c>
      <c r="E205" s="7">
        <f>C205-D205</f>
        <v>110.16</v>
      </c>
      <c r="G205" s="261"/>
      <c r="H205" s="261"/>
      <c r="I205" s="261"/>
    </row>
    <row r="206" spans="2:9" ht="24" hidden="1" customHeight="1" x14ac:dyDescent="0.25">
      <c r="B206" s="4" t="s">
        <v>265</v>
      </c>
      <c r="C206" s="6">
        <v>110.16</v>
      </c>
      <c r="D206" s="153">
        <v>0</v>
      </c>
      <c r="E206" s="8">
        <f t="shared" ref="E206:E210" si="36">C206-D206</f>
        <v>110.16</v>
      </c>
      <c r="G206" s="261"/>
      <c r="H206" s="261"/>
      <c r="I206" s="261"/>
    </row>
    <row r="207" spans="2:9" ht="24" hidden="1" customHeight="1" x14ac:dyDescent="0.25">
      <c r="B207" s="4" t="s">
        <v>257</v>
      </c>
      <c r="C207" s="6">
        <v>110.16</v>
      </c>
      <c r="D207" s="153">
        <v>0</v>
      </c>
      <c r="E207" s="8">
        <f t="shared" si="36"/>
        <v>110.16</v>
      </c>
      <c r="G207" s="261"/>
      <c r="H207" s="261"/>
      <c r="I207" s="261"/>
    </row>
    <row r="208" spans="2:9" ht="24" hidden="1" customHeight="1" x14ac:dyDescent="0.25">
      <c r="B208" s="4" t="s">
        <v>293</v>
      </c>
      <c r="C208" s="6">
        <v>110.16</v>
      </c>
      <c r="D208" s="153">
        <v>0</v>
      </c>
      <c r="E208" s="8">
        <f t="shared" si="36"/>
        <v>110.16</v>
      </c>
      <c r="G208" s="241"/>
      <c r="H208" s="241"/>
      <c r="I208" s="241"/>
    </row>
    <row r="209" spans="2:9" ht="24" hidden="1" customHeight="1" x14ac:dyDescent="0.25">
      <c r="B209" s="1" t="s">
        <v>266</v>
      </c>
      <c r="C209" s="11">
        <v>110.16</v>
      </c>
      <c r="D209" s="154">
        <v>0</v>
      </c>
      <c r="E209" s="8">
        <f t="shared" si="36"/>
        <v>110.16</v>
      </c>
    </row>
    <row r="210" spans="2:9" ht="24" hidden="1" customHeight="1" x14ac:dyDescent="0.25">
      <c r="B210" s="4" t="s">
        <v>259</v>
      </c>
      <c r="C210" s="6">
        <v>110.16</v>
      </c>
      <c r="D210" s="153">
        <v>0</v>
      </c>
      <c r="E210" s="8">
        <f t="shared" si="36"/>
        <v>110.16</v>
      </c>
    </row>
    <row r="211" spans="2:9" ht="24" hidden="1" customHeight="1" x14ac:dyDescent="0.25"/>
    <row r="212" spans="2:9" ht="46.5" hidden="1" customHeight="1" x14ac:dyDescent="0.25">
      <c r="B212" s="188" t="s">
        <v>249</v>
      </c>
      <c r="C212" s="188"/>
      <c r="D212" s="188"/>
      <c r="E212" s="188"/>
      <c r="F212" s="188"/>
      <c r="G212" s="188"/>
      <c r="H212" s="188"/>
      <c r="I212" s="188"/>
    </row>
    <row r="213" spans="2:9" ht="24" hidden="1" customHeight="1" thickBot="1" x14ac:dyDescent="0.25"/>
    <row r="214" spans="2:9" ht="24" hidden="1" customHeight="1" thickBot="1" x14ac:dyDescent="0.3">
      <c r="B214" s="252" t="s">
        <v>234</v>
      </c>
      <c r="C214" s="253"/>
      <c r="D214" s="253"/>
      <c r="E214" s="254"/>
    </row>
    <row r="215" spans="2:9" ht="24" hidden="1" customHeight="1" thickBot="1" x14ac:dyDescent="0.25">
      <c r="B215" s="13" t="s">
        <v>3</v>
      </c>
      <c r="C215" s="14"/>
      <c r="D215" s="14"/>
      <c r="E215" s="15"/>
    </row>
    <row r="216" spans="2:9" ht="24" hidden="1" customHeight="1" x14ac:dyDescent="0.25">
      <c r="B216" s="3" t="s">
        <v>254</v>
      </c>
      <c r="C216" s="5"/>
      <c r="D216" s="5"/>
      <c r="E216" s="7"/>
    </row>
    <row r="217" spans="2:9" ht="24" hidden="1" customHeight="1" x14ac:dyDescent="0.25">
      <c r="B217" s="4" t="s">
        <v>265</v>
      </c>
      <c r="C217" s="6"/>
      <c r="D217" s="6"/>
      <c r="E217" s="8"/>
    </row>
    <row r="218" spans="2:9" ht="24" hidden="1" customHeight="1" x14ac:dyDescent="0.25">
      <c r="B218" s="4" t="s">
        <v>257</v>
      </c>
      <c r="C218" s="6"/>
      <c r="D218" s="6"/>
      <c r="E218" s="8"/>
    </row>
    <row r="219" spans="2:9" ht="24" hidden="1" customHeight="1" x14ac:dyDescent="0.25">
      <c r="B219" s="4" t="s">
        <v>293</v>
      </c>
      <c r="C219" s="6"/>
      <c r="D219" s="6"/>
      <c r="E219" s="8"/>
    </row>
    <row r="220" spans="2:9" ht="24" hidden="1" customHeight="1" x14ac:dyDescent="0.25">
      <c r="B220" s="4" t="s">
        <v>269</v>
      </c>
      <c r="C220" s="6"/>
      <c r="D220" s="6"/>
      <c r="E220" s="8"/>
    </row>
    <row r="221" spans="2:9" ht="24" hidden="1" customHeight="1" thickBot="1" x14ac:dyDescent="0.3">
      <c r="B221" s="2" t="s">
        <v>259</v>
      </c>
      <c r="C221" s="69"/>
      <c r="D221" s="69"/>
      <c r="E221" s="9"/>
    </row>
    <row r="222" spans="2:9" ht="24" hidden="1" customHeight="1" thickBot="1" x14ac:dyDescent="0.25"/>
    <row r="223" spans="2:9" ht="24" hidden="1" customHeight="1" thickBot="1" x14ac:dyDescent="0.3">
      <c r="B223" s="252" t="s">
        <v>30</v>
      </c>
      <c r="C223" s="253"/>
      <c r="D223" s="253"/>
      <c r="E223" s="253"/>
      <c r="F223" s="253"/>
      <c r="G223" s="254"/>
      <c r="H223" s="23"/>
    </row>
    <row r="224" spans="2:9" ht="35.25" hidden="1" customHeight="1" thickBot="1" x14ac:dyDescent="0.25">
      <c r="B224" s="13" t="s">
        <v>3</v>
      </c>
      <c r="C224" s="14" t="s">
        <v>47</v>
      </c>
      <c r="D224" s="14" t="s">
        <v>48</v>
      </c>
      <c r="E224" s="16" t="s">
        <v>270</v>
      </c>
      <c r="F224" s="14" t="s">
        <v>235</v>
      </c>
      <c r="G224" s="15" t="s">
        <v>10</v>
      </c>
    </row>
    <row r="225" spans="2:9" ht="24" hidden="1" customHeight="1" x14ac:dyDescent="0.25">
      <c r="B225" s="3" t="s">
        <v>254</v>
      </c>
      <c r="C225" s="5">
        <f t="shared" ref="C225:C230" si="37">E165</f>
        <v>57.657600000000002</v>
      </c>
      <c r="D225" s="5">
        <f t="shared" ref="D225:D230" si="38">E194</f>
        <v>0</v>
      </c>
      <c r="E225" s="5">
        <f t="shared" ref="E225:E230" si="39">E205</f>
        <v>110.16</v>
      </c>
      <c r="F225" s="5">
        <f t="shared" ref="F225:F230" si="40">E216</f>
        <v>0</v>
      </c>
      <c r="G225" s="7">
        <f>SUM(C225:F225)</f>
        <v>167.8176</v>
      </c>
    </row>
    <row r="226" spans="2:9" ht="24" hidden="1" customHeight="1" x14ac:dyDescent="0.25">
      <c r="B226" s="4" t="s">
        <v>265</v>
      </c>
      <c r="C226" s="6">
        <f t="shared" si="37"/>
        <v>94.663799999999995</v>
      </c>
      <c r="D226" s="6">
        <f t="shared" si="38"/>
        <v>0</v>
      </c>
      <c r="E226" s="6">
        <f t="shared" si="39"/>
        <v>110.16</v>
      </c>
      <c r="F226" s="6">
        <f t="shared" si="40"/>
        <v>0</v>
      </c>
      <c r="G226" s="8">
        <f>SUM(C226:F226)</f>
        <v>204.82380000000001</v>
      </c>
    </row>
    <row r="227" spans="2:9" ht="24" hidden="1" customHeight="1" x14ac:dyDescent="0.25">
      <c r="B227" s="76" t="s">
        <v>257</v>
      </c>
      <c r="C227" s="77">
        <f t="shared" si="37"/>
        <v>57.657600000000002</v>
      </c>
      <c r="D227" s="77">
        <f t="shared" si="38"/>
        <v>0</v>
      </c>
      <c r="E227" s="77">
        <f t="shared" si="39"/>
        <v>110.16</v>
      </c>
      <c r="F227" s="77">
        <f t="shared" si="40"/>
        <v>0</v>
      </c>
      <c r="G227" s="80">
        <f>SUM(C227:F227)</f>
        <v>167.8176</v>
      </c>
    </row>
    <row r="228" spans="2:9" ht="24" hidden="1" customHeight="1" x14ac:dyDescent="0.25">
      <c r="B228" s="4" t="s">
        <v>293</v>
      </c>
      <c r="C228" s="77">
        <f t="shared" si="37"/>
        <v>57.657600000000002</v>
      </c>
      <c r="D228" s="77">
        <f t="shared" si="38"/>
        <v>0</v>
      </c>
      <c r="E228" s="77">
        <f t="shared" si="39"/>
        <v>110.16</v>
      </c>
      <c r="F228" s="77">
        <f t="shared" si="40"/>
        <v>0</v>
      </c>
      <c r="G228" s="80">
        <f>SUM(C228:F228)</f>
        <v>167.8176</v>
      </c>
    </row>
    <row r="229" spans="2:9" ht="24" hidden="1" customHeight="1" x14ac:dyDescent="0.25">
      <c r="B229" s="4" t="s">
        <v>266</v>
      </c>
      <c r="C229" s="77">
        <f t="shared" si="37"/>
        <v>0</v>
      </c>
      <c r="D229" s="6">
        <f t="shared" si="38"/>
        <v>0</v>
      </c>
      <c r="E229" s="6">
        <f t="shared" si="39"/>
        <v>110.16</v>
      </c>
      <c r="F229" s="6">
        <f t="shared" si="40"/>
        <v>0</v>
      </c>
      <c r="G229" s="8">
        <f>ROUND(SUM(C229:F229),2)</f>
        <v>110.16</v>
      </c>
    </row>
    <row r="230" spans="2:9" ht="24" hidden="1" customHeight="1" x14ac:dyDescent="0.25">
      <c r="B230" s="4" t="s">
        <v>259</v>
      </c>
      <c r="C230" s="6">
        <f t="shared" si="37"/>
        <v>0</v>
      </c>
      <c r="D230" s="6">
        <f t="shared" si="38"/>
        <v>0</v>
      </c>
      <c r="E230" s="6">
        <f t="shared" si="39"/>
        <v>110.16</v>
      </c>
      <c r="F230" s="6">
        <f t="shared" si="40"/>
        <v>0</v>
      </c>
      <c r="G230" s="8">
        <f>SUM(C230:F230)</f>
        <v>110.16</v>
      </c>
    </row>
    <row r="231" spans="2:9" ht="24" hidden="1" customHeight="1" x14ac:dyDescent="0.25"/>
    <row r="232" spans="2:9" ht="24" hidden="1" customHeight="1" x14ac:dyDescent="0.25">
      <c r="B232" s="255" t="s">
        <v>132</v>
      </c>
      <c r="C232" s="255"/>
      <c r="D232" s="255"/>
      <c r="E232" s="255"/>
      <c r="F232" s="255"/>
      <c r="G232" s="255"/>
      <c r="H232" s="255"/>
      <c r="I232" s="255"/>
    </row>
    <row r="233" spans="2:9" ht="24" hidden="1" customHeight="1" thickBot="1" x14ac:dyDescent="0.25"/>
    <row r="234" spans="2:9" ht="24" hidden="1" customHeight="1" thickBot="1" x14ac:dyDescent="0.3">
      <c r="B234" s="252" t="s">
        <v>132</v>
      </c>
      <c r="C234" s="253"/>
      <c r="D234" s="253"/>
      <c r="E234" s="253"/>
      <c r="F234" s="254"/>
    </row>
    <row r="235" spans="2:9" ht="24" hidden="1" customHeight="1" thickBot="1" x14ac:dyDescent="0.25">
      <c r="B235" s="13" t="s">
        <v>3</v>
      </c>
      <c r="C235" s="14" t="s">
        <v>59</v>
      </c>
      <c r="D235" s="14" t="s">
        <v>60</v>
      </c>
      <c r="E235" s="14" t="s">
        <v>61</v>
      </c>
      <c r="F235" s="15" t="s">
        <v>10</v>
      </c>
    </row>
    <row r="236" spans="2:9" ht="24" hidden="1" customHeight="1" x14ac:dyDescent="0.25">
      <c r="B236" s="3" t="s">
        <v>254</v>
      </c>
      <c r="C236" s="5">
        <f>ROUND(F92,2)</f>
        <v>480.04</v>
      </c>
      <c r="D236" s="5">
        <f>ROUND(E134,2)</f>
        <v>1173.6199999999999</v>
      </c>
      <c r="E236" s="5">
        <f>ROUND(G225,2)</f>
        <v>167.82</v>
      </c>
      <c r="F236" s="7">
        <f t="shared" ref="F236:F241" si="41">SUM(C236:E236)</f>
        <v>1821.4799999999998</v>
      </c>
    </row>
    <row r="237" spans="2:9" ht="24" hidden="1" customHeight="1" x14ac:dyDescent="0.25">
      <c r="B237" s="4" t="s">
        <v>265</v>
      </c>
      <c r="C237" s="6">
        <f>F93</f>
        <v>324.12936111111105</v>
      </c>
      <c r="D237" s="6">
        <f>E135</f>
        <v>792.44998372222221</v>
      </c>
      <c r="E237" s="6">
        <f>G226</f>
        <v>204.82380000000001</v>
      </c>
      <c r="F237" s="8">
        <f t="shared" si="41"/>
        <v>1321.4031448333335</v>
      </c>
    </row>
    <row r="238" spans="2:9" ht="24" hidden="1" customHeight="1" x14ac:dyDescent="0.25">
      <c r="B238" s="99" t="s">
        <v>257</v>
      </c>
      <c r="C238" s="6">
        <f>F94</f>
        <v>369.25</v>
      </c>
      <c r="D238" s="6">
        <f>E136</f>
        <v>902.77942000000019</v>
      </c>
      <c r="E238" s="6">
        <f>G227</f>
        <v>167.8176</v>
      </c>
      <c r="F238" s="8">
        <f t="shared" si="41"/>
        <v>1439.8470200000004</v>
      </c>
    </row>
    <row r="239" spans="2:9" ht="24" hidden="1" customHeight="1" x14ac:dyDescent="0.25">
      <c r="B239" s="4" t="s">
        <v>293</v>
      </c>
      <c r="C239" s="6">
        <f>F95</f>
        <v>480.03999999999996</v>
      </c>
      <c r="D239" s="6">
        <f>E137</f>
        <v>1173.6192160000001</v>
      </c>
      <c r="E239" s="6">
        <f>G228</f>
        <v>167.8176</v>
      </c>
      <c r="F239" s="8">
        <f t="shared" si="41"/>
        <v>1821.4768160000001</v>
      </c>
    </row>
    <row r="240" spans="2:9" ht="24" hidden="1" customHeight="1" x14ac:dyDescent="0.25">
      <c r="B240" s="1" t="s">
        <v>266</v>
      </c>
      <c r="C240" s="11">
        <f>ROUND(F96,2)</f>
        <v>860.65</v>
      </c>
      <c r="D240" s="11">
        <f>ROUND(E138,2)</f>
        <v>2104.17</v>
      </c>
      <c r="E240" s="11">
        <f>ROUND(G229,2)</f>
        <v>110.16</v>
      </c>
      <c r="F240" s="10">
        <f t="shared" si="41"/>
        <v>3074.98</v>
      </c>
    </row>
    <row r="241" spans="2:9" ht="24" hidden="1" customHeight="1" x14ac:dyDescent="0.25">
      <c r="B241" s="4" t="s">
        <v>259</v>
      </c>
      <c r="C241" s="6">
        <f>F97</f>
        <v>972.23</v>
      </c>
      <c r="D241" s="6">
        <f>E139</f>
        <v>2376.9475400000001</v>
      </c>
      <c r="E241" s="6">
        <f>G230</f>
        <v>110.16</v>
      </c>
      <c r="F241" s="8">
        <f t="shared" si="41"/>
        <v>3459.33754</v>
      </c>
    </row>
    <row r="242" spans="2:9" ht="24" hidden="1" customHeight="1" x14ac:dyDescent="0.25"/>
    <row r="243" spans="2:9" ht="24" hidden="1" customHeight="1" x14ac:dyDescent="0.25">
      <c r="B243" s="255" t="s">
        <v>49</v>
      </c>
      <c r="C243" s="255"/>
      <c r="D243" s="255"/>
      <c r="E243" s="255"/>
      <c r="F243" s="255"/>
      <c r="G243" s="255"/>
      <c r="H243" s="255"/>
      <c r="I243" s="255"/>
    </row>
    <row r="244" spans="2:9" ht="53.25" hidden="1" customHeight="1" x14ac:dyDescent="0.25">
      <c r="B244" s="251" t="s">
        <v>245</v>
      </c>
      <c r="C244" s="251"/>
      <c r="D244" s="251"/>
      <c r="E244" s="251"/>
      <c r="F244" s="251"/>
      <c r="G244" s="251"/>
      <c r="H244" s="251"/>
      <c r="I244" s="251"/>
    </row>
    <row r="245" spans="2:9" ht="24" hidden="1" customHeight="1" thickBot="1" x14ac:dyDescent="0.25"/>
    <row r="246" spans="2:9" ht="16.5" hidden="1" customHeight="1" thickBot="1" x14ac:dyDescent="0.3">
      <c r="B246" s="258" t="s">
        <v>50</v>
      </c>
      <c r="C246" s="260"/>
    </row>
    <row r="247" spans="2:9" ht="16.5" hidden="1" customHeight="1" thickBot="1" x14ac:dyDescent="0.3">
      <c r="B247" s="232" t="s">
        <v>51</v>
      </c>
      <c r="C247" s="234" t="s">
        <v>2</v>
      </c>
    </row>
    <row r="248" spans="2:9" ht="31.5" hidden="1" customHeight="1" x14ac:dyDescent="0.25">
      <c r="B248" s="27" t="s">
        <v>52</v>
      </c>
      <c r="C248" s="64"/>
    </row>
    <row r="249" spans="2:9" ht="31.5" hidden="1" customHeight="1" x14ac:dyDescent="0.25">
      <c r="B249" s="97" t="s">
        <v>53</v>
      </c>
      <c r="C249" s="98">
        <v>0.45</v>
      </c>
    </row>
    <row r="250" spans="2:9" ht="31.5" hidden="1" customHeight="1" x14ac:dyDescent="0.25">
      <c r="B250" s="97" t="s">
        <v>54</v>
      </c>
      <c r="C250" s="98">
        <v>0.55000000000000004</v>
      </c>
    </row>
    <row r="251" spans="2:9" ht="32.25" hidden="1" customHeight="1" x14ac:dyDescent="0.25">
      <c r="B251" s="24" t="s">
        <v>55</v>
      </c>
      <c r="C251" s="65"/>
    </row>
    <row r="252" spans="2:9" ht="30" hidden="1" customHeight="1" thickBot="1" x14ac:dyDescent="0.25">
      <c r="B252" s="25" t="s">
        <v>56</v>
      </c>
      <c r="C252" s="66"/>
    </row>
    <row r="253" spans="2:9" ht="24" hidden="1" customHeight="1" thickBot="1" x14ac:dyDescent="0.3">
      <c r="B253" s="232" t="s">
        <v>26</v>
      </c>
      <c r="C253" s="26">
        <f>SUM(C249:C252)</f>
        <v>1</v>
      </c>
      <c r="I253" s="236"/>
    </row>
    <row r="254" spans="2:9" ht="24" hidden="1" customHeight="1" x14ac:dyDescent="0.25"/>
    <row r="255" spans="2:9" ht="24" hidden="1" customHeight="1" x14ac:dyDescent="0.25">
      <c r="B255" s="249" t="s">
        <v>57</v>
      </c>
      <c r="C255" s="250"/>
      <c r="D255" s="250"/>
      <c r="E255" s="250"/>
      <c r="F255" s="250"/>
      <c r="G255" s="250"/>
      <c r="H255" s="250"/>
      <c r="I255" s="250"/>
    </row>
    <row r="256" spans="2:9" ht="106.5" hidden="1" customHeight="1" x14ac:dyDescent="0.25">
      <c r="B256" s="251" t="s">
        <v>250</v>
      </c>
      <c r="C256" s="251"/>
      <c r="D256" s="251"/>
      <c r="E256" s="251"/>
      <c r="F256" s="251"/>
      <c r="G256" s="251"/>
      <c r="H256" s="251"/>
      <c r="I256" s="251"/>
    </row>
    <row r="257" spans="2:6" ht="15.75" hidden="1" customHeight="1" x14ac:dyDescent="0.25"/>
    <row r="258" spans="2:6" ht="24" hidden="1" customHeight="1" thickBot="1" x14ac:dyDescent="0.3">
      <c r="B258" s="252" t="s">
        <v>58</v>
      </c>
      <c r="C258" s="253"/>
      <c r="D258" s="253"/>
      <c r="E258" s="254"/>
    </row>
    <row r="259" spans="2:6" ht="30" hidden="1" customHeight="1" thickBot="1" x14ac:dyDescent="0.25">
      <c r="B259" s="13" t="s">
        <v>3</v>
      </c>
      <c r="C259" s="14" t="s">
        <v>1</v>
      </c>
      <c r="D259" s="16" t="s">
        <v>134</v>
      </c>
      <c r="E259" s="15" t="s">
        <v>4</v>
      </c>
    </row>
    <row r="260" spans="2:6" ht="24" hidden="1" customHeight="1" x14ac:dyDescent="0.25">
      <c r="B260" s="3" t="s">
        <v>254</v>
      </c>
      <c r="C260" s="5">
        <f>H52+(F236-E116)</f>
        <v>3352.5176986666665</v>
      </c>
      <c r="D260" s="71">
        <v>12</v>
      </c>
      <c r="E260" s="7">
        <f>C260/D260</f>
        <v>279.37647488888888</v>
      </c>
    </row>
    <row r="261" spans="2:6" ht="24" hidden="1" customHeight="1" x14ac:dyDescent="0.25">
      <c r="B261" s="4" t="s">
        <v>265</v>
      </c>
      <c r="C261" s="6">
        <f>H53+(F237-E117)</f>
        <v>2355.1905900000002</v>
      </c>
      <c r="D261" s="72">
        <f>D260</f>
        <v>12</v>
      </c>
      <c r="E261" s="8">
        <f>C261/D261</f>
        <v>196.2658825</v>
      </c>
    </row>
    <row r="262" spans="2:6" ht="24" hidden="1" customHeight="1" x14ac:dyDescent="0.25">
      <c r="B262" s="4" t="s">
        <v>257</v>
      </c>
      <c r="C262" s="6">
        <f>H54+(F238-E118)</f>
        <v>2617.5708000000004</v>
      </c>
      <c r="D262" s="72">
        <f>D261</f>
        <v>12</v>
      </c>
      <c r="E262" s="8">
        <f>C262/D262</f>
        <v>218.13090000000003</v>
      </c>
    </row>
    <row r="263" spans="2:6" ht="24" hidden="1" customHeight="1" x14ac:dyDescent="0.25">
      <c r="B263" s="4" t="s">
        <v>293</v>
      </c>
      <c r="C263" s="6">
        <f>H55+(F239-E119)</f>
        <v>3352.51296</v>
      </c>
      <c r="D263" s="72">
        <f>D262</f>
        <v>12</v>
      </c>
      <c r="E263" s="8">
        <f>C263/D263</f>
        <v>279.37608</v>
      </c>
    </row>
    <row r="264" spans="2:6" ht="24" hidden="1" customHeight="1" x14ac:dyDescent="0.25">
      <c r="B264" s="1" t="s">
        <v>266</v>
      </c>
      <c r="C264" s="11">
        <f>ROUND(H56+(F240-E120),2)</f>
        <v>5819.96</v>
      </c>
      <c r="D264" s="155">
        <f>D262</f>
        <v>12</v>
      </c>
      <c r="E264" s="10">
        <f>ROUND(C264/D264,2)</f>
        <v>485</v>
      </c>
    </row>
    <row r="265" spans="2:6" ht="24" hidden="1" customHeight="1" thickBot="1" x14ac:dyDescent="0.3">
      <c r="B265" s="2" t="s">
        <v>259</v>
      </c>
      <c r="C265" s="69">
        <f>H57+(F241-E121)</f>
        <v>6560.1683999999996</v>
      </c>
      <c r="D265" s="73">
        <f>D264</f>
        <v>12</v>
      </c>
      <c r="E265" s="9">
        <f>C265/D265</f>
        <v>546.6807</v>
      </c>
    </row>
    <row r="266" spans="2:6" ht="15.75" hidden="1" customHeight="1" x14ac:dyDescent="0.25"/>
    <row r="267" spans="2:6" ht="25.5" hidden="1" customHeight="1" thickBot="1" x14ac:dyDescent="0.3">
      <c r="B267" s="258" t="s">
        <v>62</v>
      </c>
      <c r="C267" s="259"/>
      <c r="D267" s="259"/>
      <c r="E267" s="260"/>
      <c r="F267" s="29"/>
    </row>
    <row r="268" spans="2:6" ht="28.5" hidden="1" customHeight="1" thickBot="1" x14ac:dyDescent="0.25">
      <c r="B268" s="13" t="s">
        <v>3</v>
      </c>
      <c r="C268" s="14" t="s">
        <v>1</v>
      </c>
      <c r="D268" s="28" t="s">
        <v>63</v>
      </c>
      <c r="E268" s="15" t="s">
        <v>4</v>
      </c>
    </row>
    <row r="269" spans="2:6" ht="24" hidden="1" customHeight="1" x14ac:dyDescent="0.25">
      <c r="B269" s="3" t="s">
        <v>254</v>
      </c>
      <c r="C269" s="5">
        <f>E125</f>
        <v>235.90296888888886</v>
      </c>
      <c r="D269" s="74">
        <v>0.5</v>
      </c>
      <c r="E269" s="7">
        <f>C269*D269</f>
        <v>117.95148444444443</v>
      </c>
    </row>
    <row r="270" spans="2:6" ht="24" hidden="1" customHeight="1" x14ac:dyDescent="0.25">
      <c r="B270" s="4" t="s">
        <v>265</v>
      </c>
      <c r="C270" s="6">
        <f>E126</f>
        <v>159.28642888888888</v>
      </c>
      <c r="D270" s="75">
        <v>0.5</v>
      </c>
      <c r="E270" s="8">
        <f t="shared" ref="E270:E274" si="42">C270*D270</f>
        <v>79.643214444444439</v>
      </c>
    </row>
    <row r="271" spans="2:6" ht="24" hidden="1" customHeight="1" x14ac:dyDescent="0.25">
      <c r="B271" s="4" t="s">
        <v>257</v>
      </c>
      <c r="C271" s="6">
        <f>E127</f>
        <v>181.4632</v>
      </c>
      <c r="D271" s="75">
        <v>0.5</v>
      </c>
      <c r="E271" s="8">
        <f t="shared" si="42"/>
        <v>90.7316</v>
      </c>
    </row>
    <row r="272" spans="2:6" ht="24" hidden="1" customHeight="1" x14ac:dyDescent="0.25">
      <c r="B272" s="4" t="s">
        <v>293</v>
      </c>
      <c r="C272" s="6">
        <f>E128</f>
        <v>235.90335999999999</v>
      </c>
      <c r="D272" s="75">
        <v>0.5</v>
      </c>
      <c r="E272" s="8">
        <f t="shared" si="42"/>
        <v>117.95168</v>
      </c>
    </row>
    <row r="273" spans="2:9" ht="24" hidden="1" customHeight="1" x14ac:dyDescent="0.25">
      <c r="B273" s="1" t="s">
        <v>266</v>
      </c>
      <c r="C273" s="11">
        <f>ROUND(E129,2)</f>
        <v>422.95</v>
      </c>
      <c r="D273" s="151">
        <v>0.5</v>
      </c>
      <c r="E273" s="10">
        <f>ROUND(C273*D273,2)</f>
        <v>211.48</v>
      </c>
    </row>
    <row r="274" spans="2:9" ht="24" hidden="1" customHeight="1" x14ac:dyDescent="0.25">
      <c r="B274" s="4" t="s">
        <v>259</v>
      </c>
      <c r="C274" s="6">
        <f>E130</f>
        <v>477.77839999999998</v>
      </c>
      <c r="D274" s="75">
        <v>0.5</v>
      </c>
      <c r="E274" s="8">
        <f t="shared" si="42"/>
        <v>238.88919999999999</v>
      </c>
    </row>
    <row r="275" spans="2:9" ht="24" hidden="1" customHeight="1" thickBot="1" x14ac:dyDescent="0.25"/>
    <row r="276" spans="2:9" ht="24" hidden="1" customHeight="1" thickBot="1" x14ac:dyDescent="0.3">
      <c r="B276" s="252" t="s">
        <v>64</v>
      </c>
      <c r="C276" s="253"/>
      <c r="D276" s="253"/>
      <c r="E276" s="254"/>
    </row>
    <row r="277" spans="2:9" ht="24" hidden="1" customHeight="1" thickBot="1" x14ac:dyDescent="0.25">
      <c r="B277" s="13" t="s">
        <v>3</v>
      </c>
      <c r="C277" s="14" t="s">
        <v>1</v>
      </c>
      <c r="D277" s="14" t="s">
        <v>2</v>
      </c>
      <c r="E277" s="15" t="s">
        <v>4</v>
      </c>
    </row>
    <row r="278" spans="2:9" ht="24" hidden="1" customHeight="1" x14ac:dyDescent="0.25">
      <c r="B278" s="3" t="s">
        <v>254</v>
      </c>
      <c r="C278" s="5">
        <f>E260+E269</f>
        <v>397.3279593333333</v>
      </c>
      <c r="D278" s="83">
        <f>$C$249</f>
        <v>0.45</v>
      </c>
      <c r="E278" s="7">
        <f>C278*D278</f>
        <v>178.79758169999999</v>
      </c>
    </row>
    <row r="279" spans="2:9" ht="24" hidden="1" customHeight="1" x14ac:dyDescent="0.25">
      <c r="B279" s="4" t="s">
        <v>265</v>
      </c>
      <c r="C279" s="6">
        <f>E261+E270</f>
        <v>275.90909694444446</v>
      </c>
      <c r="D279" s="81">
        <f t="shared" ref="D279:D283" si="43">$C$249</f>
        <v>0.45</v>
      </c>
      <c r="E279" s="8">
        <f t="shared" ref="E279:E283" si="44">C279*D279</f>
        <v>124.15909362500001</v>
      </c>
    </row>
    <row r="280" spans="2:9" ht="24" hidden="1" customHeight="1" x14ac:dyDescent="0.25">
      <c r="B280" s="4" t="s">
        <v>257</v>
      </c>
      <c r="C280" s="6">
        <f>E262+E271</f>
        <v>308.86250000000001</v>
      </c>
      <c r="D280" s="81">
        <f t="shared" si="43"/>
        <v>0.45</v>
      </c>
      <c r="E280" s="8">
        <f t="shared" si="44"/>
        <v>138.988125</v>
      </c>
    </row>
    <row r="281" spans="2:9" ht="24" hidden="1" customHeight="1" x14ac:dyDescent="0.25">
      <c r="B281" s="4" t="s">
        <v>293</v>
      </c>
      <c r="C281" s="6">
        <f>E263+E272</f>
        <v>397.32776000000001</v>
      </c>
      <c r="D281" s="81">
        <f t="shared" si="43"/>
        <v>0.45</v>
      </c>
      <c r="E281" s="8">
        <f t="shared" si="44"/>
        <v>178.79749200000001</v>
      </c>
    </row>
    <row r="282" spans="2:9" ht="24" hidden="1" customHeight="1" x14ac:dyDescent="0.25">
      <c r="B282" s="1" t="s">
        <v>266</v>
      </c>
      <c r="C282" s="11">
        <f>ROUND(E264+E273,2)</f>
        <v>696.48</v>
      </c>
      <c r="D282" s="147">
        <f t="shared" si="43"/>
        <v>0.45</v>
      </c>
      <c r="E282" s="10">
        <f>ROUND(C282*D282,2)</f>
        <v>313.42</v>
      </c>
    </row>
    <row r="283" spans="2:9" ht="24" hidden="1" customHeight="1" x14ac:dyDescent="0.25">
      <c r="B283" s="4" t="s">
        <v>259</v>
      </c>
      <c r="C283" s="6">
        <f>E265+E274</f>
        <v>785.56989999999996</v>
      </c>
      <c r="D283" s="81">
        <f t="shared" si="43"/>
        <v>0.45</v>
      </c>
      <c r="E283" s="8">
        <f t="shared" si="44"/>
        <v>353.50645500000002</v>
      </c>
    </row>
    <row r="284" spans="2:9" ht="24" hidden="1" customHeight="1" x14ac:dyDescent="0.25"/>
    <row r="285" spans="2:9" ht="24" hidden="1" customHeight="1" x14ac:dyDescent="0.25">
      <c r="B285" s="249" t="s">
        <v>65</v>
      </c>
      <c r="C285" s="250"/>
      <c r="D285" s="250"/>
      <c r="E285" s="250"/>
      <c r="F285" s="250"/>
      <c r="G285" s="250"/>
      <c r="H285" s="250"/>
      <c r="I285" s="250"/>
    </row>
    <row r="286" spans="2:9" ht="101.25" hidden="1" customHeight="1" x14ac:dyDescent="0.25">
      <c r="B286" s="251" t="s">
        <v>251</v>
      </c>
      <c r="C286" s="251"/>
      <c r="D286" s="251"/>
      <c r="E286" s="251"/>
      <c r="F286" s="251"/>
      <c r="G286" s="251"/>
      <c r="H286" s="251"/>
      <c r="I286" s="251"/>
    </row>
    <row r="287" spans="2:9" ht="15.75" hidden="1" customHeight="1" x14ac:dyDescent="0.25"/>
    <row r="288" spans="2:9" ht="24" hidden="1" customHeight="1" thickBot="1" x14ac:dyDescent="0.3">
      <c r="B288" s="252" t="s">
        <v>66</v>
      </c>
      <c r="C288" s="253"/>
      <c r="D288" s="253"/>
      <c r="E288" s="254"/>
    </row>
    <row r="289" spans="2:5" ht="33" hidden="1" customHeight="1" thickBot="1" x14ac:dyDescent="0.25">
      <c r="B289" s="13" t="s">
        <v>3</v>
      </c>
      <c r="C289" s="14" t="s">
        <v>1</v>
      </c>
      <c r="D289" s="16" t="s">
        <v>134</v>
      </c>
      <c r="E289" s="15" t="s">
        <v>4</v>
      </c>
    </row>
    <row r="290" spans="2:5" ht="24" hidden="1" customHeight="1" x14ac:dyDescent="0.25">
      <c r="B290" s="3" t="s">
        <v>254</v>
      </c>
      <c r="C290" s="5">
        <f>H52+F236</f>
        <v>4290.232</v>
      </c>
      <c r="D290" s="71">
        <v>12</v>
      </c>
      <c r="E290" s="7">
        <f>C290/D290</f>
        <v>357.51933333333335</v>
      </c>
    </row>
    <row r="291" spans="2:5" ht="24" hidden="1" customHeight="1" x14ac:dyDescent="0.25">
      <c r="B291" s="4" t="s">
        <v>265</v>
      </c>
      <c r="C291" s="6">
        <f>H53+F237</f>
        <v>2988.3541448333335</v>
      </c>
      <c r="D291" s="72">
        <v>12</v>
      </c>
      <c r="E291" s="8">
        <f t="shared" ref="E291:E295" si="45">C291/D291</f>
        <v>249.02951206944445</v>
      </c>
    </row>
    <row r="292" spans="2:5" ht="24" hidden="1" customHeight="1" x14ac:dyDescent="0.25">
      <c r="B292" s="4" t="s">
        <v>257</v>
      </c>
      <c r="C292" s="6">
        <f>H54+F238</f>
        <v>3338.8870200000001</v>
      </c>
      <c r="D292" s="72">
        <v>12</v>
      </c>
      <c r="E292" s="8">
        <f t="shared" si="45"/>
        <v>278.24058500000001</v>
      </c>
    </row>
    <row r="293" spans="2:5" ht="24" hidden="1" customHeight="1" x14ac:dyDescent="0.25">
      <c r="B293" s="4" t="s">
        <v>293</v>
      </c>
      <c r="C293" s="6">
        <f>H55+F239</f>
        <v>4290.2288159999998</v>
      </c>
      <c r="D293" s="72">
        <v>12</v>
      </c>
      <c r="E293" s="8">
        <f t="shared" si="45"/>
        <v>357.519068</v>
      </c>
    </row>
    <row r="294" spans="2:5" ht="24" hidden="1" customHeight="1" x14ac:dyDescent="0.25">
      <c r="B294" s="1" t="s">
        <v>266</v>
      </c>
      <c r="C294" s="11">
        <f>ROUND(H56+F240,2)</f>
        <v>7501.18</v>
      </c>
      <c r="D294" s="155">
        <v>12</v>
      </c>
      <c r="E294" s="10">
        <f>ROUND(C294/D294,2)</f>
        <v>625.1</v>
      </c>
    </row>
    <row r="295" spans="2:5" ht="24" hidden="1" customHeight="1" x14ac:dyDescent="0.25">
      <c r="B295" s="4" t="s">
        <v>259</v>
      </c>
      <c r="C295" s="6">
        <f>H57+F241</f>
        <v>8459.3375400000004</v>
      </c>
      <c r="D295" s="72">
        <v>12</v>
      </c>
      <c r="E295" s="8">
        <f t="shared" si="45"/>
        <v>704.944795</v>
      </c>
    </row>
    <row r="296" spans="2:5" ht="15.75" hidden="1" customHeight="1" x14ac:dyDescent="0.25"/>
    <row r="297" spans="2:5" ht="31.5" hidden="1" customHeight="1" thickBot="1" x14ac:dyDescent="0.3">
      <c r="B297" s="258" t="s">
        <v>67</v>
      </c>
      <c r="C297" s="259"/>
      <c r="D297" s="259"/>
      <c r="E297" s="260"/>
    </row>
    <row r="298" spans="2:5" ht="34.5" hidden="1" customHeight="1" thickBot="1" x14ac:dyDescent="0.25">
      <c r="B298" s="13" t="s">
        <v>3</v>
      </c>
      <c r="C298" s="14" t="s">
        <v>1</v>
      </c>
      <c r="D298" s="28" t="s">
        <v>63</v>
      </c>
      <c r="E298" s="15" t="s">
        <v>4</v>
      </c>
    </row>
    <row r="299" spans="2:5" ht="24" hidden="1" customHeight="1" x14ac:dyDescent="0.25">
      <c r="B299" s="3" t="s">
        <v>254</v>
      </c>
      <c r="C299" s="5">
        <f>E125</f>
        <v>235.90296888888886</v>
      </c>
      <c r="D299" s="74">
        <v>0.5</v>
      </c>
      <c r="E299" s="7">
        <f>C299*D299</f>
        <v>117.95148444444443</v>
      </c>
    </row>
    <row r="300" spans="2:5" ht="24" hidden="1" customHeight="1" x14ac:dyDescent="0.25">
      <c r="B300" s="4" t="s">
        <v>265</v>
      </c>
      <c r="C300" s="6">
        <f>E126</f>
        <v>159.28642888888888</v>
      </c>
      <c r="D300" s="75">
        <v>0.5</v>
      </c>
      <c r="E300" s="8">
        <f t="shared" ref="E300:E304" si="46">C300*D300</f>
        <v>79.643214444444439</v>
      </c>
    </row>
    <row r="301" spans="2:5" ht="24" hidden="1" customHeight="1" x14ac:dyDescent="0.25">
      <c r="B301" s="4" t="s">
        <v>257</v>
      </c>
      <c r="C301" s="6">
        <f>E127</f>
        <v>181.4632</v>
      </c>
      <c r="D301" s="75">
        <v>0.5</v>
      </c>
      <c r="E301" s="8">
        <f t="shared" si="46"/>
        <v>90.7316</v>
      </c>
    </row>
    <row r="302" spans="2:5" ht="24" hidden="1" customHeight="1" x14ac:dyDescent="0.25">
      <c r="B302" s="4" t="s">
        <v>293</v>
      </c>
      <c r="C302" s="6">
        <f>E128</f>
        <v>235.90335999999999</v>
      </c>
      <c r="D302" s="75">
        <v>0.5</v>
      </c>
      <c r="E302" s="8">
        <f t="shared" si="46"/>
        <v>117.95168</v>
      </c>
    </row>
    <row r="303" spans="2:5" ht="24" hidden="1" customHeight="1" x14ac:dyDescent="0.25">
      <c r="B303" s="1" t="s">
        <v>266</v>
      </c>
      <c r="C303" s="11">
        <f>ROUND(E129,2)</f>
        <v>422.95</v>
      </c>
      <c r="D303" s="151">
        <v>0.5</v>
      </c>
      <c r="E303" s="10">
        <f>ROUND(C303*D303,2)</f>
        <v>211.48</v>
      </c>
    </row>
    <row r="304" spans="2:5" ht="24" hidden="1" customHeight="1" x14ac:dyDescent="0.25">
      <c r="B304" s="4" t="s">
        <v>259</v>
      </c>
      <c r="C304" s="6">
        <f>E130</f>
        <v>477.77839999999998</v>
      </c>
      <c r="D304" s="75">
        <v>0.5</v>
      </c>
      <c r="E304" s="8">
        <f t="shared" si="46"/>
        <v>238.88919999999999</v>
      </c>
    </row>
    <row r="305" spans="2:9" ht="24" hidden="1" customHeight="1" thickBot="1" x14ac:dyDescent="0.25"/>
    <row r="306" spans="2:9" ht="24" hidden="1" customHeight="1" thickBot="1" x14ac:dyDescent="0.3">
      <c r="B306" s="252" t="s">
        <v>76</v>
      </c>
      <c r="C306" s="253"/>
      <c r="D306" s="253"/>
      <c r="E306" s="254"/>
    </row>
    <row r="307" spans="2:9" ht="24" hidden="1" customHeight="1" thickBot="1" x14ac:dyDescent="0.25">
      <c r="B307" s="13" t="s">
        <v>3</v>
      </c>
      <c r="C307" s="14" t="s">
        <v>1</v>
      </c>
      <c r="D307" s="14" t="s">
        <v>2</v>
      </c>
      <c r="E307" s="15" t="s">
        <v>4</v>
      </c>
    </row>
    <row r="308" spans="2:9" ht="24" hidden="1" customHeight="1" x14ac:dyDescent="0.25">
      <c r="B308" s="3" t="s">
        <v>254</v>
      </c>
      <c r="C308" s="5">
        <f>E290+E299</f>
        <v>475.47081777777777</v>
      </c>
      <c r="D308" s="83">
        <f>$C$250</f>
        <v>0.55000000000000004</v>
      </c>
      <c r="E308" s="7">
        <f>C308*D308</f>
        <v>261.50894977777779</v>
      </c>
    </row>
    <row r="309" spans="2:9" ht="24" hidden="1" customHeight="1" x14ac:dyDescent="0.25">
      <c r="B309" s="4" t="s">
        <v>265</v>
      </c>
      <c r="C309" s="6">
        <f>E291+E300</f>
        <v>328.6727265138889</v>
      </c>
      <c r="D309" s="81">
        <f t="shared" ref="D309:D313" si="47">$C$250</f>
        <v>0.55000000000000004</v>
      </c>
      <c r="E309" s="8">
        <f t="shared" ref="E309:E313" si="48">C309*D309</f>
        <v>180.76999958263892</v>
      </c>
    </row>
    <row r="310" spans="2:9" ht="24" hidden="1" customHeight="1" x14ac:dyDescent="0.25">
      <c r="B310" s="4" t="s">
        <v>257</v>
      </c>
      <c r="C310" s="6">
        <f>E292+E301</f>
        <v>368.97218500000002</v>
      </c>
      <c r="D310" s="81">
        <f t="shared" si="47"/>
        <v>0.55000000000000004</v>
      </c>
      <c r="E310" s="8">
        <f t="shared" si="48"/>
        <v>202.93470175000002</v>
      </c>
    </row>
    <row r="311" spans="2:9" ht="24" hidden="1" customHeight="1" x14ac:dyDescent="0.25">
      <c r="B311" s="4" t="s">
        <v>293</v>
      </c>
      <c r="C311" s="6">
        <f>E293+E302</f>
        <v>475.47074800000001</v>
      </c>
      <c r="D311" s="81">
        <f t="shared" si="47"/>
        <v>0.55000000000000004</v>
      </c>
      <c r="E311" s="8">
        <f t="shared" si="48"/>
        <v>261.50891140000004</v>
      </c>
    </row>
    <row r="312" spans="2:9" ht="24" hidden="1" customHeight="1" x14ac:dyDescent="0.25">
      <c r="B312" s="1" t="s">
        <v>266</v>
      </c>
      <c r="C312" s="11">
        <f>ROUND(E294+E303,2)</f>
        <v>836.58</v>
      </c>
      <c r="D312" s="147">
        <f t="shared" si="47"/>
        <v>0.55000000000000004</v>
      </c>
      <c r="E312" s="10">
        <f>ROUND(C312*D312,2)</f>
        <v>460.12</v>
      </c>
    </row>
    <row r="313" spans="2:9" ht="24" hidden="1" customHeight="1" thickBot="1" x14ac:dyDescent="0.3">
      <c r="B313" s="2" t="s">
        <v>259</v>
      </c>
      <c r="C313" s="69">
        <f>E295+E304</f>
        <v>943.83399499999996</v>
      </c>
      <c r="D313" s="82">
        <f t="shared" si="47"/>
        <v>0.55000000000000004</v>
      </c>
      <c r="E313" s="9">
        <f t="shared" si="48"/>
        <v>519.10869724999998</v>
      </c>
    </row>
    <row r="314" spans="2:9" ht="24" hidden="1" customHeight="1" x14ac:dyDescent="0.25"/>
    <row r="315" spans="2:9" ht="24" hidden="1" customHeight="1" x14ac:dyDescent="0.25">
      <c r="B315" s="249" t="s">
        <v>68</v>
      </c>
      <c r="C315" s="250"/>
      <c r="D315" s="250"/>
      <c r="E315" s="250"/>
      <c r="F315" s="250"/>
      <c r="G315" s="250"/>
      <c r="H315" s="250"/>
      <c r="I315" s="250"/>
    </row>
    <row r="316" spans="2:9" ht="75" hidden="1" customHeight="1" x14ac:dyDescent="0.25">
      <c r="B316" s="262" t="s">
        <v>252</v>
      </c>
      <c r="C316" s="262"/>
      <c r="D316" s="262"/>
      <c r="E316" s="262"/>
      <c r="F316" s="262"/>
      <c r="G316" s="262"/>
      <c r="H316" s="262"/>
      <c r="I316" s="262"/>
    </row>
    <row r="317" spans="2:9" ht="20.25" hidden="1" customHeight="1" thickBot="1" x14ac:dyDescent="0.25"/>
    <row r="318" spans="2:9" ht="24" hidden="1" customHeight="1" thickBot="1" x14ac:dyDescent="0.3">
      <c r="B318" s="252" t="s">
        <v>71</v>
      </c>
      <c r="C318" s="253"/>
      <c r="D318" s="253"/>
      <c r="E318" s="253"/>
      <c r="F318" s="254"/>
    </row>
    <row r="319" spans="2:9" ht="46.5" hidden="1" customHeight="1" thickBot="1" x14ac:dyDescent="0.25">
      <c r="B319" s="13" t="s">
        <v>3</v>
      </c>
      <c r="C319" s="16" t="s">
        <v>133</v>
      </c>
      <c r="D319" s="16" t="s">
        <v>70</v>
      </c>
      <c r="E319" s="16" t="s">
        <v>69</v>
      </c>
      <c r="F319" s="15" t="s">
        <v>4</v>
      </c>
    </row>
    <row r="320" spans="2:9" ht="24" hidden="1" customHeight="1" x14ac:dyDescent="0.25">
      <c r="B320" s="3" t="s">
        <v>254</v>
      </c>
      <c r="C320" s="33">
        <f t="shared" ref="C320:C325" si="49">-E65</f>
        <v>-205.72933333333333</v>
      </c>
      <c r="D320" s="33">
        <f t="shared" ref="D320:D325" si="50">-E74</f>
        <v>-205.72933333333333</v>
      </c>
      <c r="E320" s="33">
        <f t="shared" ref="E320:E325" si="51">-F83</f>
        <v>-68.576444444444434</v>
      </c>
      <c r="F320" s="34">
        <f t="shared" ref="F320:F325" si="52">SUM(C320:E320)</f>
        <v>-480.03511111111106</v>
      </c>
    </row>
    <row r="321" spans="2:9" ht="24" hidden="1" customHeight="1" x14ac:dyDescent="0.25">
      <c r="B321" s="4" t="s">
        <v>265</v>
      </c>
      <c r="C321" s="31">
        <f t="shared" si="49"/>
        <v>-138.91258333333332</v>
      </c>
      <c r="D321" s="31">
        <f t="shared" si="50"/>
        <v>-138.91258333333332</v>
      </c>
      <c r="E321" s="31">
        <f t="shared" si="51"/>
        <v>-46.304194444444434</v>
      </c>
      <c r="F321" s="32">
        <f t="shared" si="52"/>
        <v>-324.12936111111105</v>
      </c>
    </row>
    <row r="322" spans="2:9" ht="24" hidden="1" customHeight="1" x14ac:dyDescent="0.25">
      <c r="B322" s="4" t="s">
        <v>257</v>
      </c>
      <c r="C322" s="31">
        <f t="shared" si="49"/>
        <v>-158.25333333333333</v>
      </c>
      <c r="D322" s="31">
        <f t="shared" si="50"/>
        <v>-158.25333333333333</v>
      </c>
      <c r="E322" s="31">
        <f t="shared" si="51"/>
        <v>-52.751111111111108</v>
      </c>
      <c r="F322" s="32">
        <f t="shared" si="52"/>
        <v>-369.25777777777779</v>
      </c>
    </row>
    <row r="323" spans="2:9" ht="24" hidden="1" customHeight="1" x14ac:dyDescent="0.25">
      <c r="B323" s="4" t="s">
        <v>293</v>
      </c>
      <c r="C323" s="31">
        <f t="shared" si="49"/>
        <v>-205.72933333333333</v>
      </c>
      <c r="D323" s="31">
        <f t="shared" si="50"/>
        <v>-205.72933333333333</v>
      </c>
      <c r="E323" s="31">
        <f t="shared" si="51"/>
        <v>-68.576444444444434</v>
      </c>
      <c r="F323" s="32">
        <f t="shared" si="52"/>
        <v>-480.03511111111106</v>
      </c>
    </row>
    <row r="324" spans="2:9" ht="24" hidden="1" customHeight="1" x14ac:dyDescent="0.25">
      <c r="B324" s="1" t="s">
        <v>266</v>
      </c>
      <c r="C324" s="156">
        <f t="shared" si="49"/>
        <v>-368.84999999999997</v>
      </c>
      <c r="D324" s="156">
        <f t="shared" si="50"/>
        <v>-368.85</v>
      </c>
      <c r="E324" s="156">
        <f t="shared" si="51"/>
        <v>-122.95</v>
      </c>
      <c r="F324" s="157">
        <f t="shared" si="52"/>
        <v>-860.65000000000009</v>
      </c>
    </row>
    <row r="325" spans="2:9" ht="24" hidden="1" customHeight="1" thickBot="1" x14ac:dyDescent="0.3">
      <c r="B325" s="2" t="s">
        <v>259</v>
      </c>
      <c r="C325" s="31">
        <f t="shared" si="49"/>
        <v>-416.66666666666663</v>
      </c>
      <c r="D325" s="31">
        <f t="shared" si="50"/>
        <v>-416.66666666666663</v>
      </c>
      <c r="E325" s="31">
        <f t="shared" si="51"/>
        <v>-138.88888888888886</v>
      </c>
      <c r="F325" s="32">
        <f t="shared" si="52"/>
        <v>-972.22222222222217</v>
      </c>
    </row>
    <row r="326" spans="2:9" ht="24" hidden="1" customHeight="1" thickBot="1" x14ac:dyDescent="0.25"/>
    <row r="327" spans="2:9" ht="24" hidden="1" customHeight="1" thickBot="1" x14ac:dyDescent="0.3">
      <c r="B327" s="252" t="s">
        <v>72</v>
      </c>
      <c r="C327" s="253"/>
      <c r="D327" s="253"/>
      <c r="E327" s="254"/>
    </row>
    <row r="328" spans="2:9" ht="24" hidden="1" customHeight="1" thickBot="1" x14ac:dyDescent="0.25">
      <c r="B328" s="13" t="s">
        <v>3</v>
      </c>
      <c r="C328" s="14" t="s">
        <v>6</v>
      </c>
      <c r="D328" s="14" t="s">
        <v>2</v>
      </c>
      <c r="E328" s="15" t="s">
        <v>4</v>
      </c>
    </row>
    <row r="329" spans="2:9" ht="24" hidden="1" customHeight="1" x14ac:dyDescent="0.25">
      <c r="B329" s="3" t="s">
        <v>254</v>
      </c>
      <c r="C329" s="33">
        <f t="shared" ref="C329:C334" si="53">F320</f>
        <v>-480.03511111111106</v>
      </c>
      <c r="D329" s="83">
        <f>$C$251</f>
        <v>0</v>
      </c>
      <c r="E329" s="34">
        <f>C329*D329</f>
        <v>0</v>
      </c>
    </row>
    <row r="330" spans="2:9" ht="24" hidden="1" customHeight="1" x14ac:dyDescent="0.25">
      <c r="B330" s="4" t="s">
        <v>265</v>
      </c>
      <c r="C330" s="31">
        <f t="shared" si="53"/>
        <v>-324.12936111111105</v>
      </c>
      <c r="D330" s="81">
        <f t="shared" ref="D330:D334" si="54">$C$251</f>
        <v>0</v>
      </c>
      <c r="E330" s="32">
        <f t="shared" ref="E330:E334" si="55">C330*D330</f>
        <v>0</v>
      </c>
    </row>
    <row r="331" spans="2:9" ht="24" hidden="1" customHeight="1" x14ac:dyDescent="0.25">
      <c r="B331" s="4" t="s">
        <v>257</v>
      </c>
      <c r="C331" s="31">
        <f t="shared" si="53"/>
        <v>-369.25777777777779</v>
      </c>
      <c r="D331" s="81">
        <f t="shared" si="54"/>
        <v>0</v>
      </c>
      <c r="E331" s="32">
        <f t="shared" si="55"/>
        <v>0</v>
      </c>
    </row>
    <row r="332" spans="2:9" ht="24" hidden="1" customHeight="1" x14ac:dyDescent="0.25">
      <c r="B332" s="4" t="s">
        <v>293</v>
      </c>
      <c r="C332" s="31">
        <f t="shared" si="53"/>
        <v>-480.03511111111106</v>
      </c>
      <c r="D332" s="81">
        <f t="shared" si="54"/>
        <v>0</v>
      </c>
      <c r="E332" s="32">
        <f t="shared" si="55"/>
        <v>0</v>
      </c>
    </row>
    <row r="333" spans="2:9" ht="24" hidden="1" customHeight="1" x14ac:dyDescent="0.25">
      <c r="B333" s="1" t="s">
        <v>266</v>
      </c>
      <c r="C333" s="156">
        <f t="shared" si="53"/>
        <v>-860.65000000000009</v>
      </c>
      <c r="D333" s="147">
        <f t="shared" si="54"/>
        <v>0</v>
      </c>
      <c r="E333" s="157">
        <f t="shared" si="55"/>
        <v>0</v>
      </c>
    </row>
    <row r="334" spans="2:9" ht="24" hidden="1" customHeight="1" thickBot="1" x14ac:dyDescent="0.3">
      <c r="B334" s="2" t="s">
        <v>259</v>
      </c>
      <c r="C334" s="31">
        <f t="shared" si="53"/>
        <v>-972.22222222222217</v>
      </c>
      <c r="D334" s="81">
        <f t="shared" si="54"/>
        <v>0</v>
      </c>
      <c r="E334" s="32">
        <f t="shared" si="55"/>
        <v>0</v>
      </c>
    </row>
    <row r="335" spans="2:9" ht="24" hidden="1" customHeight="1" x14ac:dyDescent="0.25"/>
    <row r="336" spans="2:9" ht="24" hidden="1" customHeight="1" x14ac:dyDescent="0.25">
      <c r="B336" s="255" t="s">
        <v>49</v>
      </c>
      <c r="C336" s="255"/>
      <c r="D336" s="255"/>
      <c r="E336" s="255"/>
      <c r="F336" s="255"/>
      <c r="G336" s="255"/>
      <c r="H336" s="255"/>
      <c r="I336" s="255"/>
    </row>
    <row r="337" spans="2:9" ht="24" hidden="1" customHeight="1" thickBot="1" x14ac:dyDescent="0.25"/>
    <row r="338" spans="2:9" ht="24" hidden="1" customHeight="1" thickBot="1" x14ac:dyDescent="0.3">
      <c r="B338" s="252" t="s">
        <v>49</v>
      </c>
      <c r="C338" s="253"/>
      <c r="D338" s="253"/>
      <c r="E338" s="253"/>
      <c r="F338" s="254"/>
    </row>
    <row r="339" spans="2:9" ht="24" hidden="1" customHeight="1" thickBot="1" x14ac:dyDescent="0.25">
      <c r="B339" s="13" t="s">
        <v>3</v>
      </c>
      <c r="C339" s="14" t="s">
        <v>73</v>
      </c>
      <c r="D339" s="14" t="s">
        <v>74</v>
      </c>
      <c r="E339" s="14" t="s">
        <v>75</v>
      </c>
      <c r="F339" s="15" t="s">
        <v>10</v>
      </c>
    </row>
    <row r="340" spans="2:9" ht="24" hidden="1" customHeight="1" x14ac:dyDescent="0.25">
      <c r="B340" s="3" t="s">
        <v>254</v>
      </c>
      <c r="C340" s="5">
        <f>E278</f>
        <v>178.79758169999999</v>
      </c>
      <c r="D340" s="5">
        <f>E308</f>
        <v>261.50894977777779</v>
      </c>
      <c r="E340" s="33">
        <f t="shared" ref="E340:E345" si="56">E329</f>
        <v>0</v>
      </c>
      <c r="F340" s="7">
        <f t="shared" ref="F340:F345" si="57">SUM(C340:E340)</f>
        <v>440.30653147777775</v>
      </c>
    </row>
    <row r="341" spans="2:9" ht="24" hidden="1" customHeight="1" x14ac:dyDescent="0.25">
      <c r="B341" s="4" t="s">
        <v>265</v>
      </c>
      <c r="C341" s="6">
        <f>E279</f>
        <v>124.15909362500001</v>
      </c>
      <c r="D341" s="6">
        <f>E309</f>
        <v>180.76999958263892</v>
      </c>
      <c r="E341" s="31">
        <f t="shared" si="56"/>
        <v>0</v>
      </c>
      <c r="F341" s="8">
        <f t="shared" si="57"/>
        <v>304.92909320763891</v>
      </c>
    </row>
    <row r="342" spans="2:9" ht="24" hidden="1" customHeight="1" x14ac:dyDescent="0.25">
      <c r="B342" s="4" t="s">
        <v>257</v>
      </c>
      <c r="C342" s="6">
        <f>E280</f>
        <v>138.988125</v>
      </c>
      <c r="D342" s="6">
        <f>E310</f>
        <v>202.93470175000002</v>
      </c>
      <c r="E342" s="31">
        <f t="shared" si="56"/>
        <v>0</v>
      </c>
      <c r="F342" s="8">
        <f t="shared" si="57"/>
        <v>341.92282675000001</v>
      </c>
    </row>
    <row r="343" spans="2:9" ht="24" hidden="1" customHeight="1" x14ac:dyDescent="0.25">
      <c r="B343" s="4" t="s">
        <v>293</v>
      </c>
      <c r="C343" s="6">
        <f>E281</f>
        <v>178.79749200000001</v>
      </c>
      <c r="D343" s="6">
        <f>E311</f>
        <v>261.50891140000004</v>
      </c>
      <c r="E343" s="31">
        <f t="shared" si="56"/>
        <v>0</v>
      </c>
      <c r="F343" s="8">
        <f t="shared" si="57"/>
        <v>440.30640340000002</v>
      </c>
    </row>
    <row r="344" spans="2:9" ht="24" hidden="1" customHeight="1" x14ac:dyDescent="0.25">
      <c r="B344" s="1" t="s">
        <v>266</v>
      </c>
      <c r="C344" s="11">
        <f>ROUND(E282,2)</f>
        <v>313.42</v>
      </c>
      <c r="D344" s="11">
        <f>ROUND(E312,2)</f>
        <v>460.12</v>
      </c>
      <c r="E344" s="156">
        <f t="shared" si="56"/>
        <v>0</v>
      </c>
      <c r="F344" s="10">
        <f t="shared" si="57"/>
        <v>773.54</v>
      </c>
    </row>
    <row r="345" spans="2:9" ht="24" hidden="1" customHeight="1" thickBot="1" x14ac:dyDescent="0.3">
      <c r="B345" s="2" t="s">
        <v>259</v>
      </c>
      <c r="C345" s="69">
        <f>E283</f>
        <v>353.50645500000002</v>
      </c>
      <c r="D345" s="69">
        <f>E313</f>
        <v>519.10869724999998</v>
      </c>
      <c r="E345" s="70">
        <f t="shared" si="56"/>
        <v>0</v>
      </c>
      <c r="F345" s="9">
        <f t="shared" si="57"/>
        <v>872.61515224999994</v>
      </c>
    </row>
    <row r="346" spans="2:9" ht="24" hidden="1" customHeight="1" x14ac:dyDescent="0.25"/>
    <row r="347" spans="2:9" ht="24" hidden="1" customHeight="1" x14ac:dyDescent="0.25">
      <c r="B347" s="255" t="s">
        <v>77</v>
      </c>
      <c r="C347" s="255"/>
      <c r="D347" s="255"/>
      <c r="E347" s="255"/>
      <c r="F347" s="255"/>
      <c r="G347" s="255"/>
      <c r="H347" s="255"/>
      <c r="I347" s="255"/>
    </row>
    <row r="348" spans="2:9" ht="144" hidden="1" customHeight="1" x14ac:dyDescent="0.25">
      <c r="B348" s="251" t="s">
        <v>240</v>
      </c>
      <c r="C348" s="251"/>
      <c r="D348" s="251"/>
      <c r="E348" s="251"/>
      <c r="F348" s="251"/>
      <c r="G348" s="251"/>
      <c r="H348" s="251"/>
      <c r="I348" s="251"/>
    </row>
    <row r="349" spans="2:9" ht="24" hidden="1" customHeight="1" thickBot="1" x14ac:dyDescent="0.25"/>
    <row r="350" spans="2:9" ht="24" hidden="1" customHeight="1" thickBot="1" x14ac:dyDescent="0.3">
      <c r="B350" s="258" t="s">
        <v>145</v>
      </c>
      <c r="C350" s="259"/>
      <c r="D350" s="259"/>
      <c r="E350" s="259"/>
      <c r="F350" s="259"/>
      <c r="G350" s="259"/>
      <c r="H350" s="260"/>
    </row>
    <row r="351" spans="2:9" ht="16.5" hidden="1" customHeight="1" thickBot="1" x14ac:dyDescent="0.3">
      <c r="B351" s="258" t="s">
        <v>81</v>
      </c>
      <c r="C351" s="259"/>
      <c r="D351" s="259"/>
      <c r="E351" s="259"/>
      <c r="F351" s="259"/>
      <c r="G351" s="259"/>
      <c r="H351" s="260"/>
    </row>
    <row r="352" spans="2:9" ht="24" hidden="1" customHeight="1" thickBot="1" x14ac:dyDescent="0.3">
      <c r="B352" s="263" t="s">
        <v>3</v>
      </c>
      <c r="C352" s="263" t="s">
        <v>82</v>
      </c>
      <c r="D352" s="263" t="s">
        <v>83</v>
      </c>
      <c r="E352" s="239" t="s">
        <v>84</v>
      </c>
      <c r="F352" s="240"/>
      <c r="G352" s="239" t="s">
        <v>85</v>
      </c>
      <c r="H352" s="240"/>
    </row>
    <row r="353" spans="2:8" ht="31.5" hidden="1" customHeight="1" thickBot="1" x14ac:dyDescent="0.3">
      <c r="B353" s="264"/>
      <c r="C353" s="264"/>
      <c r="D353" s="264"/>
      <c r="E353" s="56" t="s">
        <v>86</v>
      </c>
      <c r="F353" s="56" t="s">
        <v>87</v>
      </c>
      <c r="G353" s="56" t="s">
        <v>86</v>
      </c>
      <c r="H353" s="56" t="s">
        <v>87</v>
      </c>
    </row>
    <row r="354" spans="2:8" ht="24" hidden="1" customHeight="1" x14ac:dyDescent="0.25">
      <c r="B354" s="36" t="s">
        <v>14</v>
      </c>
      <c r="C354" s="37">
        <v>1</v>
      </c>
      <c r="D354" s="38">
        <v>30</v>
      </c>
      <c r="E354" s="39">
        <v>0.5</v>
      </c>
      <c r="F354" s="40">
        <f t="shared" ref="F354:F365" si="58">(C354*D354)*E354</f>
        <v>15</v>
      </c>
      <c r="G354" s="41">
        <f>(252/365)</f>
        <v>0.69041095890410964</v>
      </c>
      <c r="H354" s="40">
        <f t="shared" ref="H354:H365" si="59">(C354*D354)*G354</f>
        <v>20.712328767123289</v>
      </c>
    </row>
    <row r="355" spans="2:8" ht="24" hidden="1" customHeight="1" x14ac:dyDescent="0.25">
      <c r="B355" s="24" t="s">
        <v>88</v>
      </c>
      <c r="C355" s="42">
        <v>1</v>
      </c>
      <c r="D355" s="43">
        <v>1</v>
      </c>
      <c r="E355" s="44">
        <v>1</v>
      </c>
      <c r="F355" s="45">
        <f t="shared" si="58"/>
        <v>1</v>
      </c>
      <c r="G355" s="46">
        <v>1</v>
      </c>
      <c r="H355" s="45">
        <f t="shared" si="59"/>
        <v>1</v>
      </c>
    </row>
    <row r="356" spans="2:8" ht="24" hidden="1" customHeight="1" x14ac:dyDescent="0.25">
      <c r="B356" s="24" t="s">
        <v>89</v>
      </c>
      <c r="C356" s="42">
        <v>0.36</v>
      </c>
      <c r="D356" s="43">
        <v>15</v>
      </c>
      <c r="E356" s="44">
        <v>0.5</v>
      </c>
      <c r="F356" s="45">
        <f t="shared" si="58"/>
        <v>2.6999999999999997</v>
      </c>
      <c r="G356" s="46">
        <f>(252/365)</f>
        <v>0.69041095890410964</v>
      </c>
      <c r="H356" s="45">
        <f t="shared" si="59"/>
        <v>3.7282191780821918</v>
      </c>
    </row>
    <row r="357" spans="2:8" ht="24" hidden="1" customHeight="1" x14ac:dyDescent="0.25">
      <c r="B357" s="24" t="s">
        <v>90</v>
      </c>
      <c r="C357" s="42">
        <v>3</v>
      </c>
      <c r="D357" s="43">
        <v>5</v>
      </c>
      <c r="E357" s="44">
        <v>0.5</v>
      </c>
      <c r="F357" s="45">
        <f t="shared" si="58"/>
        <v>7.5</v>
      </c>
      <c r="G357" s="46">
        <f>(252/365)</f>
        <v>0.69041095890410964</v>
      </c>
      <c r="H357" s="45">
        <f t="shared" si="59"/>
        <v>10.356164383561644</v>
      </c>
    </row>
    <row r="358" spans="2:8" ht="24" hidden="1" customHeight="1" x14ac:dyDescent="0.25">
      <c r="B358" s="24" t="s">
        <v>91</v>
      </c>
      <c r="C358" s="42">
        <v>1</v>
      </c>
      <c r="D358" s="43">
        <v>2</v>
      </c>
      <c r="E358" s="44">
        <v>1</v>
      </c>
      <c r="F358" s="45">
        <f t="shared" si="58"/>
        <v>2</v>
      </c>
      <c r="G358" s="46">
        <v>1</v>
      </c>
      <c r="H358" s="45">
        <f t="shared" si="59"/>
        <v>2</v>
      </c>
    </row>
    <row r="359" spans="2:8" ht="24" hidden="1" customHeight="1" x14ac:dyDescent="0.25">
      <c r="B359" s="24" t="s">
        <v>92</v>
      </c>
      <c r="C359" s="42">
        <v>1</v>
      </c>
      <c r="D359" s="43">
        <v>2</v>
      </c>
      <c r="E359" s="44">
        <v>0.5</v>
      </c>
      <c r="F359" s="45">
        <f t="shared" si="58"/>
        <v>1</v>
      </c>
      <c r="G359" s="46">
        <f>(252/365)</f>
        <v>0.69041095890410964</v>
      </c>
      <c r="H359" s="45">
        <f t="shared" si="59"/>
        <v>1.3808219178082193</v>
      </c>
    </row>
    <row r="360" spans="2:8" ht="24" hidden="1" customHeight="1" x14ac:dyDescent="0.25">
      <c r="B360" s="24" t="s">
        <v>93</v>
      </c>
      <c r="C360" s="42">
        <v>1</v>
      </c>
      <c r="D360" s="43">
        <v>3</v>
      </c>
      <c r="E360" s="44">
        <v>0.5</v>
      </c>
      <c r="F360" s="45">
        <f t="shared" si="58"/>
        <v>1.5</v>
      </c>
      <c r="G360" s="46">
        <v>1</v>
      </c>
      <c r="H360" s="45">
        <f t="shared" si="59"/>
        <v>3</v>
      </c>
    </row>
    <row r="361" spans="2:8" ht="24" hidden="1" customHeight="1" x14ac:dyDescent="0.25">
      <c r="B361" s="24" t="s">
        <v>94</v>
      </c>
      <c r="C361" s="42">
        <v>0.1</v>
      </c>
      <c r="D361" s="43">
        <v>1</v>
      </c>
      <c r="E361" s="44">
        <v>1</v>
      </c>
      <c r="F361" s="45">
        <f t="shared" si="58"/>
        <v>0.1</v>
      </c>
      <c r="G361" s="46">
        <v>1</v>
      </c>
      <c r="H361" s="45">
        <f t="shared" si="59"/>
        <v>0.1</v>
      </c>
    </row>
    <row r="362" spans="2:8" ht="24" hidden="1" customHeight="1" x14ac:dyDescent="0.25">
      <c r="B362" s="24" t="s">
        <v>95</v>
      </c>
      <c r="C362" s="42"/>
      <c r="D362" s="43">
        <v>1</v>
      </c>
      <c r="E362" s="44">
        <v>1</v>
      </c>
      <c r="F362" s="45">
        <f t="shared" si="58"/>
        <v>0</v>
      </c>
      <c r="G362" s="46">
        <v>1</v>
      </c>
      <c r="H362" s="45">
        <f t="shared" si="59"/>
        <v>0</v>
      </c>
    </row>
    <row r="363" spans="2:8" ht="24" hidden="1" customHeight="1" x14ac:dyDescent="0.25">
      <c r="B363" s="24" t="s">
        <v>96</v>
      </c>
      <c r="C363" s="42">
        <v>0.7</v>
      </c>
      <c r="D363" s="43">
        <v>20</v>
      </c>
      <c r="E363" s="44">
        <v>0.5</v>
      </c>
      <c r="F363" s="45">
        <f t="shared" si="58"/>
        <v>7</v>
      </c>
      <c r="G363" s="46">
        <f>(252/365)</f>
        <v>0.69041095890410964</v>
      </c>
      <c r="H363" s="45">
        <f t="shared" si="59"/>
        <v>9.6657534246575345</v>
      </c>
    </row>
    <row r="364" spans="2:8" ht="24" hidden="1" customHeight="1" x14ac:dyDescent="0.25">
      <c r="B364" s="24" t="s">
        <v>97</v>
      </c>
      <c r="C364" s="42">
        <v>0.1</v>
      </c>
      <c r="D364" s="43">
        <v>180</v>
      </c>
      <c r="E364" s="44">
        <v>0.5</v>
      </c>
      <c r="F364" s="45">
        <f t="shared" si="58"/>
        <v>9</v>
      </c>
      <c r="G364" s="46">
        <f>(252/365)</f>
        <v>0.69041095890410964</v>
      </c>
      <c r="H364" s="45">
        <f t="shared" si="59"/>
        <v>12.427397260273974</v>
      </c>
    </row>
    <row r="365" spans="2:8" ht="24" hidden="1" customHeight="1" thickBot="1" x14ac:dyDescent="0.3">
      <c r="B365" s="47" t="s">
        <v>98</v>
      </c>
      <c r="C365" s="68">
        <v>0.1</v>
      </c>
      <c r="D365" s="48">
        <v>6</v>
      </c>
      <c r="E365" s="49">
        <v>1</v>
      </c>
      <c r="F365" s="50">
        <f t="shared" si="58"/>
        <v>0.60000000000000009</v>
      </c>
      <c r="G365" s="51">
        <v>1</v>
      </c>
      <c r="H365" s="50">
        <f t="shared" si="59"/>
        <v>0.60000000000000009</v>
      </c>
    </row>
    <row r="366" spans="2:8" ht="24" hidden="1" customHeight="1" thickBot="1" x14ac:dyDescent="0.25"/>
    <row r="367" spans="2:8" ht="24" hidden="1" customHeight="1" thickBot="1" x14ac:dyDescent="0.3">
      <c r="B367" s="258" t="s">
        <v>104</v>
      </c>
      <c r="C367" s="259"/>
      <c r="D367" s="259"/>
      <c r="E367" s="260"/>
    </row>
    <row r="368" spans="2:8" ht="24" hidden="1" customHeight="1" thickBot="1" x14ac:dyDescent="0.3">
      <c r="B368" s="265" t="s">
        <v>99</v>
      </c>
      <c r="C368" s="258" t="s">
        <v>138</v>
      </c>
      <c r="D368" s="259"/>
      <c r="E368" s="260"/>
    </row>
    <row r="369" spans="2:9" ht="26.25" hidden="1" customHeight="1" thickBot="1" x14ac:dyDescent="0.3">
      <c r="B369" s="266"/>
      <c r="C369" s="235" t="s">
        <v>100</v>
      </c>
      <c r="D369" s="247" t="s">
        <v>101</v>
      </c>
      <c r="E369" s="248" t="s">
        <v>102</v>
      </c>
    </row>
    <row r="370" spans="2:9" ht="24" hidden="1" customHeight="1" x14ac:dyDescent="0.25">
      <c r="B370" s="36" t="s">
        <v>14</v>
      </c>
      <c r="C370" s="37">
        <f t="shared" ref="C370:C381" si="60">F354</f>
        <v>15</v>
      </c>
      <c r="D370" s="37">
        <f t="shared" ref="D370:D381" si="61">F354</f>
        <v>15</v>
      </c>
      <c r="E370" s="52">
        <f t="shared" ref="E370:E381" si="62">H354</f>
        <v>20.712328767123289</v>
      </c>
    </row>
    <row r="371" spans="2:9" ht="24" hidden="1" customHeight="1" x14ac:dyDescent="0.25">
      <c r="B371" s="24" t="s">
        <v>88</v>
      </c>
      <c r="C371" s="42">
        <f t="shared" si="60"/>
        <v>1</v>
      </c>
      <c r="D371" s="42">
        <f t="shared" si="61"/>
        <v>1</v>
      </c>
      <c r="E371" s="53">
        <f t="shared" si="62"/>
        <v>1</v>
      </c>
    </row>
    <row r="372" spans="2:9" ht="24" hidden="1" customHeight="1" x14ac:dyDescent="0.25">
      <c r="B372" s="24" t="s">
        <v>89</v>
      </c>
      <c r="C372" s="42">
        <f t="shared" si="60"/>
        <v>2.6999999999999997</v>
      </c>
      <c r="D372" s="42">
        <f t="shared" si="61"/>
        <v>2.6999999999999997</v>
      </c>
      <c r="E372" s="53">
        <f t="shared" si="62"/>
        <v>3.7282191780821918</v>
      </c>
    </row>
    <row r="373" spans="2:9" ht="24" hidden="1" customHeight="1" x14ac:dyDescent="0.25">
      <c r="B373" s="24" t="s">
        <v>90</v>
      </c>
      <c r="C373" s="42">
        <f t="shared" si="60"/>
        <v>7.5</v>
      </c>
      <c r="D373" s="42">
        <f t="shared" si="61"/>
        <v>7.5</v>
      </c>
      <c r="E373" s="53">
        <f t="shared" si="62"/>
        <v>10.356164383561644</v>
      </c>
    </row>
    <row r="374" spans="2:9" ht="24" hidden="1" customHeight="1" x14ac:dyDescent="0.25">
      <c r="B374" s="24" t="s">
        <v>91</v>
      </c>
      <c r="C374" s="42">
        <f t="shared" si="60"/>
        <v>2</v>
      </c>
      <c r="D374" s="42">
        <f t="shared" si="61"/>
        <v>2</v>
      </c>
      <c r="E374" s="53">
        <f t="shared" si="62"/>
        <v>2</v>
      </c>
    </row>
    <row r="375" spans="2:9" ht="24" hidden="1" customHeight="1" x14ac:dyDescent="0.25">
      <c r="B375" s="24" t="s">
        <v>92</v>
      </c>
      <c r="C375" s="42">
        <f t="shared" si="60"/>
        <v>1</v>
      </c>
      <c r="D375" s="42">
        <f t="shared" si="61"/>
        <v>1</v>
      </c>
      <c r="E375" s="53">
        <f t="shared" si="62"/>
        <v>1.3808219178082193</v>
      </c>
    </row>
    <row r="376" spans="2:9" ht="24" hidden="1" customHeight="1" x14ac:dyDescent="0.25">
      <c r="B376" s="24" t="s">
        <v>93</v>
      </c>
      <c r="C376" s="42">
        <f t="shared" si="60"/>
        <v>1.5</v>
      </c>
      <c r="D376" s="42">
        <f t="shared" si="61"/>
        <v>1.5</v>
      </c>
      <c r="E376" s="53">
        <f t="shared" si="62"/>
        <v>3</v>
      </c>
    </row>
    <row r="377" spans="2:9" ht="24" hidden="1" customHeight="1" x14ac:dyDescent="0.25">
      <c r="B377" s="24" t="s">
        <v>94</v>
      </c>
      <c r="C377" s="42">
        <f t="shared" si="60"/>
        <v>0.1</v>
      </c>
      <c r="D377" s="42">
        <f t="shared" si="61"/>
        <v>0.1</v>
      </c>
      <c r="E377" s="53">
        <f t="shared" si="62"/>
        <v>0.1</v>
      </c>
    </row>
    <row r="378" spans="2:9" ht="24" hidden="1" customHeight="1" x14ac:dyDescent="0.25">
      <c r="B378" s="24" t="s">
        <v>95</v>
      </c>
      <c r="C378" s="42">
        <f t="shared" si="60"/>
        <v>0</v>
      </c>
      <c r="D378" s="42">
        <f t="shared" si="61"/>
        <v>0</v>
      </c>
      <c r="E378" s="53">
        <f t="shared" si="62"/>
        <v>0</v>
      </c>
    </row>
    <row r="379" spans="2:9" ht="24" hidden="1" customHeight="1" x14ac:dyDescent="0.25">
      <c r="B379" s="24" t="s">
        <v>96</v>
      </c>
      <c r="C379" s="42">
        <f t="shared" si="60"/>
        <v>7</v>
      </c>
      <c r="D379" s="42">
        <f t="shared" si="61"/>
        <v>7</v>
      </c>
      <c r="E379" s="53">
        <f t="shared" si="62"/>
        <v>9.6657534246575345</v>
      </c>
    </row>
    <row r="380" spans="2:9" ht="24" hidden="1" customHeight="1" x14ac:dyDescent="0.25">
      <c r="B380" s="24" t="s">
        <v>97</v>
      </c>
      <c r="C380" s="42">
        <f t="shared" si="60"/>
        <v>9</v>
      </c>
      <c r="D380" s="42">
        <f t="shared" si="61"/>
        <v>9</v>
      </c>
      <c r="E380" s="53">
        <f t="shared" si="62"/>
        <v>12.427397260273974</v>
      </c>
    </row>
    <row r="381" spans="2:9" ht="24" hidden="1" customHeight="1" thickBot="1" x14ac:dyDescent="0.25">
      <c r="B381" s="25" t="s">
        <v>98</v>
      </c>
      <c r="C381" s="54">
        <f t="shared" si="60"/>
        <v>0.60000000000000009</v>
      </c>
      <c r="D381" s="54">
        <f t="shared" si="61"/>
        <v>0.60000000000000009</v>
      </c>
      <c r="E381" s="55">
        <f t="shared" si="62"/>
        <v>0.60000000000000009</v>
      </c>
    </row>
    <row r="382" spans="2:9" ht="24" hidden="1" customHeight="1" thickBot="1" x14ac:dyDescent="0.3">
      <c r="B382" s="235" t="s">
        <v>103</v>
      </c>
      <c r="C382" s="57">
        <f>SUM(C370:C381)</f>
        <v>47.4</v>
      </c>
      <c r="D382" s="57">
        <f>SUM(D370:D381)</f>
        <v>47.4</v>
      </c>
      <c r="E382" s="58">
        <f>SUM(E370:E381)</f>
        <v>64.970684931506852</v>
      </c>
      <c r="I382" s="236"/>
    </row>
    <row r="383" spans="2:9" ht="24" hidden="1" customHeight="1" x14ac:dyDescent="0.25"/>
    <row r="384" spans="2:9" ht="24" hidden="1" customHeight="1" x14ac:dyDescent="0.25">
      <c r="B384" s="249" t="s">
        <v>108</v>
      </c>
      <c r="C384" s="250"/>
      <c r="D384" s="250"/>
      <c r="E384" s="250"/>
      <c r="F384" s="250"/>
      <c r="G384" s="250"/>
      <c r="H384" s="250"/>
      <c r="I384" s="250"/>
    </row>
    <row r="385" spans="2:9" ht="78" hidden="1" customHeight="1" x14ac:dyDescent="0.25">
      <c r="B385" s="251" t="s">
        <v>253</v>
      </c>
      <c r="C385" s="251"/>
      <c r="D385" s="251"/>
      <c r="E385" s="251"/>
      <c r="F385" s="251"/>
      <c r="G385" s="251"/>
      <c r="H385" s="251"/>
      <c r="I385" s="251"/>
    </row>
    <row r="386" spans="2:9" ht="24" hidden="1" customHeight="1" thickBot="1" x14ac:dyDescent="0.25"/>
    <row r="387" spans="2:9" ht="24" hidden="1" customHeight="1" thickBot="1" x14ac:dyDescent="0.3">
      <c r="B387" s="252" t="s">
        <v>80</v>
      </c>
      <c r="C387" s="253"/>
      <c r="D387" s="253"/>
      <c r="E387" s="254"/>
    </row>
    <row r="388" spans="2:9" ht="24" hidden="1" customHeight="1" thickBot="1" x14ac:dyDescent="0.25">
      <c r="B388" s="13" t="s">
        <v>3</v>
      </c>
      <c r="C388" s="14" t="s">
        <v>1</v>
      </c>
      <c r="D388" s="14" t="s">
        <v>79</v>
      </c>
      <c r="E388" s="15" t="s">
        <v>78</v>
      </c>
    </row>
    <row r="389" spans="2:9" ht="24" hidden="1" customHeight="1" x14ac:dyDescent="0.25">
      <c r="B389" s="3" t="s">
        <v>254</v>
      </c>
      <c r="C389" s="5">
        <f t="shared" ref="C389:C394" si="63">H52+F236+F340</f>
        <v>4730.5385314777777</v>
      </c>
      <c r="D389" s="20">
        <v>30</v>
      </c>
      <c r="E389" s="7">
        <f>C389/D389</f>
        <v>157.68461771592592</v>
      </c>
    </row>
    <row r="390" spans="2:9" ht="24" hidden="1" customHeight="1" x14ac:dyDescent="0.25">
      <c r="B390" s="4" t="s">
        <v>265</v>
      </c>
      <c r="C390" s="6">
        <f t="shared" si="63"/>
        <v>3293.2832380409723</v>
      </c>
      <c r="D390" s="21">
        <f>D389</f>
        <v>30</v>
      </c>
      <c r="E390" s="8">
        <f t="shared" ref="E390:E394" si="64">C390/D390</f>
        <v>109.77610793469907</v>
      </c>
    </row>
    <row r="391" spans="2:9" ht="24" hidden="1" customHeight="1" x14ac:dyDescent="0.25">
      <c r="B391" s="4" t="s">
        <v>257</v>
      </c>
      <c r="C391" s="6">
        <f t="shared" si="63"/>
        <v>3680.8098467500004</v>
      </c>
      <c r="D391" s="21">
        <f>D390</f>
        <v>30</v>
      </c>
      <c r="E391" s="8">
        <f t="shared" si="64"/>
        <v>122.69366155833335</v>
      </c>
    </row>
    <row r="392" spans="2:9" ht="24" hidden="1" customHeight="1" x14ac:dyDescent="0.25">
      <c r="B392" s="4" t="s">
        <v>293</v>
      </c>
      <c r="C392" s="6">
        <f t="shared" si="63"/>
        <v>4730.5352193999997</v>
      </c>
      <c r="D392" s="21">
        <f>D391</f>
        <v>30</v>
      </c>
      <c r="E392" s="8">
        <f t="shared" si="64"/>
        <v>157.68450731333331</v>
      </c>
    </row>
    <row r="393" spans="2:9" ht="24" hidden="1" customHeight="1" x14ac:dyDescent="0.25">
      <c r="B393" s="1" t="s">
        <v>266</v>
      </c>
      <c r="C393" s="11">
        <f t="shared" si="63"/>
        <v>8274.7200000000012</v>
      </c>
      <c r="D393" s="150">
        <f>D391</f>
        <v>30</v>
      </c>
      <c r="E393" s="10">
        <f t="shared" si="64"/>
        <v>275.82400000000001</v>
      </c>
    </row>
    <row r="394" spans="2:9" ht="24" hidden="1" customHeight="1" thickBot="1" x14ac:dyDescent="0.3">
      <c r="B394" s="2" t="s">
        <v>259</v>
      </c>
      <c r="C394" s="69">
        <f t="shared" si="63"/>
        <v>9331.9526922500008</v>
      </c>
      <c r="D394" s="22">
        <f>D393</f>
        <v>30</v>
      </c>
      <c r="E394" s="9">
        <f t="shared" si="64"/>
        <v>311.06508974166667</v>
      </c>
      <c r="F394" s="159"/>
    </row>
    <row r="395" spans="2:9" ht="15.75" hidden="1" customHeight="1" x14ac:dyDescent="0.25"/>
    <row r="396" spans="2:9" ht="24" hidden="1" customHeight="1" thickBot="1" x14ac:dyDescent="0.3">
      <c r="B396" s="258" t="s">
        <v>108</v>
      </c>
      <c r="C396" s="259"/>
      <c r="D396" s="259"/>
      <c r="E396" s="259"/>
      <c r="F396" s="260"/>
    </row>
    <row r="397" spans="2:9" ht="33.75" hidden="1" customHeight="1" thickBot="1" x14ac:dyDescent="0.25">
      <c r="B397" s="13" t="s">
        <v>3</v>
      </c>
      <c r="C397" s="14" t="s">
        <v>78</v>
      </c>
      <c r="D397" s="16" t="s">
        <v>105</v>
      </c>
      <c r="E397" s="14" t="s">
        <v>106</v>
      </c>
      <c r="F397" s="15" t="s">
        <v>107</v>
      </c>
    </row>
    <row r="398" spans="2:9" ht="24" hidden="1" customHeight="1" x14ac:dyDescent="0.25">
      <c r="B398" s="3" t="s">
        <v>254</v>
      </c>
      <c r="C398" s="5">
        <f t="shared" ref="C398:C403" si="65">E389</f>
        <v>157.68461771592592</v>
      </c>
      <c r="D398" s="61">
        <f>E382</f>
        <v>64.970684931506852</v>
      </c>
      <c r="E398" s="5">
        <f>C398*D398</f>
        <v>10244.877616166526</v>
      </c>
      <c r="F398" s="7">
        <f t="shared" ref="F398:F403" si="66">E398/12</f>
        <v>853.73980134721057</v>
      </c>
    </row>
    <row r="399" spans="2:9" ht="24" hidden="1" customHeight="1" x14ac:dyDescent="0.25">
      <c r="B399" s="4" t="s">
        <v>265</v>
      </c>
      <c r="C399" s="6">
        <f t="shared" si="65"/>
        <v>109.77610793469907</v>
      </c>
      <c r="D399" s="59">
        <f>E382</f>
        <v>64.970684931506852</v>
      </c>
      <c r="E399" s="6">
        <f t="shared" ref="E399:E403" si="67">C399*D399</f>
        <v>7132.2289216324225</v>
      </c>
      <c r="F399" s="8">
        <f t="shared" si="66"/>
        <v>594.35241013603525</v>
      </c>
    </row>
    <row r="400" spans="2:9" ht="24" hidden="1" customHeight="1" x14ac:dyDescent="0.25">
      <c r="B400" s="4" t="s">
        <v>257</v>
      </c>
      <c r="C400" s="6">
        <f t="shared" si="65"/>
        <v>122.69366155833335</v>
      </c>
      <c r="D400" s="59">
        <f>E382</f>
        <v>64.970684931506852</v>
      </c>
      <c r="E400" s="6">
        <f t="shared" si="67"/>
        <v>7971.4912281994102</v>
      </c>
      <c r="F400" s="8">
        <f t="shared" si="66"/>
        <v>664.29093568328415</v>
      </c>
    </row>
    <row r="401" spans="2:9" ht="24" hidden="1" customHeight="1" x14ac:dyDescent="0.25">
      <c r="B401" s="4" t="s">
        <v>293</v>
      </c>
      <c r="C401" s="6">
        <f t="shared" si="65"/>
        <v>157.68450731333331</v>
      </c>
      <c r="D401" s="59">
        <f>E382</f>
        <v>64.970684931506852</v>
      </c>
      <c r="E401" s="6">
        <f t="shared" si="67"/>
        <v>10244.870443234468</v>
      </c>
      <c r="F401" s="8">
        <f t="shared" si="66"/>
        <v>853.73920360287229</v>
      </c>
    </row>
    <row r="402" spans="2:9" ht="24" hidden="1" customHeight="1" x14ac:dyDescent="0.25">
      <c r="B402" s="1" t="s">
        <v>266</v>
      </c>
      <c r="C402" s="11">
        <f t="shared" si="65"/>
        <v>275.82400000000001</v>
      </c>
      <c r="D402" s="158">
        <f>E382</f>
        <v>64.970684931506852</v>
      </c>
      <c r="E402" s="11">
        <f t="shared" si="67"/>
        <v>17920.474200547946</v>
      </c>
      <c r="F402" s="10">
        <f t="shared" si="66"/>
        <v>1493.3728500456621</v>
      </c>
    </row>
    <row r="403" spans="2:9" ht="24" hidden="1" customHeight="1" thickBot="1" x14ac:dyDescent="0.3">
      <c r="B403" s="2" t="s">
        <v>259</v>
      </c>
      <c r="C403" s="69">
        <f t="shared" si="65"/>
        <v>311.06508974166667</v>
      </c>
      <c r="D403" s="60">
        <f>E382</f>
        <v>64.970684931506852</v>
      </c>
      <c r="E403" s="69">
        <f t="shared" si="67"/>
        <v>20210.11193879673</v>
      </c>
      <c r="F403" s="9">
        <f t="shared" si="66"/>
        <v>1684.1759948997276</v>
      </c>
    </row>
    <row r="404" spans="2:9" s="23" customFormat="1" ht="1.5" customHeight="1" x14ac:dyDescent="0.25"/>
    <row r="405" spans="2:9" ht="24" hidden="1" customHeight="1" x14ac:dyDescent="0.25">
      <c r="B405" s="249" t="s">
        <v>109</v>
      </c>
      <c r="C405" s="250"/>
      <c r="D405" s="250"/>
      <c r="E405" s="250"/>
      <c r="F405" s="250"/>
      <c r="G405" s="250"/>
      <c r="H405" s="250"/>
      <c r="I405" s="250"/>
    </row>
    <row r="406" spans="2:9" ht="119.25" hidden="1" customHeight="1" x14ac:dyDescent="0.25">
      <c r="B406" s="251" t="s">
        <v>246</v>
      </c>
      <c r="C406" s="251"/>
      <c r="D406" s="251"/>
      <c r="E406" s="251"/>
      <c r="F406" s="251"/>
      <c r="G406" s="251"/>
      <c r="H406" s="251"/>
      <c r="I406" s="251"/>
    </row>
    <row r="407" spans="2:9" ht="22.5" hidden="1" customHeight="1" thickBot="1" x14ac:dyDescent="0.25"/>
    <row r="408" spans="2:9" ht="22.5" hidden="1" customHeight="1" thickBot="1" x14ac:dyDescent="0.3">
      <c r="B408" s="252" t="s">
        <v>111</v>
      </c>
      <c r="C408" s="253"/>
      <c r="D408" s="253"/>
      <c r="E408" s="254"/>
    </row>
    <row r="409" spans="2:9" ht="22.5" hidden="1" customHeight="1" thickBot="1" x14ac:dyDescent="0.25">
      <c r="B409" s="13" t="s">
        <v>3</v>
      </c>
      <c r="C409" s="14" t="s">
        <v>1</v>
      </c>
      <c r="D409" s="14" t="s">
        <v>110</v>
      </c>
      <c r="E409" s="15" t="s">
        <v>4</v>
      </c>
    </row>
    <row r="410" spans="2:9" ht="22.5" hidden="1" customHeight="1" x14ac:dyDescent="0.25">
      <c r="B410" s="3" t="s">
        <v>254</v>
      </c>
      <c r="C410" s="5">
        <f t="shared" ref="C410:C415" si="68">H52+F236+F340</f>
        <v>4730.5385314777777</v>
      </c>
      <c r="D410" s="71">
        <v>220</v>
      </c>
      <c r="E410" s="7">
        <f>C410/D410</f>
        <v>21.502447870353535</v>
      </c>
    </row>
    <row r="411" spans="2:9" ht="24" hidden="1" customHeight="1" x14ac:dyDescent="0.25">
      <c r="B411" s="4" t="s">
        <v>265</v>
      </c>
      <c r="C411" s="6">
        <f t="shared" si="68"/>
        <v>3293.2832380409723</v>
      </c>
      <c r="D411" s="72">
        <f>D410</f>
        <v>220</v>
      </c>
      <c r="E411" s="8">
        <f t="shared" ref="E411:E415" si="69">C411/D411</f>
        <v>14.969469263822601</v>
      </c>
    </row>
    <row r="412" spans="2:9" ht="24" hidden="1" customHeight="1" x14ac:dyDescent="0.25">
      <c r="B412" s="4" t="s">
        <v>257</v>
      </c>
      <c r="C412" s="6">
        <f t="shared" si="68"/>
        <v>3680.8098467500004</v>
      </c>
      <c r="D412" s="72">
        <f>D411</f>
        <v>220</v>
      </c>
      <c r="E412" s="8">
        <f t="shared" si="69"/>
        <v>16.730953848863638</v>
      </c>
    </row>
    <row r="413" spans="2:9" ht="24" hidden="1" customHeight="1" x14ac:dyDescent="0.25">
      <c r="B413" s="4" t="s">
        <v>293</v>
      </c>
      <c r="C413" s="6">
        <f t="shared" si="68"/>
        <v>4730.5352193999997</v>
      </c>
      <c r="D413" s="72">
        <f>D412</f>
        <v>220</v>
      </c>
      <c r="E413" s="8">
        <f t="shared" si="69"/>
        <v>21.502432815454544</v>
      </c>
    </row>
    <row r="414" spans="2:9" ht="24" hidden="1" customHeight="1" x14ac:dyDescent="0.25">
      <c r="B414" s="4" t="s">
        <v>266</v>
      </c>
      <c r="C414" s="6">
        <f t="shared" si="68"/>
        <v>8274.7200000000012</v>
      </c>
      <c r="D414" s="72">
        <f>D412</f>
        <v>220</v>
      </c>
      <c r="E414" s="8">
        <f t="shared" si="69"/>
        <v>37.612363636363639</v>
      </c>
    </row>
    <row r="415" spans="2:9" ht="24" hidden="1" customHeight="1" thickBot="1" x14ac:dyDescent="0.3">
      <c r="B415" s="2" t="s">
        <v>259</v>
      </c>
      <c r="C415" s="69">
        <f t="shared" si="68"/>
        <v>9331.9526922500008</v>
      </c>
      <c r="D415" s="73">
        <f t="shared" ref="D415" si="70">D414</f>
        <v>220</v>
      </c>
      <c r="E415" s="9">
        <f t="shared" si="69"/>
        <v>42.417966782954551</v>
      </c>
    </row>
    <row r="416" spans="2:9" ht="15.75" hidden="1" customHeight="1" x14ac:dyDescent="0.25">
      <c r="G416" s="30" t="s">
        <v>271</v>
      </c>
    </row>
    <row r="417" spans="2:9" ht="24" hidden="1" customHeight="1" thickBot="1" x14ac:dyDescent="0.3">
      <c r="B417" s="252" t="s">
        <v>109</v>
      </c>
      <c r="C417" s="253"/>
      <c r="D417" s="253"/>
      <c r="E417" s="254"/>
    </row>
    <row r="418" spans="2:9" ht="30" hidden="1" customHeight="1" thickBot="1" x14ac:dyDescent="0.3">
      <c r="B418" s="232" t="s">
        <v>3</v>
      </c>
      <c r="C418" s="233" t="s">
        <v>112</v>
      </c>
      <c r="D418" s="247" t="s">
        <v>113</v>
      </c>
      <c r="E418" s="234" t="s">
        <v>4</v>
      </c>
    </row>
    <row r="419" spans="2:9" ht="24" hidden="1" customHeight="1" x14ac:dyDescent="0.25">
      <c r="B419" s="3" t="s">
        <v>254</v>
      </c>
      <c r="C419" s="5">
        <f t="shared" ref="C419:C424" si="71">E410</f>
        <v>21.502447870353535</v>
      </c>
      <c r="D419" s="71">
        <v>0</v>
      </c>
      <c r="E419" s="7">
        <f>C419*D419</f>
        <v>0</v>
      </c>
    </row>
    <row r="420" spans="2:9" ht="24" hidden="1" customHeight="1" x14ac:dyDescent="0.25">
      <c r="B420" s="4" t="s">
        <v>265</v>
      </c>
      <c r="C420" s="6">
        <f t="shared" si="71"/>
        <v>14.969469263822601</v>
      </c>
      <c r="D420" s="72">
        <v>0</v>
      </c>
      <c r="E420" s="8">
        <f t="shared" ref="E420:E424" si="72">C420*D420</f>
        <v>0</v>
      </c>
    </row>
    <row r="421" spans="2:9" ht="24" hidden="1" customHeight="1" x14ac:dyDescent="0.25">
      <c r="B421" s="4" t="s">
        <v>257</v>
      </c>
      <c r="C421" s="6">
        <f t="shared" si="71"/>
        <v>16.730953848863638</v>
      </c>
      <c r="D421" s="72">
        <v>0</v>
      </c>
      <c r="E421" s="8">
        <f t="shared" si="72"/>
        <v>0</v>
      </c>
      <c r="I421" s="236"/>
    </row>
    <row r="422" spans="2:9" ht="24" hidden="1" customHeight="1" x14ac:dyDescent="0.25">
      <c r="B422" s="4" t="s">
        <v>293</v>
      </c>
      <c r="C422" s="6">
        <f t="shared" si="71"/>
        <v>21.502432815454544</v>
      </c>
      <c r="D422" s="72">
        <v>0</v>
      </c>
      <c r="E422" s="8">
        <f t="shared" si="72"/>
        <v>0</v>
      </c>
      <c r="I422" s="236"/>
    </row>
    <row r="423" spans="2:9" ht="24" hidden="1" customHeight="1" x14ac:dyDescent="0.25">
      <c r="B423" s="4" t="s">
        <v>266</v>
      </c>
      <c r="C423" s="6">
        <f t="shared" si="71"/>
        <v>37.612363636363639</v>
      </c>
      <c r="D423" s="72">
        <v>0</v>
      </c>
      <c r="E423" s="8">
        <f t="shared" si="72"/>
        <v>0</v>
      </c>
      <c r="I423" s="236"/>
    </row>
    <row r="424" spans="2:9" ht="24" hidden="1" customHeight="1" thickBot="1" x14ac:dyDescent="0.3">
      <c r="B424" s="2" t="s">
        <v>259</v>
      </c>
      <c r="C424" s="160">
        <f t="shared" si="71"/>
        <v>42.417966782954551</v>
      </c>
      <c r="D424" s="161">
        <v>0</v>
      </c>
      <c r="E424" s="162">
        <f t="shared" si="72"/>
        <v>0</v>
      </c>
      <c r="I424" s="236"/>
    </row>
    <row r="425" spans="2:9" ht="24" hidden="1" customHeight="1" x14ac:dyDescent="0.25"/>
    <row r="426" spans="2:9" ht="24" hidden="1" customHeight="1" x14ac:dyDescent="0.25">
      <c r="B426" s="255" t="s">
        <v>77</v>
      </c>
      <c r="C426" s="255"/>
      <c r="D426" s="255"/>
      <c r="E426" s="255"/>
      <c r="F426" s="255"/>
      <c r="G426" s="255"/>
      <c r="H426" s="255"/>
      <c r="I426" s="255"/>
    </row>
    <row r="427" spans="2:9" ht="24" hidden="1" customHeight="1" thickBot="1" x14ac:dyDescent="0.25"/>
    <row r="428" spans="2:9" ht="24" hidden="1" customHeight="1" thickBot="1" x14ac:dyDescent="0.3">
      <c r="B428" s="252" t="s">
        <v>77</v>
      </c>
      <c r="C428" s="253"/>
      <c r="D428" s="253"/>
      <c r="E428" s="254"/>
    </row>
    <row r="429" spans="2:9" ht="24" hidden="1" customHeight="1" thickBot="1" x14ac:dyDescent="0.25">
      <c r="B429" s="13" t="s">
        <v>3</v>
      </c>
      <c r="C429" s="14" t="s">
        <v>114</v>
      </c>
      <c r="D429" s="14" t="s">
        <v>115</v>
      </c>
      <c r="E429" s="15" t="s">
        <v>10</v>
      </c>
    </row>
    <row r="430" spans="2:9" ht="24" hidden="1" customHeight="1" x14ac:dyDescent="0.25">
      <c r="B430" s="3" t="s">
        <v>254</v>
      </c>
      <c r="C430" s="5">
        <f t="shared" ref="C430:C435" si="73">F398</f>
        <v>853.73980134721057</v>
      </c>
      <c r="D430" s="5">
        <f t="shared" ref="D430:D435" si="74">E419</f>
        <v>0</v>
      </c>
      <c r="E430" s="7">
        <f>C430+D430</f>
        <v>853.73980134721057</v>
      </c>
    </row>
    <row r="431" spans="2:9" ht="24" hidden="1" customHeight="1" x14ac:dyDescent="0.25">
      <c r="B431" s="4" t="s">
        <v>265</v>
      </c>
      <c r="C431" s="6">
        <f t="shared" si="73"/>
        <v>594.35241013603525</v>
      </c>
      <c r="D431" s="6">
        <f t="shared" si="74"/>
        <v>0</v>
      </c>
      <c r="E431" s="8">
        <f t="shared" ref="E431:E435" si="75">C431+D431</f>
        <v>594.35241013603525</v>
      </c>
    </row>
    <row r="432" spans="2:9" ht="24" hidden="1" customHeight="1" x14ac:dyDescent="0.25">
      <c r="B432" s="4" t="s">
        <v>257</v>
      </c>
      <c r="C432" s="6">
        <f t="shared" si="73"/>
        <v>664.29093568328415</v>
      </c>
      <c r="D432" s="6">
        <f t="shared" si="74"/>
        <v>0</v>
      </c>
      <c r="E432" s="8">
        <f t="shared" si="75"/>
        <v>664.29093568328415</v>
      </c>
    </row>
    <row r="433" spans="2:10" ht="24" hidden="1" customHeight="1" x14ac:dyDescent="0.25">
      <c r="B433" s="4" t="s">
        <v>293</v>
      </c>
      <c r="C433" s="6">
        <f t="shared" si="73"/>
        <v>853.73920360287229</v>
      </c>
      <c r="D433" s="6">
        <f t="shared" si="74"/>
        <v>0</v>
      </c>
      <c r="E433" s="8">
        <f t="shared" si="75"/>
        <v>853.73920360287229</v>
      </c>
    </row>
    <row r="434" spans="2:10" ht="24" hidden="1" customHeight="1" x14ac:dyDescent="0.25">
      <c r="B434" s="4" t="s">
        <v>266</v>
      </c>
      <c r="C434" s="11">
        <f t="shared" si="73"/>
        <v>1493.3728500456621</v>
      </c>
      <c r="D434" s="6">
        <f t="shared" si="74"/>
        <v>0</v>
      </c>
      <c r="E434" s="10">
        <f t="shared" si="75"/>
        <v>1493.3728500456621</v>
      </c>
    </row>
    <row r="435" spans="2:10" ht="24" hidden="1" customHeight="1" thickBot="1" x14ac:dyDescent="0.3">
      <c r="B435" s="2" t="s">
        <v>259</v>
      </c>
      <c r="C435" s="6">
        <f t="shared" si="73"/>
        <v>1684.1759948997276</v>
      </c>
      <c r="D435" s="6">
        <f t="shared" si="74"/>
        <v>0</v>
      </c>
      <c r="E435" s="8">
        <f t="shared" si="75"/>
        <v>1684.1759948997276</v>
      </c>
    </row>
    <row r="436" spans="2:10" ht="18" customHeight="1" x14ac:dyDescent="0.25"/>
    <row r="437" spans="2:10" ht="24" customHeight="1" x14ac:dyDescent="0.25">
      <c r="B437" s="276" t="s">
        <v>116</v>
      </c>
      <c r="C437" s="276"/>
      <c r="D437" s="276"/>
      <c r="E437" s="276"/>
      <c r="F437" s="276"/>
      <c r="G437" s="276"/>
      <c r="H437" s="193"/>
      <c r="I437" s="193"/>
      <c r="J437" s="194"/>
    </row>
    <row r="438" spans="2:10" ht="24" customHeight="1" thickBot="1" x14ac:dyDescent="0.3">
      <c r="B438" s="94"/>
      <c r="C438" s="94"/>
      <c r="D438" s="94"/>
      <c r="F438" s="94"/>
    </row>
    <row r="439" spans="2:10" ht="24" customHeight="1" thickBot="1" x14ac:dyDescent="0.3">
      <c r="B439" s="281" t="s">
        <v>316</v>
      </c>
      <c r="C439" s="282"/>
      <c r="D439" s="282"/>
      <c r="E439" s="283"/>
      <c r="F439" s="106"/>
    </row>
    <row r="440" spans="2:10" ht="24" customHeight="1" thickBot="1" x14ac:dyDescent="0.3">
      <c r="B440" s="212" t="s">
        <v>152</v>
      </c>
      <c r="C440" s="213" t="s">
        <v>312</v>
      </c>
      <c r="D440" s="213" t="s">
        <v>313</v>
      </c>
      <c r="E440" s="214" t="s">
        <v>4</v>
      </c>
    </row>
    <row r="441" spans="2:10" ht="24" customHeight="1" x14ac:dyDescent="0.25">
      <c r="B441" s="4" t="s">
        <v>272</v>
      </c>
      <c r="C441" s="107">
        <v>2</v>
      </c>
      <c r="D441" s="195">
        <v>398.1</v>
      </c>
      <c r="E441" s="166">
        <f>C441*D441</f>
        <v>796.2</v>
      </c>
    </row>
    <row r="442" spans="2:10" ht="24" customHeight="1" x14ac:dyDescent="0.25">
      <c r="B442" s="4" t="s">
        <v>302</v>
      </c>
      <c r="C442" s="108">
        <v>2</v>
      </c>
      <c r="D442" s="195">
        <v>73.760000000000005</v>
      </c>
      <c r="E442" s="128">
        <f>C442*D442</f>
        <v>147.52000000000001</v>
      </c>
    </row>
    <row r="443" spans="2:10" ht="24" customHeight="1" x14ac:dyDescent="0.25">
      <c r="B443" s="4" t="s">
        <v>303</v>
      </c>
      <c r="C443" s="108">
        <v>2</v>
      </c>
      <c r="D443" s="195">
        <v>276.11</v>
      </c>
      <c r="E443" s="128">
        <f>C443*D443</f>
        <v>552.22</v>
      </c>
    </row>
    <row r="444" spans="2:10" ht="24" customHeight="1" x14ac:dyDescent="0.25">
      <c r="B444" s="4" t="s">
        <v>306</v>
      </c>
      <c r="C444" s="108">
        <v>2</v>
      </c>
      <c r="D444" s="195">
        <v>48</v>
      </c>
      <c r="E444" s="128">
        <f>C444*D444</f>
        <v>96</v>
      </c>
    </row>
    <row r="445" spans="2:10" ht="24" customHeight="1" x14ac:dyDescent="0.25">
      <c r="B445" s="4" t="s">
        <v>305</v>
      </c>
      <c r="C445" s="108">
        <v>2</v>
      </c>
      <c r="D445" s="195">
        <v>163.9</v>
      </c>
      <c r="E445" s="128">
        <f>C445*D445</f>
        <v>327.8</v>
      </c>
    </row>
    <row r="446" spans="2:10" ht="24" customHeight="1" thickBot="1" x14ac:dyDescent="0.3">
      <c r="B446" s="4" t="s">
        <v>304</v>
      </c>
      <c r="C446" s="108">
        <v>2</v>
      </c>
      <c r="D446" s="195">
        <v>208.45</v>
      </c>
      <c r="E446" s="196">
        <f>C446*D446</f>
        <v>416.9</v>
      </c>
    </row>
    <row r="447" spans="2:10" ht="24" customHeight="1" thickBot="1" x14ac:dyDescent="0.3">
      <c r="B447" s="281" t="s">
        <v>315</v>
      </c>
      <c r="C447" s="282"/>
      <c r="D447" s="283"/>
      <c r="E447" s="215">
        <f>SUM(E441:E446)</f>
        <v>2336.64</v>
      </c>
    </row>
    <row r="448" spans="2:10" ht="24" customHeight="1" thickBot="1" x14ac:dyDescent="0.3">
      <c r="C448" s="109"/>
      <c r="D448" s="109"/>
      <c r="E448" s="109"/>
      <c r="F448" s="110"/>
    </row>
    <row r="449" spans="2:12" ht="24" customHeight="1" thickBot="1" x14ac:dyDescent="0.3">
      <c r="B449" s="281" t="s">
        <v>318</v>
      </c>
      <c r="C449" s="282"/>
      <c r="D449" s="283"/>
      <c r="E449" s="111"/>
      <c r="F449" s="111"/>
    </row>
    <row r="450" spans="2:12" ht="24" customHeight="1" thickBot="1" x14ac:dyDescent="0.3">
      <c r="B450" s="216" t="s">
        <v>3</v>
      </c>
      <c r="C450" s="217" t="s">
        <v>106</v>
      </c>
      <c r="D450" s="218" t="s">
        <v>153</v>
      </c>
      <c r="E450" s="111"/>
      <c r="F450" s="111"/>
    </row>
    <row r="451" spans="2:12" ht="24" customHeight="1" x14ac:dyDescent="0.25">
      <c r="B451" s="3" t="s">
        <v>254</v>
      </c>
      <c r="C451" s="112">
        <f>E446+E441</f>
        <v>1213.0999999999999</v>
      </c>
      <c r="D451" s="113">
        <f>C451/12</f>
        <v>101.09166666666665</v>
      </c>
      <c r="E451" s="109"/>
    </row>
    <row r="452" spans="2:12" ht="24" customHeight="1" x14ac:dyDescent="0.25">
      <c r="B452" s="4" t="s">
        <v>265</v>
      </c>
      <c r="C452" s="114">
        <f>E446+E441</f>
        <v>1213.0999999999999</v>
      </c>
      <c r="D452" s="115">
        <f>C452/12</f>
        <v>101.09166666666665</v>
      </c>
      <c r="E452" s="109"/>
    </row>
    <row r="453" spans="2:12" ht="24" customHeight="1" x14ac:dyDescent="0.25">
      <c r="B453" s="4" t="s">
        <v>257</v>
      </c>
      <c r="C453" s="114">
        <f>E443+E444+E446</f>
        <v>1065.1199999999999</v>
      </c>
      <c r="D453" s="115">
        <f t="shared" ref="D453:D455" si="76">C453/12</f>
        <v>88.759999999999991</v>
      </c>
      <c r="E453" s="109"/>
    </row>
    <row r="454" spans="2:12" ht="24" customHeight="1" x14ac:dyDescent="0.25">
      <c r="B454" s="4" t="s">
        <v>293</v>
      </c>
      <c r="C454" s="189">
        <f>E443+E444+E446</f>
        <v>1065.1199999999999</v>
      </c>
      <c r="D454" s="115">
        <f t="shared" si="76"/>
        <v>88.759999999999991</v>
      </c>
      <c r="E454" s="109"/>
    </row>
    <row r="455" spans="2:12" ht="24" customHeight="1" thickBot="1" x14ac:dyDescent="0.3">
      <c r="B455" s="2" t="s">
        <v>266</v>
      </c>
      <c r="C455" s="197">
        <f>E445+E442+E443+E444</f>
        <v>1123.54</v>
      </c>
      <c r="D455" s="198">
        <f t="shared" si="76"/>
        <v>93.62833333333333</v>
      </c>
      <c r="E455" s="109"/>
    </row>
    <row r="456" spans="2:12" ht="24" customHeight="1" thickBot="1" x14ac:dyDescent="0.3">
      <c r="C456" s="109"/>
      <c r="D456" s="109"/>
      <c r="E456" s="109"/>
    </row>
    <row r="457" spans="2:12" ht="24" customHeight="1" thickBot="1" x14ac:dyDescent="0.3">
      <c r="B457" s="284" t="s">
        <v>317</v>
      </c>
      <c r="C457" s="285"/>
      <c r="D457" s="285"/>
      <c r="E457" s="285"/>
      <c r="F457" s="285"/>
      <c r="G457" s="286"/>
    </row>
    <row r="458" spans="2:12" ht="41.25" customHeight="1" thickBot="1" x14ac:dyDescent="0.3">
      <c r="B458" s="219" t="s">
        <v>154</v>
      </c>
      <c r="C458" s="220" t="s">
        <v>155</v>
      </c>
      <c r="D458" s="221" t="s">
        <v>312</v>
      </c>
      <c r="E458" s="221" t="s">
        <v>241</v>
      </c>
      <c r="F458" s="221" t="s">
        <v>156</v>
      </c>
      <c r="G458" s="222" t="s">
        <v>157</v>
      </c>
    </row>
    <row r="459" spans="2:12" ht="24" customHeight="1" x14ac:dyDescent="0.25">
      <c r="B459" s="165" t="s">
        <v>277</v>
      </c>
      <c r="C459" s="205">
        <v>28.67</v>
      </c>
      <c r="D459" s="117">
        <v>2</v>
      </c>
      <c r="E459" s="118" t="s">
        <v>280</v>
      </c>
      <c r="F459" s="119"/>
      <c r="G459" s="120">
        <f>C459*D459</f>
        <v>57.34</v>
      </c>
    </row>
    <row r="460" spans="2:12" ht="28.5" customHeight="1" x14ac:dyDescent="0.25">
      <c r="B460" s="164" t="s">
        <v>278</v>
      </c>
      <c r="C460" s="206">
        <v>208.61</v>
      </c>
      <c r="D460" s="121">
        <v>2</v>
      </c>
      <c r="E460" s="122" t="s">
        <v>281</v>
      </c>
      <c r="F460" s="123"/>
      <c r="G460" s="120">
        <f>C460*D460</f>
        <v>417.22</v>
      </c>
    </row>
    <row r="461" spans="2:12" ht="24" customHeight="1" x14ac:dyDescent="0.25">
      <c r="B461" s="163" t="s">
        <v>279</v>
      </c>
      <c r="C461" s="206">
        <v>35</v>
      </c>
      <c r="D461" s="121">
        <v>2</v>
      </c>
      <c r="E461" s="122" t="s">
        <v>281</v>
      </c>
      <c r="F461" s="123"/>
      <c r="G461" s="120">
        <f t="shared" ref="G459:G469" si="77">C461*D461</f>
        <v>70</v>
      </c>
      <c r="H461" s="94"/>
      <c r="I461" s="94"/>
      <c r="J461" s="94"/>
      <c r="K461" s="94"/>
      <c r="L461" s="94"/>
    </row>
    <row r="462" spans="2:12" ht="24" customHeight="1" x14ac:dyDescent="0.25">
      <c r="B462" s="199" t="s">
        <v>273</v>
      </c>
      <c r="C462" s="206">
        <v>17.600000000000001</v>
      </c>
      <c r="D462" s="121">
        <v>2</v>
      </c>
      <c r="E462" s="122" t="s">
        <v>281</v>
      </c>
      <c r="F462" s="123"/>
      <c r="G462" s="120">
        <f t="shared" si="77"/>
        <v>35.200000000000003</v>
      </c>
    </row>
    <row r="463" spans="2:12" ht="24" customHeight="1" x14ac:dyDescent="0.25">
      <c r="B463" s="163" t="s">
        <v>311</v>
      </c>
      <c r="C463" s="206">
        <v>14.03</v>
      </c>
      <c r="D463" s="121">
        <v>2</v>
      </c>
      <c r="E463" s="122" t="s">
        <v>281</v>
      </c>
      <c r="F463" s="123"/>
      <c r="G463" s="120">
        <f t="shared" si="77"/>
        <v>28.06</v>
      </c>
    </row>
    <row r="464" spans="2:12" ht="24" customHeight="1" x14ac:dyDescent="0.25">
      <c r="B464" s="163" t="s">
        <v>282</v>
      </c>
      <c r="C464" s="206">
        <v>3.07</v>
      </c>
      <c r="D464" s="121">
        <v>6</v>
      </c>
      <c r="E464" s="122" t="s">
        <v>280</v>
      </c>
      <c r="F464" s="123"/>
      <c r="G464" s="120">
        <f t="shared" si="77"/>
        <v>18.419999999999998</v>
      </c>
      <c r="I464" s="231"/>
      <c r="K464" s="231"/>
    </row>
    <row r="465" spans="2:7" ht="24" customHeight="1" x14ac:dyDescent="0.25">
      <c r="B465" s="163" t="s">
        <v>319</v>
      </c>
      <c r="C465" s="206">
        <v>11.16</v>
      </c>
      <c r="D465" s="121">
        <v>2</v>
      </c>
      <c r="E465" s="122" t="s">
        <v>281</v>
      </c>
      <c r="F465" s="123"/>
      <c r="G465" s="120">
        <f t="shared" si="77"/>
        <v>22.32</v>
      </c>
    </row>
    <row r="466" spans="2:7" ht="24" customHeight="1" x14ac:dyDescent="0.25">
      <c r="B466" s="163" t="s">
        <v>307</v>
      </c>
      <c r="C466" s="206">
        <v>122.25</v>
      </c>
      <c r="D466" s="121">
        <v>2</v>
      </c>
      <c r="E466" s="122" t="s">
        <v>281</v>
      </c>
      <c r="F466" s="123"/>
      <c r="G466" s="120">
        <f t="shared" si="77"/>
        <v>244.5</v>
      </c>
    </row>
    <row r="467" spans="2:7" ht="24" customHeight="1" x14ac:dyDescent="0.25">
      <c r="B467" s="163" t="s">
        <v>308</v>
      </c>
      <c r="C467" s="206">
        <v>23.5</v>
      </c>
      <c r="D467" s="121">
        <v>2</v>
      </c>
      <c r="E467" s="122" t="s">
        <v>281</v>
      </c>
      <c r="F467" s="123"/>
      <c r="G467" s="120">
        <f t="shared" si="77"/>
        <v>47</v>
      </c>
    </row>
    <row r="468" spans="2:7" ht="24" customHeight="1" x14ac:dyDescent="0.25">
      <c r="B468" s="163" t="s">
        <v>309</v>
      </c>
      <c r="C468" s="206">
        <v>136.05000000000001</v>
      </c>
      <c r="D468" s="121">
        <v>2</v>
      </c>
      <c r="E468" s="122" t="s">
        <v>281</v>
      </c>
      <c r="F468" s="123"/>
      <c r="G468" s="120">
        <f t="shared" si="77"/>
        <v>272.10000000000002</v>
      </c>
    </row>
    <row r="469" spans="2:7" ht="24" customHeight="1" thickBot="1" x14ac:dyDescent="0.3">
      <c r="B469" s="200" t="s">
        <v>310</v>
      </c>
      <c r="C469" s="207">
        <v>24</v>
      </c>
      <c r="D469" s="201">
        <v>2</v>
      </c>
      <c r="E469" s="202" t="s">
        <v>281</v>
      </c>
      <c r="F469" s="203"/>
      <c r="G469" s="204">
        <f t="shared" si="77"/>
        <v>48</v>
      </c>
    </row>
    <row r="470" spans="2:7" ht="24" customHeight="1" thickBot="1" x14ac:dyDescent="0.3">
      <c r="B470" s="287" t="s">
        <v>158</v>
      </c>
      <c r="C470" s="288"/>
      <c r="D470" s="288"/>
      <c r="E470" s="289"/>
      <c r="F470" s="223"/>
      <c r="G470" s="224">
        <f>SUM(G459:G469)</f>
        <v>1260.1600000000001</v>
      </c>
    </row>
    <row r="471" spans="2:7" ht="40.5" customHeight="1" thickBot="1" x14ac:dyDescent="0.3">
      <c r="C471" s="109"/>
      <c r="D471" s="109"/>
      <c r="E471" s="109"/>
    </row>
    <row r="472" spans="2:7" ht="24" customHeight="1" thickBot="1" x14ac:dyDescent="0.3">
      <c r="B472" s="281" t="s">
        <v>159</v>
      </c>
      <c r="C472" s="282"/>
      <c r="D472" s="282"/>
      <c r="E472" s="283"/>
    </row>
    <row r="473" spans="2:7" ht="34.5" customHeight="1" thickBot="1" x14ac:dyDescent="0.3">
      <c r="B473" s="225" t="s">
        <v>3</v>
      </c>
      <c r="C473" s="226" t="s">
        <v>106</v>
      </c>
      <c r="D473" s="226" t="s">
        <v>107</v>
      </c>
      <c r="E473" s="227" t="s">
        <v>160</v>
      </c>
    </row>
    <row r="474" spans="2:7" ht="24" customHeight="1" x14ac:dyDescent="0.25">
      <c r="B474" s="3" t="s">
        <v>254</v>
      </c>
      <c r="C474" s="112">
        <f>G467+G463+G461+G462+G468+G469+G465+G460+G466+G459</f>
        <v>1241.74</v>
      </c>
      <c r="D474" s="112">
        <f>C474/12</f>
        <v>103.47833333333334</v>
      </c>
      <c r="E474" s="124">
        <f>D474</f>
        <v>103.47833333333334</v>
      </c>
    </row>
    <row r="475" spans="2:7" ht="24" customHeight="1" x14ac:dyDescent="0.25">
      <c r="B475" s="4" t="s">
        <v>265</v>
      </c>
      <c r="C475" s="114">
        <f>G467+G463+G461+G468+G469+G464+G462+G466+G459</f>
        <v>820.62000000000012</v>
      </c>
      <c r="D475" s="114">
        <f t="shared" ref="D475:D478" si="78">C475/12</f>
        <v>68.385000000000005</v>
      </c>
      <c r="E475" s="125">
        <f t="shared" ref="E475:E478" si="79">D475</f>
        <v>68.385000000000005</v>
      </c>
    </row>
    <row r="476" spans="2:7" ht="24" customHeight="1" x14ac:dyDescent="0.25">
      <c r="B476" s="4" t="s">
        <v>257</v>
      </c>
      <c r="C476" s="114">
        <v>0</v>
      </c>
      <c r="D476" s="114">
        <f t="shared" si="78"/>
        <v>0</v>
      </c>
      <c r="E476" s="125">
        <f t="shared" si="79"/>
        <v>0</v>
      </c>
    </row>
    <row r="477" spans="2:7" ht="24" customHeight="1" x14ac:dyDescent="0.25">
      <c r="B477" s="1" t="s">
        <v>293</v>
      </c>
      <c r="C477" s="114">
        <v>0</v>
      </c>
      <c r="D477" s="114">
        <f t="shared" si="78"/>
        <v>0</v>
      </c>
      <c r="E477" s="125">
        <f t="shared" si="79"/>
        <v>0</v>
      </c>
    </row>
    <row r="478" spans="2:7" ht="24" customHeight="1" thickBot="1" x14ac:dyDescent="0.3">
      <c r="B478" s="208" t="s">
        <v>266</v>
      </c>
      <c r="C478" s="197">
        <f>G463+G461+G462+G466+G465+G460</f>
        <v>817.3</v>
      </c>
      <c r="D478" s="116">
        <f t="shared" si="78"/>
        <v>68.108333333333334</v>
      </c>
      <c r="E478" s="126">
        <f t="shared" si="79"/>
        <v>68.108333333333334</v>
      </c>
    </row>
    <row r="479" spans="2:7" ht="24" customHeight="1" thickBot="1" x14ac:dyDescent="0.3"/>
    <row r="480" spans="2:7" ht="24" customHeight="1" thickBot="1" x14ac:dyDescent="0.3">
      <c r="B480" s="278" t="s">
        <v>116</v>
      </c>
      <c r="C480" s="279"/>
      <c r="D480" s="279"/>
      <c r="E480" s="280"/>
    </row>
    <row r="481" spans="2:9" ht="39.75" customHeight="1" thickBot="1" x14ac:dyDescent="0.3">
      <c r="B481" s="228" t="s">
        <v>3</v>
      </c>
      <c r="C481" s="229" t="s">
        <v>161</v>
      </c>
      <c r="D481" s="229" t="s">
        <v>162</v>
      </c>
      <c r="E481" s="230" t="s">
        <v>4</v>
      </c>
    </row>
    <row r="482" spans="2:9" ht="24" customHeight="1" x14ac:dyDescent="0.25">
      <c r="B482" s="3" t="s">
        <v>254</v>
      </c>
      <c r="C482" s="127">
        <f>D451</f>
        <v>101.09166666666665</v>
      </c>
      <c r="D482" s="127">
        <f>E474</f>
        <v>103.47833333333334</v>
      </c>
      <c r="E482" s="124">
        <f>SUM(C482:D482)</f>
        <v>204.57</v>
      </c>
    </row>
    <row r="483" spans="2:9" ht="24" customHeight="1" x14ac:dyDescent="0.25">
      <c r="B483" s="4" t="s">
        <v>321</v>
      </c>
      <c r="C483" s="128">
        <f>D452</f>
        <v>101.09166666666665</v>
      </c>
      <c r="D483" s="128">
        <f>E475</f>
        <v>68.385000000000005</v>
      </c>
      <c r="E483" s="125">
        <f t="shared" ref="E483:E486" si="80">SUM(C483:D483)</f>
        <v>169.47666666666666</v>
      </c>
    </row>
    <row r="484" spans="2:9" ht="24" customHeight="1" x14ac:dyDescent="0.25">
      <c r="B484" s="4" t="s">
        <v>322</v>
      </c>
      <c r="C484" s="128">
        <f>D453</f>
        <v>88.759999999999991</v>
      </c>
      <c r="D484" s="128">
        <f>E476</f>
        <v>0</v>
      </c>
      <c r="E484" s="125">
        <f t="shared" si="80"/>
        <v>88.759999999999991</v>
      </c>
    </row>
    <row r="485" spans="2:9" ht="24" customHeight="1" x14ac:dyDescent="0.25">
      <c r="B485" s="1" t="s">
        <v>293</v>
      </c>
      <c r="C485" s="128">
        <f>D454</f>
        <v>88.759999999999991</v>
      </c>
      <c r="D485" s="128">
        <f>E477</f>
        <v>0</v>
      </c>
      <c r="E485" s="125">
        <f t="shared" si="80"/>
        <v>88.759999999999991</v>
      </c>
    </row>
    <row r="486" spans="2:9" ht="24" customHeight="1" thickBot="1" x14ac:dyDescent="0.3">
      <c r="B486" s="208" t="s">
        <v>266</v>
      </c>
      <c r="C486" s="209">
        <f>D455</f>
        <v>93.62833333333333</v>
      </c>
      <c r="D486" s="209">
        <f>E478</f>
        <v>68.108333333333334</v>
      </c>
      <c r="E486" s="210">
        <f t="shared" si="80"/>
        <v>161.73666666666668</v>
      </c>
    </row>
    <row r="487" spans="2:9" ht="24" hidden="1" customHeight="1" x14ac:dyDescent="0.25"/>
    <row r="488" spans="2:9" ht="24" hidden="1" customHeight="1" x14ac:dyDescent="0.25">
      <c r="B488" s="255" t="s">
        <v>117</v>
      </c>
      <c r="C488" s="255"/>
      <c r="D488" s="255"/>
      <c r="E488" s="255"/>
      <c r="F488" s="255"/>
      <c r="G488" s="255"/>
      <c r="H488" s="255"/>
      <c r="I488" s="255"/>
    </row>
    <row r="489" spans="2:9" ht="24" hidden="1" customHeight="1" thickBot="1" x14ac:dyDescent="0.25">
      <c r="B489" s="272"/>
      <c r="C489" s="272"/>
      <c r="D489" s="272"/>
      <c r="E489" s="272"/>
      <c r="F489" s="272"/>
      <c r="G489" s="272"/>
    </row>
    <row r="490" spans="2:9" ht="49.5" hidden="1" customHeight="1" x14ac:dyDescent="0.25">
      <c r="B490" s="273" t="s">
        <v>146</v>
      </c>
      <c r="C490" s="274"/>
      <c r="D490" s="243"/>
      <c r="E490" s="243"/>
      <c r="F490" s="243"/>
      <c r="G490" s="243"/>
    </row>
    <row r="491" spans="2:9" ht="24" hidden="1" customHeight="1" x14ac:dyDescent="0.25">
      <c r="B491" s="99" t="s">
        <v>147</v>
      </c>
      <c r="C491" s="101">
        <v>0.03</v>
      </c>
      <c r="D491" s="243"/>
      <c r="E491" s="243"/>
      <c r="F491" s="243"/>
      <c r="G491" s="243"/>
    </row>
    <row r="492" spans="2:9" ht="24" hidden="1" customHeight="1" x14ac:dyDescent="0.25">
      <c r="B492" s="99" t="s">
        <v>148</v>
      </c>
      <c r="C492" s="101">
        <v>0.14249999999999999</v>
      </c>
      <c r="D492" s="243"/>
      <c r="E492" s="243"/>
      <c r="F492" s="243"/>
      <c r="G492" s="243"/>
    </row>
    <row r="493" spans="2:9" ht="24" hidden="1" customHeight="1" thickBot="1" x14ac:dyDescent="0.3">
      <c r="B493" s="100" t="s">
        <v>149</v>
      </c>
      <c r="C493" s="102">
        <v>6.7900000000000002E-2</v>
      </c>
      <c r="D493" s="243"/>
      <c r="E493" s="243"/>
      <c r="F493" s="243"/>
      <c r="G493" s="243"/>
    </row>
    <row r="494" spans="2:9" ht="24" hidden="1" customHeight="1" thickBot="1" x14ac:dyDescent="0.25"/>
    <row r="495" spans="2:9" ht="24" hidden="1" customHeight="1" thickBot="1" x14ac:dyDescent="0.3">
      <c r="B495" s="252" t="s">
        <v>117</v>
      </c>
      <c r="C495" s="253"/>
      <c r="D495" s="253"/>
      <c r="E495" s="254"/>
    </row>
    <row r="496" spans="2:9" ht="24" hidden="1" customHeight="1" thickBot="1" x14ac:dyDescent="0.25">
      <c r="B496" s="13" t="s">
        <v>3</v>
      </c>
      <c r="C496" s="14" t="s">
        <v>1</v>
      </c>
      <c r="D496" s="14" t="s">
        <v>2</v>
      </c>
      <c r="E496" s="15" t="s">
        <v>4</v>
      </c>
    </row>
    <row r="497" spans="2:9" ht="24" hidden="1" customHeight="1" x14ac:dyDescent="0.25">
      <c r="B497" s="3" t="s">
        <v>254</v>
      </c>
      <c r="C497" s="85">
        <f>H52+F236+F340+E430+E482</f>
        <v>5788.8483328249877</v>
      </c>
      <c r="D497" s="103">
        <f>((1+$C$491)/(1-$C$492-$C$493))-1</f>
        <v>0.3044579533941234</v>
      </c>
      <c r="E497" s="7">
        <f>C497*D497</f>
        <v>1762.460915920879</v>
      </c>
    </row>
    <row r="498" spans="2:9" ht="24" hidden="1" customHeight="1" x14ac:dyDescent="0.25">
      <c r="B498" s="4" t="s">
        <v>265</v>
      </c>
      <c r="C498" s="86">
        <f>H53+F237+F341+E431+E483</f>
        <v>4057.1123148436741</v>
      </c>
      <c r="D498" s="104">
        <f t="shared" ref="D498:D502" si="81">((1+$C$491)/(1-$C$492-$C$493))-1</f>
        <v>0.3044579533941234</v>
      </c>
      <c r="E498" s="8">
        <f t="shared" ref="E498:E502" si="82">C498*D498</f>
        <v>1235.2201120673994</v>
      </c>
    </row>
    <row r="499" spans="2:9" ht="24" hidden="1" customHeight="1" x14ac:dyDescent="0.25">
      <c r="B499" s="4" t="s">
        <v>257</v>
      </c>
      <c r="C499" s="86">
        <f>H54+F238+F342+E432+E484</f>
        <v>4433.8607824332848</v>
      </c>
      <c r="D499" s="104">
        <f t="shared" si="81"/>
        <v>0.3044579533941234</v>
      </c>
      <c r="E499" s="8">
        <f t="shared" si="82"/>
        <v>1349.9241794541047</v>
      </c>
    </row>
    <row r="500" spans="2:9" ht="24" hidden="1" customHeight="1" x14ac:dyDescent="0.25">
      <c r="B500" s="1" t="s">
        <v>293</v>
      </c>
      <c r="C500" s="86">
        <f>ROUND(H55+F239+F343+E433+E485,2)</f>
        <v>5673.03</v>
      </c>
      <c r="D500" s="104">
        <f t="shared" si="81"/>
        <v>0.3044579533941234</v>
      </c>
      <c r="E500" s="8">
        <f t="shared" si="82"/>
        <v>1727.1991033434638</v>
      </c>
    </row>
    <row r="501" spans="2:9" ht="24" hidden="1" customHeight="1" x14ac:dyDescent="0.25">
      <c r="B501" s="1" t="s">
        <v>266</v>
      </c>
      <c r="C501" s="167">
        <f>H56+F240+F344+E434+E486</f>
        <v>9929.8295167123288</v>
      </c>
      <c r="D501" s="168">
        <f t="shared" si="81"/>
        <v>0.3044579533941234</v>
      </c>
      <c r="E501" s="10">
        <f t="shared" si="82"/>
        <v>3023.2155722107932</v>
      </c>
    </row>
    <row r="502" spans="2:9" ht="24" hidden="1" customHeight="1" thickBot="1" x14ac:dyDescent="0.3">
      <c r="B502" s="2" t="s">
        <v>259</v>
      </c>
      <c r="C502" s="87" t="e">
        <f>H57+F241+F345+E435+#REF!</f>
        <v>#REF!</v>
      </c>
      <c r="D502" s="105">
        <f t="shared" si="81"/>
        <v>0.3044579533941234</v>
      </c>
      <c r="E502" s="9" t="e">
        <f t="shared" si="82"/>
        <v>#REF!</v>
      </c>
    </row>
    <row r="503" spans="2:9" ht="24" hidden="1" customHeight="1" x14ac:dyDescent="0.25"/>
    <row r="504" spans="2:9" ht="24" hidden="1" customHeight="1" x14ac:dyDescent="0.25">
      <c r="B504" s="255" t="s">
        <v>139</v>
      </c>
      <c r="C504" s="255"/>
      <c r="D504" s="255"/>
      <c r="E504" s="255"/>
      <c r="F504" s="255"/>
      <c r="G504" s="255"/>
      <c r="H504" s="255"/>
      <c r="I504" s="255"/>
    </row>
    <row r="505" spans="2:9" ht="51" hidden="1" customHeight="1" x14ac:dyDescent="0.25">
      <c r="B505" s="251" t="s">
        <v>242</v>
      </c>
      <c r="C505" s="251"/>
      <c r="D505" s="251"/>
      <c r="E505" s="251"/>
      <c r="F505" s="251"/>
      <c r="G505" s="251"/>
    </row>
    <row r="506" spans="2:9" ht="24" hidden="1" customHeight="1" thickBot="1" x14ac:dyDescent="0.25"/>
    <row r="507" spans="2:9" ht="24" hidden="1" customHeight="1" thickBot="1" x14ac:dyDescent="0.3">
      <c r="B507" s="252" t="s">
        <v>119</v>
      </c>
      <c r="C507" s="253"/>
      <c r="D507" s="253"/>
      <c r="E507" s="254"/>
    </row>
    <row r="508" spans="2:9" ht="24" hidden="1" customHeight="1" thickBot="1" x14ac:dyDescent="0.25">
      <c r="B508" s="244" t="s">
        <v>3</v>
      </c>
      <c r="C508" s="245" t="s">
        <v>1</v>
      </c>
      <c r="D508" s="245" t="s">
        <v>118</v>
      </c>
      <c r="E508" s="246" t="s">
        <v>4</v>
      </c>
    </row>
    <row r="509" spans="2:9" ht="24" hidden="1" customHeight="1" thickBot="1" x14ac:dyDescent="0.25">
      <c r="B509" s="3" t="s">
        <v>254</v>
      </c>
      <c r="C509" s="5">
        <v>0</v>
      </c>
      <c r="D509" s="71">
        <v>1</v>
      </c>
      <c r="E509" s="7">
        <f>C509/D509</f>
        <v>0</v>
      </c>
    </row>
    <row r="510" spans="2:9" ht="24" hidden="1" customHeight="1" thickBot="1" x14ac:dyDescent="0.25">
      <c r="B510" s="4" t="s">
        <v>265</v>
      </c>
      <c r="C510" s="5">
        <v>0</v>
      </c>
      <c r="D510" s="72">
        <v>1</v>
      </c>
      <c r="E510" s="8">
        <f t="shared" ref="E510:E514" si="83">C510/D510</f>
        <v>0</v>
      </c>
    </row>
    <row r="511" spans="2:9" ht="24" hidden="1" customHeight="1" thickBot="1" x14ac:dyDescent="0.25">
      <c r="B511" s="76" t="s">
        <v>257</v>
      </c>
      <c r="C511" s="5">
        <v>0</v>
      </c>
      <c r="D511" s="72">
        <v>1</v>
      </c>
      <c r="E511" s="8">
        <f t="shared" si="83"/>
        <v>0</v>
      </c>
    </row>
    <row r="512" spans="2:9" ht="24" hidden="1" customHeight="1" thickBot="1" x14ac:dyDescent="0.25">
      <c r="B512" s="1" t="s">
        <v>293</v>
      </c>
      <c r="C512" s="5">
        <v>0</v>
      </c>
      <c r="D512" s="72">
        <v>1</v>
      </c>
      <c r="E512" s="8">
        <f t="shared" si="83"/>
        <v>0</v>
      </c>
    </row>
    <row r="513" spans="2:9" ht="24" hidden="1" customHeight="1" thickBot="1" x14ac:dyDescent="0.25">
      <c r="B513" s="76" t="s">
        <v>274</v>
      </c>
      <c r="C513" s="5">
        <v>0</v>
      </c>
      <c r="D513" s="72">
        <v>1</v>
      </c>
      <c r="E513" s="8">
        <f t="shared" si="83"/>
        <v>0</v>
      </c>
    </row>
    <row r="514" spans="2:9" ht="24" hidden="1" customHeight="1" thickBot="1" x14ac:dyDescent="0.3">
      <c r="B514" s="2" t="s">
        <v>259</v>
      </c>
      <c r="C514" s="5">
        <v>0</v>
      </c>
      <c r="D514" s="72">
        <v>1</v>
      </c>
      <c r="E514" s="8">
        <f t="shared" si="83"/>
        <v>0</v>
      </c>
      <c r="I514" s="236"/>
    </row>
    <row r="516" spans="2:9" ht="24" hidden="1" customHeight="1" x14ac:dyDescent="0.25">
      <c r="B516" s="255" t="s">
        <v>150</v>
      </c>
      <c r="C516" s="255"/>
      <c r="D516" s="255"/>
      <c r="E516" s="255"/>
      <c r="F516" s="255"/>
      <c r="G516" s="255"/>
      <c r="H516" s="255"/>
      <c r="I516" s="255"/>
    </row>
    <row r="517" spans="2:9" ht="24" hidden="1" customHeight="1" x14ac:dyDescent="0.25"/>
    <row r="518" spans="2:9" ht="24" hidden="1" customHeight="1" thickBot="1" x14ac:dyDescent="0.3">
      <c r="B518" s="267" t="s">
        <v>151</v>
      </c>
      <c r="C518" s="268"/>
      <c r="D518" s="268"/>
      <c r="E518" s="268"/>
      <c r="F518" s="268"/>
      <c r="G518" s="268"/>
    </row>
    <row r="519" spans="2:9" ht="33" hidden="1" customHeight="1" thickBot="1" x14ac:dyDescent="0.25">
      <c r="B519" s="242" t="s">
        <v>120</v>
      </c>
      <c r="C519" s="245" t="s">
        <v>254</v>
      </c>
      <c r="D519" s="245" t="s">
        <v>265</v>
      </c>
      <c r="E519" s="246" t="s">
        <v>257</v>
      </c>
      <c r="F519" s="179" t="s">
        <v>293</v>
      </c>
      <c r="G519" s="246" t="s">
        <v>266</v>
      </c>
      <c r="H519" s="246" t="s">
        <v>259</v>
      </c>
    </row>
    <row r="520" spans="2:9" ht="32.1" hidden="1" customHeight="1" x14ac:dyDescent="0.25">
      <c r="B520" s="36" t="s">
        <v>121</v>
      </c>
      <c r="C520" s="5">
        <f>ROUND(H52,2)</f>
        <v>2468.75</v>
      </c>
      <c r="D520" s="5">
        <f>ROUND(H53,2)</f>
        <v>1666.95</v>
      </c>
      <c r="E520" s="67">
        <f>$H$54</f>
        <v>1899.04</v>
      </c>
      <c r="F520" s="67">
        <f>ROUND($H$55,2)</f>
        <v>2468.75</v>
      </c>
      <c r="G520" s="67">
        <f>H56</f>
        <v>4426.2</v>
      </c>
      <c r="H520" s="67">
        <f>H57</f>
        <v>5000</v>
      </c>
    </row>
    <row r="521" spans="2:9" ht="32.1" hidden="1" customHeight="1" x14ac:dyDescent="0.25">
      <c r="B521" s="24" t="s">
        <v>122</v>
      </c>
      <c r="C521" s="6">
        <f>ROUND(F236,2)</f>
        <v>1821.48</v>
      </c>
      <c r="D521" s="6">
        <f>F237</f>
        <v>1321.4031448333335</v>
      </c>
      <c r="E521" s="35">
        <f>F238</f>
        <v>1439.8470200000004</v>
      </c>
      <c r="F521" s="35">
        <f>ROUND(F239,2)</f>
        <v>1821.48</v>
      </c>
      <c r="G521" s="35">
        <f>F240</f>
        <v>3074.98</v>
      </c>
      <c r="H521" s="35">
        <f>ROUND(F241,2)</f>
        <v>3459.34</v>
      </c>
    </row>
    <row r="522" spans="2:9" ht="32.1" hidden="1" customHeight="1" x14ac:dyDescent="0.25">
      <c r="B522" s="24" t="s">
        <v>123</v>
      </c>
      <c r="C522" s="6">
        <f>ROUND(F340,2)</f>
        <v>440.31</v>
      </c>
      <c r="D522" s="6">
        <f>F341</f>
        <v>304.92909320763891</v>
      </c>
      <c r="E522" s="35">
        <f>F342</f>
        <v>341.92282675000001</v>
      </c>
      <c r="F522" s="35">
        <f>ROUND(F343,2)</f>
        <v>440.31</v>
      </c>
      <c r="G522" s="35">
        <f>F344</f>
        <v>773.54</v>
      </c>
      <c r="H522" s="35">
        <f>ROUND(F345,2)</f>
        <v>872.62</v>
      </c>
    </row>
    <row r="523" spans="2:9" ht="32.1" hidden="1" customHeight="1" x14ac:dyDescent="0.25">
      <c r="B523" s="24" t="s">
        <v>124</v>
      </c>
      <c r="C523" s="6">
        <f>ROUND(E430,2)</f>
        <v>853.74</v>
      </c>
      <c r="D523" s="6">
        <f>E431</f>
        <v>594.35241013603525</v>
      </c>
      <c r="E523" s="35">
        <f>E432</f>
        <v>664.29093568328415</v>
      </c>
      <c r="F523" s="35">
        <f>E433</f>
        <v>853.73920360287229</v>
      </c>
      <c r="G523" s="35">
        <f>E434</f>
        <v>1493.3728500456621</v>
      </c>
      <c r="H523" s="35">
        <f>ROUND(E435,2)</f>
        <v>1684.18</v>
      </c>
    </row>
    <row r="524" spans="2:9" ht="32.1" hidden="1" customHeight="1" x14ac:dyDescent="0.25">
      <c r="B524" s="24" t="s">
        <v>125</v>
      </c>
      <c r="C524" s="6">
        <f>ROUND(E482,2)</f>
        <v>204.57</v>
      </c>
      <c r="D524" s="6">
        <f>E483</f>
        <v>169.47666666666666</v>
      </c>
      <c r="E524" s="35">
        <f>E484</f>
        <v>88.759999999999991</v>
      </c>
      <c r="F524" s="35">
        <f>ROUND(E485,2)</f>
        <v>88.76</v>
      </c>
      <c r="G524" s="35">
        <f>E486</f>
        <v>161.73666666666668</v>
      </c>
      <c r="H524" s="35" t="e">
        <f>ROUND(#REF!,2)</f>
        <v>#REF!</v>
      </c>
    </row>
    <row r="525" spans="2:9" ht="32.1" hidden="1" customHeight="1" x14ac:dyDescent="0.25">
      <c r="B525" s="24" t="s">
        <v>126</v>
      </c>
      <c r="C525" s="6">
        <f>ROUND(E497,2)</f>
        <v>1762.46</v>
      </c>
      <c r="D525" s="6">
        <f>E498</f>
        <v>1235.2201120673994</v>
      </c>
      <c r="E525" s="35">
        <f>E499</f>
        <v>1349.9241794541047</v>
      </c>
      <c r="F525" s="35">
        <f>ROUND(E500,2)</f>
        <v>1727.2</v>
      </c>
      <c r="G525" s="35">
        <f>E501</f>
        <v>3023.2155722107932</v>
      </c>
      <c r="H525" s="35" t="e">
        <f>ROUND(E502,2)</f>
        <v>#REF!</v>
      </c>
    </row>
    <row r="526" spans="2:9" ht="32.1" hidden="1" customHeight="1" x14ac:dyDescent="0.25">
      <c r="B526" s="24" t="s">
        <v>129</v>
      </c>
      <c r="C526" s="6">
        <f>E509</f>
        <v>0</v>
      </c>
      <c r="D526" s="6">
        <f>E510</f>
        <v>0</v>
      </c>
      <c r="E526" s="35">
        <f>E514</f>
        <v>0</v>
      </c>
      <c r="F526" s="35">
        <f>E515</f>
        <v>0</v>
      </c>
      <c r="G526" s="35">
        <f>E515</f>
        <v>0</v>
      </c>
      <c r="H526" s="35">
        <f>E516</f>
        <v>0</v>
      </c>
    </row>
    <row r="527" spans="2:9" ht="32.1" hidden="1" customHeight="1" thickBot="1" x14ac:dyDescent="0.3">
      <c r="B527" s="91" t="s">
        <v>127</v>
      </c>
      <c r="C527" s="92">
        <f>SUM(C520:C526)</f>
        <v>7551.3099999999995</v>
      </c>
      <c r="D527" s="92">
        <f>SUM(D520:D526)</f>
        <v>5292.3314269110733</v>
      </c>
      <c r="E527" s="93">
        <f>SUM(E520:E526)</f>
        <v>5783.7849618873897</v>
      </c>
      <c r="F527" s="93">
        <f>SUM(F520:F526)</f>
        <v>7400.2392036028723</v>
      </c>
      <c r="G527" s="93">
        <f t="shared" ref="G527:H527" si="84">SUM(G520:G526)</f>
        <v>12953.045088923122</v>
      </c>
      <c r="H527" s="93" t="e">
        <f t="shared" si="84"/>
        <v>#REF!</v>
      </c>
    </row>
    <row r="528" spans="2:9" ht="32.1" hidden="1" customHeight="1" thickBot="1" x14ac:dyDescent="0.3">
      <c r="B528" s="235" t="s">
        <v>128</v>
      </c>
      <c r="C528" s="62">
        <f>C527*8</f>
        <v>60410.479999999996</v>
      </c>
      <c r="D528" s="62">
        <f>D527*8</f>
        <v>42338.651415288587</v>
      </c>
      <c r="E528" s="63">
        <f>E527*3</f>
        <v>17351.354885662171</v>
      </c>
      <c r="F528" s="63">
        <f>F527*1</f>
        <v>7400.2392036028723</v>
      </c>
      <c r="G528" s="63">
        <f>G527*2</f>
        <v>25906.090177846243</v>
      </c>
      <c r="H528" s="63" t="e">
        <f t="shared" ref="H528" si="85">H527*1</f>
        <v>#REF!</v>
      </c>
    </row>
    <row r="529" spans="2:8" ht="24" hidden="1" customHeight="1" x14ac:dyDescent="0.25">
      <c r="B529" s="238"/>
    </row>
    <row r="530" spans="2:8" ht="35.25" hidden="1" customHeight="1" x14ac:dyDescent="0.25">
      <c r="B530" s="185" t="s">
        <v>26</v>
      </c>
      <c r="C530" s="186" t="e">
        <f>C528+D528+E528+F528+G528+H528</f>
        <v>#REF!</v>
      </c>
      <c r="D530" s="269" t="s">
        <v>299</v>
      </c>
      <c r="E530" s="270"/>
      <c r="F530" s="270"/>
      <c r="G530" s="270"/>
      <c r="H530" s="271"/>
    </row>
    <row r="532" spans="2:8" ht="24" customHeight="1" x14ac:dyDescent="0.25">
      <c r="E532" s="187" t="s">
        <v>320</v>
      </c>
    </row>
    <row r="533" spans="2:8" ht="28.5" customHeight="1" x14ac:dyDescent="0.25"/>
    <row r="534" spans="2:8" ht="84" customHeight="1" x14ac:dyDescent="0.25">
      <c r="B534" s="277" t="s">
        <v>314</v>
      </c>
      <c r="C534" s="277"/>
      <c r="D534" s="277"/>
      <c r="E534" s="277"/>
      <c r="F534" s="277"/>
      <c r="G534" s="277"/>
      <c r="H534" s="211"/>
    </row>
    <row r="535" spans="2:8" ht="134.25" customHeight="1" x14ac:dyDescent="0.25"/>
  </sheetData>
  <mergeCells count="10">
    <mergeCell ref="B4:G4"/>
    <mergeCell ref="B437:G437"/>
    <mergeCell ref="B534:G534"/>
    <mergeCell ref="B480:E480"/>
    <mergeCell ref="B472:E472"/>
    <mergeCell ref="B439:E439"/>
    <mergeCell ref="B447:D447"/>
    <mergeCell ref="B449:D449"/>
    <mergeCell ref="B457:G457"/>
    <mergeCell ref="B470:E470"/>
  </mergeCells>
  <pageMargins left="0.511811024" right="0.511811024" top="0.78740157499999996" bottom="0.78740157499999996" header="0.31496062000000002" footer="0.31496062000000002"/>
  <pageSetup paperSize="9" scale="67" fitToHeight="0" orientation="portrait" horizontalDpi="4294967293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41"/>
  <sheetViews>
    <sheetView showGridLines="0" topLeftCell="A100" zoomScale="115" zoomScaleNormal="115" workbookViewId="0">
      <selection activeCell="C107" sqref="C107"/>
    </sheetView>
  </sheetViews>
  <sheetFormatPr defaultRowHeight="15.75" x14ac:dyDescent="0.25"/>
  <cols>
    <col min="1" max="1" width="9.140625" style="138"/>
    <col min="2" max="2" width="72.140625" style="138" customWidth="1"/>
    <col min="3" max="3" width="18" style="138" customWidth="1"/>
    <col min="4" max="4" width="14.28515625" style="138" customWidth="1"/>
    <col min="5" max="5" width="12.7109375" style="138" customWidth="1"/>
    <col min="6" max="6" width="12" style="138" customWidth="1"/>
    <col min="7" max="7" width="15.140625" style="138" customWidth="1"/>
    <col min="8" max="16384" width="9.140625" style="138"/>
  </cols>
  <sheetData>
    <row r="1" spans="1:4" ht="87.75" customHeight="1" x14ac:dyDescent="0.25"/>
    <row r="2" spans="1:4" ht="23.25" x14ac:dyDescent="0.35">
      <c r="A2" s="290" t="s">
        <v>232</v>
      </c>
      <c r="B2" s="290"/>
      <c r="C2" s="290"/>
      <c r="D2" s="290"/>
    </row>
    <row r="3" spans="1:4" ht="23.25" x14ac:dyDescent="0.35">
      <c r="A3" s="290" t="s">
        <v>297</v>
      </c>
      <c r="B3" s="290"/>
      <c r="C3" s="290"/>
      <c r="D3" s="290"/>
    </row>
    <row r="4" spans="1:4" x14ac:dyDescent="0.25">
      <c r="A4" s="295" t="s">
        <v>243</v>
      </c>
      <c r="B4" s="295"/>
      <c r="C4" s="295"/>
      <c r="D4" s="295"/>
    </row>
    <row r="6" spans="1:4" x14ac:dyDescent="0.25">
      <c r="A6" s="276" t="s">
        <v>163</v>
      </c>
      <c r="B6" s="276"/>
      <c r="C6" s="276"/>
    </row>
    <row r="7" spans="1:4" ht="16.5" thickBot="1" x14ac:dyDescent="0.3"/>
    <row r="8" spans="1:4" ht="16.5" thickBot="1" x14ac:dyDescent="0.3">
      <c r="A8" s="129">
        <v>1</v>
      </c>
      <c r="B8" s="130" t="s">
        <v>164</v>
      </c>
      <c r="C8" s="130" t="s">
        <v>165</v>
      </c>
    </row>
    <row r="9" spans="1:4" ht="16.5" thickBot="1" x14ac:dyDescent="0.3">
      <c r="A9" s="131" t="s">
        <v>166</v>
      </c>
      <c r="B9" s="132" t="s">
        <v>167</v>
      </c>
      <c r="C9" s="133">
        <v>1899.04</v>
      </c>
    </row>
    <row r="10" spans="1:4" ht="16.5" thickBot="1" x14ac:dyDescent="0.3">
      <c r="A10" s="131" t="s">
        <v>168</v>
      </c>
      <c r="B10" s="132" t="s">
        <v>169</v>
      </c>
      <c r="C10" s="133">
        <f>ROUND(C9*0.3,2)</f>
        <v>569.71</v>
      </c>
    </row>
    <row r="11" spans="1:4" ht="16.5" thickBot="1" x14ac:dyDescent="0.3">
      <c r="A11" s="131" t="s">
        <v>170</v>
      </c>
      <c r="B11" s="132" t="s">
        <v>171</v>
      </c>
      <c r="C11" s="133">
        <v>0</v>
      </c>
    </row>
    <row r="12" spans="1:4" ht="16.5" thickBot="1" x14ac:dyDescent="0.3">
      <c r="A12" s="131" t="s">
        <v>172</v>
      </c>
      <c r="B12" s="132" t="s">
        <v>7</v>
      </c>
      <c r="C12" s="133">
        <v>0</v>
      </c>
    </row>
    <row r="13" spans="1:4" ht="16.5" thickBot="1" x14ac:dyDescent="0.3">
      <c r="A13" s="131" t="s">
        <v>173</v>
      </c>
      <c r="B13" s="132" t="s">
        <v>174</v>
      </c>
      <c r="C13" s="133">
        <v>0</v>
      </c>
    </row>
    <row r="14" spans="1:4" ht="16.5" thickBot="1" x14ac:dyDescent="0.3">
      <c r="A14" s="131"/>
      <c r="B14" s="132"/>
      <c r="C14" s="133"/>
    </row>
    <row r="15" spans="1:4" ht="16.5" thickBot="1" x14ac:dyDescent="0.3">
      <c r="A15" s="131" t="s">
        <v>176</v>
      </c>
      <c r="B15" s="132" t="s">
        <v>177</v>
      </c>
      <c r="C15" s="133">
        <v>0</v>
      </c>
    </row>
    <row r="16" spans="1:4" ht="16.5" thickBot="1" x14ac:dyDescent="0.3">
      <c r="A16" s="291" t="s">
        <v>10</v>
      </c>
      <c r="B16" s="292"/>
      <c r="C16" s="133">
        <f>C9+C10</f>
        <v>2468.75</v>
      </c>
    </row>
    <row r="19" spans="1:4" x14ac:dyDescent="0.25">
      <c r="A19" s="276" t="s">
        <v>178</v>
      </c>
      <c r="B19" s="276"/>
      <c r="C19" s="276"/>
    </row>
    <row r="20" spans="1:4" x14ac:dyDescent="0.25">
      <c r="A20" s="29"/>
    </row>
    <row r="21" spans="1:4" x14ac:dyDescent="0.25">
      <c r="A21" s="293" t="s">
        <v>179</v>
      </c>
      <c r="B21" s="293"/>
      <c r="C21" s="293"/>
    </row>
    <row r="22" spans="1:4" ht="16.5" thickBot="1" x14ac:dyDescent="0.3"/>
    <row r="23" spans="1:4" ht="16.5" thickBot="1" x14ac:dyDescent="0.3">
      <c r="A23" s="129" t="s">
        <v>180</v>
      </c>
      <c r="B23" s="130" t="s">
        <v>181</v>
      </c>
      <c r="C23" s="130" t="s">
        <v>165</v>
      </c>
    </row>
    <row r="24" spans="1:4" ht="16.5" thickBot="1" x14ac:dyDescent="0.3">
      <c r="A24" s="131" t="s">
        <v>166</v>
      </c>
      <c r="B24" s="132" t="s">
        <v>182</v>
      </c>
      <c r="C24" s="133">
        <v>205.73</v>
      </c>
    </row>
    <row r="25" spans="1:4" ht="16.5" thickBot="1" x14ac:dyDescent="0.3">
      <c r="A25" s="131" t="s">
        <v>168</v>
      </c>
      <c r="B25" s="132" t="s">
        <v>183</v>
      </c>
      <c r="C25" s="133">
        <f>205.73+68.58</f>
        <v>274.31</v>
      </c>
    </row>
    <row r="26" spans="1:4" ht="16.5" thickBot="1" x14ac:dyDescent="0.3">
      <c r="A26" s="291" t="s">
        <v>10</v>
      </c>
      <c r="B26" s="292"/>
      <c r="C26" s="133">
        <f>C24+C25</f>
        <v>480.03999999999996</v>
      </c>
    </row>
    <row r="29" spans="1:4" ht="32.25" customHeight="1" x14ac:dyDescent="0.25">
      <c r="A29" s="296" t="s">
        <v>184</v>
      </c>
      <c r="B29" s="296"/>
      <c r="C29" s="296"/>
      <c r="D29" s="296"/>
    </row>
    <row r="30" spans="1:4" ht="16.5" thickBot="1" x14ac:dyDescent="0.3"/>
    <row r="31" spans="1:4" ht="16.5" thickBot="1" x14ac:dyDescent="0.3">
      <c r="A31" s="129" t="s">
        <v>185</v>
      </c>
      <c r="B31" s="130" t="s">
        <v>186</v>
      </c>
      <c r="C31" s="130" t="s">
        <v>187</v>
      </c>
      <c r="D31" s="130" t="s">
        <v>165</v>
      </c>
    </row>
    <row r="32" spans="1:4" ht="16.5" thickBot="1" x14ac:dyDescent="0.3">
      <c r="A32" s="131" t="s">
        <v>166</v>
      </c>
      <c r="B32" s="132" t="s">
        <v>188</v>
      </c>
      <c r="C32" s="134">
        <v>0.2</v>
      </c>
      <c r="D32" s="145">
        <f>C32*$C$16</f>
        <v>493.75</v>
      </c>
    </row>
    <row r="33" spans="1:4" ht="16.5" thickBot="1" x14ac:dyDescent="0.3">
      <c r="A33" s="131" t="s">
        <v>168</v>
      </c>
      <c r="B33" s="132" t="s">
        <v>189</v>
      </c>
      <c r="C33" s="134">
        <v>2.5000000000000001E-2</v>
      </c>
      <c r="D33" s="145">
        <f t="shared" ref="D33:D39" si="0">C33*$C$16</f>
        <v>61.71875</v>
      </c>
    </row>
    <row r="34" spans="1:4" ht="16.5" thickBot="1" x14ac:dyDescent="0.3">
      <c r="A34" s="131" t="s">
        <v>170</v>
      </c>
      <c r="B34" s="132" t="s">
        <v>190</v>
      </c>
      <c r="C34" s="169">
        <v>0.06</v>
      </c>
      <c r="D34" s="145">
        <f t="shared" si="0"/>
        <v>148.125</v>
      </c>
    </row>
    <row r="35" spans="1:4" ht="16.5" thickBot="1" x14ac:dyDescent="0.3">
      <c r="A35" s="131" t="s">
        <v>172</v>
      </c>
      <c r="B35" s="132" t="s">
        <v>191</v>
      </c>
      <c r="C35" s="134">
        <v>1.4999999999999999E-2</v>
      </c>
      <c r="D35" s="145">
        <f t="shared" si="0"/>
        <v>37.03125</v>
      </c>
    </row>
    <row r="36" spans="1:4" ht="16.5" thickBot="1" x14ac:dyDescent="0.3">
      <c r="A36" s="131" t="s">
        <v>173</v>
      </c>
      <c r="B36" s="132" t="s">
        <v>192</v>
      </c>
      <c r="C36" s="134">
        <v>0.01</v>
      </c>
      <c r="D36" s="145">
        <f t="shared" si="0"/>
        <v>24.6875</v>
      </c>
    </row>
    <row r="37" spans="1:4" ht="16.5" thickBot="1" x14ac:dyDescent="0.3">
      <c r="A37" s="131" t="s">
        <v>175</v>
      </c>
      <c r="B37" s="132" t="s">
        <v>23</v>
      </c>
      <c r="C37" s="134">
        <v>6.0000000000000001E-3</v>
      </c>
      <c r="D37" s="145">
        <f t="shared" si="0"/>
        <v>14.8125</v>
      </c>
    </row>
    <row r="38" spans="1:4" ht="16.5" thickBot="1" x14ac:dyDescent="0.3">
      <c r="A38" s="131" t="s">
        <v>176</v>
      </c>
      <c r="B38" s="132" t="s">
        <v>24</v>
      </c>
      <c r="C38" s="134">
        <v>2E-3</v>
      </c>
      <c r="D38" s="145">
        <f t="shared" si="0"/>
        <v>4.9375</v>
      </c>
    </row>
    <row r="39" spans="1:4" ht="16.5" thickBot="1" x14ac:dyDescent="0.3">
      <c r="A39" s="131" t="s">
        <v>193</v>
      </c>
      <c r="B39" s="132" t="s">
        <v>25</v>
      </c>
      <c r="C39" s="134">
        <v>0.08</v>
      </c>
      <c r="D39" s="145">
        <f t="shared" si="0"/>
        <v>197.5</v>
      </c>
    </row>
    <row r="40" spans="1:4" ht="16.5" thickBot="1" x14ac:dyDescent="0.3">
      <c r="A40" s="291" t="s">
        <v>194</v>
      </c>
      <c r="B40" s="292"/>
      <c r="C40" s="134">
        <f>SUM(C32:C39)</f>
        <v>0.39800000000000008</v>
      </c>
      <c r="D40" s="145">
        <f>SUM(D32:D39)</f>
        <v>982.5625</v>
      </c>
    </row>
    <row r="43" spans="1:4" x14ac:dyDescent="0.25">
      <c r="A43" s="293" t="s">
        <v>195</v>
      </c>
      <c r="B43" s="293"/>
      <c r="C43" s="293"/>
    </row>
    <row r="44" spans="1:4" ht="16.5" thickBot="1" x14ac:dyDescent="0.3"/>
    <row r="45" spans="1:4" ht="16.5" thickBot="1" x14ac:dyDescent="0.3">
      <c r="A45" s="129" t="s">
        <v>196</v>
      </c>
      <c r="B45" s="130" t="s">
        <v>197</v>
      </c>
      <c r="C45" s="130" t="s">
        <v>165</v>
      </c>
    </row>
    <row r="46" spans="1:4" ht="16.5" thickBot="1" x14ac:dyDescent="0.3">
      <c r="A46" s="131" t="s">
        <v>166</v>
      </c>
      <c r="B46" s="132" t="s">
        <v>198</v>
      </c>
      <c r="C46" s="133">
        <f>ROUND('Custo por trabalhador'!E165,2)</f>
        <v>57.66</v>
      </c>
    </row>
    <row r="47" spans="1:4" ht="16.5" thickBot="1" x14ac:dyDescent="0.3">
      <c r="A47" s="131" t="s">
        <v>168</v>
      </c>
      <c r="B47" s="132" t="s">
        <v>199</v>
      </c>
      <c r="C47" s="133">
        <f>'Custo por trabalhador'!E194</f>
        <v>0</v>
      </c>
    </row>
    <row r="48" spans="1:4" ht="16.5" thickBot="1" x14ac:dyDescent="0.3">
      <c r="A48" s="131" t="s">
        <v>170</v>
      </c>
      <c r="B48" s="132" t="s">
        <v>275</v>
      </c>
      <c r="C48" s="133">
        <f>ROUND('Custo por trabalhador'!E205,2)</f>
        <v>110.16</v>
      </c>
    </row>
    <row r="49" spans="1:3" ht="16.5" thickBot="1" x14ac:dyDescent="0.3">
      <c r="A49" s="131" t="s">
        <v>172</v>
      </c>
      <c r="B49" s="132" t="s">
        <v>177</v>
      </c>
      <c r="C49" s="133"/>
    </row>
    <row r="50" spans="1:3" ht="16.5" thickBot="1" x14ac:dyDescent="0.3">
      <c r="A50" s="291" t="s">
        <v>10</v>
      </c>
      <c r="B50" s="292"/>
      <c r="C50" s="133">
        <f>SUM(C46:C49)</f>
        <v>167.82</v>
      </c>
    </row>
    <row r="53" spans="1:3" x14ac:dyDescent="0.25">
      <c r="A53" s="293" t="s">
        <v>200</v>
      </c>
      <c r="B53" s="293"/>
      <c r="C53" s="293"/>
    </row>
    <row r="54" spans="1:3" ht="16.5" thickBot="1" x14ac:dyDescent="0.3"/>
    <row r="55" spans="1:3" ht="16.5" thickBot="1" x14ac:dyDescent="0.3">
      <c r="A55" s="129">
        <v>2</v>
      </c>
      <c r="B55" s="130" t="s">
        <v>201</v>
      </c>
      <c r="C55" s="130" t="s">
        <v>165</v>
      </c>
    </row>
    <row r="56" spans="1:3" ht="16.5" thickBot="1" x14ac:dyDescent="0.3">
      <c r="A56" s="131" t="s">
        <v>180</v>
      </c>
      <c r="B56" s="132" t="s">
        <v>181</v>
      </c>
      <c r="C56" s="133">
        <f>ROUND('Custo por trabalhador'!C236,2)</f>
        <v>480.04</v>
      </c>
    </row>
    <row r="57" spans="1:3" ht="16.5" thickBot="1" x14ac:dyDescent="0.3">
      <c r="A57" s="131" t="s">
        <v>185</v>
      </c>
      <c r="B57" s="132" t="s">
        <v>186</v>
      </c>
      <c r="C57" s="133">
        <f>ROUND('Custo por trabalhador'!D236,2)</f>
        <v>1173.6199999999999</v>
      </c>
    </row>
    <row r="58" spans="1:3" ht="16.5" thickBot="1" x14ac:dyDescent="0.3">
      <c r="A58" s="131" t="s">
        <v>196</v>
      </c>
      <c r="B58" s="132" t="s">
        <v>197</v>
      </c>
      <c r="C58" s="133">
        <f>ROUND('Custo por trabalhador'!E236,2)</f>
        <v>167.82</v>
      </c>
    </row>
    <row r="59" spans="1:3" ht="16.5" thickBot="1" x14ac:dyDescent="0.3">
      <c r="A59" s="291" t="s">
        <v>10</v>
      </c>
      <c r="B59" s="292"/>
      <c r="C59" s="133">
        <f>SUM(C56:C58)</f>
        <v>1821.4799999999998</v>
      </c>
    </row>
    <row r="60" spans="1:3" x14ac:dyDescent="0.25">
      <c r="A60" s="23"/>
    </row>
    <row r="62" spans="1:3" x14ac:dyDescent="0.25">
      <c r="A62" s="276" t="s">
        <v>202</v>
      </c>
      <c r="B62" s="276"/>
      <c r="C62" s="276"/>
    </row>
    <row r="63" spans="1:3" ht="16.5" thickBot="1" x14ac:dyDescent="0.3"/>
    <row r="64" spans="1:3" ht="16.5" thickBot="1" x14ac:dyDescent="0.3">
      <c r="A64" s="129">
        <v>3</v>
      </c>
      <c r="B64" s="130" t="s">
        <v>203</v>
      </c>
      <c r="C64" s="130" t="s">
        <v>165</v>
      </c>
    </row>
    <row r="65" spans="1:3" ht="16.5" thickBot="1" x14ac:dyDescent="0.3">
      <c r="A65" s="131" t="s">
        <v>166</v>
      </c>
      <c r="B65" s="136" t="s">
        <v>204</v>
      </c>
      <c r="C65" s="145">
        <f>(('Custo por trabalhador'!E260)-('Custo por trabalhador'!E125/12))*0.45</f>
        <v>116.87305236666667</v>
      </c>
    </row>
    <row r="66" spans="1:3" ht="16.5" thickBot="1" x14ac:dyDescent="0.3">
      <c r="A66" s="131" t="s">
        <v>168</v>
      </c>
      <c r="B66" s="136" t="s">
        <v>205</v>
      </c>
      <c r="C66" s="170">
        <f>ROUND(('Custo por trabalhador'!E125/12)*0.45,2)</f>
        <v>8.85</v>
      </c>
    </row>
    <row r="67" spans="1:3" ht="16.5" thickBot="1" x14ac:dyDescent="0.3">
      <c r="A67" s="131" t="s">
        <v>170</v>
      </c>
      <c r="B67" s="136" t="s">
        <v>206</v>
      </c>
      <c r="C67" s="133">
        <f>ROUND(('Custo por trabalhador'!E269)*0.45,2)</f>
        <v>53.08</v>
      </c>
    </row>
    <row r="68" spans="1:3" ht="16.5" thickBot="1" x14ac:dyDescent="0.3">
      <c r="A68" s="131" t="s">
        <v>172</v>
      </c>
      <c r="B68" s="136" t="s">
        <v>207</v>
      </c>
      <c r="C68" s="133">
        <f>ROUND(('Custo por trabalhador'!H52/12)*0.55,2)</f>
        <v>113.15</v>
      </c>
    </row>
    <row r="69" spans="1:3" ht="16.5" thickBot="1" x14ac:dyDescent="0.3">
      <c r="A69" s="131" t="s">
        <v>173</v>
      </c>
      <c r="B69" s="136" t="s">
        <v>208</v>
      </c>
      <c r="C69" s="145">
        <f>('Custo por trabalhador'!F236/12)*0.55</f>
        <v>83.484499999999997</v>
      </c>
    </row>
    <row r="70" spans="1:3" ht="16.5" thickBot="1" x14ac:dyDescent="0.3">
      <c r="A70" s="131" t="s">
        <v>175</v>
      </c>
      <c r="B70" s="136" t="s">
        <v>209</v>
      </c>
      <c r="C70" s="145">
        <f>('Custo por trabalhador'!E299)*0.55</f>
        <v>64.873316444444441</v>
      </c>
    </row>
    <row r="71" spans="1:3" ht="16.5" thickBot="1" x14ac:dyDescent="0.3">
      <c r="A71" s="291" t="s">
        <v>10</v>
      </c>
      <c r="B71" s="292"/>
      <c r="C71" s="145">
        <f>C65+C67+C68+C70+C69+C66</f>
        <v>440.31086881111116</v>
      </c>
    </row>
    <row r="74" spans="1:3" x14ac:dyDescent="0.25">
      <c r="A74" s="276" t="s">
        <v>210</v>
      </c>
      <c r="B74" s="276"/>
      <c r="C74" s="276"/>
    </row>
    <row r="77" spans="1:3" x14ac:dyDescent="0.25">
      <c r="A77" s="293" t="s">
        <v>211</v>
      </c>
      <c r="B77" s="293"/>
      <c r="C77" s="293"/>
    </row>
    <row r="78" spans="1:3" ht="16.5" thickBot="1" x14ac:dyDescent="0.3">
      <c r="A78" s="29"/>
    </row>
    <row r="79" spans="1:3" ht="16.5" thickBot="1" x14ac:dyDescent="0.3">
      <c r="A79" s="129" t="s">
        <v>212</v>
      </c>
      <c r="B79" s="130" t="s">
        <v>213</v>
      </c>
      <c r="C79" s="130" t="s">
        <v>165</v>
      </c>
    </row>
    <row r="80" spans="1:3" ht="16.5" thickBot="1" x14ac:dyDescent="0.3">
      <c r="A80" s="131" t="s">
        <v>166</v>
      </c>
      <c r="B80" s="132" t="s">
        <v>14</v>
      </c>
      <c r="C80" s="297">
        <f>ROUND('Custo por trabalhador'!F398,2)</f>
        <v>853.74</v>
      </c>
    </row>
    <row r="81" spans="1:3" ht="16.5" thickBot="1" x14ac:dyDescent="0.3">
      <c r="A81" s="131" t="s">
        <v>168</v>
      </c>
      <c r="B81" s="132" t="s">
        <v>213</v>
      </c>
      <c r="C81" s="298"/>
    </row>
    <row r="82" spans="1:3" ht="16.5" thickBot="1" x14ac:dyDescent="0.3">
      <c r="A82" s="131" t="s">
        <v>170</v>
      </c>
      <c r="B82" s="132" t="s">
        <v>214</v>
      </c>
      <c r="C82" s="298"/>
    </row>
    <row r="83" spans="1:3" ht="16.5" thickBot="1" x14ac:dyDescent="0.3">
      <c r="A83" s="131" t="s">
        <v>172</v>
      </c>
      <c r="B83" s="132" t="s">
        <v>215</v>
      </c>
      <c r="C83" s="298"/>
    </row>
    <row r="84" spans="1:3" ht="16.5" thickBot="1" x14ac:dyDescent="0.3">
      <c r="A84" s="131" t="s">
        <v>173</v>
      </c>
      <c r="B84" s="132" t="s">
        <v>216</v>
      </c>
      <c r="C84" s="298"/>
    </row>
    <row r="85" spans="1:3" ht="16.5" thickBot="1" x14ac:dyDescent="0.3">
      <c r="A85" s="131" t="s">
        <v>175</v>
      </c>
      <c r="B85" s="132" t="s">
        <v>177</v>
      </c>
      <c r="C85" s="299"/>
    </row>
    <row r="86" spans="1:3" ht="16.5" thickBot="1" x14ac:dyDescent="0.3">
      <c r="A86" s="291" t="s">
        <v>194</v>
      </c>
      <c r="B86" s="292"/>
      <c r="C86" s="133">
        <f>C80</f>
        <v>853.74</v>
      </c>
    </row>
    <row r="89" spans="1:3" x14ac:dyDescent="0.25">
      <c r="A89" s="293" t="s">
        <v>217</v>
      </c>
      <c r="B89" s="293"/>
      <c r="C89" s="293"/>
    </row>
    <row r="90" spans="1:3" ht="16.5" thickBot="1" x14ac:dyDescent="0.3">
      <c r="A90" s="29"/>
    </row>
    <row r="91" spans="1:3" ht="16.5" thickBot="1" x14ac:dyDescent="0.3">
      <c r="A91" s="129" t="s">
        <v>218</v>
      </c>
      <c r="B91" s="130" t="s">
        <v>219</v>
      </c>
      <c r="C91" s="130" t="s">
        <v>165</v>
      </c>
    </row>
    <row r="92" spans="1:3" ht="16.5" thickBot="1" x14ac:dyDescent="0.3">
      <c r="A92" s="131" t="s">
        <v>166</v>
      </c>
      <c r="B92" s="132" t="s">
        <v>244</v>
      </c>
      <c r="C92" s="133">
        <v>0</v>
      </c>
    </row>
    <row r="93" spans="1:3" ht="16.5" thickBot="1" x14ac:dyDescent="0.3">
      <c r="A93" s="291" t="s">
        <v>10</v>
      </c>
      <c r="B93" s="292"/>
      <c r="C93" s="133">
        <v>0</v>
      </c>
    </row>
    <row r="96" spans="1:3" x14ac:dyDescent="0.25">
      <c r="A96" s="293" t="s">
        <v>220</v>
      </c>
      <c r="B96" s="293"/>
      <c r="C96" s="293"/>
    </row>
    <row r="97" spans="1:3" ht="16.5" thickBot="1" x14ac:dyDescent="0.3">
      <c r="A97" s="29"/>
    </row>
    <row r="98" spans="1:3" ht="16.5" thickBot="1" x14ac:dyDescent="0.3">
      <c r="A98" s="129">
        <v>4</v>
      </c>
      <c r="B98" s="130" t="s">
        <v>221</v>
      </c>
      <c r="C98" s="130" t="s">
        <v>165</v>
      </c>
    </row>
    <row r="99" spans="1:3" ht="16.5" thickBot="1" x14ac:dyDescent="0.3">
      <c r="A99" s="131" t="s">
        <v>212</v>
      </c>
      <c r="B99" s="132" t="s">
        <v>213</v>
      </c>
      <c r="C99" s="133">
        <f>C86</f>
        <v>853.74</v>
      </c>
    </row>
    <row r="100" spans="1:3" ht="16.5" thickBot="1" x14ac:dyDescent="0.3">
      <c r="A100" s="131" t="s">
        <v>218</v>
      </c>
      <c r="B100" s="132" t="s">
        <v>219</v>
      </c>
      <c r="C100" s="133">
        <v>0</v>
      </c>
    </row>
    <row r="101" spans="1:3" ht="16.5" thickBot="1" x14ac:dyDescent="0.3">
      <c r="A101" s="291" t="s">
        <v>10</v>
      </c>
      <c r="B101" s="292"/>
      <c r="C101" s="133">
        <f>SUM(C99:C100)</f>
        <v>853.74</v>
      </c>
    </row>
    <row r="104" spans="1:3" x14ac:dyDescent="0.25">
      <c r="A104" s="276" t="s">
        <v>222</v>
      </c>
      <c r="B104" s="276"/>
      <c r="C104" s="276"/>
    </row>
    <row r="105" spans="1:3" ht="16.5" thickBot="1" x14ac:dyDescent="0.3"/>
    <row r="106" spans="1:3" ht="16.5" thickBot="1" x14ac:dyDescent="0.3">
      <c r="A106" s="129">
        <v>5</v>
      </c>
      <c r="B106" s="137" t="s">
        <v>125</v>
      </c>
      <c r="C106" s="130" t="s">
        <v>165</v>
      </c>
    </row>
    <row r="107" spans="1:3" ht="16.5" thickBot="1" x14ac:dyDescent="0.3">
      <c r="A107" s="131" t="s">
        <v>166</v>
      </c>
      <c r="B107" s="132" t="s">
        <v>223</v>
      </c>
      <c r="C107" s="171">
        <f>'Custo por trabalhador'!D451</f>
        <v>101.09166666666665</v>
      </c>
    </row>
    <row r="108" spans="1:3" ht="16.5" thickBot="1" x14ac:dyDescent="0.3">
      <c r="A108" s="131" t="s">
        <v>168</v>
      </c>
      <c r="B108" s="132" t="s">
        <v>224</v>
      </c>
      <c r="C108" s="133">
        <v>0</v>
      </c>
    </row>
    <row r="109" spans="1:3" ht="16.5" thickBot="1" x14ac:dyDescent="0.3">
      <c r="A109" s="131" t="s">
        <v>170</v>
      </c>
      <c r="B109" s="132" t="s">
        <v>225</v>
      </c>
      <c r="C109" s="171">
        <f>'Custo por trabalhador'!E474</f>
        <v>103.47833333333334</v>
      </c>
    </row>
    <row r="110" spans="1:3" ht="16.5" thickBot="1" x14ac:dyDescent="0.3">
      <c r="A110" s="131" t="s">
        <v>172</v>
      </c>
      <c r="B110" s="132" t="s">
        <v>177</v>
      </c>
      <c r="C110" s="133">
        <v>0</v>
      </c>
    </row>
    <row r="111" spans="1:3" ht="16.5" thickBot="1" x14ac:dyDescent="0.3">
      <c r="A111" s="291" t="s">
        <v>194</v>
      </c>
      <c r="B111" s="292"/>
      <c r="C111" s="171">
        <f>SUM(C107:C110)</f>
        <v>204.57</v>
      </c>
    </row>
    <row r="114" spans="1:4" x14ac:dyDescent="0.25">
      <c r="A114" s="276" t="s">
        <v>226</v>
      </c>
      <c r="B114" s="276"/>
      <c r="C114" s="276"/>
    </row>
    <row r="115" spans="1:4" ht="16.5" thickBot="1" x14ac:dyDescent="0.3"/>
    <row r="116" spans="1:4" ht="16.5" thickBot="1" x14ac:dyDescent="0.3">
      <c r="A116" s="129">
        <v>6</v>
      </c>
      <c r="B116" s="137" t="s">
        <v>126</v>
      </c>
      <c r="C116" s="130" t="s">
        <v>187</v>
      </c>
      <c r="D116" s="130" t="s">
        <v>165</v>
      </c>
    </row>
    <row r="117" spans="1:4" ht="16.5" thickBot="1" x14ac:dyDescent="0.3">
      <c r="A117" s="131" t="s">
        <v>166</v>
      </c>
      <c r="B117" s="132" t="s">
        <v>147</v>
      </c>
      <c r="C117" s="134">
        <f>'Custo por trabalhador'!C491</f>
        <v>0.03</v>
      </c>
      <c r="D117" s="145">
        <f>($C$16+$C$59+$C$71+$C$86+$C$111)*C117</f>
        <v>173.66552606433331</v>
      </c>
    </row>
    <row r="118" spans="1:4" ht="16.5" thickBot="1" x14ac:dyDescent="0.3">
      <c r="A118" s="131" t="s">
        <v>168</v>
      </c>
      <c r="B118" s="132" t="s">
        <v>149</v>
      </c>
      <c r="C118" s="134">
        <f>'Custo por trabalhador'!C493</f>
        <v>6.7900000000000002E-2</v>
      </c>
      <c r="D118" s="145">
        <f t="shared" ref="D118:D123" si="1">($C$16+$C$59+$C$71+$C$86+$C$111)*C118</f>
        <v>393.06297399227441</v>
      </c>
    </row>
    <row r="119" spans="1:4" ht="16.5" thickBot="1" x14ac:dyDescent="0.3">
      <c r="A119" s="131" t="s">
        <v>170</v>
      </c>
      <c r="B119" s="132" t="s">
        <v>148</v>
      </c>
      <c r="C119" s="134">
        <f>'Custo por trabalhador'!C492</f>
        <v>0.14249999999999999</v>
      </c>
      <c r="D119" s="145">
        <f t="shared" si="1"/>
        <v>824.91124880558323</v>
      </c>
    </row>
    <row r="120" spans="1:4" ht="16.5" thickBot="1" x14ac:dyDescent="0.3">
      <c r="A120" s="131"/>
      <c r="B120" s="132" t="s">
        <v>283</v>
      </c>
      <c r="C120" s="172">
        <f>1.65%+7.6%</f>
        <v>9.2499999999999999E-2</v>
      </c>
      <c r="D120" s="145"/>
    </row>
    <row r="121" spans="1:4" ht="16.5" thickBot="1" x14ac:dyDescent="0.3">
      <c r="A121" s="131"/>
      <c r="B121" s="132" t="s">
        <v>284</v>
      </c>
      <c r="C121" s="172">
        <v>0</v>
      </c>
      <c r="D121" s="145"/>
    </row>
    <row r="122" spans="1:4" ht="16.5" thickBot="1" x14ac:dyDescent="0.3">
      <c r="A122" s="131"/>
      <c r="B122" s="132" t="s">
        <v>285</v>
      </c>
      <c r="C122" s="134">
        <v>0.05</v>
      </c>
      <c r="D122" s="145"/>
    </row>
    <row r="123" spans="1:4" ht="16.5" thickBot="1" x14ac:dyDescent="0.3">
      <c r="A123" s="291" t="s">
        <v>194</v>
      </c>
      <c r="B123" s="292"/>
      <c r="C123" s="134">
        <f>'Custo por trabalhador'!D497</f>
        <v>0.3044579533941234</v>
      </c>
      <c r="D123" s="145">
        <f t="shared" si="1"/>
        <v>1762.461688022024</v>
      </c>
    </row>
    <row r="126" spans="1:4" x14ac:dyDescent="0.25">
      <c r="A126" s="276" t="s">
        <v>227</v>
      </c>
      <c r="B126" s="276"/>
      <c r="C126" s="276"/>
    </row>
    <row r="127" spans="1:4" ht="16.5" thickBot="1" x14ac:dyDescent="0.3"/>
    <row r="128" spans="1:4" ht="16.5" thickBot="1" x14ac:dyDescent="0.3">
      <c r="A128" s="129"/>
      <c r="B128" s="130" t="s">
        <v>228</v>
      </c>
      <c r="C128" s="130" t="s">
        <v>165</v>
      </c>
    </row>
    <row r="129" spans="1:7" ht="16.5" thickBot="1" x14ac:dyDescent="0.3">
      <c r="A129" s="139" t="s">
        <v>166</v>
      </c>
      <c r="B129" s="132" t="s">
        <v>163</v>
      </c>
      <c r="C129" s="132">
        <f>C16</f>
        <v>2468.75</v>
      </c>
    </row>
    <row r="130" spans="1:7" ht="16.5" thickBot="1" x14ac:dyDescent="0.3">
      <c r="A130" s="139" t="s">
        <v>168</v>
      </c>
      <c r="B130" s="132" t="s">
        <v>178</v>
      </c>
      <c r="C130" s="132">
        <f>C59</f>
        <v>1821.4799999999998</v>
      </c>
    </row>
    <row r="131" spans="1:7" ht="16.5" thickBot="1" x14ac:dyDescent="0.3">
      <c r="A131" s="139" t="s">
        <v>170</v>
      </c>
      <c r="B131" s="132" t="s">
        <v>202</v>
      </c>
      <c r="C131" s="174">
        <f>C71</f>
        <v>440.31086881111116</v>
      </c>
    </row>
    <row r="132" spans="1:7" ht="16.5" thickBot="1" x14ac:dyDescent="0.3">
      <c r="A132" s="139" t="s">
        <v>172</v>
      </c>
      <c r="B132" s="132" t="s">
        <v>210</v>
      </c>
      <c r="C132" s="132">
        <f>C86</f>
        <v>853.74</v>
      </c>
    </row>
    <row r="133" spans="1:7" ht="16.5" thickBot="1" x14ac:dyDescent="0.3">
      <c r="A133" s="139" t="s">
        <v>173</v>
      </c>
      <c r="B133" s="132" t="s">
        <v>222</v>
      </c>
      <c r="C133" s="173">
        <f>C111</f>
        <v>204.57</v>
      </c>
    </row>
    <row r="134" spans="1:7" ht="16.5" thickBot="1" x14ac:dyDescent="0.3">
      <c r="A134" s="291" t="s">
        <v>229</v>
      </c>
      <c r="B134" s="292"/>
      <c r="C134" s="132">
        <f>ROUND(SUM(C129:C133),2)</f>
        <v>5788.85</v>
      </c>
    </row>
    <row r="135" spans="1:7" ht="16.5" thickBot="1" x14ac:dyDescent="0.3">
      <c r="A135" s="139" t="s">
        <v>175</v>
      </c>
      <c r="B135" s="132" t="s">
        <v>230</v>
      </c>
      <c r="C135" s="174">
        <f>D123</f>
        <v>1762.461688022024</v>
      </c>
    </row>
    <row r="136" spans="1:7" ht="16.5" thickBot="1" x14ac:dyDescent="0.3">
      <c r="A136" s="291" t="s">
        <v>231</v>
      </c>
      <c r="B136" s="292"/>
      <c r="C136" s="174">
        <f>C134+C135</f>
        <v>7551.3116880220241</v>
      </c>
    </row>
    <row r="139" spans="1:7" x14ac:dyDescent="0.25">
      <c r="D139" s="187" t="s">
        <v>300</v>
      </c>
    </row>
    <row r="141" spans="1:7" ht="60.75" customHeight="1" x14ac:dyDescent="0.25">
      <c r="A141" s="294" t="s">
        <v>301</v>
      </c>
      <c r="B141" s="294"/>
      <c r="C141" s="294"/>
      <c r="D141" s="294"/>
      <c r="E141" s="188"/>
      <c r="F141" s="188"/>
      <c r="G141" s="188"/>
    </row>
  </sheetData>
  <mergeCells count="32">
    <mergeCell ref="A141:D141"/>
    <mergeCell ref="A4:D4"/>
    <mergeCell ref="A21:C21"/>
    <mergeCell ref="A40:B40"/>
    <mergeCell ref="A29:D29"/>
    <mergeCell ref="A134:B134"/>
    <mergeCell ref="C80:C85"/>
    <mergeCell ref="A136:B136"/>
    <mergeCell ref="A126:C126"/>
    <mergeCell ref="A74:C74"/>
    <mergeCell ref="A86:B86"/>
    <mergeCell ref="A77:C77"/>
    <mergeCell ref="A93:B93"/>
    <mergeCell ref="A89:C89"/>
    <mergeCell ref="A101:B101"/>
    <mergeCell ref="A96:C96"/>
    <mergeCell ref="A2:D2"/>
    <mergeCell ref="A3:D3"/>
    <mergeCell ref="A111:B111"/>
    <mergeCell ref="A104:C104"/>
    <mergeCell ref="A123:B123"/>
    <mergeCell ref="A114:C114"/>
    <mergeCell ref="A50:B50"/>
    <mergeCell ref="A43:C43"/>
    <mergeCell ref="A59:B59"/>
    <mergeCell ref="A53:C53"/>
    <mergeCell ref="A71:B71"/>
    <mergeCell ref="A62:C62"/>
    <mergeCell ref="A16:B16"/>
    <mergeCell ref="A6:C6"/>
    <mergeCell ref="A26:B26"/>
    <mergeCell ref="A19:C19"/>
  </mergeCells>
  <pageMargins left="0.511811024" right="0.511811024" top="0.78740157499999996" bottom="0.78740157499999996" header="0.31496062000000002" footer="0.31496062000000002"/>
  <pageSetup paperSize="9" scale="81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41"/>
  <sheetViews>
    <sheetView showGridLines="0" zoomScale="115" zoomScaleNormal="115" workbookViewId="0">
      <selection activeCell="A141" sqref="A141:D141"/>
    </sheetView>
  </sheetViews>
  <sheetFormatPr defaultRowHeight="15.75" x14ac:dyDescent="0.25"/>
  <cols>
    <col min="1" max="1" width="9.140625" style="138"/>
    <col min="2" max="2" width="72.140625" style="138" customWidth="1"/>
    <col min="3" max="3" width="18" style="138" customWidth="1"/>
    <col min="4" max="4" width="14.28515625" style="138" customWidth="1"/>
    <col min="5" max="5" width="12.7109375" style="138" customWidth="1"/>
    <col min="6" max="6" width="12" style="138" customWidth="1"/>
    <col min="7" max="7" width="15.140625" style="138" customWidth="1"/>
    <col min="8" max="16384" width="9.140625" style="138"/>
  </cols>
  <sheetData>
    <row r="1" spans="1:4" ht="84.75" customHeight="1" x14ac:dyDescent="0.25"/>
    <row r="2" spans="1:4" ht="23.25" x14ac:dyDescent="0.35">
      <c r="A2" s="290" t="s">
        <v>232</v>
      </c>
      <c r="B2" s="290"/>
      <c r="C2" s="290"/>
      <c r="D2" s="290"/>
    </row>
    <row r="3" spans="1:4" ht="23.25" x14ac:dyDescent="0.35">
      <c r="A3" s="290" t="s">
        <v>298</v>
      </c>
      <c r="B3" s="290"/>
      <c r="C3" s="290"/>
      <c r="D3" s="290"/>
    </row>
    <row r="4" spans="1:4" x14ac:dyDescent="0.25">
      <c r="A4" s="295" t="s">
        <v>243</v>
      </c>
      <c r="B4" s="295"/>
      <c r="C4" s="295"/>
      <c r="D4" s="295"/>
    </row>
    <row r="6" spans="1:4" x14ac:dyDescent="0.25">
      <c r="A6" s="276" t="s">
        <v>163</v>
      </c>
      <c r="B6" s="276"/>
      <c r="C6" s="276"/>
    </row>
    <row r="7" spans="1:4" ht="16.5" thickBot="1" x14ac:dyDescent="0.3"/>
    <row r="8" spans="1:4" ht="16.5" thickBot="1" x14ac:dyDescent="0.3">
      <c r="A8" s="129">
        <v>1</v>
      </c>
      <c r="B8" s="130" t="s">
        <v>164</v>
      </c>
      <c r="C8" s="130" t="s">
        <v>165</v>
      </c>
    </row>
    <row r="9" spans="1:4" ht="16.5" thickBot="1" x14ac:dyDescent="0.3">
      <c r="A9" s="131" t="s">
        <v>166</v>
      </c>
      <c r="B9" s="132" t="s">
        <v>167</v>
      </c>
      <c r="C9" s="133">
        <f>'Custo por trabalhador'!C15</f>
        <v>1282.27</v>
      </c>
    </row>
    <row r="10" spans="1:4" ht="16.5" thickBot="1" x14ac:dyDescent="0.3">
      <c r="A10" s="131" t="s">
        <v>168</v>
      </c>
      <c r="B10" s="132" t="s">
        <v>169</v>
      </c>
      <c r="C10" s="133">
        <f>ROUND(C9*0.3,2)</f>
        <v>384.68</v>
      </c>
    </row>
    <row r="11" spans="1:4" ht="16.5" thickBot="1" x14ac:dyDescent="0.3">
      <c r="A11" s="131" t="s">
        <v>170</v>
      </c>
      <c r="B11" s="132" t="s">
        <v>171</v>
      </c>
      <c r="C11" s="133">
        <v>0</v>
      </c>
    </row>
    <row r="12" spans="1:4" ht="16.5" thickBot="1" x14ac:dyDescent="0.3">
      <c r="A12" s="131" t="s">
        <v>172</v>
      </c>
      <c r="B12" s="132" t="s">
        <v>7</v>
      </c>
      <c r="C12" s="133">
        <v>0</v>
      </c>
    </row>
    <row r="13" spans="1:4" ht="16.5" thickBot="1" x14ac:dyDescent="0.3">
      <c r="A13" s="131" t="s">
        <v>173</v>
      </c>
      <c r="B13" s="132" t="s">
        <v>174</v>
      </c>
      <c r="C13" s="133">
        <v>0</v>
      </c>
    </row>
    <row r="14" spans="1:4" ht="16.5" thickBot="1" x14ac:dyDescent="0.3">
      <c r="A14" s="131"/>
      <c r="B14" s="132"/>
      <c r="C14" s="133"/>
    </row>
    <row r="15" spans="1:4" ht="16.5" thickBot="1" x14ac:dyDescent="0.3">
      <c r="A15" s="131" t="s">
        <v>176</v>
      </c>
      <c r="B15" s="132" t="s">
        <v>177</v>
      </c>
      <c r="C15" s="133">
        <v>0</v>
      </c>
    </row>
    <row r="16" spans="1:4" ht="16.5" thickBot="1" x14ac:dyDescent="0.3">
      <c r="A16" s="291" t="s">
        <v>10</v>
      </c>
      <c r="B16" s="292"/>
      <c r="C16" s="133">
        <f>C9+C10</f>
        <v>1666.95</v>
      </c>
    </row>
    <row r="19" spans="1:4" x14ac:dyDescent="0.25">
      <c r="A19" s="276" t="s">
        <v>178</v>
      </c>
      <c r="B19" s="276"/>
      <c r="C19" s="276"/>
    </row>
    <row r="20" spans="1:4" x14ac:dyDescent="0.25">
      <c r="A20" s="29"/>
    </row>
    <row r="21" spans="1:4" x14ac:dyDescent="0.25">
      <c r="A21" s="293" t="s">
        <v>179</v>
      </c>
      <c r="B21" s="293"/>
      <c r="C21" s="293"/>
    </row>
    <row r="22" spans="1:4" ht="16.5" thickBot="1" x14ac:dyDescent="0.3"/>
    <row r="23" spans="1:4" ht="16.5" thickBot="1" x14ac:dyDescent="0.3">
      <c r="A23" s="129" t="s">
        <v>180</v>
      </c>
      <c r="B23" s="130" t="s">
        <v>181</v>
      </c>
      <c r="C23" s="130" t="s">
        <v>165</v>
      </c>
    </row>
    <row r="24" spans="1:4" ht="16.5" thickBot="1" x14ac:dyDescent="0.3">
      <c r="A24" s="131" t="s">
        <v>166</v>
      </c>
      <c r="B24" s="132" t="s">
        <v>182</v>
      </c>
      <c r="C24" s="133">
        <f>ROUND('Custo por trabalhador'!E66,2)</f>
        <v>138.91</v>
      </c>
    </row>
    <row r="25" spans="1:4" ht="16.5" thickBot="1" x14ac:dyDescent="0.3">
      <c r="A25" s="131" t="s">
        <v>168</v>
      </c>
      <c r="B25" s="132" t="s">
        <v>183</v>
      </c>
      <c r="C25" s="133">
        <f>ROUND('Custo por trabalhador'!E75+'Custo por trabalhador'!F84,2)</f>
        <v>185.22</v>
      </c>
    </row>
    <row r="26" spans="1:4" ht="16.5" thickBot="1" x14ac:dyDescent="0.3">
      <c r="A26" s="291" t="s">
        <v>10</v>
      </c>
      <c r="B26" s="292"/>
      <c r="C26" s="133">
        <f>C24+C25</f>
        <v>324.13</v>
      </c>
    </row>
    <row r="29" spans="1:4" ht="32.25" customHeight="1" x14ac:dyDescent="0.25">
      <c r="A29" s="296" t="s">
        <v>184</v>
      </c>
      <c r="B29" s="296"/>
      <c r="C29" s="296"/>
      <c r="D29" s="296"/>
    </row>
    <row r="30" spans="1:4" ht="16.5" thickBot="1" x14ac:dyDescent="0.3"/>
    <row r="31" spans="1:4" ht="16.5" thickBot="1" x14ac:dyDescent="0.3">
      <c r="A31" s="129" t="s">
        <v>185</v>
      </c>
      <c r="B31" s="130" t="s">
        <v>186</v>
      </c>
      <c r="C31" s="130" t="s">
        <v>187</v>
      </c>
      <c r="D31" s="130" t="s">
        <v>165</v>
      </c>
    </row>
    <row r="32" spans="1:4" ht="16.5" thickBot="1" x14ac:dyDescent="0.3">
      <c r="A32" s="131" t="s">
        <v>166</v>
      </c>
      <c r="B32" s="132" t="s">
        <v>188</v>
      </c>
      <c r="C32" s="134">
        <v>0.2</v>
      </c>
      <c r="D32" s="145">
        <f>C32*($C$16+$C$26)</f>
        <v>398.21600000000001</v>
      </c>
    </row>
    <row r="33" spans="1:4" ht="16.5" thickBot="1" x14ac:dyDescent="0.3">
      <c r="A33" s="131" t="s">
        <v>168</v>
      </c>
      <c r="B33" s="132" t="s">
        <v>189</v>
      </c>
      <c r="C33" s="134">
        <v>2.5000000000000001E-2</v>
      </c>
      <c r="D33" s="145">
        <f t="shared" ref="D33:D39" si="0">C33*($C$16+$C$26)</f>
        <v>49.777000000000001</v>
      </c>
    </row>
    <row r="34" spans="1:4" ht="16.5" thickBot="1" x14ac:dyDescent="0.3">
      <c r="A34" s="131" t="s">
        <v>170</v>
      </c>
      <c r="B34" s="132" t="s">
        <v>190</v>
      </c>
      <c r="C34" s="169">
        <v>0.06</v>
      </c>
      <c r="D34" s="145">
        <f t="shared" si="0"/>
        <v>119.4648</v>
      </c>
    </row>
    <row r="35" spans="1:4" ht="16.5" thickBot="1" x14ac:dyDescent="0.3">
      <c r="A35" s="131" t="s">
        <v>172</v>
      </c>
      <c r="B35" s="132" t="s">
        <v>191</v>
      </c>
      <c r="C35" s="134">
        <v>1.4999999999999999E-2</v>
      </c>
      <c r="D35" s="145">
        <f t="shared" si="0"/>
        <v>29.866199999999999</v>
      </c>
    </row>
    <row r="36" spans="1:4" ht="16.5" thickBot="1" x14ac:dyDescent="0.3">
      <c r="A36" s="131" t="s">
        <v>173</v>
      </c>
      <c r="B36" s="132" t="s">
        <v>192</v>
      </c>
      <c r="C36" s="134">
        <v>0.01</v>
      </c>
      <c r="D36" s="145">
        <f t="shared" si="0"/>
        <v>19.910799999999998</v>
      </c>
    </row>
    <row r="37" spans="1:4" ht="16.5" thickBot="1" x14ac:dyDescent="0.3">
      <c r="A37" s="131" t="s">
        <v>175</v>
      </c>
      <c r="B37" s="132" t="s">
        <v>23</v>
      </c>
      <c r="C37" s="134">
        <v>6.0000000000000001E-3</v>
      </c>
      <c r="D37" s="145">
        <f t="shared" si="0"/>
        <v>11.946479999999999</v>
      </c>
    </row>
    <row r="38" spans="1:4" ht="16.5" thickBot="1" x14ac:dyDescent="0.3">
      <c r="A38" s="131" t="s">
        <v>176</v>
      </c>
      <c r="B38" s="132" t="s">
        <v>24</v>
      </c>
      <c r="C38" s="134">
        <v>2E-3</v>
      </c>
      <c r="D38" s="145">
        <f t="shared" si="0"/>
        <v>3.9821599999999999</v>
      </c>
    </row>
    <row r="39" spans="1:4" ht="16.5" thickBot="1" x14ac:dyDescent="0.3">
      <c r="A39" s="131" t="s">
        <v>193</v>
      </c>
      <c r="B39" s="132" t="s">
        <v>25</v>
      </c>
      <c r="C39" s="134">
        <v>0.08</v>
      </c>
      <c r="D39" s="145">
        <f t="shared" si="0"/>
        <v>159.28639999999999</v>
      </c>
    </row>
    <row r="40" spans="1:4" ht="16.5" thickBot="1" x14ac:dyDescent="0.3">
      <c r="A40" s="291" t="s">
        <v>194</v>
      </c>
      <c r="B40" s="292"/>
      <c r="C40" s="134">
        <f>SUM(C32:C39)</f>
        <v>0.39800000000000008</v>
      </c>
      <c r="D40" s="145">
        <f>SUM(D32:D39)</f>
        <v>792.44983999999999</v>
      </c>
    </row>
    <row r="43" spans="1:4" x14ac:dyDescent="0.25">
      <c r="A43" s="293" t="s">
        <v>195</v>
      </c>
      <c r="B43" s="293"/>
      <c r="C43" s="293"/>
    </row>
    <row r="44" spans="1:4" ht="16.5" thickBot="1" x14ac:dyDescent="0.3"/>
    <row r="45" spans="1:4" ht="16.5" thickBot="1" x14ac:dyDescent="0.3">
      <c r="A45" s="129" t="s">
        <v>196</v>
      </c>
      <c r="B45" s="130" t="s">
        <v>197</v>
      </c>
      <c r="C45" s="130" t="s">
        <v>165</v>
      </c>
    </row>
    <row r="46" spans="1:4" ht="16.5" thickBot="1" x14ac:dyDescent="0.3">
      <c r="A46" s="131" t="s">
        <v>166</v>
      </c>
      <c r="B46" s="132" t="s">
        <v>198</v>
      </c>
      <c r="C46" s="133">
        <f>ROUND('Custo por trabalhador'!E166,2)</f>
        <v>94.66</v>
      </c>
    </row>
    <row r="47" spans="1:4" ht="16.5" thickBot="1" x14ac:dyDescent="0.3">
      <c r="A47" s="131" t="s">
        <v>168</v>
      </c>
      <c r="B47" s="132" t="s">
        <v>199</v>
      </c>
      <c r="C47" s="133">
        <f>'Custo por trabalhador'!E195</f>
        <v>0</v>
      </c>
    </row>
    <row r="48" spans="1:4" ht="16.5" thickBot="1" x14ac:dyDescent="0.3">
      <c r="A48" s="131" t="s">
        <v>170</v>
      </c>
      <c r="B48" s="132" t="s">
        <v>275</v>
      </c>
      <c r="C48" s="133">
        <f>ROUND('Custo por trabalhador'!E206,2)</f>
        <v>110.16</v>
      </c>
    </row>
    <row r="49" spans="1:3" ht="16.5" thickBot="1" x14ac:dyDescent="0.3">
      <c r="A49" s="131" t="s">
        <v>172</v>
      </c>
      <c r="B49" s="132" t="s">
        <v>177</v>
      </c>
      <c r="C49" s="133"/>
    </row>
    <row r="50" spans="1:3" ht="16.5" thickBot="1" x14ac:dyDescent="0.3">
      <c r="A50" s="291" t="s">
        <v>10</v>
      </c>
      <c r="B50" s="292"/>
      <c r="C50" s="133">
        <f>SUM(C46:C49)</f>
        <v>204.82</v>
      </c>
    </row>
    <row r="53" spans="1:3" x14ac:dyDescent="0.25">
      <c r="A53" s="293" t="s">
        <v>200</v>
      </c>
      <c r="B53" s="293"/>
      <c r="C53" s="293"/>
    </row>
    <row r="54" spans="1:3" ht="16.5" thickBot="1" x14ac:dyDescent="0.3"/>
    <row r="55" spans="1:3" ht="16.5" thickBot="1" x14ac:dyDescent="0.3">
      <c r="A55" s="129">
        <v>2</v>
      </c>
      <c r="B55" s="130" t="s">
        <v>201</v>
      </c>
      <c r="C55" s="130" t="s">
        <v>165</v>
      </c>
    </row>
    <row r="56" spans="1:3" ht="16.5" thickBot="1" x14ac:dyDescent="0.3">
      <c r="A56" s="131" t="s">
        <v>180</v>
      </c>
      <c r="B56" s="132" t="s">
        <v>181</v>
      </c>
      <c r="C56" s="133">
        <f>ROUND(C26,2)</f>
        <v>324.13</v>
      </c>
    </row>
    <row r="57" spans="1:3" ht="16.5" thickBot="1" x14ac:dyDescent="0.3">
      <c r="A57" s="131" t="s">
        <v>185</v>
      </c>
      <c r="B57" s="132" t="s">
        <v>186</v>
      </c>
      <c r="C57" s="145">
        <f>ROUND(D40,2)</f>
        <v>792.45</v>
      </c>
    </row>
    <row r="58" spans="1:3" ht="16.5" thickBot="1" x14ac:dyDescent="0.3">
      <c r="A58" s="131" t="s">
        <v>196</v>
      </c>
      <c r="B58" s="132" t="s">
        <v>197</v>
      </c>
      <c r="C58" s="133">
        <f>ROUND(C50,2)</f>
        <v>204.82</v>
      </c>
    </row>
    <row r="59" spans="1:3" ht="16.5" thickBot="1" x14ac:dyDescent="0.3">
      <c r="A59" s="291" t="s">
        <v>10</v>
      </c>
      <c r="B59" s="292"/>
      <c r="C59" s="145">
        <f>SUM(C56:C58)</f>
        <v>1321.3999999999999</v>
      </c>
    </row>
    <row r="60" spans="1:3" x14ac:dyDescent="0.25">
      <c r="A60" s="23"/>
    </row>
    <row r="62" spans="1:3" x14ac:dyDescent="0.25">
      <c r="A62" s="276" t="s">
        <v>202</v>
      </c>
      <c r="B62" s="276"/>
      <c r="C62" s="276"/>
    </row>
    <row r="63" spans="1:3" ht="16.5" thickBot="1" x14ac:dyDescent="0.3"/>
    <row r="64" spans="1:3" ht="16.5" thickBot="1" x14ac:dyDescent="0.3">
      <c r="A64" s="129">
        <v>3</v>
      </c>
      <c r="B64" s="130" t="s">
        <v>203</v>
      </c>
      <c r="C64" s="130" t="s">
        <v>165</v>
      </c>
    </row>
    <row r="65" spans="1:3" ht="16.5" thickBot="1" x14ac:dyDescent="0.3">
      <c r="A65" s="131" t="s">
        <v>166</v>
      </c>
      <c r="B65" s="136" t="s">
        <v>204</v>
      </c>
      <c r="C65" s="183">
        <f>(('Custo por trabalhador'!E261)-('Custo por trabalhador'!E126/12))*0.45</f>
        <v>82.346406041666668</v>
      </c>
    </row>
    <row r="66" spans="1:3" ht="16.5" thickBot="1" x14ac:dyDescent="0.3">
      <c r="A66" s="131" t="s">
        <v>168</v>
      </c>
      <c r="B66" s="136" t="s">
        <v>205</v>
      </c>
      <c r="C66" s="178">
        <f>('Custo por trabalhador'!E126/12)*0.45</f>
        <v>5.9732410833333329</v>
      </c>
    </row>
    <row r="67" spans="1:3" ht="16.5" thickBot="1" x14ac:dyDescent="0.3">
      <c r="A67" s="131" t="s">
        <v>170</v>
      </c>
      <c r="B67" s="136" t="s">
        <v>206</v>
      </c>
      <c r="C67" s="145">
        <f>('Custo por trabalhador'!E270)*0.45</f>
        <v>35.839446500000001</v>
      </c>
    </row>
    <row r="68" spans="1:3" ht="16.5" thickBot="1" x14ac:dyDescent="0.3">
      <c r="A68" s="131" t="s">
        <v>172</v>
      </c>
      <c r="B68" s="136" t="s">
        <v>207</v>
      </c>
      <c r="C68" s="145">
        <f>('Custo por trabalhador'!H53/12)*0.55</f>
        <v>76.401920833333349</v>
      </c>
    </row>
    <row r="69" spans="1:3" ht="16.5" thickBot="1" x14ac:dyDescent="0.3">
      <c r="A69" s="131" t="s">
        <v>173</v>
      </c>
      <c r="B69" s="136" t="s">
        <v>208</v>
      </c>
      <c r="C69" s="145">
        <f>('Custo por trabalhador'!F237/12)*0.55</f>
        <v>60.564310804861123</v>
      </c>
    </row>
    <row r="70" spans="1:3" ht="16.5" thickBot="1" x14ac:dyDescent="0.3">
      <c r="A70" s="131" t="s">
        <v>175</v>
      </c>
      <c r="B70" s="136" t="s">
        <v>209</v>
      </c>
      <c r="C70" s="145">
        <f>('Custo por trabalhador'!E300)*0.55</f>
        <v>43.803767944444445</v>
      </c>
    </row>
    <row r="71" spans="1:3" ht="16.5" thickBot="1" x14ac:dyDescent="0.3">
      <c r="A71" s="291" t="s">
        <v>10</v>
      </c>
      <c r="B71" s="292"/>
      <c r="C71" s="145">
        <f>C65+C67+C68+C70+C66+C69</f>
        <v>304.92909320763891</v>
      </c>
    </row>
    <row r="74" spans="1:3" x14ac:dyDescent="0.25">
      <c r="A74" s="276" t="s">
        <v>210</v>
      </c>
      <c r="B74" s="276"/>
      <c r="C74" s="276"/>
    </row>
    <row r="77" spans="1:3" x14ac:dyDescent="0.25">
      <c r="A77" s="293" t="s">
        <v>211</v>
      </c>
      <c r="B77" s="293"/>
      <c r="C77" s="293"/>
    </row>
    <row r="78" spans="1:3" ht="16.5" thickBot="1" x14ac:dyDescent="0.3">
      <c r="A78" s="29"/>
    </row>
    <row r="79" spans="1:3" ht="16.5" thickBot="1" x14ac:dyDescent="0.3">
      <c r="A79" s="129" t="s">
        <v>212</v>
      </c>
      <c r="B79" s="130" t="s">
        <v>213</v>
      </c>
      <c r="C79" s="130" t="s">
        <v>165</v>
      </c>
    </row>
    <row r="80" spans="1:3" ht="16.5" thickBot="1" x14ac:dyDescent="0.3">
      <c r="A80" s="131" t="s">
        <v>166</v>
      </c>
      <c r="B80" s="132" t="s">
        <v>14</v>
      </c>
      <c r="C80" s="297">
        <f>ROUND('Custo por trabalhador'!F399,2)</f>
        <v>594.35</v>
      </c>
    </row>
    <row r="81" spans="1:3" ht="16.5" thickBot="1" x14ac:dyDescent="0.3">
      <c r="A81" s="131" t="s">
        <v>168</v>
      </c>
      <c r="B81" s="132" t="s">
        <v>213</v>
      </c>
      <c r="C81" s="298"/>
    </row>
    <row r="82" spans="1:3" ht="16.5" thickBot="1" x14ac:dyDescent="0.3">
      <c r="A82" s="131" t="s">
        <v>170</v>
      </c>
      <c r="B82" s="132" t="s">
        <v>214</v>
      </c>
      <c r="C82" s="298"/>
    </row>
    <row r="83" spans="1:3" ht="16.5" thickBot="1" x14ac:dyDescent="0.3">
      <c r="A83" s="131" t="s">
        <v>172</v>
      </c>
      <c r="B83" s="132" t="s">
        <v>215</v>
      </c>
      <c r="C83" s="298"/>
    </row>
    <row r="84" spans="1:3" ht="16.5" thickBot="1" x14ac:dyDescent="0.3">
      <c r="A84" s="131" t="s">
        <v>173</v>
      </c>
      <c r="B84" s="132" t="s">
        <v>216</v>
      </c>
      <c r="C84" s="298"/>
    </row>
    <row r="85" spans="1:3" ht="16.5" thickBot="1" x14ac:dyDescent="0.3">
      <c r="A85" s="131" t="s">
        <v>175</v>
      </c>
      <c r="B85" s="132" t="s">
        <v>177</v>
      </c>
      <c r="C85" s="299"/>
    </row>
    <row r="86" spans="1:3" ht="16.5" thickBot="1" x14ac:dyDescent="0.3">
      <c r="A86" s="291" t="s">
        <v>194</v>
      </c>
      <c r="B86" s="292"/>
      <c r="C86" s="133">
        <f>C80</f>
        <v>594.35</v>
      </c>
    </row>
    <row r="89" spans="1:3" x14ac:dyDescent="0.25">
      <c r="A89" s="293" t="s">
        <v>217</v>
      </c>
      <c r="B89" s="293"/>
      <c r="C89" s="293"/>
    </row>
    <row r="90" spans="1:3" ht="16.5" thickBot="1" x14ac:dyDescent="0.3">
      <c r="A90" s="29"/>
    </row>
    <row r="91" spans="1:3" ht="16.5" thickBot="1" x14ac:dyDescent="0.3">
      <c r="A91" s="129" t="s">
        <v>218</v>
      </c>
      <c r="B91" s="130" t="s">
        <v>219</v>
      </c>
      <c r="C91" s="130" t="s">
        <v>165</v>
      </c>
    </row>
    <row r="92" spans="1:3" ht="16.5" thickBot="1" x14ac:dyDescent="0.3">
      <c r="A92" s="131" t="s">
        <v>166</v>
      </c>
      <c r="B92" s="132" t="s">
        <v>244</v>
      </c>
      <c r="C92" s="133">
        <f>'Custo por trabalhador'!E420</f>
        <v>0</v>
      </c>
    </row>
    <row r="93" spans="1:3" ht="16.5" thickBot="1" x14ac:dyDescent="0.3">
      <c r="A93" s="291" t="s">
        <v>10</v>
      </c>
      <c r="B93" s="292"/>
      <c r="C93" s="133">
        <v>0</v>
      </c>
    </row>
    <row r="96" spans="1:3" x14ac:dyDescent="0.25">
      <c r="A96" s="293" t="s">
        <v>220</v>
      </c>
      <c r="B96" s="293"/>
      <c r="C96" s="293"/>
    </row>
    <row r="97" spans="1:3" ht="16.5" thickBot="1" x14ac:dyDescent="0.3">
      <c r="A97" s="29"/>
    </row>
    <row r="98" spans="1:3" ht="16.5" thickBot="1" x14ac:dyDescent="0.3">
      <c r="A98" s="129">
        <v>4</v>
      </c>
      <c r="B98" s="130" t="s">
        <v>221</v>
      </c>
      <c r="C98" s="130" t="s">
        <v>165</v>
      </c>
    </row>
    <row r="99" spans="1:3" ht="16.5" thickBot="1" x14ac:dyDescent="0.3">
      <c r="A99" s="131" t="s">
        <v>212</v>
      </c>
      <c r="B99" s="132" t="s">
        <v>213</v>
      </c>
      <c r="C99" s="133">
        <f>C86</f>
        <v>594.35</v>
      </c>
    </row>
    <row r="100" spans="1:3" ht="16.5" thickBot="1" x14ac:dyDescent="0.3">
      <c r="A100" s="131" t="s">
        <v>218</v>
      </c>
      <c r="B100" s="132" t="s">
        <v>219</v>
      </c>
      <c r="C100" s="133">
        <f>C93</f>
        <v>0</v>
      </c>
    </row>
    <row r="101" spans="1:3" ht="16.5" thickBot="1" x14ac:dyDescent="0.3">
      <c r="A101" s="291" t="s">
        <v>10</v>
      </c>
      <c r="B101" s="292"/>
      <c r="C101" s="133">
        <f>SUM(C99:C100)</f>
        <v>594.35</v>
      </c>
    </row>
    <row r="104" spans="1:3" x14ac:dyDescent="0.25">
      <c r="A104" s="276" t="s">
        <v>222</v>
      </c>
      <c r="B104" s="276"/>
      <c r="C104" s="276"/>
    </row>
    <row r="105" spans="1:3" ht="16.5" thickBot="1" x14ac:dyDescent="0.3"/>
    <row r="106" spans="1:3" ht="16.5" thickBot="1" x14ac:dyDescent="0.3">
      <c r="A106" s="129">
        <v>5</v>
      </c>
      <c r="B106" s="137" t="s">
        <v>125</v>
      </c>
      <c r="C106" s="130" t="s">
        <v>165</v>
      </c>
    </row>
    <row r="107" spans="1:3" ht="16.5" thickBot="1" x14ac:dyDescent="0.3">
      <c r="A107" s="131" t="s">
        <v>166</v>
      </c>
      <c r="B107" s="132" t="s">
        <v>223</v>
      </c>
      <c r="C107" s="171">
        <f>'Custo por trabalhador'!D452</f>
        <v>101.09166666666665</v>
      </c>
    </row>
    <row r="108" spans="1:3" ht="16.5" thickBot="1" x14ac:dyDescent="0.3">
      <c r="A108" s="131" t="s">
        <v>168</v>
      </c>
      <c r="B108" s="132" t="s">
        <v>224</v>
      </c>
      <c r="C108" s="133">
        <v>0</v>
      </c>
    </row>
    <row r="109" spans="1:3" ht="16.5" thickBot="1" x14ac:dyDescent="0.3">
      <c r="A109" s="131" t="s">
        <v>170</v>
      </c>
      <c r="B109" s="132" t="s">
        <v>225</v>
      </c>
      <c r="C109" s="171">
        <f>'Custo por trabalhador'!E475</f>
        <v>68.385000000000005</v>
      </c>
    </row>
    <row r="110" spans="1:3" ht="16.5" thickBot="1" x14ac:dyDescent="0.3">
      <c r="A110" s="131" t="s">
        <v>172</v>
      </c>
      <c r="B110" s="132" t="s">
        <v>177</v>
      </c>
      <c r="C110" s="133">
        <v>0</v>
      </c>
    </row>
    <row r="111" spans="1:3" ht="16.5" thickBot="1" x14ac:dyDescent="0.3">
      <c r="A111" s="291" t="s">
        <v>194</v>
      </c>
      <c r="B111" s="292"/>
      <c r="C111" s="171">
        <f>SUM(C107:C110)</f>
        <v>169.47666666666666</v>
      </c>
    </row>
    <row r="114" spans="1:4" x14ac:dyDescent="0.25">
      <c r="A114" s="276" t="s">
        <v>226</v>
      </c>
      <c r="B114" s="276"/>
      <c r="C114" s="276"/>
    </row>
    <row r="115" spans="1:4" ht="16.5" thickBot="1" x14ac:dyDescent="0.3"/>
    <row r="116" spans="1:4" ht="16.5" thickBot="1" x14ac:dyDescent="0.3">
      <c r="A116" s="129">
        <v>6</v>
      </c>
      <c r="B116" s="137" t="s">
        <v>126</v>
      </c>
      <c r="C116" s="130" t="s">
        <v>187</v>
      </c>
      <c r="D116" s="130" t="s">
        <v>165</v>
      </c>
    </row>
    <row r="117" spans="1:4" ht="16.5" thickBot="1" x14ac:dyDescent="0.3">
      <c r="A117" s="131" t="s">
        <v>166</v>
      </c>
      <c r="B117" s="132" t="s">
        <v>147</v>
      </c>
      <c r="C117" s="134">
        <f>'Custo por trabalhador'!C491</f>
        <v>0.03</v>
      </c>
      <c r="D117" s="145">
        <f>($C$16+$C$59+$C$71+$C$101+$C$111)*C117</f>
        <v>121.71317279622914</v>
      </c>
    </row>
    <row r="118" spans="1:4" ht="16.5" thickBot="1" x14ac:dyDescent="0.3">
      <c r="A118" s="131" t="s">
        <v>168</v>
      </c>
      <c r="B118" s="132" t="s">
        <v>149</v>
      </c>
      <c r="C118" s="134">
        <f>'Custo por trabalhador'!C493</f>
        <v>6.7900000000000002E-2</v>
      </c>
      <c r="D118" s="145">
        <f t="shared" ref="D118:D123" si="1">($C$16+$C$59+$C$71+$C$86+$C$111)*C118</f>
        <v>275.47748109546529</v>
      </c>
    </row>
    <row r="119" spans="1:4" ht="16.5" thickBot="1" x14ac:dyDescent="0.3">
      <c r="A119" s="131" t="s">
        <v>170</v>
      </c>
      <c r="B119" s="132" t="s">
        <v>148</v>
      </c>
      <c r="C119" s="134">
        <f>'Custo por trabalhador'!C492</f>
        <v>0.14249999999999999</v>
      </c>
      <c r="D119" s="145">
        <f t="shared" si="1"/>
        <v>578.13757078208846</v>
      </c>
    </row>
    <row r="120" spans="1:4" ht="16.5" thickBot="1" x14ac:dyDescent="0.3">
      <c r="A120" s="131"/>
      <c r="B120" s="132" t="s">
        <v>283</v>
      </c>
      <c r="C120" s="172">
        <f>1.65%+7.6%</f>
        <v>9.2499999999999999E-2</v>
      </c>
      <c r="D120" s="145"/>
    </row>
    <row r="121" spans="1:4" ht="16.5" thickBot="1" x14ac:dyDescent="0.3">
      <c r="A121" s="131"/>
      <c r="B121" s="132" t="s">
        <v>284</v>
      </c>
      <c r="C121" s="172">
        <v>0</v>
      </c>
      <c r="D121" s="145"/>
    </row>
    <row r="122" spans="1:4" ht="16.5" thickBot="1" x14ac:dyDescent="0.3">
      <c r="A122" s="131"/>
      <c r="B122" s="132" t="s">
        <v>285</v>
      </c>
      <c r="C122" s="134">
        <v>0.05</v>
      </c>
      <c r="D122" s="145"/>
    </row>
    <row r="123" spans="1:4" ht="16.5" thickBot="1" x14ac:dyDescent="0.3">
      <c r="A123" s="291" t="s">
        <v>194</v>
      </c>
      <c r="B123" s="292"/>
      <c r="C123" s="134">
        <f>'Custo por trabalhador'!D497</f>
        <v>0.3044579533941234</v>
      </c>
      <c r="D123" s="145">
        <f t="shared" si="1"/>
        <v>1235.2181163548407</v>
      </c>
    </row>
    <row r="126" spans="1:4" x14ac:dyDescent="0.25">
      <c r="A126" s="276" t="s">
        <v>227</v>
      </c>
      <c r="B126" s="276"/>
      <c r="C126" s="276"/>
    </row>
    <row r="127" spans="1:4" ht="16.5" thickBot="1" x14ac:dyDescent="0.3"/>
    <row r="128" spans="1:4" ht="16.5" thickBot="1" x14ac:dyDescent="0.3">
      <c r="A128" s="129"/>
      <c r="B128" s="130" t="s">
        <v>228</v>
      </c>
      <c r="C128" s="130" t="s">
        <v>165</v>
      </c>
    </row>
    <row r="129" spans="1:4" ht="16.5" thickBot="1" x14ac:dyDescent="0.3">
      <c r="A129" s="139" t="s">
        <v>166</v>
      </c>
      <c r="B129" s="132" t="s">
        <v>163</v>
      </c>
      <c r="C129" s="132">
        <f>C16</f>
        <v>1666.95</v>
      </c>
    </row>
    <row r="130" spans="1:4" ht="16.5" thickBot="1" x14ac:dyDescent="0.3">
      <c r="A130" s="139" t="s">
        <v>168</v>
      </c>
      <c r="B130" s="132" t="s">
        <v>178</v>
      </c>
      <c r="C130" s="174">
        <f>C59</f>
        <v>1321.3999999999999</v>
      </c>
    </row>
    <row r="131" spans="1:4" ht="16.5" thickBot="1" x14ac:dyDescent="0.3">
      <c r="A131" s="139" t="s">
        <v>170</v>
      </c>
      <c r="B131" s="132" t="s">
        <v>202</v>
      </c>
      <c r="C131" s="174">
        <f>C71</f>
        <v>304.92909320763891</v>
      </c>
    </row>
    <row r="132" spans="1:4" ht="16.5" thickBot="1" x14ac:dyDescent="0.3">
      <c r="A132" s="139" t="s">
        <v>172</v>
      </c>
      <c r="B132" s="132" t="s">
        <v>210</v>
      </c>
      <c r="C132" s="132">
        <f>C86</f>
        <v>594.35</v>
      </c>
    </row>
    <row r="133" spans="1:4" ht="16.5" thickBot="1" x14ac:dyDescent="0.3">
      <c r="A133" s="139" t="s">
        <v>173</v>
      </c>
      <c r="B133" s="132" t="s">
        <v>222</v>
      </c>
      <c r="C133" s="173">
        <f>C111</f>
        <v>169.47666666666666</v>
      </c>
    </row>
    <row r="134" spans="1:4" ht="16.5" thickBot="1" x14ac:dyDescent="0.3">
      <c r="A134" s="291" t="s">
        <v>229</v>
      </c>
      <c r="B134" s="292"/>
      <c r="C134" s="132">
        <f>ROUND(SUM(C129:C133),2)</f>
        <v>4057.11</v>
      </c>
    </row>
    <row r="135" spans="1:4" ht="16.5" thickBot="1" x14ac:dyDescent="0.3">
      <c r="A135" s="139" t="s">
        <v>175</v>
      </c>
      <c r="B135" s="132" t="s">
        <v>230</v>
      </c>
      <c r="C135" s="174">
        <f>D123</f>
        <v>1235.2181163548407</v>
      </c>
    </row>
    <row r="136" spans="1:4" ht="16.5" thickBot="1" x14ac:dyDescent="0.3">
      <c r="A136" s="291" t="s">
        <v>231</v>
      </c>
      <c r="B136" s="292"/>
      <c r="C136" s="174">
        <f>C134+C135</f>
        <v>5292.3281163548409</v>
      </c>
    </row>
    <row r="139" spans="1:4" x14ac:dyDescent="0.25">
      <c r="D139" s="187" t="s">
        <v>300</v>
      </c>
    </row>
    <row r="141" spans="1:4" ht="70.5" customHeight="1" x14ac:dyDescent="0.25">
      <c r="A141" s="294" t="s">
        <v>301</v>
      </c>
      <c r="B141" s="294"/>
      <c r="C141" s="294"/>
      <c r="D141" s="294"/>
    </row>
  </sheetData>
  <mergeCells count="32">
    <mergeCell ref="A141:D141"/>
    <mergeCell ref="A136:B136"/>
    <mergeCell ref="A104:C104"/>
    <mergeCell ref="A111:B111"/>
    <mergeCell ref="A114:C114"/>
    <mergeCell ref="A123:B123"/>
    <mergeCell ref="A126:C126"/>
    <mergeCell ref="A134:B134"/>
    <mergeCell ref="A101:B101"/>
    <mergeCell ref="A53:C53"/>
    <mergeCell ref="A59:B59"/>
    <mergeCell ref="A62:C62"/>
    <mergeCell ref="A71:B71"/>
    <mergeCell ref="A74:C74"/>
    <mergeCell ref="A77:C77"/>
    <mergeCell ref="C80:C85"/>
    <mergeCell ref="A86:B86"/>
    <mergeCell ref="A89:C89"/>
    <mergeCell ref="A93:B93"/>
    <mergeCell ref="A96:C96"/>
    <mergeCell ref="A50:B50"/>
    <mergeCell ref="A2:D2"/>
    <mergeCell ref="A3:D3"/>
    <mergeCell ref="A4:D4"/>
    <mergeCell ref="A6:C6"/>
    <mergeCell ref="A16:B16"/>
    <mergeCell ref="A19:C19"/>
    <mergeCell ref="A21:C21"/>
    <mergeCell ref="A26:B26"/>
    <mergeCell ref="A29:D29"/>
    <mergeCell ref="A40:B40"/>
    <mergeCell ref="A43:C43"/>
  </mergeCells>
  <pageMargins left="0.511811024" right="0.511811024" top="0.78740157499999996" bottom="0.78740157499999996" header="0.31496062000000002" footer="0.31496062000000002"/>
  <pageSetup paperSize="9" scale="81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41"/>
  <sheetViews>
    <sheetView showGridLines="0" zoomScale="115" zoomScaleNormal="115" workbookViewId="0">
      <selection activeCell="A141" sqref="A141:D141"/>
    </sheetView>
  </sheetViews>
  <sheetFormatPr defaultRowHeight="15.75" x14ac:dyDescent="0.25"/>
  <cols>
    <col min="1" max="1" width="9.140625" style="138"/>
    <col min="2" max="2" width="72.140625" style="138" customWidth="1"/>
    <col min="3" max="3" width="18" style="138" customWidth="1"/>
    <col min="4" max="4" width="14.28515625" style="138" customWidth="1"/>
    <col min="5" max="5" width="12.7109375" style="138" customWidth="1"/>
    <col min="6" max="6" width="12" style="138" customWidth="1"/>
    <col min="7" max="7" width="15.140625" style="138" customWidth="1"/>
    <col min="8" max="16384" width="9.140625" style="138"/>
  </cols>
  <sheetData>
    <row r="1" spans="1:4" ht="86.25" customHeight="1" x14ac:dyDescent="0.25"/>
    <row r="2" spans="1:4" ht="23.25" x14ac:dyDescent="0.35">
      <c r="A2" s="290" t="s">
        <v>232</v>
      </c>
      <c r="B2" s="290"/>
      <c r="C2" s="290"/>
      <c r="D2" s="290"/>
    </row>
    <row r="3" spans="1:4" ht="23.25" x14ac:dyDescent="0.35">
      <c r="A3" s="290" t="s">
        <v>286</v>
      </c>
      <c r="B3" s="290"/>
      <c r="C3" s="290"/>
      <c r="D3" s="290"/>
    </row>
    <row r="4" spans="1:4" x14ac:dyDescent="0.25">
      <c r="A4" s="295" t="s">
        <v>243</v>
      </c>
      <c r="B4" s="295"/>
      <c r="C4" s="295"/>
      <c r="D4" s="295"/>
    </row>
    <row r="5" spans="1:4" ht="16.5" thickBot="1" x14ac:dyDescent="0.3"/>
    <row r="6" spans="1:4" ht="16.5" thickBot="1" x14ac:dyDescent="0.3">
      <c r="A6" s="175"/>
      <c r="B6" s="177" t="s">
        <v>286</v>
      </c>
      <c r="C6" s="176"/>
    </row>
    <row r="7" spans="1:4" x14ac:dyDescent="0.25">
      <c r="A7" s="276" t="s">
        <v>163</v>
      </c>
      <c r="B7" s="276"/>
      <c r="C7" s="276"/>
    </row>
    <row r="8" spans="1:4" ht="16.5" thickBot="1" x14ac:dyDescent="0.3"/>
    <row r="9" spans="1:4" ht="16.5" thickBot="1" x14ac:dyDescent="0.3">
      <c r="A9" s="129">
        <v>1</v>
      </c>
      <c r="B9" s="130" t="s">
        <v>164</v>
      </c>
      <c r="C9" s="130" t="s">
        <v>165</v>
      </c>
    </row>
    <row r="10" spans="1:4" ht="16.5" thickBot="1" x14ac:dyDescent="0.3">
      <c r="A10" s="131" t="s">
        <v>166</v>
      </c>
      <c r="B10" s="132" t="s">
        <v>167</v>
      </c>
      <c r="C10" s="133">
        <f>'Custo por trabalhador'!C16</f>
        <v>1899.04</v>
      </c>
    </row>
    <row r="11" spans="1:4" ht="16.5" thickBot="1" x14ac:dyDescent="0.3">
      <c r="A11" s="131" t="s">
        <v>168</v>
      </c>
      <c r="B11" s="132" t="s">
        <v>169</v>
      </c>
      <c r="C11" s="133">
        <v>0</v>
      </c>
    </row>
    <row r="12" spans="1:4" ht="16.5" thickBot="1" x14ac:dyDescent="0.3">
      <c r="A12" s="131" t="s">
        <v>170</v>
      </c>
      <c r="B12" s="132" t="s">
        <v>171</v>
      </c>
      <c r="C12" s="133">
        <v>0</v>
      </c>
    </row>
    <row r="13" spans="1:4" ht="16.5" thickBot="1" x14ac:dyDescent="0.3">
      <c r="A13" s="131" t="s">
        <v>172</v>
      </c>
      <c r="B13" s="132" t="s">
        <v>7</v>
      </c>
      <c r="C13" s="133">
        <v>0</v>
      </c>
    </row>
    <row r="14" spans="1:4" ht="16.5" thickBot="1" x14ac:dyDescent="0.3">
      <c r="A14" s="131" t="s">
        <v>173</v>
      </c>
      <c r="B14" s="132" t="s">
        <v>174</v>
      </c>
      <c r="C14" s="133">
        <v>0</v>
      </c>
    </row>
    <row r="15" spans="1:4" ht="16.5" thickBot="1" x14ac:dyDescent="0.3">
      <c r="A15" s="131"/>
      <c r="B15" s="132"/>
      <c r="C15" s="133"/>
    </row>
    <row r="16" spans="1:4" ht="16.5" thickBot="1" x14ac:dyDescent="0.3">
      <c r="A16" s="131" t="s">
        <v>176</v>
      </c>
      <c r="B16" s="132" t="s">
        <v>177</v>
      </c>
      <c r="C16" s="133">
        <v>0</v>
      </c>
    </row>
    <row r="17" spans="1:4" ht="16.5" thickBot="1" x14ac:dyDescent="0.3">
      <c r="A17" s="291" t="s">
        <v>10</v>
      </c>
      <c r="B17" s="292"/>
      <c r="C17" s="133">
        <f>C10+C11</f>
        <v>1899.04</v>
      </c>
    </row>
    <row r="20" spans="1:4" x14ac:dyDescent="0.25">
      <c r="A20" s="276" t="s">
        <v>178</v>
      </c>
      <c r="B20" s="276"/>
      <c r="C20" s="276"/>
    </row>
    <row r="21" spans="1:4" x14ac:dyDescent="0.25">
      <c r="A21" s="29"/>
    </row>
    <row r="22" spans="1:4" x14ac:dyDescent="0.25">
      <c r="A22" s="293" t="s">
        <v>179</v>
      </c>
      <c r="B22" s="293"/>
      <c r="C22" s="293"/>
    </row>
    <row r="23" spans="1:4" ht="16.5" thickBot="1" x14ac:dyDescent="0.3"/>
    <row r="24" spans="1:4" ht="16.5" thickBot="1" x14ac:dyDescent="0.3">
      <c r="A24" s="129" t="s">
        <v>180</v>
      </c>
      <c r="B24" s="130" t="s">
        <v>181</v>
      </c>
      <c r="C24" s="130" t="s">
        <v>165</v>
      </c>
    </row>
    <row r="25" spans="1:4" ht="16.5" thickBot="1" x14ac:dyDescent="0.3">
      <c r="A25" s="131" t="s">
        <v>166</v>
      </c>
      <c r="B25" s="132" t="s">
        <v>182</v>
      </c>
      <c r="C25" s="133">
        <f>ROUND('Custo por trabalhador'!E67,2)</f>
        <v>158.25</v>
      </c>
    </row>
    <row r="26" spans="1:4" ht="16.5" thickBot="1" x14ac:dyDescent="0.3">
      <c r="A26" s="131" t="s">
        <v>168</v>
      </c>
      <c r="B26" s="132" t="s">
        <v>183</v>
      </c>
      <c r="C26" s="133">
        <f>ROUND('Custo por trabalhador'!E76+'Custo por trabalhador'!F85,2)</f>
        <v>211</v>
      </c>
    </row>
    <row r="27" spans="1:4" ht="16.5" thickBot="1" x14ac:dyDescent="0.3">
      <c r="A27" s="291" t="s">
        <v>10</v>
      </c>
      <c r="B27" s="292"/>
      <c r="C27" s="133">
        <f>C25+C26</f>
        <v>369.25</v>
      </c>
    </row>
    <row r="30" spans="1:4" ht="32.25" customHeight="1" x14ac:dyDescent="0.25">
      <c r="A30" s="296" t="s">
        <v>184</v>
      </c>
      <c r="B30" s="296"/>
      <c r="C30" s="296"/>
      <c r="D30" s="296"/>
    </row>
    <row r="31" spans="1:4" ht="16.5" thickBot="1" x14ac:dyDescent="0.3"/>
    <row r="32" spans="1:4" ht="16.5" thickBot="1" x14ac:dyDescent="0.3">
      <c r="A32" s="129" t="s">
        <v>185</v>
      </c>
      <c r="B32" s="130" t="s">
        <v>186</v>
      </c>
      <c r="C32" s="130" t="s">
        <v>187</v>
      </c>
      <c r="D32" s="130" t="s">
        <v>165</v>
      </c>
    </row>
    <row r="33" spans="1:4" ht="16.5" thickBot="1" x14ac:dyDescent="0.3">
      <c r="A33" s="131" t="s">
        <v>166</v>
      </c>
      <c r="B33" s="132" t="s">
        <v>188</v>
      </c>
      <c r="C33" s="134">
        <v>0.2</v>
      </c>
      <c r="D33" s="145">
        <f>C33*($C$17+$C$27)</f>
        <v>453.65800000000002</v>
      </c>
    </row>
    <row r="34" spans="1:4" ht="16.5" thickBot="1" x14ac:dyDescent="0.3">
      <c r="A34" s="131" t="s">
        <v>168</v>
      </c>
      <c r="B34" s="132" t="s">
        <v>189</v>
      </c>
      <c r="C34" s="134">
        <v>2.5000000000000001E-2</v>
      </c>
      <c r="D34" s="145">
        <f t="shared" ref="D34:D40" si="0">C34*($C$17+$C$27)</f>
        <v>56.707250000000002</v>
      </c>
    </row>
    <row r="35" spans="1:4" ht="16.5" thickBot="1" x14ac:dyDescent="0.3">
      <c r="A35" s="131" t="s">
        <v>170</v>
      </c>
      <c r="B35" s="132" t="s">
        <v>190</v>
      </c>
      <c r="C35" s="169">
        <v>0.06</v>
      </c>
      <c r="D35" s="145">
        <f t="shared" si="0"/>
        <v>136.09739999999999</v>
      </c>
    </row>
    <row r="36" spans="1:4" ht="16.5" thickBot="1" x14ac:dyDescent="0.3">
      <c r="A36" s="131" t="s">
        <v>172</v>
      </c>
      <c r="B36" s="132" t="s">
        <v>191</v>
      </c>
      <c r="C36" s="134">
        <v>1.4999999999999999E-2</v>
      </c>
      <c r="D36" s="145">
        <f t="shared" si="0"/>
        <v>34.024349999999998</v>
      </c>
    </row>
    <row r="37" spans="1:4" ht="16.5" thickBot="1" x14ac:dyDescent="0.3">
      <c r="A37" s="131" t="s">
        <v>173</v>
      </c>
      <c r="B37" s="132" t="s">
        <v>192</v>
      </c>
      <c r="C37" s="134">
        <v>0.01</v>
      </c>
      <c r="D37" s="145">
        <f t="shared" si="0"/>
        <v>22.6829</v>
      </c>
    </row>
    <row r="38" spans="1:4" ht="16.5" thickBot="1" x14ac:dyDescent="0.3">
      <c r="A38" s="131" t="s">
        <v>175</v>
      </c>
      <c r="B38" s="132" t="s">
        <v>23</v>
      </c>
      <c r="C38" s="134">
        <v>6.0000000000000001E-3</v>
      </c>
      <c r="D38" s="145">
        <f t="shared" si="0"/>
        <v>13.60974</v>
      </c>
    </row>
    <row r="39" spans="1:4" ht="16.5" thickBot="1" x14ac:dyDescent="0.3">
      <c r="A39" s="131" t="s">
        <v>176</v>
      </c>
      <c r="B39" s="132" t="s">
        <v>24</v>
      </c>
      <c r="C39" s="134">
        <v>2E-3</v>
      </c>
      <c r="D39" s="145">
        <f t="shared" si="0"/>
        <v>4.5365799999999998</v>
      </c>
    </row>
    <row r="40" spans="1:4" ht="16.5" thickBot="1" x14ac:dyDescent="0.3">
      <c r="A40" s="131" t="s">
        <v>193</v>
      </c>
      <c r="B40" s="132" t="s">
        <v>25</v>
      </c>
      <c r="C40" s="134">
        <v>0.08</v>
      </c>
      <c r="D40" s="145">
        <f t="shared" si="0"/>
        <v>181.4632</v>
      </c>
    </row>
    <row r="41" spans="1:4" ht="16.5" thickBot="1" x14ac:dyDescent="0.3">
      <c r="A41" s="291" t="s">
        <v>194</v>
      </c>
      <c r="B41" s="292"/>
      <c r="C41" s="134">
        <f>SUM(C33:C40)</f>
        <v>0.39800000000000008</v>
      </c>
      <c r="D41" s="145">
        <f>ROUND(SUM(D33:D40),2)</f>
        <v>902.78</v>
      </c>
    </row>
    <row r="44" spans="1:4" x14ac:dyDescent="0.25">
      <c r="A44" s="293" t="s">
        <v>195</v>
      </c>
      <c r="B44" s="293"/>
      <c r="C44" s="293"/>
    </row>
    <row r="45" spans="1:4" ht="16.5" thickBot="1" x14ac:dyDescent="0.3"/>
    <row r="46" spans="1:4" ht="16.5" thickBot="1" x14ac:dyDescent="0.3">
      <c r="A46" s="129" t="s">
        <v>196</v>
      </c>
      <c r="B46" s="130" t="s">
        <v>197</v>
      </c>
      <c r="C46" s="130" t="s">
        <v>165</v>
      </c>
    </row>
    <row r="47" spans="1:4" ht="16.5" thickBot="1" x14ac:dyDescent="0.3">
      <c r="A47" s="131" t="s">
        <v>166</v>
      </c>
      <c r="B47" s="132" t="s">
        <v>198</v>
      </c>
      <c r="C47" s="133">
        <f>ROUND('Custo por trabalhador'!E167,2)</f>
        <v>57.66</v>
      </c>
    </row>
    <row r="48" spans="1:4" ht="16.5" thickBot="1" x14ac:dyDescent="0.3">
      <c r="A48" s="131" t="s">
        <v>168</v>
      </c>
      <c r="B48" s="132" t="s">
        <v>199</v>
      </c>
      <c r="C48" s="133">
        <f>'Custo por trabalhador'!E196</f>
        <v>0</v>
      </c>
    </row>
    <row r="49" spans="1:3" ht="16.5" thickBot="1" x14ac:dyDescent="0.3">
      <c r="A49" s="131" t="s">
        <v>170</v>
      </c>
      <c r="B49" s="132" t="s">
        <v>275</v>
      </c>
      <c r="C49" s="133">
        <f>ROUND('Custo por trabalhador'!E207,2)</f>
        <v>110.16</v>
      </c>
    </row>
    <row r="50" spans="1:3" ht="16.5" thickBot="1" x14ac:dyDescent="0.3">
      <c r="A50" s="131" t="s">
        <v>172</v>
      </c>
      <c r="B50" s="132" t="s">
        <v>177</v>
      </c>
      <c r="C50" s="133"/>
    </row>
    <row r="51" spans="1:3" ht="16.5" thickBot="1" x14ac:dyDescent="0.3">
      <c r="A51" s="291" t="s">
        <v>10</v>
      </c>
      <c r="B51" s="292"/>
      <c r="C51" s="133">
        <f>ROUND(SUM(C47:C50),2)</f>
        <v>167.82</v>
      </c>
    </row>
    <row r="54" spans="1:3" x14ac:dyDescent="0.25">
      <c r="A54" s="293" t="s">
        <v>200</v>
      </c>
      <c r="B54" s="293"/>
      <c r="C54" s="293"/>
    </row>
    <row r="55" spans="1:3" ht="16.5" thickBot="1" x14ac:dyDescent="0.3"/>
    <row r="56" spans="1:3" ht="16.5" thickBot="1" x14ac:dyDescent="0.3">
      <c r="A56" s="129">
        <v>2</v>
      </c>
      <c r="B56" s="130" t="s">
        <v>201</v>
      </c>
      <c r="C56" s="130" t="s">
        <v>165</v>
      </c>
    </row>
    <row r="57" spans="1:3" ht="16.5" thickBot="1" x14ac:dyDescent="0.3">
      <c r="A57" s="131" t="s">
        <v>180</v>
      </c>
      <c r="B57" s="132" t="s">
        <v>181</v>
      </c>
      <c r="C57" s="133">
        <f>ROUND(C27,2)</f>
        <v>369.25</v>
      </c>
    </row>
    <row r="58" spans="1:3" ht="16.5" thickBot="1" x14ac:dyDescent="0.3">
      <c r="A58" s="131" t="s">
        <v>185</v>
      </c>
      <c r="B58" s="132" t="s">
        <v>186</v>
      </c>
      <c r="C58" s="145">
        <f>ROUND(D41,2)</f>
        <v>902.78</v>
      </c>
    </row>
    <row r="59" spans="1:3" ht="16.5" thickBot="1" x14ac:dyDescent="0.3">
      <c r="A59" s="131" t="s">
        <v>196</v>
      </c>
      <c r="B59" s="132" t="s">
        <v>197</v>
      </c>
      <c r="C59" s="133">
        <f>ROUND(C51,2)</f>
        <v>167.82</v>
      </c>
    </row>
    <row r="60" spans="1:3" ht="16.5" thickBot="1" x14ac:dyDescent="0.3">
      <c r="A60" s="291" t="s">
        <v>10</v>
      </c>
      <c r="B60" s="292"/>
      <c r="C60" s="145">
        <f>SUM(C57:C59)</f>
        <v>1439.85</v>
      </c>
    </row>
    <row r="61" spans="1:3" x14ac:dyDescent="0.25">
      <c r="A61" s="23"/>
    </row>
    <row r="63" spans="1:3" x14ac:dyDescent="0.25">
      <c r="A63" s="276" t="s">
        <v>202</v>
      </c>
      <c r="B63" s="276"/>
      <c r="C63" s="276"/>
    </row>
    <row r="64" spans="1:3" ht="16.5" thickBot="1" x14ac:dyDescent="0.3"/>
    <row r="65" spans="1:5" ht="16.5" thickBot="1" x14ac:dyDescent="0.3">
      <c r="A65" s="129">
        <v>3</v>
      </c>
      <c r="B65" s="130" t="s">
        <v>203</v>
      </c>
      <c r="C65" s="130" t="s">
        <v>165</v>
      </c>
    </row>
    <row r="66" spans="1:5" ht="16.5" thickBot="1" x14ac:dyDescent="0.3">
      <c r="A66" s="131" t="s">
        <v>166</v>
      </c>
      <c r="B66" s="136" t="s">
        <v>204</v>
      </c>
      <c r="C66" s="145">
        <f>(('Custo por trabalhador'!E262)-('Custo por trabalhador'!E127/12))*0.45</f>
        <v>91.35403500000001</v>
      </c>
      <c r="E66" s="184"/>
    </row>
    <row r="67" spans="1:5" ht="16.5" thickBot="1" x14ac:dyDescent="0.3">
      <c r="A67" s="131" t="s">
        <v>168</v>
      </c>
      <c r="B67" s="136" t="s">
        <v>205</v>
      </c>
      <c r="C67" s="178">
        <f>('Custo por trabalhador'!E127/12)*0.45</f>
        <v>6.8048700000000002</v>
      </c>
      <c r="E67" s="184"/>
    </row>
    <row r="68" spans="1:5" ht="16.5" thickBot="1" x14ac:dyDescent="0.3">
      <c r="A68" s="131" t="s">
        <v>170</v>
      </c>
      <c r="B68" s="136" t="s">
        <v>206</v>
      </c>
      <c r="C68" s="145">
        <f>('Custo por trabalhador'!E271)*0.45</f>
        <v>40.829219999999999</v>
      </c>
      <c r="E68" s="184"/>
    </row>
    <row r="69" spans="1:5" ht="16.5" thickBot="1" x14ac:dyDescent="0.3">
      <c r="A69" s="131" t="s">
        <v>172</v>
      </c>
      <c r="B69" s="136" t="s">
        <v>207</v>
      </c>
      <c r="C69" s="145">
        <f>('Custo por trabalhador'!H54/12)*0.55</f>
        <v>87.039333333333332</v>
      </c>
      <c r="E69" s="184"/>
    </row>
    <row r="70" spans="1:5" ht="16.5" thickBot="1" x14ac:dyDescent="0.3">
      <c r="A70" s="131" t="s">
        <v>173</v>
      </c>
      <c r="B70" s="136" t="s">
        <v>208</v>
      </c>
      <c r="C70" s="145">
        <f>('Custo por trabalhador'!F238/12)*0.55</f>
        <v>65.992988416666691</v>
      </c>
      <c r="E70" s="184"/>
    </row>
    <row r="71" spans="1:5" ht="16.5" thickBot="1" x14ac:dyDescent="0.3">
      <c r="A71" s="131" t="s">
        <v>175</v>
      </c>
      <c r="B71" s="136" t="s">
        <v>209</v>
      </c>
      <c r="C71" s="145">
        <f>('Custo por trabalhador'!E301)*0.55</f>
        <v>49.902380000000001</v>
      </c>
      <c r="E71" s="184"/>
    </row>
    <row r="72" spans="1:5" ht="16.5" thickBot="1" x14ac:dyDescent="0.3">
      <c r="A72" s="291" t="s">
        <v>10</v>
      </c>
      <c r="B72" s="292"/>
      <c r="C72" s="145">
        <f>C66+C68+C69+C71+C67+C70</f>
        <v>341.92282675000001</v>
      </c>
      <c r="E72" s="184"/>
    </row>
    <row r="75" spans="1:5" x14ac:dyDescent="0.25">
      <c r="A75" s="276" t="s">
        <v>210</v>
      </c>
      <c r="B75" s="276"/>
      <c r="C75" s="276"/>
    </row>
    <row r="78" spans="1:5" x14ac:dyDescent="0.25">
      <c r="A78" s="293" t="s">
        <v>211</v>
      </c>
      <c r="B78" s="293"/>
      <c r="C78" s="293"/>
    </row>
    <row r="79" spans="1:5" ht="16.5" thickBot="1" x14ac:dyDescent="0.3">
      <c r="A79" s="29"/>
    </row>
    <row r="80" spans="1:5" ht="16.5" thickBot="1" x14ac:dyDescent="0.3">
      <c r="A80" s="129" t="s">
        <v>212</v>
      </c>
      <c r="B80" s="130" t="s">
        <v>213</v>
      </c>
      <c r="C80" s="130" t="s">
        <v>165</v>
      </c>
    </row>
    <row r="81" spans="1:3" ht="16.5" thickBot="1" x14ac:dyDescent="0.3">
      <c r="A81" s="131" t="s">
        <v>166</v>
      </c>
      <c r="B81" s="132" t="s">
        <v>14</v>
      </c>
      <c r="C81" s="297">
        <f>ROUND('Custo por trabalhador'!F400,2)</f>
        <v>664.29</v>
      </c>
    </row>
    <row r="82" spans="1:3" ht="16.5" thickBot="1" x14ac:dyDescent="0.3">
      <c r="A82" s="131" t="s">
        <v>168</v>
      </c>
      <c r="B82" s="132" t="s">
        <v>213</v>
      </c>
      <c r="C82" s="298"/>
    </row>
    <row r="83" spans="1:3" ht="16.5" thickBot="1" x14ac:dyDescent="0.3">
      <c r="A83" s="131" t="s">
        <v>170</v>
      </c>
      <c r="B83" s="132" t="s">
        <v>214</v>
      </c>
      <c r="C83" s="298"/>
    </row>
    <row r="84" spans="1:3" ht="16.5" thickBot="1" x14ac:dyDescent="0.3">
      <c r="A84" s="131" t="s">
        <v>172</v>
      </c>
      <c r="B84" s="132" t="s">
        <v>215</v>
      </c>
      <c r="C84" s="298"/>
    </row>
    <row r="85" spans="1:3" ht="16.5" thickBot="1" x14ac:dyDescent="0.3">
      <c r="A85" s="131" t="s">
        <v>173</v>
      </c>
      <c r="B85" s="132" t="s">
        <v>216</v>
      </c>
      <c r="C85" s="298"/>
    </row>
    <row r="86" spans="1:3" ht="16.5" thickBot="1" x14ac:dyDescent="0.3">
      <c r="A86" s="131" t="s">
        <v>175</v>
      </c>
      <c r="B86" s="132" t="s">
        <v>177</v>
      </c>
      <c r="C86" s="299"/>
    </row>
    <row r="87" spans="1:3" ht="16.5" thickBot="1" x14ac:dyDescent="0.3">
      <c r="A87" s="291" t="s">
        <v>194</v>
      </c>
      <c r="B87" s="292"/>
      <c r="C87" s="133">
        <f>C81</f>
        <v>664.29</v>
      </c>
    </row>
    <row r="90" spans="1:3" x14ac:dyDescent="0.25">
      <c r="A90" s="293" t="s">
        <v>217</v>
      </c>
      <c r="B90" s="293"/>
      <c r="C90" s="293"/>
    </row>
    <row r="91" spans="1:3" ht="16.5" thickBot="1" x14ac:dyDescent="0.3">
      <c r="A91" s="29"/>
    </row>
    <row r="92" spans="1:3" ht="16.5" thickBot="1" x14ac:dyDescent="0.3">
      <c r="A92" s="129" t="s">
        <v>218</v>
      </c>
      <c r="B92" s="130" t="s">
        <v>219</v>
      </c>
      <c r="C92" s="130" t="s">
        <v>165</v>
      </c>
    </row>
    <row r="93" spans="1:3" ht="16.5" thickBot="1" x14ac:dyDescent="0.3">
      <c r="A93" s="131" t="s">
        <v>166</v>
      </c>
      <c r="B93" s="132" t="s">
        <v>244</v>
      </c>
      <c r="C93" s="133">
        <f>'Custo por trabalhador'!E421</f>
        <v>0</v>
      </c>
    </row>
    <row r="94" spans="1:3" ht="16.5" thickBot="1" x14ac:dyDescent="0.3">
      <c r="A94" s="291" t="s">
        <v>10</v>
      </c>
      <c r="B94" s="292"/>
      <c r="C94" s="133">
        <v>0</v>
      </c>
    </row>
    <row r="97" spans="1:3" x14ac:dyDescent="0.25">
      <c r="A97" s="293" t="s">
        <v>220</v>
      </c>
      <c r="B97" s="293"/>
      <c r="C97" s="293"/>
    </row>
    <row r="98" spans="1:3" ht="16.5" thickBot="1" x14ac:dyDescent="0.3">
      <c r="A98" s="29"/>
    </row>
    <row r="99" spans="1:3" ht="16.5" thickBot="1" x14ac:dyDescent="0.3">
      <c r="A99" s="129">
        <v>4</v>
      </c>
      <c r="B99" s="130" t="s">
        <v>221</v>
      </c>
      <c r="C99" s="130" t="s">
        <v>165</v>
      </c>
    </row>
    <row r="100" spans="1:3" ht="16.5" thickBot="1" x14ac:dyDescent="0.3">
      <c r="A100" s="131" t="s">
        <v>212</v>
      </c>
      <c r="B100" s="132" t="s">
        <v>213</v>
      </c>
      <c r="C100" s="133">
        <f>C87</f>
        <v>664.29</v>
      </c>
    </row>
    <row r="101" spans="1:3" ht="16.5" thickBot="1" x14ac:dyDescent="0.3">
      <c r="A101" s="131" t="s">
        <v>218</v>
      </c>
      <c r="B101" s="132" t="s">
        <v>219</v>
      </c>
      <c r="C101" s="133">
        <f>C94</f>
        <v>0</v>
      </c>
    </row>
    <row r="102" spans="1:3" ht="16.5" thickBot="1" x14ac:dyDescent="0.3">
      <c r="A102" s="291" t="s">
        <v>10</v>
      </c>
      <c r="B102" s="292"/>
      <c r="C102" s="133">
        <f>SUM(C100:C101)</f>
        <v>664.29</v>
      </c>
    </row>
    <row r="105" spans="1:3" x14ac:dyDescent="0.25">
      <c r="A105" s="276" t="s">
        <v>222</v>
      </c>
      <c r="B105" s="276"/>
      <c r="C105" s="276"/>
    </row>
    <row r="106" spans="1:3" ht="16.5" thickBot="1" x14ac:dyDescent="0.3"/>
    <row r="107" spans="1:3" ht="16.5" thickBot="1" x14ac:dyDescent="0.3">
      <c r="A107" s="129">
        <v>5</v>
      </c>
      <c r="B107" s="137" t="s">
        <v>125</v>
      </c>
      <c r="C107" s="130" t="s">
        <v>165</v>
      </c>
    </row>
    <row r="108" spans="1:3" ht="16.5" thickBot="1" x14ac:dyDescent="0.3">
      <c r="A108" s="131" t="s">
        <v>166</v>
      </c>
      <c r="B108" s="132" t="s">
        <v>223</v>
      </c>
      <c r="C108" s="171">
        <f>'Custo por trabalhador'!D453</f>
        <v>88.759999999999991</v>
      </c>
    </row>
    <row r="109" spans="1:3" ht="16.5" thickBot="1" x14ac:dyDescent="0.3">
      <c r="A109" s="131" t="s">
        <v>168</v>
      </c>
      <c r="B109" s="132" t="s">
        <v>224</v>
      </c>
      <c r="C109" s="133">
        <v>0</v>
      </c>
    </row>
    <row r="110" spans="1:3" ht="16.5" thickBot="1" x14ac:dyDescent="0.3">
      <c r="A110" s="131" t="s">
        <v>170</v>
      </c>
      <c r="B110" s="132" t="s">
        <v>225</v>
      </c>
      <c r="C110" s="171">
        <f>'Custo por trabalhador'!E476</f>
        <v>0</v>
      </c>
    </row>
    <row r="111" spans="1:3" ht="16.5" thickBot="1" x14ac:dyDescent="0.3">
      <c r="A111" s="131" t="s">
        <v>172</v>
      </c>
      <c r="B111" s="132" t="s">
        <v>177</v>
      </c>
      <c r="C111" s="133">
        <v>0</v>
      </c>
    </row>
    <row r="112" spans="1:3" ht="16.5" thickBot="1" x14ac:dyDescent="0.3">
      <c r="A112" s="291" t="s">
        <v>194</v>
      </c>
      <c r="B112" s="292"/>
      <c r="C112" s="171">
        <f>SUM(C108:C111)</f>
        <v>88.759999999999991</v>
      </c>
    </row>
    <row r="115" spans="1:4" x14ac:dyDescent="0.25">
      <c r="A115" s="276" t="s">
        <v>226</v>
      </c>
      <c r="B115" s="276"/>
      <c r="C115" s="276"/>
    </row>
    <row r="116" spans="1:4" ht="16.5" thickBot="1" x14ac:dyDescent="0.3"/>
    <row r="117" spans="1:4" ht="16.5" thickBot="1" x14ac:dyDescent="0.3">
      <c r="A117" s="129">
        <v>6</v>
      </c>
      <c r="B117" s="137" t="s">
        <v>126</v>
      </c>
      <c r="C117" s="130" t="s">
        <v>187</v>
      </c>
      <c r="D117" s="130" t="s">
        <v>165</v>
      </c>
    </row>
    <row r="118" spans="1:4" ht="16.5" thickBot="1" x14ac:dyDescent="0.3">
      <c r="A118" s="131" t="s">
        <v>166</v>
      </c>
      <c r="B118" s="132" t="s">
        <v>147</v>
      </c>
      <c r="C118" s="134">
        <f>'Custo por trabalhador'!C491</f>
        <v>0.03</v>
      </c>
      <c r="D118" s="145">
        <f>($C$17+$C$60+$C$72+$C$102+$C$112)*C118</f>
        <v>133.01588480249998</v>
      </c>
    </row>
    <row r="119" spans="1:4" ht="16.5" thickBot="1" x14ac:dyDescent="0.3">
      <c r="A119" s="131" t="s">
        <v>168</v>
      </c>
      <c r="B119" s="132" t="s">
        <v>149</v>
      </c>
      <c r="C119" s="134">
        <f>'Custo por trabalhador'!C493</f>
        <v>6.7900000000000002E-2</v>
      </c>
      <c r="D119" s="145">
        <f t="shared" ref="D119:D124" si="1">($C$17+$C$60+$C$72+$C$87+$C$112)*C119</f>
        <v>301.05928593632501</v>
      </c>
    </row>
    <row r="120" spans="1:4" ht="16.5" thickBot="1" x14ac:dyDescent="0.3">
      <c r="A120" s="131" t="s">
        <v>170</v>
      </c>
      <c r="B120" s="132" t="s">
        <v>148</v>
      </c>
      <c r="C120" s="134">
        <f>'Custo por trabalhador'!C492</f>
        <v>0.14249999999999999</v>
      </c>
      <c r="D120" s="145">
        <f t="shared" si="1"/>
        <v>631.82545281187492</v>
      </c>
    </row>
    <row r="121" spans="1:4" ht="16.5" thickBot="1" x14ac:dyDescent="0.3">
      <c r="A121" s="131"/>
      <c r="B121" s="132" t="s">
        <v>283</v>
      </c>
      <c r="C121" s="172">
        <f>1.65%+7.6%</f>
        <v>9.2499999999999999E-2</v>
      </c>
      <c r="D121" s="145"/>
    </row>
    <row r="122" spans="1:4" ht="16.5" thickBot="1" x14ac:dyDescent="0.3">
      <c r="A122" s="131"/>
      <c r="B122" s="132" t="s">
        <v>284</v>
      </c>
      <c r="C122" s="172">
        <v>0</v>
      </c>
      <c r="D122" s="145"/>
    </row>
    <row r="123" spans="1:4" ht="16.5" thickBot="1" x14ac:dyDescent="0.3">
      <c r="A123" s="131"/>
      <c r="B123" s="132" t="s">
        <v>285</v>
      </c>
      <c r="C123" s="134">
        <v>0.05</v>
      </c>
      <c r="D123" s="145"/>
    </row>
    <row r="124" spans="1:4" ht="16.5" thickBot="1" x14ac:dyDescent="0.3">
      <c r="A124" s="291" t="s">
        <v>194</v>
      </c>
      <c r="B124" s="292"/>
      <c r="C124" s="134">
        <f>'Custo por trabalhador'!D497</f>
        <v>0.3044579533941234</v>
      </c>
      <c r="D124" s="145">
        <f t="shared" si="1"/>
        <v>1349.9248018625876</v>
      </c>
    </row>
    <row r="127" spans="1:4" x14ac:dyDescent="0.25">
      <c r="A127" s="276" t="s">
        <v>227</v>
      </c>
      <c r="B127" s="276"/>
      <c r="C127" s="276"/>
    </row>
    <row r="128" spans="1:4" ht="16.5" thickBot="1" x14ac:dyDescent="0.3"/>
    <row r="129" spans="1:4" ht="16.5" thickBot="1" x14ac:dyDescent="0.3">
      <c r="A129" s="129"/>
      <c r="B129" s="130" t="s">
        <v>228</v>
      </c>
      <c r="C129" s="130" t="s">
        <v>165</v>
      </c>
    </row>
    <row r="130" spans="1:4" ht="16.5" thickBot="1" x14ac:dyDescent="0.3">
      <c r="A130" s="139" t="s">
        <v>166</v>
      </c>
      <c r="B130" s="132" t="s">
        <v>163</v>
      </c>
      <c r="C130" s="132">
        <f>C17</f>
        <v>1899.04</v>
      </c>
    </row>
    <row r="131" spans="1:4" ht="16.5" thickBot="1" x14ac:dyDescent="0.3">
      <c r="A131" s="139" t="s">
        <v>168</v>
      </c>
      <c r="B131" s="132" t="s">
        <v>178</v>
      </c>
      <c r="C131" s="132">
        <f>C60</f>
        <v>1439.85</v>
      </c>
    </row>
    <row r="132" spans="1:4" ht="16.5" thickBot="1" x14ac:dyDescent="0.3">
      <c r="A132" s="139" t="s">
        <v>170</v>
      </c>
      <c r="B132" s="132" t="s">
        <v>202</v>
      </c>
      <c r="C132" s="174">
        <f>C72</f>
        <v>341.92282675000001</v>
      </c>
    </row>
    <row r="133" spans="1:4" ht="16.5" thickBot="1" x14ac:dyDescent="0.3">
      <c r="A133" s="139" t="s">
        <v>172</v>
      </c>
      <c r="B133" s="132" t="s">
        <v>210</v>
      </c>
      <c r="C133" s="132">
        <f>C87</f>
        <v>664.29</v>
      </c>
    </row>
    <row r="134" spans="1:4" ht="16.5" thickBot="1" x14ac:dyDescent="0.3">
      <c r="A134" s="139" t="s">
        <v>173</v>
      </c>
      <c r="B134" s="132" t="s">
        <v>222</v>
      </c>
      <c r="C134" s="173">
        <f>C112</f>
        <v>88.759999999999991</v>
      </c>
    </row>
    <row r="135" spans="1:4" ht="16.5" thickBot="1" x14ac:dyDescent="0.3">
      <c r="A135" s="291" t="s">
        <v>229</v>
      </c>
      <c r="B135" s="292"/>
      <c r="C135" s="132">
        <f>ROUND(SUM(C130:C134),2)</f>
        <v>4433.8599999999997</v>
      </c>
    </row>
    <row r="136" spans="1:4" ht="16.5" thickBot="1" x14ac:dyDescent="0.3">
      <c r="A136" s="139" t="s">
        <v>175</v>
      </c>
      <c r="B136" s="132" t="s">
        <v>230</v>
      </c>
      <c r="C136" s="174">
        <f>D124</f>
        <v>1349.9248018625876</v>
      </c>
    </row>
    <row r="137" spans="1:4" ht="16.5" thickBot="1" x14ac:dyDescent="0.3">
      <c r="A137" s="291" t="s">
        <v>231</v>
      </c>
      <c r="B137" s="292"/>
      <c r="C137" s="174">
        <f>C135+C136</f>
        <v>5783.7848018625873</v>
      </c>
    </row>
    <row r="140" spans="1:4" x14ac:dyDescent="0.25">
      <c r="D140" s="187" t="s">
        <v>300</v>
      </c>
    </row>
    <row r="141" spans="1:4" ht="73.5" customHeight="1" x14ac:dyDescent="0.25">
      <c r="A141" s="294" t="s">
        <v>301</v>
      </c>
      <c r="B141" s="294"/>
      <c r="C141" s="294"/>
      <c r="D141" s="294"/>
    </row>
  </sheetData>
  <mergeCells count="32">
    <mergeCell ref="A141:D141"/>
    <mergeCell ref="A137:B137"/>
    <mergeCell ref="A105:C105"/>
    <mergeCell ref="A112:B112"/>
    <mergeCell ref="A115:C115"/>
    <mergeCell ref="A124:B124"/>
    <mergeCell ref="A127:C127"/>
    <mergeCell ref="A135:B135"/>
    <mergeCell ref="A102:B102"/>
    <mergeCell ref="A54:C54"/>
    <mergeCell ref="A60:B60"/>
    <mergeCell ref="A63:C63"/>
    <mergeCell ref="A72:B72"/>
    <mergeCell ref="A75:C75"/>
    <mergeCell ref="A78:C78"/>
    <mergeCell ref="C81:C86"/>
    <mergeCell ref="A87:B87"/>
    <mergeCell ref="A90:C90"/>
    <mergeCell ref="A94:B94"/>
    <mergeCell ref="A97:C97"/>
    <mergeCell ref="A51:B51"/>
    <mergeCell ref="A2:D2"/>
    <mergeCell ref="A3:D3"/>
    <mergeCell ref="A4:D4"/>
    <mergeCell ref="A7:C7"/>
    <mergeCell ref="A17:B17"/>
    <mergeCell ref="A20:C20"/>
    <mergeCell ref="A22:C22"/>
    <mergeCell ref="A27:B27"/>
    <mergeCell ref="A30:D30"/>
    <mergeCell ref="A41:B41"/>
    <mergeCell ref="A44:C44"/>
  </mergeCells>
  <pageMargins left="0.511811024" right="0.511811024" top="0.78740157499999996" bottom="0.78740157499999996" header="0.31496062000000002" footer="0.31496062000000002"/>
  <pageSetup paperSize="9" scale="81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41"/>
  <sheetViews>
    <sheetView showGridLines="0" zoomScale="115" zoomScaleNormal="115" workbookViewId="0">
      <selection activeCell="A141" sqref="A141:D141"/>
    </sheetView>
  </sheetViews>
  <sheetFormatPr defaultRowHeight="15.75" x14ac:dyDescent="0.25"/>
  <cols>
    <col min="1" max="1" width="9.140625" style="138"/>
    <col min="2" max="2" width="72.140625" style="138" customWidth="1"/>
    <col min="3" max="3" width="18" style="138" customWidth="1"/>
    <col min="4" max="4" width="14.28515625" style="138" customWidth="1"/>
    <col min="5" max="5" width="12.7109375" style="138" customWidth="1"/>
    <col min="6" max="6" width="12" style="138" customWidth="1"/>
    <col min="7" max="7" width="15.140625" style="138" customWidth="1"/>
    <col min="8" max="16384" width="9.140625" style="138"/>
  </cols>
  <sheetData>
    <row r="1" spans="1:4" ht="85.5" customHeight="1" x14ac:dyDescent="0.25"/>
    <row r="2" spans="1:4" ht="23.25" x14ac:dyDescent="0.35">
      <c r="A2" s="290" t="s">
        <v>232</v>
      </c>
      <c r="B2" s="290"/>
      <c r="C2" s="290"/>
      <c r="D2" s="290"/>
    </row>
    <row r="3" spans="1:4" ht="23.25" x14ac:dyDescent="0.35">
      <c r="A3" s="290" t="s">
        <v>294</v>
      </c>
      <c r="B3" s="290"/>
      <c r="C3" s="290"/>
      <c r="D3" s="290"/>
    </row>
    <row r="4" spans="1:4" x14ac:dyDescent="0.25">
      <c r="A4" s="295" t="s">
        <v>243</v>
      </c>
      <c r="B4" s="295"/>
      <c r="C4" s="295"/>
      <c r="D4" s="295"/>
    </row>
    <row r="5" spans="1:4" ht="16.5" thickBot="1" x14ac:dyDescent="0.3"/>
    <row r="6" spans="1:4" ht="16.5" thickBot="1" x14ac:dyDescent="0.3">
      <c r="A6" s="175"/>
      <c r="B6" s="177" t="s">
        <v>294</v>
      </c>
      <c r="C6" s="176"/>
    </row>
    <row r="7" spans="1:4" x14ac:dyDescent="0.25">
      <c r="A7" s="276" t="s">
        <v>163</v>
      </c>
      <c r="B7" s="276"/>
      <c r="C7" s="276"/>
    </row>
    <row r="8" spans="1:4" ht="16.5" thickBot="1" x14ac:dyDescent="0.3"/>
    <row r="9" spans="1:4" ht="16.5" thickBot="1" x14ac:dyDescent="0.3">
      <c r="A9" s="129">
        <v>1</v>
      </c>
      <c r="B9" s="130" t="s">
        <v>164</v>
      </c>
      <c r="C9" s="130" t="s">
        <v>165</v>
      </c>
    </row>
    <row r="10" spans="1:4" ht="16.5" thickBot="1" x14ac:dyDescent="0.3">
      <c r="A10" s="131" t="s">
        <v>166</v>
      </c>
      <c r="B10" s="132" t="s">
        <v>167</v>
      </c>
      <c r="C10" s="133">
        <f>'Custo por trabalhador'!C17</f>
        <v>1899.04</v>
      </c>
    </row>
    <row r="11" spans="1:4" ht="16.5" thickBot="1" x14ac:dyDescent="0.3">
      <c r="A11" s="131" t="s">
        <v>168</v>
      </c>
      <c r="B11" s="132" t="s">
        <v>169</v>
      </c>
      <c r="C11" s="145">
        <f>C10*30%</f>
        <v>569.71199999999999</v>
      </c>
    </row>
    <row r="12" spans="1:4" ht="16.5" thickBot="1" x14ac:dyDescent="0.3">
      <c r="A12" s="131" t="s">
        <v>170</v>
      </c>
      <c r="B12" s="132" t="s">
        <v>171</v>
      </c>
      <c r="C12" s="133">
        <v>0</v>
      </c>
    </row>
    <row r="13" spans="1:4" ht="16.5" thickBot="1" x14ac:dyDescent="0.3">
      <c r="A13" s="131" t="s">
        <v>172</v>
      </c>
      <c r="B13" s="132" t="s">
        <v>7</v>
      </c>
      <c r="C13" s="133">
        <v>0</v>
      </c>
    </row>
    <row r="14" spans="1:4" ht="16.5" thickBot="1" x14ac:dyDescent="0.3">
      <c r="A14" s="131" t="s">
        <v>173</v>
      </c>
      <c r="B14" s="132" t="s">
        <v>174</v>
      </c>
      <c r="C14" s="133">
        <v>0</v>
      </c>
    </row>
    <row r="15" spans="1:4" ht="16.5" thickBot="1" x14ac:dyDescent="0.3">
      <c r="A15" s="131"/>
      <c r="B15" s="132"/>
      <c r="C15" s="133"/>
    </row>
    <row r="16" spans="1:4" ht="16.5" thickBot="1" x14ac:dyDescent="0.3">
      <c r="A16" s="131" t="s">
        <v>176</v>
      </c>
      <c r="B16" s="132" t="s">
        <v>177</v>
      </c>
      <c r="C16" s="133">
        <v>0</v>
      </c>
    </row>
    <row r="17" spans="1:4" ht="16.5" thickBot="1" x14ac:dyDescent="0.3">
      <c r="A17" s="291" t="s">
        <v>10</v>
      </c>
      <c r="B17" s="292"/>
      <c r="C17" s="145">
        <f>C10+C11</f>
        <v>2468.752</v>
      </c>
    </row>
    <row r="20" spans="1:4" x14ac:dyDescent="0.25">
      <c r="A20" s="276" t="s">
        <v>178</v>
      </c>
      <c r="B20" s="276"/>
      <c r="C20" s="276"/>
    </row>
    <row r="21" spans="1:4" x14ac:dyDescent="0.25">
      <c r="A21" s="29"/>
    </row>
    <row r="22" spans="1:4" x14ac:dyDescent="0.25">
      <c r="A22" s="293" t="s">
        <v>179</v>
      </c>
      <c r="B22" s="293"/>
      <c r="C22" s="293"/>
    </row>
    <row r="23" spans="1:4" ht="16.5" thickBot="1" x14ac:dyDescent="0.3"/>
    <row r="24" spans="1:4" ht="16.5" thickBot="1" x14ac:dyDescent="0.3">
      <c r="A24" s="129" t="s">
        <v>180</v>
      </c>
      <c r="B24" s="130" t="s">
        <v>181</v>
      </c>
      <c r="C24" s="130" t="s">
        <v>165</v>
      </c>
    </row>
    <row r="25" spans="1:4" ht="16.5" thickBot="1" x14ac:dyDescent="0.3">
      <c r="A25" s="131" t="s">
        <v>166</v>
      </c>
      <c r="B25" s="132" t="s">
        <v>182</v>
      </c>
      <c r="C25" s="133">
        <f>ROUND('Custo por trabalhador'!E68,2)</f>
        <v>205.73</v>
      </c>
    </row>
    <row r="26" spans="1:4" ht="16.5" thickBot="1" x14ac:dyDescent="0.3">
      <c r="A26" s="131" t="s">
        <v>168</v>
      </c>
      <c r="B26" s="132" t="s">
        <v>183</v>
      </c>
      <c r="C26" s="133">
        <f>ROUND('Custo por trabalhador'!E77+'Custo por trabalhador'!F86,2)</f>
        <v>274.31</v>
      </c>
    </row>
    <row r="27" spans="1:4" ht="16.5" thickBot="1" x14ac:dyDescent="0.3">
      <c r="A27" s="291" t="s">
        <v>10</v>
      </c>
      <c r="B27" s="292"/>
      <c r="C27" s="133">
        <f>C25+C26</f>
        <v>480.03999999999996</v>
      </c>
    </row>
    <row r="30" spans="1:4" ht="32.25" customHeight="1" x14ac:dyDescent="0.25">
      <c r="A30" s="296" t="s">
        <v>184</v>
      </c>
      <c r="B30" s="296"/>
      <c r="C30" s="296"/>
      <c r="D30" s="296"/>
    </row>
    <row r="31" spans="1:4" ht="16.5" thickBot="1" x14ac:dyDescent="0.3"/>
    <row r="32" spans="1:4" ht="16.5" thickBot="1" x14ac:dyDescent="0.3">
      <c r="A32" s="129" t="s">
        <v>185</v>
      </c>
      <c r="B32" s="130" t="s">
        <v>186</v>
      </c>
      <c r="C32" s="130" t="s">
        <v>187</v>
      </c>
      <c r="D32" s="130" t="s">
        <v>165</v>
      </c>
    </row>
    <row r="33" spans="1:4" ht="16.5" thickBot="1" x14ac:dyDescent="0.3">
      <c r="A33" s="131" t="s">
        <v>166</v>
      </c>
      <c r="B33" s="132" t="s">
        <v>188</v>
      </c>
      <c r="C33" s="134">
        <v>0.2</v>
      </c>
      <c r="D33" s="145">
        <f>C33*($C$17+$C$27)</f>
        <v>589.75840000000005</v>
      </c>
    </row>
    <row r="34" spans="1:4" ht="16.5" thickBot="1" x14ac:dyDescent="0.3">
      <c r="A34" s="131" t="s">
        <v>168</v>
      </c>
      <c r="B34" s="132" t="s">
        <v>189</v>
      </c>
      <c r="C34" s="134">
        <v>2.5000000000000001E-2</v>
      </c>
      <c r="D34" s="145">
        <f t="shared" ref="D34:D40" si="0">C34*($C$17+$C$27)</f>
        <v>73.719800000000006</v>
      </c>
    </row>
    <row r="35" spans="1:4" ht="16.5" thickBot="1" x14ac:dyDescent="0.3">
      <c r="A35" s="131" t="s">
        <v>170</v>
      </c>
      <c r="B35" s="132" t="s">
        <v>190</v>
      </c>
      <c r="C35" s="169">
        <v>0.06</v>
      </c>
      <c r="D35" s="145">
        <f t="shared" si="0"/>
        <v>176.92751999999999</v>
      </c>
    </row>
    <row r="36" spans="1:4" ht="16.5" thickBot="1" x14ac:dyDescent="0.3">
      <c r="A36" s="131" t="s">
        <v>172</v>
      </c>
      <c r="B36" s="132" t="s">
        <v>191</v>
      </c>
      <c r="C36" s="134">
        <v>1.4999999999999999E-2</v>
      </c>
      <c r="D36" s="145">
        <f t="shared" si="0"/>
        <v>44.231879999999997</v>
      </c>
    </row>
    <row r="37" spans="1:4" ht="16.5" thickBot="1" x14ac:dyDescent="0.3">
      <c r="A37" s="131" t="s">
        <v>173</v>
      </c>
      <c r="B37" s="132" t="s">
        <v>192</v>
      </c>
      <c r="C37" s="134">
        <v>0.01</v>
      </c>
      <c r="D37" s="145">
        <f t="shared" si="0"/>
        <v>29.487919999999999</v>
      </c>
    </row>
    <row r="38" spans="1:4" ht="16.5" thickBot="1" x14ac:dyDescent="0.3">
      <c r="A38" s="131" t="s">
        <v>175</v>
      </c>
      <c r="B38" s="132" t="s">
        <v>23</v>
      </c>
      <c r="C38" s="134">
        <v>6.0000000000000001E-3</v>
      </c>
      <c r="D38" s="145">
        <f t="shared" si="0"/>
        <v>17.692751999999999</v>
      </c>
    </row>
    <row r="39" spans="1:4" ht="16.5" thickBot="1" x14ac:dyDescent="0.3">
      <c r="A39" s="131" t="s">
        <v>176</v>
      </c>
      <c r="B39" s="132" t="s">
        <v>24</v>
      </c>
      <c r="C39" s="134">
        <v>2E-3</v>
      </c>
      <c r="D39" s="145">
        <f t="shared" si="0"/>
        <v>5.8975840000000002</v>
      </c>
    </row>
    <row r="40" spans="1:4" ht="16.5" thickBot="1" x14ac:dyDescent="0.3">
      <c r="A40" s="131" t="s">
        <v>193</v>
      </c>
      <c r="B40" s="132" t="s">
        <v>25</v>
      </c>
      <c r="C40" s="134">
        <v>0.08</v>
      </c>
      <c r="D40" s="145">
        <f t="shared" si="0"/>
        <v>235.90335999999999</v>
      </c>
    </row>
    <row r="41" spans="1:4" ht="16.5" thickBot="1" x14ac:dyDescent="0.3">
      <c r="A41" s="291" t="s">
        <v>194</v>
      </c>
      <c r="B41" s="292"/>
      <c r="C41" s="134">
        <f>SUM(C33:C40)</f>
        <v>0.39800000000000008</v>
      </c>
      <c r="D41" s="145">
        <f>ROUND(SUM(D33:D40),2)</f>
        <v>1173.6199999999999</v>
      </c>
    </row>
    <row r="44" spans="1:4" x14ac:dyDescent="0.25">
      <c r="A44" s="293" t="s">
        <v>195</v>
      </c>
      <c r="B44" s="293"/>
      <c r="C44" s="293"/>
    </row>
    <row r="45" spans="1:4" ht="16.5" thickBot="1" x14ac:dyDescent="0.3"/>
    <row r="46" spans="1:4" ht="16.5" thickBot="1" x14ac:dyDescent="0.3">
      <c r="A46" s="129" t="s">
        <v>196</v>
      </c>
      <c r="B46" s="130" t="s">
        <v>197</v>
      </c>
      <c r="C46" s="130" t="s">
        <v>165</v>
      </c>
    </row>
    <row r="47" spans="1:4" ht="16.5" thickBot="1" x14ac:dyDescent="0.3">
      <c r="A47" s="131" t="s">
        <v>166</v>
      </c>
      <c r="B47" s="132" t="s">
        <v>198</v>
      </c>
      <c r="C47" s="133">
        <f>ROUND('Custo por trabalhador'!E168,2)</f>
        <v>57.66</v>
      </c>
    </row>
    <row r="48" spans="1:4" ht="16.5" thickBot="1" x14ac:dyDescent="0.3">
      <c r="A48" s="131" t="s">
        <v>168</v>
      </c>
      <c r="B48" s="132" t="s">
        <v>199</v>
      </c>
      <c r="C48" s="133">
        <f>'Custo por trabalhador'!E196</f>
        <v>0</v>
      </c>
    </row>
    <row r="49" spans="1:3" ht="16.5" thickBot="1" x14ac:dyDescent="0.3">
      <c r="A49" s="131" t="s">
        <v>170</v>
      </c>
      <c r="B49" s="132" t="s">
        <v>275</v>
      </c>
      <c r="C49" s="133">
        <f>ROUND('Custo por trabalhador'!E208,2)</f>
        <v>110.16</v>
      </c>
    </row>
    <row r="50" spans="1:3" ht="16.5" thickBot="1" x14ac:dyDescent="0.3">
      <c r="A50" s="131" t="s">
        <v>172</v>
      </c>
      <c r="B50" s="132" t="s">
        <v>177</v>
      </c>
      <c r="C50" s="133"/>
    </row>
    <row r="51" spans="1:3" ht="16.5" thickBot="1" x14ac:dyDescent="0.3">
      <c r="A51" s="291" t="s">
        <v>10</v>
      </c>
      <c r="B51" s="292"/>
      <c r="C51" s="133">
        <f>ROUND(SUM(C47:C50),2)</f>
        <v>167.82</v>
      </c>
    </row>
    <row r="54" spans="1:3" x14ac:dyDescent="0.25">
      <c r="A54" s="293" t="s">
        <v>200</v>
      </c>
      <c r="B54" s="293"/>
      <c r="C54" s="293"/>
    </row>
    <row r="55" spans="1:3" ht="16.5" thickBot="1" x14ac:dyDescent="0.3"/>
    <row r="56" spans="1:3" ht="16.5" thickBot="1" x14ac:dyDescent="0.3">
      <c r="A56" s="129">
        <v>2</v>
      </c>
      <c r="B56" s="130" t="s">
        <v>201</v>
      </c>
      <c r="C56" s="130" t="s">
        <v>165</v>
      </c>
    </row>
    <row r="57" spans="1:3" ht="16.5" thickBot="1" x14ac:dyDescent="0.3">
      <c r="A57" s="131" t="s">
        <v>180</v>
      </c>
      <c r="B57" s="132" t="s">
        <v>181</v>
      </c>
      <c r="C57" s="133">
        <f>ROUND(C27,2)</f>
        <v>480.04</v>
      </c>
    </row>
    <row r="58" spans="1:3" ht="16.5" thickBot="1" x14ac:dyDescent="0.3">
      <c r="A58" s="131" t="s">
        <v>185</v>
      </c>
      <c r="B58" s="132" t="s">
        <v>186</v>
      </c>
      <c r="C58" s="145">
        <f>ROUND(D41,2)</f>
        <v>1173.6199999999999</v>
      </c>
    </row>
    <row r="59" spans="1:3" ht="16.5" thickBot="1" x14ac:dyDescent="0.3">
      <c r="A59" s="131" t="s">
        <v>196</v>
      </c>
      <c r="B59" s="132" t="s">
        <v>197</v>
      </c>
      <c r="C59" s="133">
        <f>ROUND(C51,2)</f>
        <v>167.82</v>
      </c>
    </row>
    <row r="60" spans="1:3" ht="16.5" thickBot="1" x14ac:dyDescent="0.3">
      <c r="A60" s="291" t="s">
        <v>10</v>
      </c>
      <c r="B60" s="292"/>
      <c r="C60" s="145">
        <f>SUM(C57:C59)</f>
        <v>1821.4799999999998</v>
      </c>
    </row>
    <row r="61" spans="1:3" x14ac:dyDescent="0.25">
      <c r="A61" s="23"/>
    </row>
    <row r="63" spans="1:3" x14ac:dyDescent="0.25">
      <c r="A63" s="276" t="s">
        <v>202</v>
      </c>
      <c r="B63" s="276"/>
      <c r="C63" s="276"/>
    </row>
    <row r="64" spans="1:3" ht="16.5" thickBot="1" x14ac:dyDescent="0.3"/>
    <row r="65" spans="1:3" ht="16.5" thickBot="1" x14ac:dyDescent="0.3">
      <c r="A65" s="129">
        <v>3</v>
      </c>
      <c r="B65" s="130" t="s">
        <v>203</v>
      </c>
      <c r="C65" s="130" t="s">
        <v>165</v>
      </c>
    </row>
    <row r="66" spans="1:3" ht="16.5" thickBot="1" x14ac:dyDescent="0.3">
      <c r="A66" s="131" t="s">
        <v>166</v>
      </c>
      <c r="B66" s="136" t="s">
        <v>204</v>
      </c>
      <c r="C66" s="145">
        <f>(('Custo por trabalhador'!E263)-('Custo por trabalhador'!E128/12))*0.45</f>
        <v>116.87286</v>
      </c>
    </row>
    <row r="67" spans="1:3" ht="16.5" thickBot="1" x14ac:dyDescent="0.3">
      <c r="A67" s="131" t="s">
        <v>168</v>
      </c>
      <c r="B67" s="136" t="s">
        <v>205</v>
      </c>
      <c r="C67" s="178">
        <f>('Custo por trabalhador'!E128/12)*0.45</f>
        <v>8.8463759999999994</v>
      </c>
    </row>
    <row r="68" spans="1:3" ht="16.5" thickBot="1" x14ac:dyDescent="0.3">
      <c r="A68" s="131" t="s">
        <v>170</v>
      </c>
      <c r="B68" s="136" t="s">
        <v>206</v>
      </c>
      <c r="C68" s="145">
        <f>('Custo por trabalhador'!E272)*0.45</f>
        <v>53.078255999999996</v>
      </c>
    </row>
    <row r="69" spans="1:3" ht="16.5" thickBot="1" x14ac:dyDescent="0.3">
      <c r="A69" s="131" t="s">
        <v>172</v>
      </c>
      <c r="B69" s="136" t="s">
        <v>207</v>
      </c>
      <c r="C69" s="145">
        <f>('Custo por trabalhador'!H55/12)*0.55</f>
        <v>113.15113333333333</v>
      </c>
    </row>
    <row r="70" spans="1:3" ht="16.5" thickBot="1" x14ac:dyDescent="0.3">
      <c r="A70" s="131" t="s">
        <v>173</v>
      </c>
      <c r="B70" s="136" t="s">
        <v>208</v>
      </c>
      <c r="C70" s="145">
        <f>('Custo por trabalhador'!F239/12)*0.55</f>
        <v>83.484354066666683</v>
      </c>
    </row>
    <row r="71" spans="1:3" ht="16.5" thickBot="1" x14ac:dyDescent="0.3">
      <c r="A71" s="131" t="s">
        <v>175</v>
      </c>
      <c r="B71" s="136" t="s">
        <v>209</v>
      </c>
      <c r="C71" s="145">
        <f>('Custo por trabalhador'!E302)*0.55</f>
        <v>64.873424</v>
      </c>
    </row>
    <row r="72" spans="1:3" ht="16.5" thickBot="1" x14ac:dyDescent="0.3">
      <c r="A72" s="291" t="s">
        <v>10</v>
      </c>
      <c r="B72" s="292"/>
      <c r="C72" s="145">
        <f>C66+C68+C69+C71+C67+C70</f>
        <v>440.30640340000008</v>
      </c>
    </row>
    <row r="75" spans="1:3" x14ac:dyDescent="0.25">
      <c r="A75" s="276" t="s">
        <v>210</v>
      </c>
      <c r="B75" s="276"/>
      <c r="C75" s="276"/>
    </row>
    <row r="78" spans="1:3" x14ac:dyDescent="0.25">
      <c r="A78" s="293" t="s">
        <v>211</v>
      </c>
      <c r="B78" s="293"/>
      <c r="C78" s="293"/>
    </row>
    <row r="79" spans="1:3" ht="16.5" thickBot="1" x14ac:dyDescent="0.3">
      <c r="A79" s="29"/>
    </row>
    <row r="80" spans="1:3" ht="16.5" thickBot="1" x14ac:dyDescent="0.3">
      <c r="A80" s="129" t="s">
        <v>212</v>
      </c>
      <c r="B80" s="130" t="s">
        <v>213</v>
      </c>
      <c r="C80" s="130" t="s">
        <v>165</v>
      </c>
    </row>
    <row r="81" spans="1:3" ht="16.5" thickBot="1" x14ac:dyDescent="0.3">
      <c r="A81" s="131" t="s">
        <v>166</v>
      </c>
      <c r="B81" s="132" t="s">
        <v>14</v>
      </c>
      <c r="C81" s="297">
        <f>ROUND('Custo por trabalhador'!F401,2)</f>
        <v>853.74</v>
      </c>
    </row>
    <row r="82" spans="1:3" ht="16.5" thickBot="1" x14ac:dyDescent="0.3">
      <c r="A82" s="131" t="s">
        <v>168</v>
      </c>
      <c r="B82" s="132" t="s">
        <v>213</v>
      </c>
      <c r="C82" s="298"/>
    </row>
    <row r="83" spans="1:3" ht="16.5" thickBot="1" x14ac:dyDescent="0.3">
      <c r="A83" s="131" t="s">
        <v>170</v>
      </c>
      <c r="B83" s="132" t="s">
        <v>214</v>
      </c>
      <c r="C83" s="298"/>
    </row>
    <row r="84" spans="1:3" ht="16.5" thickBot="1" x14ac:dyDescent="0.3">
      <c r="A84" s="131" t="s">
        <v>172</v>
      </c>
      <c r="B84" s="132" t="s">
        <v>215</v>
      </c>
      <c r="C84" s="298"/>
    </row>
    <row r="85" spans="1:3" ht="16.5" thickBot="1" x14ac:dyDescent="0.3">
      <c r="A85" s="131" t="s">
        <v>173</v>
      </c>
      <c r="B85" s="132" t="s">
        <v>216</v>
      </c>
      <c r="C85" s="298"/>
    </row>
    <row r="86" spans="1:3" ht="16.5" thickBot="1" x14ac:dyDescent="0.3">
      <c r="A86" s="131" t="s">
        <v>175</v>
      </c>
      <c r="B86" s="132" t="s">
        <v>177</v>
      </c>
      <c r="C86" s="299"/>
    </row>
    <row r="87" spans="1:3" ht="16.5" thickBot="1" x14ac:dyDescent="0.3">
      <c r="A87" s="291" t="s">
        <v>194</v>
      </c>
      <c r="B87" s="292"/>
      <c r="C87" s="133">
        <f>C81</f>
        <v>853.74</v>
      </c>
    </row>
    <row r="90" spans="1:3" x14ac:dyDescent="0.25">
      <c r="A90" s="293" t="s">
        <v>217</v>
      </c>
      <c r="B90" s="293"/>
      <c r="C90" s="293"/>
    </row>
    <row r="91" spans="1:3" ht="16.5" thickBot="1" x14ac:dyDescent="0.3">
      <c r="A91" s="29"/>
    </row>
    <row r="92" spans="1:3" ht="16.5" thickBot="1" x14ac:dyDescent="0.3">
      <c r="A92" s="129" t="s">
        <v>218</v>
      </c>
      <c r="B92" s="130" t="s">
        <v>219</v>
      </c>
      <c r="C92" s="130" t="s">
        <v>165</v>
      </c>
    </row>
    <row r="93" spans="1:3" ht="16.5" thickBot="1" x14ac:dyDescent="0.3">
      <c r="A93" s="131" t="s">
        <v>166</v>
      </c>
      <c r="B93" s="132" t="s">
        <v>244</v>
      </c>
      <c r="C93" s="133">
        <f>'Custo por trabalhador'!E422</f>
        <v>0</v>
      </c>
    </row>
    <row r="94" spans="1:3" ht="16.5" thickBot="1" x14ac:dyDescent="0.3">
      <c r="A94" s="291" t="s">
        <v>10</v>
      </c>
      <c r="B94" s="292"/>
      <c r="C94" s="133">
        <v>0</v>
      </c>
    </row>
    <row r="97" spans="1:3" x14ac:dyDescent="0.25">
      <c r="A97" s="293" t="s">
        <v>220</v>
      </c>
      <c r="B97" s="293"/>
      <c r="C97" s="293"/>
    </row>
    <row r="98" spans="1:3" ht="16.5" thickBot="1" x14ac:dyDescent="0.3">
      <c r="A98" s="29"/>
    </row>
    <row r="99" spans="1:3" ht="16.5" thickBot="1" x14ac:dyDescent="0.3">
      <c r="A99" s="129">
        <v>4</v>
      </c>
      <c r="B99" s="130" t="s">
        <v>221</v>
      </c>
      <c r="C99" s="130" t="s">
        <v>165</v>
      </c>
    </row>
    <row r="100" spans="1:3" ht="16.5" thickBot="1" x14ac:dyDescent="0.3">
      <c r="A100" s="131" t="s">
        <v>212</v>
      </c>
      <c r="B100" s="132" t="s">
        <v>213</v>
      </c>
      <c r="C100" s="133">
        <f>C87</f>
        <v>853.74</v>
      </c>
    </row>
    <row r="101" spans="1:3" ht="16.5" thickBot="1" x14ac:dyDescent="0.3">
      <c r="A101" s="131" t="s">
        <v>218</v>
      </c>
      <c r="B101" s="132" t="s">
        <v>219</v>
      </c>
      <c r="C101" s="133">
        <f>C94</f>
        <v>0</v>
      </c>
    </row>
    <row r="102" spans="1:3" ht="16.5" thickBot="1" x14ac:dyDescent="0.3">
      <c r="A102" s="291" t="s">
        <v>10</v>
      </c>
      <c r="B102" s="292"/>
      <c r="C102" s="133">
        <f>SUM(C100:C101)</f>
        <v>853.74</v>
      </c>
    </row>
    <row r="105" spans="1:3" x14ac:dyDescent="0.25">
      <c r="A105" s="276" t="s">
        <v>222</v>
      </c>
      <c r="B105" s="276"/>
      <c r="C105" s="276"/>
    </row>
    <row r="106" spans="1:3" ht="16.5" thickBot="1" x14ac:dyDescent="0.3"/>
    <row r="107" spans="1:3" ht="16.5" thickBot="1" x14ac:dyDescent="0.3">
      <c r="A107" s="129">
        <v>5</v>
      </c>
      <c r="B107" s="137" t="s">
        <v>125</v>
      </c>
      <c r="C107" s="130" t="s">
        <v>165</v>
      </c>
    </row>
    <row r="108" spans="1:3" ht="16.5" thickBot="1" x14ac:dyDescent="0.3">
      <c r="A108" s="131" t="s">
        <v>166</v>
      </c>
      <c r="B108" s="132" t="s">
        <v>223</v>
      </c>
      <c r="C108" s="171">
        <f>'Custo por trabalhador'!D453</f>
        <v>88.759999999999991</v>
      </c>
    </row>
    <row r="109" spans="1:3" ht="16.5" thickBot="1" x14ac:dyDescent="0.3">
      <c r="A109" s="131" t="s">
        <v>168</v>
      </c>
      <c r="B109" s="132" t="s">
        <v>224</v>
      </c>
      <c r="C109" s="133">
        <v>0</v>
      </c>
    </row>
    <row r="110" spans="1:3" ht="16.5" thickBot="1" x14ac:dyDescent="0.3">
      <c r="A110" s="131" t="s">
        <v>170</v>
      </c>
      <c r="B110" s="132" t="s">
        <v>225</v>
      </c>
      <c r="C110" s="171">
        <f>'Custo por trabalhador'!E477</f>
        <v>0</v>
      </c>
    </row>
    <row r="111" spans="1:3" ht="16.5" thickBot="1" x14ac:dyDescent="0.3">
      <c r="A111" s="131" t="s">
        <v>172</v>
      </c>
      <c r="B111" s="132" t="s">
        <v>177</v>
      </c>
      <c r="C111" s="133">
        <v>0</v>
      </c>
    </row>
    <row r="112" spans="1:3" ht="16.5" thickBot="1" x14ac:dyDescent="0.3">
      <c r="A112" s="291" t="s">
        <v>194</v>
      </c>
      <c r="B112" s="292"/>
      <c r="C112" s="171">
        <f>SUM(C108:C111)</f>
        <v>88.759999999999991</v>
      </c>
    </row>
    <row r="115" spans="1:4" x14ac:dyDescent="0.25">
      <c r="A115" s="276" t="s">
        <v>226</v>
      </c>
      <c r="B115" s="276"/>
      <c r="C115" s="276"/>
    </row>
    <row r="116" spans="1:4" ht="16.5" thickBot="1" x14ac:dyDescent="0.3"/>
    <row r="117" spans="1:4" ht="16.5" thickBot="1" x14ac:dyDescent="0.3">
      <c r="A117" s="129">
        <v>6</v>
      </c>
      <c r="B117" s="137" t="s">
        <v>126</v>
      </c>
      <c r="C117" s="130" t="s">
        <v>187</v>
      </c>
      <c r="D117" s="130" t="s">
        <v>165</v>
      </c>
    </row>
    <row r="118" spans="1:4" ht="16.5" thickBot="1" x14ac:dyDescent="0.3">
      <c r="A118" s="131" t="s">
        <v>166</v>
      </c>
      <c r="B118" s="132" t="s">
        <v>147</v>
      </c>
      <c r="C118" s="134">
        <f>'Custo por trabalhador'!C491</f>
        <v>0.03</v>
      </c>
      <c r="D118" s="145">
        <f>($C$17+$C$60+$C$72+$C$102+$C$112)*C118</f>
        <v>170.19115210199999</v>
      </c>
    </row>
    <row r="119" spans="1:4" ht="16.5" thickBot="1" x14ac:dyDescent="0.3">
      <c r="A119" s="131" t="s">
        <v>168</v>
      </c>
      <c r="B119" s="132" t="s">
        <v>149</v>
      </c>
      <c r="C119" s="134">
        <f>'Custo por trabalhador'!C493</f>
        <v>6.7900000000000002E-2</v>
      </c>
      <c r="D119" s="145">
        <f t="shared" ref="D119:D120" si="1">($C$17+$C$60+$C$72+$C$87+$C$112)*C119</f>
        <v>385.19930759086003</v>
      </c>
    </row>
    <row r="120" spans="1:4" ht="16.5" thickBot="1" x14ac:dyDescent="0.3">
      <c r="A120" s="131" t="s">
        <v>170</v>
      </c>
      <c r="B120" s="132" t="s">
        <v>148</v>
      </c>
      <c r="C120" s="134">
        <f>'Custo por trabalhador'!C492</f>
        <v>0.14249999999999999</v>
      </c>
      <c r="D120" s="145">
        <f t="shared" si="1"/>
        <v>808.40797248449996</v>
      </c>
    </row>
    <row r="121" spans="1:4" ht="16.5" thickBot="1" x14ac:dyDescent="0.3">
      <c r="A121" s="131"/>
      <c r="B121" s="132" t="s">
        <v>283</v>
      </c>
      <c r="C121" s="172">
        <f>1.65%+7.6%</f>
        <v>9.2499999999999999E-2</v>
      </c>
      <c r="D121" s="145"/>
    </row>
    <row r="122" spans="1:4" ht="16.5" thickBot="1" x14ac:dyDescent="0.3">
      <c r="A122" s="131"/>
      <c r="B122" s="132" t="s">
        <v>284</v>
      </c>
      <c r="C122" s="172">
        <v>0</v>
      </c>
      <c r="D122" s="145"/>
    </row>
    <row r="123" spans="1:4" ht="16.5" thickBot="1" x14ac:dyDescent="0.3">
      <c r="A123" s="131"/>
      <c r="B123" s="132" t="s">
        <v>285</v>
      </c>
      <c r="C123" s="134">
        <v>0.05</v>
      </c>
      <c r="D123" s="145"/>
    </row>
    <row r="124" spans="1:4" ht="16.5" thickBot="1" x14ac:dyDescent="0.3">
      <c r="A124" s="291" t="s">
        <v>194</v>
      </c>
      <c r="B124" s="292"/>
      <c r="C124" s="134">
        <f>'Custo por trabalhador'!D497</f>
        <v>0.3044579533941234</v>
      </c>
      <c r="D124" s="145">
        <f>ROUND(($C$17+$C$60+$C$72+$C$87+$C$112)*C124,2)</f>
        <v>1727.2</v>
      </c>
    </row>
    <row r="127" spans="1:4" x14ac:dyDescent="0.25">
      <c r="A127" s="276" t="s">
        <v>227</v>
      </c>
      <c r="B127" s="276"/>
      <c r="C127" s="276"/>
    </row>
    <row r="128" spans="1:4" ht="16.5" thickBot="1" x14ac:dyDescent="0.3"/>
    <row r="129" spans="1:4" ht="16.5" thickBot="1" x14ac:dyDescent="0.3">
      <c r="A129" s="129"/>
      <c r="B129" s="130" t="s">
        <v>228</v>
      </c>
      <c r="C129" s="130" t="s">
        <v>165</v>
      </c>
    </row>
    <row r="130" spans="1:4" ht="16.5" thickBot="1" x14ac:dyDescent="0.3">
      <c r="A130" s="139" t="s">
        <v>166</v>
      </c>
      <c r="B130" s="132" t="s">
        <v>163</v>
      </c>
      <c r="C130" s="174">
        <f>ROUND(C17,2)</f>
        <v>2468.75</v>
      </c>
    </row>
    <row r="131" spans="1:4" ht="16.5" thickBot="1" x14ac:dyDescent="0.3">
      <c r="A131" s="139" t="s">
        <v>168</v>
      </c>
      <c r="B131" s="132" t="s">
        <v>178</v>
      </c>
      <c r="C131" s="174">
        <f>ROUND(C60,2)</f>
        <v>1821.48</v>
      </c>
    </row>
    <row r="132" spans="1:4" ht="16.5" thickBot="1" x14ac:dyDescent="0.3">
      <c r="A132" s="139" t="s">
        <v>170</v>
      </c>
      <c r="B132" s="132" t="s">
        <v>202</v>
      </c>
      <c r="C132" s="132">
        <f>ROUND(C72,2)</f>
        <v>440.31</v>
      </c>
    </row>
    <row r="133" spans="1:4" ht="16.5" thickBot="1" x14ac:dyDescent="0.3">
      <c r="A133" s="139" t="s">
        <v>172</v>
      </c>
      <c r="B133" s="132" t="s">
        <v>210</v>
      </c>
      <c r="C133" s="132">
        <f>ROUND(C102,2)</f>
        <v>853.74</v>
      </c>
    </row>
    <row r="134" spans="1:4" ht="16.5" thickBot="1" x14ac:dyDescent="0.3">
      <c r="A134" s="139" t="s">
        <v>173</v>
      </c>
      <c r="B134" s="132" t="s">
        <v>222</v>
      </c>
      <c r="C134" s="173">
        <f>ROUND(C112,2)</f>
        <v>88.76</v>
      </c>
    </row>
    <row r="135" spans="1:4" ht="16.5" thickBot="1" x14ac:dyDescent="0.3">
      <c r="A135" s="291" t="s">
        <v>229</v>
      </c>
      <c r="B135" s="292"/>
      <c r="C135" s="132">
        <f>ROUND(SUM(C130:C134),2)</f>
        <v>5673.04</v>
      </c>
    </row>
    <row r="136" spans="1:4" ht="16.5" thickBot="1" x14ac:dyDescent="0.3">
      <c r="A136" s="139" t="s">
        <v>175</v>
      </c>
      <c r="B136" s="132" t="s">
        <v>230</v>
      </c>
      <c r="C136" s="174">
        <f>ROUND(D124,2)</f>
        <v>1727.2</v>
      </c>
    </row>
    <row r="137" spans="1:4" ht="16.5" thickBot="1" x14ac:dyDescent="0.3">
      <c r="A137" s="291" t="s">
        <v>231</v>
      </c>
      <c r="B137" s="292"/>
      <c r="C137" s="174">
        <f>C135+C136</f>
        <v>7400.24</v>
      </c>
    </row>
    <row r="140" spans="1:4" x14ac:dyDescent="0.25">
      <c r="D140" s="187" t="s">
        <v>300</v>
      </c>
    </row>
    <row r="141" spans="1:4" ht="65.25" customHeight="1" x14ac:dyDescent="0.25">
      <c r="A141" s="294" t="s">
        <v>301</v>
      </c>
      <c r="B141" s="294"/>
      <c r="C141" s="294"/>
      <c r="D141" s="294"/>
    </row>
  </sheetData>
  <mergeCells count="32">
    <mergeCell ref="A141:D141"/>
    <mergeCell ref="A51:B51"/>
    <mergeCell ref="A2:D2"/>
    <mergeCell ref="A3:D3"/>
    <mergeCell ref="A4:D4"/>
    <mergeCell ref="A7:C7"/>
    <mergeCell ref="A17:B17"/>
    <mergeCell ref="A20:C20"/>
    <mergeCell ref="A22:C22"/>
    <mergeCell ref="A27:B27"/>
    <mergeCell ref="A30:D30"/>
    <mergeCell ref="A41:B41"/>
    <mergeCell ref="A44:C44"/>
    <mergeCell ref="A102:B102"/>
    <mergeCell ref="A54:C54"/>
    <mergeCell ref="A60:B60"/>
    <mergeCell ref="A63:C63"/>
    <mergeCell ref="A72:B72"/>
    <mergeCell ref="A75:C75"/>
    <mergeCell ref="A78:C78"/>
    <mergeCell ref="C81:C86"/>
    <mergeCell ref="A87:B87"/>
    <mergeCell ref="A90:C90"/>
    <mergeCell ref="A94:B94"/>
    <mergeCell ref="A97:C97"/>
    <mergeCell ref="A137:B137"/>
    <mergeCell ref="A105:C105"/>
    <mergeCell ref="A112:B112"/>
    <mergeCell ref="A115:C115"/>
    <mergeCell ref="A124:B124"/>
    <mergeCell ref="A127:C127"/>
    <mergeCell ref="A135:B135"/>
  </mergeCells>
  <pageMargins left="0.511811024" right="0.511811024" top="0.78740157499999996" bottom="0.78740157499999996" header="0.31496062000000002" footer="0.31496062000000002"/>
  <pageSetup paperSize="9" scale="81"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41"/>
  <sheetViews>
    <sheetView showGridLines="0" zoomScale="115" zoomScaleNormal="115" workbookViewId="0">
      <selection activeCell="A141" sqref="A141:D141"/>
    </sheetView>
  </sheetViews>
  <sheetFormatPr defaultRowHeight="15.75" x14ac:dyDescent="0.25"/>
  <cols>
    <col min="1" max="1" width="9.140625" style="138"/>
    <col min="2" max="2" width="72.140625" style="138" customWidth="1"/>
    <col min="3" max="3" width="18" style="138" customWidth="1"/>
    <col min="4" max="4" width="14.28515625" style="138" customWidth="1"/>
    <col min="5" max="5" width="12.7109375" style="138" customWidth="1"/>
    <col min="6" max="6" width="12" style="138" customWidth="1"/>
    <col min="7" max="7" width="15.140625" style="138" customWidth="1"/>
    <col min="8" max="16384" width="9.140625" style="138"/>
  </cols>
  <sheetData>
    <row r="1" spans="1:4" ht="80.25" customHeight="1" x14ac:dyDescent="0.25"/>
    <row r="2" spans="1:4" ht="23.25" x14ac:dyDescent="0.35">
      <c r="A2" s="290" t="s">
        <v>232</v>
      </c>
      <c r="B2" s="290"/>
      <c r="C2" s="290"/>
      <c r="D2" s="290"/>
    </row>
    <row r="3" spans="1:4" ht="23.25" x14ac:dyDescent="0.35">
      <c r="A3" s="290" t="s">
        <v>287</v>
      </c>
      <c r="B3" s="290"/>
      <c r="C3" s="290"/>
      <c r="D3" s="290"/>
    </row>
    <row r="4" spans="1:4" x14ac:dyDescent="0.25">
      <c r="A4" s="295" t="s">
        <v>243</v>
      </c>
      <c r="B4" s="295"/>
      <c r="C4" s="295"/>
      <c r="D4" s="295"/>
    </row>
    <row r="5" spans="1:4" ht="16.5" thickBot="1" x14ac:dyDescent="0.3"/>
    <row r="6" spans="1:4" ht="16.5" thickBot="1" x14ac:dyDescent="0.3">
      <c r="A6" s="175"/>
      <c r="B6" s="177" t="s">
        <v>287</v>
      </c>
      <c r="C6" s="176"/>
    </row>
    <row r="7" spans="1:4" x14ac:dyDescent="0.25">
      <c r="A7" s="276" t="s">
        <v>163</v>
      </c>
      <c r="B7" s="276"/>
      <c r="C7" s="276"/>
    </row>
    <row r="8" spans="1:4" ht="16.5" thickBot="1" x14ac:dyDescent="0.3"/>
    <row r="9" spans="1:4" ht="16.5" thickBot="1" x14ac:dyDescent="0.3">
      <c r="A9" s="129">
        <v>1</v>
      </c>
      <c r="B9" s="130" t="s">
        <v>164</v>
      </c>
      <c r="C9" s="130" t="s">
        <v>165</v>
      </c>
    </row>
    <row r="10" spans="1:4" ht="16.5" thickBot="1" x14ac:dyDescent="0.3">
      <c r="A10" s="131" t="s">
        <v>166</v>
      </c>
      <c r="B10" s="132" t="s">
        <v>167</v>
      </c>
      <c r="C10" s="133">
        <f>'Custo por trabalhador'!C18</f>
        <v>3404.77</v>
      </c>
    </row>
    <row r="11" spans="1:4" ht="16.5" thickBot="1" x14ac:dyDescent="0.3">
      <c r="A11" s="131" t="s">
        <v>168</v>
      </c>
      <c r="B11" s="132" t="s">
        <v>169</v>
      </c>
      <c r="C11" s="133">
        <f>C10*0.3</f>
        <v>1021.4309999999999</v>
      </c>
    </row>
    <row r="12" spans="1:4" ht="16.5" thickBot="1" x14ac:dyDescent="0.3">
      <c r="A12" s="131" t="s">
        <v>170</v>
      </c>
      <c r="B12" s="132" t="s">
        <v>171</v>
      </c>
      <c r="C12" s="133">
        <v>0</v>
      </c>
    </row>
    <row r="13" spans="1:4" ht="16.5" thickBot="1" x14ac:dyDescent="0.3">
      <c r="A13" s="131" t="s">
        <v>172</v>
      </c>
      <c r="B13" s="132" t="s">
        <v>7</v>
      </c>
      <c r="C13" s="133">
        <v>0</v>
      </c>
    </row>
    <row r="14" spans="1:4" ht="16.5" thickBot="1" x14ac:dyDescent="0.3">
      <c r="A14" s="131" t="s">
        <v>173</v>
      </c>
      <c r="B14" s="132" t="s">
        <v>174</v>
      </c>
      <c r="C14" s="133">
        <v>0</v>
      </c>
    </row>
    <row r="15" spans="1:4" ht="16.5" thickBot="1" x14ac:dyDescent="0.3">
      <c r="A15" s="131"/>
      <c r="B15" s="132"/>
      <c r="C15" s="133"/>
    </row>
    <row r="16" spans="1:4" ht="16.5" thickBot="1" x14ac:dyDescent="0.3">
      <c r="A16" s="131" t="s">
        <v>176</v>
      </c>
      <c r="B16" s="132" t="s">
        <v>177</v>
      </c>
      <c r="C16" s="133">
        <v>0</v>
      </c>
    </row>
    <row r="17" spans="1:4" ht="16.5" thickBot="1" x14ac:dyDescent="0.3">
      <c r="A17" s="291" t="s">
        <v>10</v>
      </c>
      <c r="B17" s="292"/>
      <c r="C17" s="133">
        <f>ROUND(C10+C11,2)</f>
        <v>4426.2</v>
      </c>
    </row>
    <row r="20" spans="1:4" x14ac:dyDescent="0.25">
      <c r="A20" s="276" t="s">
        <v>178</v>
      </c>
      <c r="B20" s="276"/>
      <c r="C20" s="276"/>
    </row>
    <row r="21" spans="1:4" x14ac:dyDescent="0.25">
      <c r="A21" s="29"/>
    </row>
    <row r="22" spans="1:4" x14ac:dyDescent="0.25">
      <c r="A22" s="293" t="s">
        <v>179</v>
      </c>
      <c r="B22" s="293"/>
      <c r="C22" s="293"/>
    </row>
    <row r="23" spans="1:4" ht="16.5" thickBot="1" x14ac:dyDescent="0.3"/>
    <row r="24" spans="1:4" ht="16.5" thickBot="1" x14ac:dyDescent="0.3">
      <c r="A24" s="129" t="s">
        <v>180</v>
      </c>
      <c r="B24" s="130" t="s">
        <v>181</v>
      </c>
      <c r="C24" s="130" t="s">
        <v>165</v>
      </c>
    </row>
    <row r="25" spans="1:4" ht="16.5" thickBot="1" x14ac:dyDescent="0.3">
      <c r="A25" s="131" t="s">
        <v>166</v>
      </c>
      <c r="B25" s="132" t="s">
        <v>182</v>
      </c>
      <c r="C25" s="133">
        <f>ROUND('Custo por trabalhador'!E69,2)</f>
        <v>368.85</v>
      </c>
    </row>
    <row r="26" spans="1:4" ht="16.5" thickBot="1" x14ac:dyDescent="0.3">
      <c r="A26" s="131" t="s">
        <v>168</v>
      </c>
      <c r="B26" s="132" t="s">
        <v>183</v>
      </c>
      <c r="C26" s="133">
        <f>ROUND('Custo por trabalhador'!E78+'Custo por trabalhador'!F87,2)</f>
        <v>491.8</v>
      </c>
    </row>
    <row r="27" spans="1:4" ht="16.5" thickBot="1" x14ac:dyDescent="0.3">
      <c r="A27" s="291" t="s">
        <v>10</v>
      </c>
      <c r="B27" s="292"/>
      <c r="C27" s="133">
        <f>C25+C26</f>
        <v>860.65000000000009</v>
      </c>
    </row>
    <row r="30" spans="1:4" ht="32.25" customHeight="1" x14ac:dyDescent="0.25">
      <c r="A30" s="296" t="s">
        <v>184</v>
      </c>
      <c r="B30" s="296"/>
      <c r="C30" s="296"/>
      <c r="D30" s="296"/>
    </row>
    <row r="31" spans="1:4" ht="16.5" thickBot="1" x14ac:dyDescent="0.3"/>
    <row r="32" spans="1:4" ht="16.5" thickBot="1" x14ac:dyDescent="0.3">
      <c r="A32" s="129" t="s">
        <v>185</v>
      </c>
      <c r="B32" s="130" t="s">
        <v>186</v>
      </c>
      <c r="C32" s="130" t="s">
        <v>187</v>
      </c>
      <c r="D32" s="130" t="s">
        <v>165</v>
      </c>
    </row>
    <row r="33" spans="1:4" ht="16.5" thickBot="1" x14ac:dyDescent="0.3">
      <c r="A33" s="131" t="s">
        <v>166</v>
      </c>
      <c r="B33" s="132" t="s">
        <v>188</v>
      </c>
      <c r="C33" s="134">
        <v>0.2</v>
      </c>
      <c r="D33" s="145">
        <f>C33*($C$17+$C$27)</f>
        <v>1057.3700000000001</v>
      </c>
    </row>
    <row r="34" spans="1:4" ht="16.5" thickBot="1" x14ac:dyDescent="0.3">
      <c r="A34" s="131" t="s">
        <v>168</v>
      </c>
      <c r="B34" s="132" t="s">
        <v>189</v>
      </c>
      <c r="C34" s="134">
        <v>2.5000000000000001E-2</v>
      </c>
      <c r="D34" s="145">
        <f t="shared" ref="D34:D40" si="0">C34*($C$17+$C$27)</f>
        <v>132.17125000000001</v>
      </c>
    </row>
    <row r="35" spans="1:4" ht="16.5" thickBot="1" x14ac:dyDescent="0.3">
      <c r="A35" s="131" t="s">
        <v>170</v>
      </c>
      <c r="B35" s="132" t="s">
        <v>190</v>
      </c>
      <c r="C35" s="169">
        <v>0.06</v>
      </c>
      <c r="D35" s="145">
        <f t="shared" si="0"/>
        <v>317.21100000000001</v>
      </c>
    </row>
    <row r="36" spans="1:4" ht="16.5" thickBot="1" x14ac:dyDescent="0.3">
      <c r="A36" s="131" t="s">
        <v>172</v>
      </c>
      <c r="B36" s="132" t="s">
        <v>191</v>
      </c>
      <c r="C36" s="134">
        <v>1.4999999999999999E-2</v>
      </c>
      <c r="D36" s="145">
        <f t="shared" si="0"/>
        <v>79.302750000000003</v>
      </c>
    </row>
    <row r="37" spans="1:4" ht="16.5" thickBot="1" x14ac:dyDescent="0.3">
      <c r="A37" s="131" t="s">
        <v>173</v>
      </c>
      <c r="B37" s="132" t="s">
        <v>192</v>
      </c>
      <c r="C37" s="134">
        <v>0.01</v>
      </c>
      <c r="D37" s="145">
        <f t="shared" si="0"/>
        <v>52.868500000000004</v>
      </c>
    </row>
    <row r="38" spans="1:4" ht="16.5" thickBot="1" x14ac:dyDescent="0.3">
      <c r="A38" s="131" t="s">
        <v>175</v>
      </c>
      <c r="B38" s="132" t="s">
        <v>23</v>
      </c>
      <c r="C38" s="134">
        <v>6.0000000000000001E-3</v>
      </c>
      <c r="D38" s="145">
        <f t="shared" si="0"/>
        <v>31.721100000000003</v>
      </c>
    </row>
    <row r="39" spans="1:4" ht="16.5" thickBot="1" x14ac:dyDescent="0.3">
      <c r="A39" s="131" t="s">
        <v>176</v>
      </c>
      <c r="B39" s="132" t="s">
        <v>24</v>
      </c>
      <c r="C39" s="134">
        <v>2E-3</v>
      </c>
      <c r="D39" s="145">
        <f t="shared" si="0"/>
        <v>10.573700000000001</v>
      </c>
    </row>
    <row r="40" spans="1:4" ht="16.5" thickBot="1" x14ac:dyDescent="0.3">
      <c r="A40" s="131" t="s">
        <v>193</v>
      </c>
      <c r="B40" s="132" t="s">
        <v>25</v>
      </c>
      <c r="C40" s="134">
        <v>0.08</v>
      </c>
      <c r="D40" s="145">
        <f t="shared" si="0"/>
        <v>422.94800000000004</v>
      </c>
    </row>
    <row r="41" spans="1:4" ht="16.5" thickBot="1" x14ac:dyDescent="0.3">
      <c r="A41" s="291" t="s">
        <v>194</v>
      </c>
      <c r="B41" s="292"/>
      <c r="C41" s="134">
        <f>SUM(C33:C40)</f>
        <v>0.39800000000000008</v>
      </c>
      <c r="D41" s="145">
        <f>ROUND(SUM(D33:D40),2)</f>
        <v>2104.17</v>
      </c>
    </row>
    <row r="44" spans="1:4" x14ac:dyDescent="0.25">
      <c r="A44" s="293" t="s">
        <v>195</v>
      </c>
      <c r="B44" s="293"/>
      <c r="C44" s="293"/>
    </row>
    <row r="45" spans="1:4" ht="16.5" thickBot="1" x14ac:dyDescent="0.3"/>
    <row r="46" spans="1:4" ht="16.5" thickBot="1" x14ac:dyDescent="0.3">
      <c r="A46" s="129" t="s">
        <v>196</v>
      </c>
      <c r="B46" s="130" t="s">
        <v>197</v>
      </c>
      <c r="C46" s="130" t="s">
        <v>165</v>
      </c>
    </row>
    <row r="47" spans="1:4" ht="16.5" thickBot="1" x14ac:dyDescent="0.3">
      <c r="A47" s="131" t="s">
        <v>166</v>
      </c>
      <c r="B47" s="132" t="s">
        <v>198</v>
      </c>
      <c r="C47" s="133">
        <f>ROUND('Custo por trabalhador'!E169,2)</f>
        <v>0</v>
      </c>
    </row>
    <row r="48" spans="1:4" ht="16.5" thickBot="1" x14ac:dyDescent="0.3">
      <c r="A48" s="131" t="s">
        <v>168</v>
      </c>
      <c r="B48" s="132" t="s">
        <v>199</v>
      </c>
      <c r="C48" s="133">
        <f>'Custo por trabalhador'!E198</f>
        <v>0</v>
      </c>
    </row>
    <row r="49" spans="1:3" ht="16.5" thickBot="1" x14ac:dyDescent="0.3">
      <c r="A49" s="131" t="s">
        <v>170</v>
      </c>
      <c r="B49" s="132" t="s">
        <v>275</v>
      </c>
      <c r="C49" s="133">
        <f>ROUND('Custo por trabalhador'!E209,2)</f>
        <v>110.16</v>
      </c>
    </row>
    <row r="50" spans="1:3" ht="16.5" thickBot="1" x14ac:dyDescent="0.3">
      <c r="A50" s="131" t="s">
        <v>172</v>
      </c>
      <c r="B50" s="132" t="s">
        <v>177</v>
      </c>
      <c r="C50" s="133"/>
    </row>
    <row r="51" spans="1:3" ht="16.5" thickBot="1" x14ac:dyDescent="0.3">
      <c r="A51" s="291" t="s">
        <v>10</v>
      </c>
      <c r="B51" s="292"/>
      <c r="C51" s="133">
        <f>ROUND(SUM(C47:C50),2)</f>
        <v>110.16</v>
      </c>
    </row>
    <row r="54" spans="1:3" x14ac:dyDescent="0.25">
      <c r="A54" s="293" t="s">
        <v>200</v>
      </c>
      <c r="B54" s="293"/>
      <c r="C54" s="293"/>
    </row>
    <row r="55" spans="1:3" ht="16.5" thickBot="1" x14ac:dyDescent="0.3"/>
    <row r="56" spans="1:3" ht="16.5" thickBot="1" x14ac:dyDescent="0.3">
      <c r="A56" s="129">
        <v>2</v>
      </c>
      <c r="B56" s="130" t="s">
        <v>201</v>
      </c>
      <c r="C56" s="130" t="s">
        <v>165</v>
      </c>
    </row>
    <row r="57" spans="1:3" ht="16.5" thickBot="1" x14ac:dyDescent="0.3">
      <c r="A57" s="131" t="s">
        <v>180</v>
      </c>
      <c r="B57" s="132" t="s">
        <v>181</v>
      </c>
      <c r="C57" s="133">
        <f>ROUND(C27,2)</f>
        <v>860.65</v>
      </c>
    </row>
    <row r="58" spans="1:3" ht="16.5" thickBot="1" x14ac:dyDescent="0.3">
      <c r="A58" s="131" t="s">
        <v>185</v>
      </c>
      <c r="B58" s="132" t="s">
        <v>186</v>
      </c>
      <c r="C58" s="145">
        <f>ROUND(D41,2)</f>
        <v>2104.17</v>
      </c>
    </row>
    <row r="59" spans="1:3" ht="16.5" thickBot="1" x14ac:dyDescent="0.3">
      <c r="A59" s="131" t="s">
        <v>196</v>
      </c>
      <c r="B59" s="132" t="s">
        <v>197</v>
      </c>
      <c r="C59" s="133">
        <f>ROUND(C51,2)</f>
        <v>110.16</v>
      </c>
    </row>
    <row r="60" spans="1:3" ht="16.5" thickBot="1" x14ac:dyDescent="0.3">
      <c r="A60" s="291" t="s">
        <v>10</v>
      </c>
      <c r="B60" s="292"/>
      <c r="C60" s="145">
        <f>SUM(C57:C59)</f>
        <v>3074.98</v>
      </c>
    </row>
    <row r="61" spans="1:3" x14ac:dyDescent="0.25">
      <c r="A61" s="23"/>
    </row>
    <row r="63" spans="1:3" x14ac:dyDescent="0.25">
      <c r="A63" s="276" t="s">
        <v>202</v>
      </c>
      <c r="B63" s="276"/>
      <c r="C63" s="276"/>
    </row>
    <row r="64" spans="1:3" ht="16.5" thickBot="1" x14ac:dyDescent="0.3"/>
    <row r="65" spans="1:3" ht="16.5" thickBot="1" x14ac:dyDescent="0.3">
      <c r="A65" s="129">
        <v>3</v>
      </c>
      <c r="B65" s="130" t="s">
        <v>203</v>
      </c>
      <c r="C65" s="130" t="s">
        <v>165</v>
      </c>
    </row>
    <row r="66" spans="1:3" ht="16.5" thickBot="1" x14ac:dyDescent="0.3">
      <c r="A66" s="131" t="s">
        <v>166</v>
      </c>
      <c r="B66" s="136" t="s">
        <v>204</v>
      </c>
      <c r="C66" s="145">
        <f>(('Custo por trabalhador'!E264)-('Custo por trabalhador'!E129/12))*0.45</f>
        <v>202.389375</v>
      </c>
    </row>
    <row r="67" spans="1:3" ht="16.5" thickBot="1" x14ac:dyDescent="0.3">
      <c r="A67" s="131" t="s">
        <v>168</v>
      </c>
      <c r="B67" s="136" t="s">
        <v>205</v>
      </c>
      <c r="C67" s="178">
        <f>ROUND(('Custo por trabalhador'!E129/12)*0.45,2)</f>
        <v>15.86</v>
      </c>
    </row>
    <row r="68" spans="1:3" ht="16.5" thickBot="1" x14ac:dyDescent="0.3">
      <c r="A68" s="131" t="s">
        <v>170</v>
      </c>
      <c r="B68" s="136" t="s">
        <v>206</v>
      </c>
      <c r="C68" s="145">
        <f>ROUND(('Custo por trabalhador'!E273)*0.45,2)</f>
        <v>95.17</v>
      </c>
    </row>
    <row r="69" spans="1:3" ht="16.5" thickBot="1" x14ac:dyDescent="0.3">
      <c r="A69" s="131" t="s">
        <v>172</v>
      </c>
      <c r="B69" s="136" t="s">
        <v>207</v>
      </c>
      <c r="C69" s="145">
        <f>('Custo por trabalhador'!H56/12)*0.55</f>
        <v>202.86750000000001</v>
      </c>
    </row>
    <row r="70" spans="1:3" ht="16.5" thickBot="1" x14ac:dyDescent="0.3">
      <c r="A70" s="131" t="s">
        <v>173</v>
      </c>
      <c r="B70" s="136" t="s">
        <v>208</v>
      </c>
      <c r="C70" s="145">
        <f>('Custo por trabalhador'!F240/12)*0.55</f>
        <v>140.93658333333335</v>
      </c>
    </row>
    <row r="71" spans="1:3" ht="16.5" thickBot="1" x14ac:dyDescent="0.3">
      <c r="A71" s="131" t="s">
        <v>175</v>
      </c>
      <c r="B71" s="136" t="s">
        <v>209</v>
      </c>
      <c r="C71" s="145">
        <f>('Custo por trabalhador'!E303)*0.55</f>
        <v>116.31400000000001</v>
      </c>
    </row>
    <row r="72" spans="1:3" ht="16.5" thickBot="1" x14ac:dyDescent="0.3">
      <c r="A72" s="291" t="s">
        <v>10</v>
      </c>
      <c r="B72" s="292"/>
      <c r="C72" s="145">
        <f>ROUND(C66+C68+C69+C71+C67+F64+C70,2)</f>
        <v>773.54</v>
      </c>
    </row>
    <row r="75" spans="1:3" x14ac:dyDescent="0.25">
      <c r="A75" s="276" t="s">
        <v>210</v>
      </c>
      <c r="B75" s="276"/>
      <c r="C75" s="276"/>
    </row>
    <row r="78" spans="1:3" x14ac:dyDescent="0.25">
      <c r="A78" s="293" t="s">
        <v>211</v>
      </c>
      <c r="B78" s="293"/>
      <c r="C78" s="293"/>
    </row>
    <row r="79" spans="1:3" ht="16.5" thickBot="1" x14ac:dyDescent="0.3">
      <c r="A79" s="29"/>
    </row>
    <row r="80" spans="1:3" ht="16.5" thickBot="1" x14ac:dyDescent="0.3">
      <c r="A80" s="129" t="s">
        <v>212</v>
      </c>
      <c r="B80" s="130" t="s">
        <v>213</v>
      </c>
      <c r="C80" s="130" t="s">
        <v>165</v>
      </c>
    </row>
    <row r="81" spans="1:3" ht="16.5" thickBot="1" x14ac:dyDescent="0.3">
      <c r="A81" s="131" t="s">
        <v>166</v>
      </c>
      <c r="B81" s="132" t="s">
        <v>14</v>
      </c>
      <c r="C81" s="297">
        <f>ROUND('Custo por trabalhador'!F402,2)</f>
        <v>1493.37</v>
      </c>
    </row>
    <row r="82" spans="1:3" ht="16.5" thickBot="1" x14ac:dyDescent="0.3">
      <c r="A82" s="131" t="s">
        <v>168</v>
      </c>
      <c r="B82" s="132" t="s">
        <v>213</v>
      </c>
      <c r="C82" s="298"/>
    </row>
    <row r="83" spans="1:3" ht="16.5" thickBot="1" x14ac:dyDescent="0.3">
      <c r="A83" s="131" t="s">
        <v>170</v>
      </c>
      <c r="B83" s="132" t="s">
        <v>214</v>
      </c>
      <c r="C83" s="298"/>
    </row>
    <row r="84" spans="1:3" ht="16.5" thickBot="1" x14ac:dyDescent="0.3">
      <c r="A84" s="131" t="s">
        <v>172</v>
      </c>
      <c r="B84" s="132" t="s">
        <v>215</v>
      </c>
      <c r="C84" s="298"/>
    </row>
    <row r="85" spans="1:3" ht="16.5" thickBot="1" x14ac:dyDescent="0.3">
      <c r="A85" s="131" t="s">
        <v>173</v>
      </c>
      <c r="B85" s="132" t="s">
        <v>216</v>
      </c>
      <c r="C85" s="298"/>
    </row>
    <row r="86" spans="1:3" ht="16.5" thickBot="1" x14ac:dyDescent="0.3">
      <c r="A86" s="131" t="s">
        <v>175</v>
      </c>
      <c r="B86" s="132" t="s">
        <v>177</v>
      </c>
      <c r="C86" s="299"/>
    </row>
    <row r="87" spans="1:3" ht="16.5" thickBot="1" x14ac:dyDescent="0.3">
      <c r="A87" s="291" t="s">
        <v>194</v>
      </c>
      <c r="B87" s="292"/>
      <c r="C87" s="133">
        <f>C81</f>
        <v>1493.37</v>
      </c>
    </row>
    <row r="90" spans="1:3" x14ac:dyDescent="0.25">
      <c r="A90" s="293" t="s">
        <v>217</v>
      </c>
      <c r="B90" s="293"/>
      <c r="C90" s="293"/>
    </row>
    <row r="91" spans="1:3" ht="16.5" thickBot="1" x14ac:dyDescent="0.3">
      <c r="A91" s="29"/>
    </row>
    <row r="92" spans="1:3" ht="16.5" thickBot="1" x14ac:dyDescent="0.3">
      <c r="A92" s="129" t="s">
        <v>218</v>
      </c>
      <c r="B92" s="130" t="s">
        <v>219</v>
      </c>
      <c r="C92" s="130" t="s">
        <v>165</v>
      </c>
    </row>
    <row r="93" spans="1:3" ht="16.5" thickBot="1" x14ac:dyDescent="0.3">
      <c r="A93" s="131" t="s">
        <v>166</v>
      </c>
      <c r="B93" s="132" t="s">
        <v>244</v>
      </c>
      <c r="C93" s="133">
        <f>'Custo por trabalhador'!E423</f>
        <v>0</v>
      </c>
    </row>
    <row r="94" spans="1:3" ht="16.5" thickBot="1" x14ac:dyDescent="0.3">
      <c r="A94" s="291" t="s">
        <v>10</v>
      </c>
      <c r="B94" s="292"/>
      <c r="C94" s="133">
        <v>0</v>
      </c>
    </row>
    <row r="97" spans="1:3" x14ac:dyDescent="0.25">
      <c r="A97" s="293" t="s">
        <v>220</v>
      </c>
      <c r="B97" s="293"/>
      <c r="C97" s="293"/>
    </row>
    <row r="98" spans="1:3" ht="16.5" thickBot="1" x14ac:dyDescent="0.3">
      <c r="A98" s="29"/>
    </row>
    <row r="99" spans="1:3" ht="16.5" thickBot="1" x14ac:dyDescent="0.3">
      <c r="A99" s="129">
        <v>4</v>
      </c>
      <c r="B99" s="130" t="s">
        <v>221</v>
      </c>
      <c r="C99" s="130" t="s">
        <v>165</v>
      </c>
    </row>
    <row r="100" spans="1:3" ht="16.5" thickBot="1" x14ac:dyDescent="0.3">
      <c r="A100" s="131" t="s">
        <v>212</v>
      </c>
      <c r="B100" s="132" t="s">
        <v>213</v>
      </c>
      <c r="C100" s="133">
        <f>C87</f>
        <v>1493.37</v>
      </c>
    </row>
    <row r="101" spans="1:3" ht="16.5" thickBot="1" x14ac:dyDescent="0.3">
      <c r="A101" s="131" t="s">
        <v>218</v>
      </c>
      <c r="B101" s="132" t="s">
        <v>219</v>
      </c>
      <c r="C101" s="133">
        <f>C94</f>
        <v>0</v>
      </c>
    </row>
    <row r="102" spans="1:3" ht="16.5" thickBot="1" x14ac:dyDescent="0.3">
      <c r="A102" s="291" t="s">
        <v>10</v>
      </c>
      <c r="B102" s="292"/>
      <c r="C102" s="133">
        <f>SUM(C100:C101)</f>
        <v>1493.37</v>
      </c>
    </row>
    <row r="105" spans="1:3" x14ac:dyDescent="0.25">
      <c r="A105" s="276" t="s">
        <v>222</v>
      </c>
      <c r="B105" s="276"/>
      <c r="C105" s="276"/>
    </row>
    <row r="106" spans="1:3" ht="16.5" thickBot="1" x14ac:dyDescent="0.3"/>
    <row r="107" spans="1:3" ht="16.5" thickBot="1" x14ac:dyDescent="0.3">
      <c r="A107" s="129">
        <v>5</v>
      </c>
      <c r="B107" s="137" t="s">
        <v>125</v>
      </c>
      <c r="C107" s="130" t="s">
        <v>165</v>
      </c>
    </row>
    <row r="108" spans="1:3" ht="16.5" thickBot="1" x14ac:dyDescent="0.3">
      <c r="A108" s="131" t="s">
        <v>166</v>
      </c>
      <c r="B108" s="132" t="s">
        <v>223</v>
      </c>
      <c r="C108" s="171">
        <f>'Custo por trabalhador'!D455</f>
        <v>93.62833333333333</v>
      </c>
    </row>
    <row r="109" spans="1:3" ht="16.5" thickBot="1" x14ac:dyDescent="0.3">
      <c r="A109" s="131" t="s">
        <v>168</v>
      </c>
      <c r="B109" s="132" t="s">
        <v>224</v>
      </c>
      <c r="C109" s="133">
        <v>0</v>
      </c>
    </row>
    <row r="110" spans="1:3" ht="16.5" thickBot="1" x14ac:dyDescent="0.3">
      <c r="A110" s="131" t="s">
        <v>170</v>
      </c>
      <c r="B110" s="132" t="s">
        <v>225</v>
      </c>
      <c r="C110" s="171">
        <f>'Custo por trabalhador'!E478</f>
        <v>68.108333333333334</v>
      </c>
    </row>
    <row r="111" spans="1:3" ht="16.5" thickBot="1" x14ac:dyDescent="0.3">
      <c r="A111" s="131" t="s">
        <v>172</v>
      </c>
      <c r="B111" s="132" t="s">
        <v>177</v>
      </c>
      <c r="C111" s="133">
        <v>0</v>
      </c>
    </row>
    <row r="112" spans="1:3" ht="16.5" thickBot="1" x14ac:dyDescent="0.3">
      <c r="A112" s="291" t="s">
        <v>194</v>
      </c>
      <c r="B112" s="292"/>
      <c r="C112" s="171">
        <f>SUM(C108:C111)</f>
        <v>161.73666666666668</v>
      </c>
    </row>
    <row r="115" spans="1:4" x14ac:dyDescent="0.25">
      <c r="A115" s="276" t="s">
        <v>226</v>
      </c>
      <c r="B115" s="276"/>
      <c r="C115" s="276"/>
    </row>
    <row r="116" spans="1:4" ht="16.5" thickBot="1" x14ac:dyDescent="0.3"/>
    <row r="117" spans="1:4" ht="16.5" thickBot="1" x14ac:dyDescent="0.3">
      <c r="A117" s="129">
        <v>6</v>
      </c>
      <c r="B117" s="137" t="s">
        <v>126</v>
      </c>
      <c r="C117" s="130" t="s">
        <v>187</v>
      </c>
      <c r="D117" s="130" t="s">
        <v>165</v>
      </c>
    </row>
    <row r="118" spans="1:4" ht="16.5" thickBot="1" x14ac:dyDescent="0.3">
      <c r="A118" s="131" t="s">
        <v>166</v>
      </c>
      <c r="B118" s="132" t="s">
        <v>147</v>
      </c>
      <c r="C118" s="134">
        <f>'Custo por trabalhador'!C491</f>
        <v>0.03</v>
      </c>
      <c r="D118" s="145">
        <f>($C$17+$C$60+$C$72+$C$102+$C$112)*C118</f>
        <v>297.89480000000003</v>
      </c>
    </row>
    <row r="119" spans="1:4" ht="16.5" thickBot="1" x14ac:dyDescent="0.3">
      <c r="A119" s="131" t="s">
        <v>168</v>
      </c>
      <c r="B119" s="132" t="s">
        <v>149</v>
      </c>
      <c r="C119" s="134">
        <f>'Custo por trabalhador'!C493</f>
        <v>6.7900000000000002E-2</v>
      </c>
      <c r="D119" s="145">
        <f t="shared" ref="D119:D124" si="1">($C$17+$C$60+$C$72+$C$87+$C$112)*C119</f>
        <v>674.23523066666678</v>
      </c>
    </row>
    <row r="120" spans="1:4" ht="16.5" thickBot="1" x14ac:dyDescent="0.3">
      <c r="A120" s="131" t="s">
        <v>170</v>
      </c>
      <c r="B120" s="132" t="s">
        <v>148</v>
      </c>
      <c r="C120" s="134">
        <f>'Custo por trabalhador'!C492</f>
        <v>0.14249999999999999</v>
      </c>
      <c r="D120" s="145">
        <f t="shared" si="1"/>
        <v>1415.0002999999999</v>
      </c>
    </row>
    <row r="121" spans="1:4" ht="16.5" thickBot="1" x14ac:dyDescent="0.3">
      <c r="A121" s="131"/>
      <c r="B121" s="132" t="s">
        <v>283</v>
      </c>
      <c r="C121" s="172">
        <f>1.65%+7.6%</f>
        <v>9.2499999999999999E-2</v>
      </c>
      <c r="D121" s="145"/>
    </row>
    <row r="122" spans="1:4" ht="16.5" thickBot="1" x14ac:dyDescent="0.3">
      <c r="A122" s="131"/>
      <c r="B122" s="132" t="s">
        <v>284</v>
      </c>
      <c r="C122" s="172">
        <v>0</v>
      </c>
      <c r="D122" s="145"/>
    </row>
    <row r="123" spans="1:4" ht="16.5" thickBot="1" x14ac:dyDescent="0.3">
      <c r="A123" s="131"/>
      <c r="B123" s="132" t="s">
        <v>285</v>
      </c>
      <c r="C123" s="134">
        <v>0.05</v>
      </c>
      <c r="D123" s="145"/>
    </row>
    <row r="124" spans="1:4" ht="16.5" thickBot="1" x14ac:dyDescent="0.3">
      <c r="A124" s="291" t="s">
        <v>194</v>
      </c>
      <c r="B124" s="292"/>
      <c r="C124" s="134">
        <f>'Custo por trabalhador'!D497</f>
        <v>0.3044579533941234</v>
      </c>
      <c r="D124" s="145">
        <f t="shared" si="1"/>
        <v>3023.2147044917242</v>
      </c>
    </row>
    <row r="127" spans="1:4" x14ac:dyDescent="0.25">
      <c r="A127" s="276" t="s">
        <v>227</v>
      </c>
      <c r="B127" s="276"/>
      <c r="C127" s="276"/>
    </row>
    <row r="128" spans="1:4" ht="16.5" thickBot="1" x14ac:dyDescent="0.3"/>
    <row r="129" spans="1:4" ht="16.5" thickBot="1" x14ac:dyDescent="0.3">
      <c r="A129" s="129"/>
      <c r="B129" s="130" t="s">
        <v>228</v>
      </c>
      <c r="C129" s="130" t="s">
        <v>165</v>
      </c>
    </row>
    <row r="130" spans="1:4" ht="16.5" thickBot="1" x14ac:dyDescent="0.3">
      <c r="A130" s="139" t="s">
        <v>166</v>
      </c>
      <c r="B130" s="132" t="s">
        <v>163</v>
      </c>
      <c r="C130" s="132">
        <f>C17</f>
        <v>4426.2</v>
      </c>
    </row>
    <row r="131" spans="1:4" ht="16.5" thickBot="1" x14ac:dyDescent="0.3">
      <c r="A131" s="139" t="s">
        <v>168</v>
      </c>
      <c r="B131" s="132" t="s">
        <v>178</v>
      </c>
      <c r="C131" s="132">
        <f>C60</f>
        <v>3074.98</v>
      </c>
    </row>
    <row r="132" spans="1:4" ht="16.5" thickBot="1" x14ac:dyDescent="0.3">
      <c r="A132" s="139" t="s">
        <v>170</v>
      </c>
      <c r="B132" s="132" t="s">
        <v>202</v>
      </c>
      <c r="C132" s="132">
        <f>C72</f>
        <v>773.54</v>
      </c>
    </row>
    <row r="133" spans="1:4" ht="16.5" thickBot="1" x14ac:dyDescent="0.3">
      <c r="A133" s="139" t="s">
        <v>172</v>
      </c>
      <c r="B133" s="132" t="s">
        <v>210</v>
      </c>
      <c r="C133" s="132">
        <f>C87</f>
        <v>1493.37</v>
      </c>
    </row>
    <row r="134" spans="1:4" ht="16.5" thickBot="1" x14ac:dyDescent="0.3">
      <c r="A134" s="139" t="s">
        <v>173</v>
      </c>
      <c r="B134" s="132" t="s">
        <v>222</v>
      </c>
      <c r="C134" s="173">
        <f>C112</f>
        <v>161.73666666666668</v>
      </c>
    </row>
    <row r="135" spans="1:4" ht="16.5" thickBot="1" x14ac:dyDescent="0.3">
      <c r="A135" s="291" t="s">
        <v>229</v>
      </c>
      <c r="B135" s="292"/>
      <c r="C135" s="132">
        <f>ROUND(SUM(C130:C134),2)</f>
        <v>9929.83</v>
      </c>
    </row>
    <row r="136" spans="1:4" ht="16.5" thickBot="1" x14ac:dyDescent="0.3">
      <c r="A136" s="139" t="s">
        <v>175</v>
      </c>
      <c r="B136" s="132" t="s">
        <v>230</v>
      </c>
      <c r="C136" s="174">
        <f>D124</f>
        <v>3023.2147044917242</v>
      </c>
    </row>
    <row r="137" spans="1:4" ht="16.5" thickBot="1" x14ac:dyDescent="0.3">
      <c r="A137" s="291" t="s">
        <v>231</v>
      </c>
      <c r="B137" s="292"/>
      <c r="C137" s="174">
        <f>C135+C136</f>
        <v>12953.044704491724</v>
      </c>
    </row>
    <row r="140" spans="1:4" x14ac:dyDescent="0.25">
      <c r="D140" s="187" t="s">
        <v>300</v>
      </c>
    </row>
    <row r="141" spans="1:4" ht="66.75" customHeight="1" x14ac:dyDescent="0.25">
      <c r="A141" s="294" t="s">
        <v>301</v>
      </c>
      <c r="B141" s="294"/>
      <c r="C141" s="294"/>
      <c r="D141" s="294"/>
    </row>
  </sheetData>
  <mergeCells count="32">
    <mergeCell ref="A141:D141"/>
    <mergeCell ref="A137:B137"/>
    <mergeCell ref="A105:C105"/>
    <mergeCell ref="A112:B112"/>
    <mergeCell ref="A115:C115"/>
    <mergeCell ref="A124:B124"/>
    <mergeCell ref="A127:C127"/>
    <mergeCell ref="A135:B135"/>
    <mergeCell ref="A102:B102"/>
    <mergeCell ref="A54:C54"/>
    <mergeCell ref="A60:B60"/>
    <mergeCell ref="A63:C63"/>
    <mergeCell ref="A72:B72"/>
    <mergeCell ref="A75:C75"/>
    <mergeCell ref="A78:C78"/>
    <mergeCell ref="C81:C86"/>
    <mergeCell ref="A87:B87"/>
    <mergeCell ref="A90:C90"/>
    <mergeCell ref="A94:B94"/>
    <mergeCell ref="A97:C97"/>
    <mergeCell ref="A51:B51"/>
    <mergeCell ref="A2:D2"/>
    <mergeCell ref="A3:D3"/>
    <mergeCell ref="A4:D4"/>
    <mergeCell ref="A7:C7"/>
    <mergeCell ref="A17:B17"/>
    <mergeCell ref="A20:C20"/>
    <mergeCell ref="A22:C22"/>
    <mergeCell ref="A27:B27"/>
    <mergeCell ref="A30:D30"/>
    <mergeCell ref="A41:B41"/>
    <mergeCell ref="A44:C44"/>
  </mergeCells>
  <pageMargins left="0.511811024" right="0.511811024" top="0.78740157499999996" bottom="0.78740157499999996" header="0.31496062000000002" footer="0.31496062000000002"/>
  <pageSetup paperSize="9" scale="81" fitToHeight="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42"/>
  <sheetViews>
    <sheetView showGridLines="0" zoomScale="115" zoomScaleNormal="115" workbookViewId="0">
      <selection activeCell="G142" sqref="G142"/>
    </sheetView>
  </sheetViews>
  <sheetFormatPr defaultRowHeight="15.75" x14ac:dyDescent="0.25"/>
  <cols>
    <col min="1" max="1" width="9.140625" style="138"/>
    <col min="2" max="2" width="72.140625" style="138" customWidth="1"/>
    <col min="3" max="3" width="18" style="138" customWidth="1"/>
    <col min="4" max="4" width="14.28515625" style="138" customWidth="1"/>
    <col min="5" max="5" width="12.7109375" style="138" customWidth="1"/>
    <col min="6" max="6" width="12" style="138" customWidth="1"/>
    <col min="7" max="7" width="15.140625" style="138" customWidth="1"/>
    <col min="8" max="16384" width="9.140625" style="138"/>
  </cols>
  <sheetData>
    <row r="1" spans="1:4" ht="75" customHeight="1" x14ac:dyDescent="0.25"/>
    <row r="2" spans="1:4" ht="23.25" x14ac:dyDescent="0.35">
      <c r="A2" s="290" t="s">
        <v>232</v>
      </c>
      <c r="B2" s="290"/>
      <c r="C2" s="290"/>
      <c r="D2" s="290"/>
    </row>
    <row r="3" spans="1:4" ht="23.25" x14ac:dyDescent="0.35">
      <c r="A3" s="290" t="s">
        <v>288</v>
      </c>
      <c r="B3" s="290"/>
      <c r="C3" s="290"/>
      <c r="D3" s="290"/>
    </row>
    <row r="4" spans="1:4" x14ac:dyDescent="0.25">
      <c r="A4" s="295" t="s">
        <v>243</v>
      </c>
      <c r="B4" s="295"/>
      <c r="C4" s="295"/>
      <c r="D4" s="295"/>
    </row>
    <row r="5" spans="1:4" ht="16.5" thickBot="1" x14ac:dyDescent="0.3"/>
    <row r="6" spans="1:4" ht="16.5" thickBot="1" x14ac:dyDescent="0.3">
      <c r="A6" s="175"/>
      <c r="B6" s="177" t="s">
        <v>288</v>
      </c>
      <c r="C6" s="176"/>
    </row>
    <row r="7" spans="1:4" x14ac:dyDescent="0.25">
      <c r="A7" s="276" t="s">
        <v>163</v>
      </c>
      <c r="B7" s="276"/>
      <c r="C7" s="276"/>
    </row>
    <row r="8" spans="1:4" ht="16.5" thickBot="1" x14ac:dyDescent="0.3"/>
    <row r="9" spans="1:4" ht="16.5" thickBot="1" x14ac:dyDescent="0.3">
      <c r="A9" s="129">
        <v>1</v>
      </c>
      <c r="B9" s="130" t="s">
        <v>164</v>
      </c>
      <c r="C9" s="130" t="s">
        <v>165</v>
      </c>
    </row>
    <row r="10" spans="1:4" ht="16.5" thickBot="1" x14ac:dyDescent="0.3">
      <c r="A10" s="131" t="s">
        <v>166</v>
      </c>
      <c r="B10" s="132" t="s">
        <v>167</v>
      </c>
      <c r="C10" s="133">
        <v>5000</v>
      </c>
    </row>
    <row r="11" spans="1:4" ht="16.5" thickBot="1" x14ac:dyDescent="0.3">
      <c r="A11" s="131" t="s">
        <v>168</v>
      </c>
      <c r="B11" s="132" t="s">
        <v>169</v>
      </c>
      <c r="C11" s="133">
        <v>0</v>
      </c>
    </row>
    <row r="12" spans="1:4" ht="16.5" thickBot="1" x14ac:dyDescent="0.3">
      <c r="A12" s="131" t="s">
        <v>170</v>
      </c>
      <c r="B12" s="132" t="s">
        <v>171</v>
      </c>
      <c r="C12" s="133">
        <v>0</v>
      </c>
    </row>
    <row r="13" spans="1:4" ht="16.5" thickBot="1" x14ac:dyDescent="0.3">
      <c r="A13" s="131" t="s">
        <v>172</v>
      </c>
      <c r="B13" s="132" t="s">
        <v>7</v>
      </c>
      <c r="C13" s="133">
        <v>0</v>
      </c>
    </row>
    <row r="14" spans="1:4" ht="16.5" thickBot="1" x14ac:dyDescent="0.3">
      <c r="A14" s="131" t="s">
        <v>173</v>
      </c>
      <c r="B14" s="132" t="s">
        <v>174</v>
      </c>
      <c r="C14" s="133">
        <v>0</v>
      </c>
    </row>
    <row r="15" spans="1:4" ht="16.5" thickBot="1" x14ac:dyDescent="0.3">
      <c r="A15" s="131"/>
      <c r="B15" s="132"/>
      <c r="C15" s="133"/>
    </row>
    <row r="16" spans="1:4" ht="16.5" thickBot="1" x14ac:dyDescent="0.3">
      <c r="A16" s="131" t="s">
        <v>176</v>
      </c>
      <c r="B16" s="132" t="s">
        <v>177</v>
      </c>
      <c r="C16" s="133">
        <v>0</v>
      </c>
    </row>
    <row r="17" spans="1:4" ht="16.5" thickBot="1" x14ac:dyDescent="0.3">
      <c r="A17" s="291" t="s">
        <v>10</v>
      </c>
      <c r="B17" s="292"/>
      <c r="C17" s="133">
        <f>ROUND(C10+C11,2)</f>
        <v>5000</v>
      </c>
    </row>
    <row r="20" spans="1:4" x14ac:dyDescent="0.25">
      <c r="A20" s="276" t="s">
        <v>178</v>
      </c>
      <c r="B20" s="276"/>
      <c r="C20" s="276"/>
    </row>
    <row r="21" spans="1:4" x14ac:dyDescent="0.25">
      <c r="A21" s="29"/>
    </row>
    <row r="22" spans="1:4" x14ac:dyDescent="0.25">
      <c r="A22" s="293" t="s">
        <v>179</v>
      </c>
      <c r="B22" s="293"/>
      <c r="C22" s="293"/>
    </row>
    <row r="23" spans="1:4" ht="16.5" thickBot="1" x14ac:dyDescent="0.3"/>
    <row r="24" spans="1:4" ht="16.5" thickBot="1" x14ac:dyDescent="0.3">
      <c r="A24" s="129" t="s">
        <v>180</v>
      </c>
      <c r="B24" s="130" t="s">
        <v>181</v>
      </c>
      <c r="C24" s="130" t="s">
        <v>165</v>
      </c>
    </row>
    <row r="25" spans="1:4" ht="16.5" thickBot="1" x14ac:dyDescent="0.3">
      <c r="A25" s="131" t="s">
        <v>166</v>
      </c>
      <c r="B25" s="132" t="s">
        <v>182</v>
      </c>
      <c r="C25" s="133">
        <f>ROUND('Custo por trabalhador'!E70,2)</f>
        <v>416.67</v>
      </c>
    </row>
    <row r="26" spans="1:4" ht="16.5" thickBot="1" x14ac:dyDescent="0.3">
      <c r="A26" s="131" t="s">
        <v>168</v>
      </c>
      <c r="B26" s="132" t="s">
        <v>183</v>
      </c>
      <c r="C26" s="133">
        <f>ROUND('Custo por trabalhador'!E79+'Custo por trabalhador'!F88,2)</f>
        <v>555.55999999999995</v>
      </c>
    </row>
    <row r="27" spans="1:4" ht="16.5" thickBot="1" x14ac:dyDescent="0.3">
      <c r="A27" s="291" t="s">
        <v>10</v>
      </c>
      <c r="B27" s="292"/>
      <c r="C27" s="133">
        <f>C25+C26</f>
        <v>972.23</v>
      </c>
    </row>
    <row r="30" spans="1:4" ht="32.25" customHeight="1" x14ac:dyDescent="0.25">
      <c r="A30" s="296" t="s">
        <v>184</v>
      </c>
      <c r="B30" s="296"/>
      <c r="C30" s="296"/>
      <c r="D30" s="296"/>
    </row>
    <row r="31" spans="1:4" ht="16.5" thickBot="1" x14ac:dyDescent="0.3"/>
    <row r="32" spans="1:4" ht="16.5" thickBot="1" x14ac:dyDescent="0.3">
      <c r="A32" s="129" t="s">
        <v>185</v>
      </c>
      <c r="B32" s="130" t="s">
        <v>186</v>
      </c>
      <c r="C32" s="130" t="s">
        <v>187</v>
      </c>
      <c r="D32" s="130" t="s">
        <v>165</v>
      </c>
    </row>
    <row r="33" spans="1:4" ht="16.5" thickBot="1" x14ac:dyDescent="0.3">
      <c r="A33" s="131" t="s">
        <v>166</v>
      </c>
      <c r="B33" s="132" t="s">
        <v>188</v>
      </c>
      <c r="C33" s="134">
        <v>0.2</v>
      </c>
      <c r="D33" s="145">
        <f>C33*($C$17+$C$27)</f>
        <v>1194.4459999999999</v>
      </c>
    </row>
    <row r="34" spans="1:4" ht="16.5" thickBot="1" x14ac:dyDescent="0.3">
      <c r="A34" s="131" t="s">
        <v>168</v>
      </c>
      <c r="B34" s="132" t="s">
        <v>189</v>
      </c>
      <c r="C34" s="134">
        <v>2.5000000000000001E-2</v>
      </c>
      <c r="D34" s="145">
        <f t="shared" ref="D34:D40" si="0">C34*($C$17+$C$27)</f>
        <v>149.30574999999999</v>
      </c>
    </row>
    <row r="35" spans="1:4" ht="16.5" thickBot="1" x14ac:dyDescent="0.3">
      <c r="A35" s="131" t="s">
        <v>170</v>
      </c>
      <c r="B35" s="132" t="s">
        <v>190</v>
      </c>
      <c r="C35" s="169">
        <v>0.06</v>
      </c>
      <c r="D35" s="145">
        <f t="shared" si="0"/>
        <v>358.33379999999994</v>
      </c>
    </row>
    <row r="36" spans="1:4" ht="16.5" thickBot="1" x14ac:dyDescent="0.3">
      <c r="A36" s="131" t="s">
        <v>172</v>
      </c>
      <c r="B36" s="132" t="s">
        <v>191</v>
      </c>
      <c r="C36" s="134">
        <v>1.4999999999999999E-2</v>
      </c>
      <c r="D36" s="145">
        <f t="shared" si="0"/>
        <v>89.583449999999985</v>
      </c>
    </row>
    <row r="37" spans="1:4" ht="16.5" thickBot="1" x14ac:dyDescent="0.3">
      <c r="A37" s="131" t="s">
        <v>173</v>
      </c>
      <c r="B37" s="132" t="s">
        <v>192</v>
      </c>
      <c r="C37" s="134">
        <v>0.01</v>
      </c>
      <c r="D37" s="145">
        <f t="shared" si="0"/>
        <v>59.722299999999997</v>
      </c>
    </row>
    <row r="38" spans="1:4" ht="16.5" thickBot="1" x14ac:dyDescent="0.3">
      <c r="A38" s="131" t="s">
        <v>175</v>
      </c>
      <c r="B38" s="132" t="s">
        <v>23</v>
      </c>
      <c r="C38" s="134">
        <v>6.0000000000000001E-3</v>
      </c>
      <c r="D38" s="145">
        <f t="shared" si="0"/>
        <v>35.833379999999998</v>
      </c>
    </row>
    <row r="39" spans="1:4" ht="16.5" thickBot="1" x14ac:dyDescent="0.3">
      <c r="A39" s="131" t="s">
        <v>176</v>
      </c>
      <c r="B39" s="132" t="s">
        <v>24</v>
      </c>
      <c r="C39" s="134">
        <v>2E-3</v>
      </c>
      <c r="D39" s="145">
        <f t="shared" si="0"/>
        <v>11.944459999999999</v>
      </c>
    </row>
    <row r="40" spans="1:4" ht="16.5" thickBot="1" x14ac:dyDescent="0.3">
      <c r="A40" s="131" t="s">
        <v>193</v>
      </c>
      <c r="B40" s="132" t="s">
        <v>25</v>
      </c>
      <c r="C40" s="134">
        <v>0.08</v>
      </c>
      <c r="D40" s="145">
        <f t="shared" si="0"/>
        <v>477.77839999999998</v>
      </c>
    </row>
    <row r="41" spans="1:4" ht="16.5" thickBot="1" x14ac:dyDescent="0.3">
      <c r="A41" s="291" t="s">
        <v>194</v>
      </c>
      <c r="B41" s="292"/>
      <c r="C41" s="134">
        <f>SUM(C33:C40)</f>
        <v>0.39800000000000008</v>
      </c>
      <c r="D41" s="145">
        <f>ROUND(SUM(D33:D40),2)</f>
        <v>2376.9499999999998</v>
      </c>
    </row>
    <row r="44" spans="1:4" x14ac:dyDescent="0.25">
      <c r="A44" s="293" t="s">
        <v>195</v>
      </c>
      <c r="B44" s="293"/>
      <c r="C44" s="293"/>
    </row>
    <row r="45" spans="1:4" ht="16.5" thickBot="1" x14ac:dyDescent="0.3"/>
    <row r="46" spans="1:4" ht="16.5" thickBot="1" x14ac:dyDescent="0.3">
      <c r="A46" s="129" t="s">
        <v>196</v>
      </c>
      <c r="B46" s="130" t="s">
        <v>197</v>
      </c>
      <c r="C46" s="130" t="s">
        <v>165</v>
      </c>
    </row>
    <row r="47" spans="1:4" ht="16.5" thickBot="1" x14ac:dyDescent="0.3">
      <c r="A47" s="131" t="s">
        <v>166</v>
      </c>
      <c r="B47" s="132" t="s">
        <v>198</v>
      </c>
      <c r="C47" s="133">
        <f>ROUND('Custo por trabalhador'!E170,2)</f>
        <v>0</v>
      </c>
    </row>
    <row r="48" spans="1:4" ht="16.5" thickBot="1" x14ac:dyDescent="0.3">
      <c r="A48" s="131" t="s">
        <v>168</v>
      </c>
      <c r="B48" s="132" t="s">
        <v>199</v>
      </c>
      <c r="C48" s="133">
        <f>'Custo por trabalhador'!E199</f>
        <v>0</v>
      </c>
    </row>
    <row r="49" spans="1:3" ht="16.5" thickBot="1" x14ac:dyDescent="0.3">
      <c r="A49" s="131" t="s">
        <v>170</v>
      </c>
      <c r="B49" s="132" t="s">
        <v>275</v>
      </c>
      <c r="C49" s="133">
        <f>ROUND('Custo por trabalhador'!E210,2)</f>
        <v>110.16</v>
      </c>
    </row>
    <row r="50" spans="1:3" ht="16.5" thickBot="1" x14ac:dyDescent="0.3">
      <c r="A50" s="131" t="s">
        <v>172</v>
      </c>
      <c r="B50" s="132" t="s">
        <v>177</v>
      </c>
      <c r="C50" s="133"/>
    </row>
    <row r="51" spans="1:3" ht="16.5" thickBot="1" x14ac:dyDescent="0.3">
      <c r="A51" s="291" t="s">
        <v>10</v>
      </c>
      <c r="B51" s="292"/>
      <c r="C51" s="133">
        <f>ROUND(SUM(C47:C50),2)</f>
        <v>110.16</v>
      </c>
    </row>
    <row r="54" spans="1:3" x14ac:dyDescent="0.25">
      <c r="A54" s="293" t="s">
        <v>200</v>
      </c>
      <c r="B54" s="293"/>
      <c r="C54" s="293"/>
    </row>
    <row r="55" spans="1:3" ht="16.5" thickBot="1" x14ac:dyDescent="0.3"/>
    <row r="56" spans="1:3" ht="16.5" thickBot="1" x14ac:dyDescent="0.3">
      <c r="A56" s="129">
        <v>2</v>
      </c>
      <c r="B56" s="130" t="s">
        <v>201</v>
      </c>
      <c r="C56" s="130" t="s">
        <v>165</v>
      </c>
    </row>
    <row r="57" spans="1:3" ht="16.5" thickBot="1" x14ac:dyDescent="0.3">
      <c r="A57" s="131" t="s">
        <v>180</v>
      </c>
      <c r="B57" s="132" t="s">
        <v>181</v>
      </c>
      <c r="C57" s="133">
        <f>ROUND(C27,2)</f>
        <v>972.23</v>
      </c>
    </row>
    <row r="58" spans="1:3" ht="16.5" thickBot="1" x14ac:dyDescent="0.3">
      <c r="A58" s="131" t="s">
        <v>185</v>
      </c>
      <c r="B58" s="132" t="s">
        <v>186</v>
      </c>
      <c r="C58" s="145">
        <f>ROUND(D41,2)</f>
        <v>2376.9499999999998</v>
      </c>
    </row>
    <row r="59" spans="1:3" ht="16.5" thickBot="1" x14ac:dyDescent="0.3">
      <c r="A59" s="131" t="s">
        <v>196</v>
      </c>
      <c r="B59" s="132" t="s">
        <v>197</v>
      </c>
      <c r="C59" s="133">
        <f>ROUND(C51,2)</f>
        <v>110.16</v>
      </c>
    </row>
    <row r="60" spans="1:3" ht="16.5" thickBot="1" x14ac:dyDescent="0.3">
      <c r="A60" s="291" t="s">
        <v>10</v>
      </c>
      <c r="B60" s="292"/>
      <c r="C60" s="145">
        <f>SUM(C57:C59)</f>
        <v>3459.3399999999997</v>
      </c>
    </row>
    <row r="61" spans="1:3" x14ac:dyDescent="0.25">
      <c r="A61" s="23"/>
    </row>
    <row r="63" spans="1:3" x14ac:dyDescent="0.25">
      <c r="A63" s="276" t="s">
        <v>202</v>
      </c>
      <c r="B63" s="276"/>
      <c r="C63" s="276"/>
    </row>
    <row r="64" spans="1:3" ht="16.5" thickBot="1" x14ac:dyDescent="0.3"/>
    <row r="65" spans="1:3" ht="16.5" thickBot="1" x14ac:dyDescent="0.3">
      <c r="A65" s="129">
        <v>3</v>
      </c>
      <c r="B65" s="130" t="s">
        <v>203</v>
      </c>
      <c r="C65" s="130" t="s">
        <v>165</v>
      </c>
    </row>
    <row r="66" spans="1:3" ht="16.5" thickBot="1" x14ac:dyDescent="0.3">
      <c r="A66" s="131" t="s">
        <v>166</v>
      </c>
      <c r="B66" s="136" t="s">
        <v>204</v>
      </c>
      <c r="C66" s="145">
        <f>(('Custo por trabalhador'!E265)-('Custo por trabalhador'!E130/12))*0.45</f>
        <v>228.08962500000001</v>
      </c>
    </row>
    <row r="67" spans="1:3" ht="16.5" thickBot="1" x14ac:dyDescent="0.3">
      <c r="A67" s="131" t="s">
        <v>168</v>
      </c>
      <c r="B67" s="136" t="s">
        <v>205</v>
      </c>
      <c r="C67" s="178">
        <f>ROUND(('Custo por trabalhador'!E130/12)*0.45,2)</f>
        <v>17.920000000000002</v>
      </c>
    </row>
    <row r="68" spans="1:3" ht="16.5" thickBot="1" x14ac:dyDescent="0.3">
      <c r="A68" s="131" t="s">
        <v>170</v>
      </c>
      <c r="B68" s="136" t="s">
        <v>206</v>
      </c>
      <c r="C68" s="145">
        <f>ROUND(('Custo por trabalhador'!E274)*0.45,2)</f>
        <v>107.5</v>
      </c>
    </row>
    <row r="69" spans="1:3" ht="16.5" thickBot="1" x14ac:dyDescent="0.3">
      <c r="A69" s="131" t="s">
        <v>172</v>
      </c>
      <c r="B69" s="136" t="s">
        <v>207</v>
      </c>
      <c r="C69" s="145">
        <f>('Custo por trabalhador'!H57/12)*0.55</f>
        <v>229.16666666666669</v>
      </c>
    </row>
    <row r="70" spans="1:3" ht="16.5" thickBot="1" x14ac:dyDescent="0.3">
      <c r="A70" s="131" t="s">
        <v>173</v>
      </c>
      <c r="B70" s="136" t="s">
        <v>208</v>
      </c>
      <c r="C70" s="145">
        <f>('Custo por trabalhador'!F241/12)*0.55</f>
        <v>158.55297058333335</v>
      </c>
    </row>
    <row r="71" spans="1:3" ht="16.5" thickBot="1" x14ac:dyDescent="0.3">
      <c r="A71" s="131" t="s">
        <v>175</v>
      </c>
      <c r="B71" s="136" t="s">
        <v>209</v>
      </c>
      <c r="C71" s="145">
        <f>('Custo por trabalhador'!E304)*0.55</f>
        <v>131.38906</v>
      </c>
    </row>
    <row r="72" spans="1:3" ht="16.5" thickBot="1" x14ac:dyDescent="0.3">
      <c r="A72" s="291" t="s">
        <v>10</v>
      </c>
      <c r="B72" s="292"/>
      <c r="C72" s="145">
        <f>ROUND((C66+C68+C69+C71+C67+C70),2)</f>
        <v>872.62</v>
      </c>
    </row>
    <row r="75" spans="1:3" x14ac:dyDescent="0.25">
      <c r="A75" s="276" t="s">
        <v>210</v>
      </c>
      <c r="B75" s="276"/>
      <c r="C75" s="276"/>
    </row>
    <row r="78" spans="1:3" x14ac:dyDescent="0.25">
      <c r="A78" s="293" t="s">
        <v>211</v>
      </c>
      <c r="B78" s="293"/>
      <c r="C78" s="293"/>
    </row>
    <row r="79" spans="1:3" ht="16.5" thickBot="1" x14ac:dyDescent="0.3">
      <c r="A79" s="29"/>
    </row>
    <row r="80" spans="1:3" ht="16.5" thickBot="1" x14ac:dyDescent="0.3">
      <c r="A80" s="129" t="s">
        <v>212</v>
      </c>
      <c r="B80" s="130" t="s">
        <v>213</v>
      </c>
      <c r="C80" s="130" t="s">
        <v>165</v>
      </c>
    </row>
    <row r="81" spans="1:3" ht="16.5" thickBot="1" x14ac:dyDescent="0.3">
      <c r="A81" s="131" t="s">
        <v>166</v>
      </c>
      <c r="B81" s="132" t="s">
        <v>14</v>
      </c>
      <c r="C81" s="297">
        <f>ROUND('Custo por trabalhador'!F403,2)</f>
        <v>1684.18</v>
      </c>
    </row>
    <row r="82" spans="1:3" ht="16.5" thickBot="1" x14ac:dyDescent="0.3">
      <c r="A82" s="131" t="s">
        <v>168</v>
      </c>
      <c r="B82" s="132" t="s">
        <v>213</v>
      </c>
      <c r="C82" s="298"/>
    </row>
    <row r="83" spans="1:3" ht="16.5" thickBot="1" x14ac:dyDescent="0.3">
      <c r="A83" s="131" t="s">
        <v>170</v>
      </c>
      <c r="B83" s="132" t="s">
        <v>214</v>
      </c>
      <c r="C83" s="298"/>
    </row>
    <row r="84" spans="1:3" ht="16.5" thickBot="1" x14ac:dyDescent="0.3">
      <c r="A84" s="131" t="s">
        <v>172</v>
      </c>
      <c r="B84" s="132" t="s">
        <v>215</v>
      </c>
      <c r="C84" s="298"/>
    </row>
    <row r="85" spans="1:3" ht="16.5" thickBot="1" x14ac:dyDescent="0.3">
      <c r="A85" s="131" t="s">
        <v>173</v>
      </c>
      <c r="B85" s="132" t="s">
        <v>216</v>
      </c>
      <c r="C85" s="298"/>
    </row>
    <row r="86" spans="1:3" ht="16.5" thickBot="1" x14ac:dyDescent="0.3">
      <c r="A86" s="131" t="s">
        <v>175</v>
      </c>
      <c r="B86" s="132" t="s">
        <v>177</v>
      </c>
      <c r="C86" s="299"/>
    </row>
    <row r="87" spans="1:3" ht="16.5" thickBot="1" x14ac:dyDescent="0.3">
      <c r="A87" s="291" t="s">
        <v>194</v>
      </c>
      <c r="B87" s="292"/>
      <c r="C87" s="133">
        <f>C81</f>
        <v>1684.18</v>
      </c>
    </row>
    <row r="90" spans="1:3" x14ac:dyDescent="0.25">
      <c r="A90" s="293" t="s">
        <v>217</v>
      </c>
      <c r="B90" s="293"/>
      <c r="C90" s="293"/>
    </row>
    <row r="91" spans="1:3" ht="16.5" thickBot="1" x14ac:dyDescent="0.3">
      <c r="A91" s="29"/>
    </row>
    <row r="92" spans="1:3" ht="16.5" thickBot="1" x14ac:dyDescent="0.3">
      <c r="A92" s="129" t="s">
        <v>218</v>
      </c>
      <c r="B92" s="130" t="s">
        <v>219</v>
      </c>
      <c r="C92" s="130" t="s">
        <v>165</v>
      </c>
    </row>
    <row r="93" spans="1:3" ht="16.5" thickBot="1" x14ac:dyDescent="0.3">
      <c r="A93" s="131" t="s">
        <v>166</v>
      </c>
      <c r="B93" s="132" t="s">
        <v>244</v>
      </c>
      <c r="C93" s="133">
        <f>'Custo por trabalhador'!E424</f>
        <v>0</v>
      </c>
    </row>
    <row r="94" spans="1:3" ht="16.5" thickBot="1" x14ac:dyDescent="0.3">
      <c r="A94" s="291" t="s">
        <v>10</v>
      </c>
      <c r="B94" s="292"/>
      <c r="C94" s="133">
        <v>0</v>
      </c>
    </row>
    <row r="97" spans="1:3" x14ac:dyDescent="0.25">
      <c r="A97" s="293" t="s">
        <v>220</v>
      </c>
      <c r="B97" s="293"/>
      <c r="C97" s="293"/>
    </row>
    <row r="98" spans="1:3" ht="16.5" thickBot="1" x14ac:dyDescent="0.3">
      <c r="A98" s="29"/>
    </row>
    <row r="99" spans="1:3" ht="16.5" thickBot="1" x14ac:dyDescent="0.3">
      <c r="A99" s="129">
        <v>4</v>
      </c>
      <c r="B99" s="130" t="s">
        <v>221</v>
      </c>
      <c r="C99" s="130" t="s">
        <v>165</v>
      </c>
    </row>
    <row r="100" spans="1:3" ht="16.5" thickBot="1" x14ac:dyDescent="0.3">
      <c r="A100" s="131" t="s">
        <v>212</v>
      </c>
      <c r="B100" s="132" t="s">
        <v>213</v>
      </c>
      <c r="C100" s="133">
        <f>C87</f>
        <v>1684.18</v>
      </c>
    </row>
    <row r="101" spans="1:3" ht="16.5" thickBot="1" x14ac:dyDescent="0.3">
      <c r="A101" s="131" t="s">
        <v>218</v>
      </c>
      <c r="B101" s="132" t="s">
        <v>219</v>
      </c>
      <c r="C101" s="133">
        <f>C94</f>
        <v>0</v>
      </c>
    </row>
    <row r="102" spans="1:3" ht="16.5" thickBot="1" x14ac:dyDescent="0.3">
      <c r="A102" s="291" t="s">
        <v>10</v>
      </c>
      <c r="B102" s="292"/>
      <c r="C102" s="133">
        <f>SUM(C100:C101)</f>
        <v>1684.18</v>
      </c>
    </row>
    <row r="105" spans="1:3" x14ac:dyDescent="0.25">
      <c r="A105" s="276" t="s">
        <v>222</v>
      </c>
      <c r="B105" s="276"/>
      <c r="C105" s="276"/>
    </row>
    <row r="106" spans="1:3" ht="16.5" thickBot="1" x14ac:dyDescent="0.3"/>
    <row r="107" spans="1:3" ht="16.5" thickBot="1" x14ac:dyDescent="0.3">
      <c r="A107" s="129">
        <v>5</v>
      </c>
      <c r="B107" s="137" t="s">
        <v>125</v>
      </c>
      <c r="C107" s="130" t="s">
        <v>165</v>
      </c>
    </row>
    <row r="108" spans="1:3" ht="16.5" thickBot="1" x14ac:dyDescent="0.3">
      <c r="A108" s="131" t="s">
        <v>166</v>
      </c>
      <c r="B108" s="132" t="s">
        <v>223</v>
      </c>
      <c r="C108" s="171" t="e">
        <f>'Custo por trabalhador'!#REF!</f>
        <v>#REF!</v>
      </c>
    </row>
    <row r="109" spans="1:3" ht="16.5" thickBot="1" x14ac:dyDescent="0.3">
      <c r="A109" s="131" t="s">
        <v>168</v>
      </c>
      <c r="B109" s="132" t="s">
        <v>224</v>
      </c>
      <c r="C109" s="133">
        <v>0</v>
      </c>
    </row>
    <row r="110" spans="1:3" ht="16.5" thickBot="1" x14ac:dyDescent="0.3">
      <c r="A110" s="131" t="s">
        <v>170</v>
      </c>
      <c r="B110" s="132" t="s">
        <v>225</v>
      </c>
      <c r="C110" s="171" t="e">
        <f>'Custo por trabalhador'!#REF!</f>
        <v>#REF!</v>
      </c>
    </row>
    <row r="111" spans="1:3" ht="16.5" thickBot="1" x14ac:dyDescent="0.3">
      <c r="A111" s="131" t="s">
        <v>172</v>
      </c>
      <c r="B111" s="132" t="s">
        <v>177</v>
      </c>
      <c r="C111" s="133">
        <v>0</v>
      </c>
    </row>
    <row r="112" spans="1:3" ht="16.5" thickBot="1" x14ac:dyDescent="0.3">
      <c r="A112" s="291" t="s">
        <v>194</v>
      </c>
      <c r="B112" s="292"/>
      <c r="C112" s="171" t="e">
        <f>SUM(C108:C111)</f>
        <v>#REF!</v>
      </c>
    </row>
    <row r="115" spans="1:4" x14ac:dyDescent="0.25">
      <c r="A115" s="276" t="s">
        <v>226</v>
      </c>
      <c r="B115" s="276"/>
      <c r="C115" s="276"/>
    </row>
    <row r="116" spans="1:4" ht="16.5" thickBot="1" x14ac:dyDescent="0.3"/>
    <row r="117" spans="1:4" ht="16.5" thickBot="1" x14ac:dyDescent="0.3">
      <c r="A117" s="129">
        <v>6</v>
      </c>
      <c r="B117" s="137" t="s">
        <v>126</v>
      </c>
      <c r="C117" s="130" t="s">
        <v>187</v>
      </c>
      <c r="D117" s="130" t="s">
        <v>165</v>
      </c>
    </row>
    <row r="118" spans="1:4" ht="16.5" thickBot="1" x14ac:dyDescent="0.3">
      <c r="A118" s="131" t="s">
        <v>166</v>
      </c>
      <c r="B118" s="132" t="s">
        <v>147</v>
      </c>
      <c r="C118" s="134">
        <f>'Custo por trabalhador'!C491</f>
        <v>0.03</v>
      </c>
      <c r="D118" s="145" t="e">
        <f>($C$17+$C$60+$C$72+$C$102+$C$112)*C118</f>
        <v>#REF!</v>
      </c>
    </row>
    <row r="119" spans="1:4" ht="16.5" thickBot="1" x14ac:dyDescent="0.3">
      <c r="A119" s="131" t="s">
        <v>168</v>
      </c>
      <c r="B119" s="132" t="s">
        <v>149</v>
      </c>
      <c r="C119" s="134">
        <f>'Custo por trabalhador'!C493</f>
        <v>6.7900000000000002E-2</v>
      </c>
      <c r="D119" s="145" t="e">
        <f t="shared" ref="D119:D124" si="1">($C$17+$C$60+$C$72+$C$87+$C$112)*C119</f>
        <v>#REF!</v>
      </c>
    </row>
    <row r="120" spans="1:4" ht="16.5" thickBot="1" x14ac:dyDescent="0.3">
      <c r="A120" s="131" t="s">
        <v>170</v>
      </c>
      <c r="B120" s="132" t="s">
        <v>148</v>
      </c>
      <c r="C120" s="134">
        <f>'Custo por trabalhador'!C492</f>
        <v>0.14249999999999999</v>
      </c>
      <c r="D120" s="145" t="e">
        <f t="shared" si="1"/>
        <v>#REF!</v>
      </c>
    </row>
    <row r="121" spans="1:4" ht="16.5" thickBot="1" x14ac:dyDescent="0.3">
      <c r="A121" s="131"/>
      <c r="B121" s="132" t="s">
        <v>283</v>
      </c>
      <c r="C121" s="172">
        <f>1.65%+7.6%</f>
        <v>9.2499999999999999E-2</v>
      </c>
      <c r="D121" s="145"/>
    </row>
    <row r="122" spans="1:4" ht="16.5" thickBot="1" x14ac:dyDescent="0.3">
      <c r="A122" s="131"/>
      <c r="B122" s="132" t="s">
        <v>284</v>
      </c>
      <c r="C122" s="172">
        <v>0</v>
      </c>
      <c r="D122" s="145"/>
    </row>
    <row r="123" spans="1:4" ht="16.5" thickBot="1" x14ac:dyDescent="0.3">
      <c r="A123" s="131"/>
      <c r="B123" s="132" t="s">
        <v>285</v>
      </c>
      <c r="C123" s="134">
        <v>0.05</v>
      </c>
      <c r="D123" s="145"/>
    </row>
    <row r="124" spans="1:4" ht="16.5" thickBot="1" x14ac:dyDescent="0.3">
      <c r="A124" s="291" t="s">
        <v>194</v>
      </c>
      <c r="B124" s="292"/>
      <c r="C124" s="134">
        <f>'Custo por trabalhador'!D497</f>
        <v>0.3044579533941234</v>
      </c>
      <c r="D124" s="145" t="e">
        <f t="shared" si="1"/>
        <v>#REF!</v>
      </c>
    </row>
    <row r="127" spans="1:4" x14ac:dyDescent="0.25">
      <c r="A127" s="276" t="s">
        <v>227</v>
      </c>
      <c r="B127" s="276"/>
      <c r="C127" s="276"/>
    </row>
    <row r="128" spans="1:4" ht="16.5" thickBot="1" x14ac:dyDescent="0.3"/>
    <row r="129" spans="1:4" ht="16.5" thickBot="1" x14ac:dyDescent="0.3">
      <c r="A129" s="129"/>
      <c r="B129" s="130" t="s">
        <v>228</v>
      </c>
      <c r="C129" s="130" t="s">
        <v>165</v>
      </c>
    </row>
    <row r="130" spans="1:4" ht="16.5" thickBot="1" x14ac:dyDescent="0.3">
      <c r="A130" s="139" t="s">
        <v>166</v>
      </c>
      <c r="B130" s="132" t="s">
        <v>163</v>
      </c>
      <c r="C130" s="174">
        <f>C17</f>
        <v>5000</v>
      </c>
    </row>
    <row r="131" spans="1:4" ht="16.5" thickBot="1" x14ac:dyDescent="0.3">
      <c r="A131" s="139" t="s">
        <v>168</v>
      </c>
      <c r="B131" s="132" t="s">
        <v>178</v>
      </c>
      <c r="C131" s="174">
        <f>C60</f>
        <v>3459.3399999999997</v>
      </c>
    </row>
    <row r="132" spans="1:4" ht="16.5" thickBot="1" x14ac:dyDescent="0.3">
      <c r="A132" s="139" t="s">
        <v>170</v>
      </c>
      <c r="B132" s="132" t="s">
        <v>202</v>
      </c>
      <c r="C132" s="174">
        <f>C72</f>
        <v>872.62</v>
      </c>
    </row>
    <row r="133" spans="1:4" ht="16.5" thickBot="1" x14ac:dyDescent="0.3">
      <c r="A133" s="139" t="s">
        <v>172</v>
      </c>
      <c r="B133" s="132" t="s">
        <v>210</v>
      </c>
      <c r="C133" s="174">
        <f>C87</f>
        <v>1684.18</v>
      </c>
    </row>
    <row r="134" spans="1:4" ht="16.5" thickBot="1" x14ac:dyDescent="0.3">
      <c r="A134" s="139" t="s">
        <v>173</v>
      </c>
      <c r="B134" s="132" t="s">
        <v>222</v>
      </c>
      <c r="C134" s="174" t="e">
        <f>ROUND(C112,2)</f>
        <v>#REF!</v>
      </c>
    </row>
    <row r="135" spans="1:4" ht="16.5" thickBot="1" x14ac:dyDescent="0.3">
      <c r="A135" s="291" t="s">
        <v>229</v>
      </c>
      <c r="B135" s="292"/>
      <c r="C135" s="174" t="e">
        <f>ROUND(SUM(C130:C134),2)</f>
        <v>#REF!</v>
      </c>
    </row>
    <row r="136" spans="1:4" ht="16.5" thickBot="1" x14ac:dyDescent="0.3">
      <c r="A136" s="139" t="s">
        <v>175</v>
      </c>
      <c r="B136" s="132" t="s">
        <v>230</v>
      </c>
      <c r="C136" s="174" t="e">
        <f>D124</f>
        <v>#REF!</v>
      </c>
    </row>
    <row r="137" spans="1:4" ht="16.5" thickBot="1" x14ac:dyDescent="0.3">
      <c r="A137" s="291" t="s">
        <v>231</v>
      </c>
      <c r="B137" s="292"/>
      <c r="C137" s="174" t="e">
        <f>C135+C136</f>
        <v>#REF!</v>
      </c>
    </row>
    <row r="140" spans="1:4" x14ac:dyDescent="0.25">
      <c r="D140" s="187" t="s">
        <v>300</v>
      </c>
    </row>
    <row r="142" spans="1:4" ht="64.5" customHeight="1" x14ac:dyDescent="0.25">
      <c r="A142" s="294" t="s">
        <v>301</v>
      </c>
      <c r="B142" s="294"/>
      <c r="C142" s="294"/>
      <c r="D142" s="294"/>
    </row>
  </sheetData>
  <mergeCells count="32">
    <mergeCell ref="A142:D142"/>
    <mergeCell ref="A137:B137"/>
    <mergeCell ref="A105:C105"/>
    <mergeCell ref="A112:B112"/>
    <mergeCell ref="A115:C115"/>
    <mergeCell ref="A124:B124"/>
    <mergeCell ref="A127:C127"/>
    <mergeCell ref="A135:B135"/>
    <mergeCell ref="A102:B102"/>
    <mergeCell ref="A54:C54"/>
    <mergeCell ref="A60:B60"/>
    <mergeCell ref="A63:C63"/>
    <mergeCell ref="A72:B72"/>
    <mergeCell ref="A75:C75"/>
    <mergeCell ref="A78:C78"/>
    <mergeCell ref="C81:C86"/>
    <mergeCell ref="A87:B87"/>
    <mergeCell ref="A90:C90"/>
    <mergeCell ref="A94:B94"/>
    <mergeCell ref="A97:C97"/>
    <mergeCell ref="A51:B51"/>
    <mergeCell ref="A2:D2"/>
    <mergeCell ref="A3:D3"/>
    <mergeCell ref="A4:D4"/>
    <mergeCell ref="A7:C7"/>
    <mergeCell ref="A17:B17"/>
    <mergeCell ref="A20:C20"/>
    <mergeCell ref="A22:C22"/>
    <mergeCell ref="A27:B27"/>
    <mergeCell ref="A30:D30"/>
    <mergeCell ref="A41:B41"/>
    <mergeCell ref="A44:C44"/>
  </mergeCells>
  <pageMargins left="0.511811024" right="0.511811024" top="0.78740157499999996" bottom="0.78740157499999996" header="0.31496062000000002" footer="0.31496062000000002"/>
  <pageSetup paperSize="9" scale="81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7</vt:i4>
      </vt:variant>
    </vt:vector>
  </HeadingPairs>
  <TitlesOfParts>
    <vt:vector size="7" baseType="lpstr">
      <vt:lpstr>Custo por trabalhador</vt:lpstr>
      <vt:lpstr>PC- ELETRICISTA</vt:lpstr>
      <vt:lpstr>PC - Axiliar</vt:lpstr>
      <vt:lpstr>PC - MOTORISTA</vt:lpstr>
      <vt:lpstr>PC - MOTORISTA CM</vt:lpstr>
      <vt:lpstr>PC - ELETROTÉCNICO</vt:lpstr>
      <vt:lpstr>PC - COORDENADOR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Arcangela Silva Casagrande</dc:creator>
  <cp:lastModifiedBy>PROJ_COMP</cp:lastModifiedBy>
  <cp:lastPrinted>2025-05-23T17:40:59Z</cp:lastPrinted>
  <dcterms:created xsi:type="dcterms:W3CDTF">2018-01-23T19:35:16Z</dcterms:created>
  <dcterms:modified xsi:type="dcterms:W3CDTF">2025-05-23T17:42:36Z</dcterms:modified>
</cp:coreProperties>
</file>