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01 - LICITAÇÕES 2025\PREGÃO ELETRÔNICO\Pregão Eletrônico 027-2025 - Medicamentos Controlados\DILIGENCIAS\"/>
    </mc:Choice>
  </mc:AlternateContent>
  <xr:revisionPtr revIDLastSave="0" documentId="8_{B4C6A64C-FF47-41E5-BF58-276DA4FE7379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</sheets>
  <definedNames>
    <definedName name="_xlnm._FilterDatabase" localSheetId="0" hidden="1">'Plan 1'!$A$15:$O$38</definedName>
    <definedName name="_GoBack" localSheetId="0">'Plan 1'!#REF!</definedName>
    <definedName name="_xlnm.Print_Area" localSheetId="0">'Plan 1'!$A$1:$Q$39</definedName>
  </definedNames>
  <calcPr calcId="191029"/>
</workbook>
</file>

<file path=xl/calcChain.xml><?xml version="1.0" encoding="utf-8"?>
<calcChain xmlns="http://schemas.openxmlformats.org/spreadsheetml/2006/main">
  <c r="N17" i="4" l="1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N35" i="4"/>
  <c r="O35" i="4" s="1"/>
  <c r="N36" i="4"/>
  <c r="O36" i="4" s="1"/>
  <c r="N37" i="4"/>
  <c r="O37" i="4" s="1"/>
  <c r="N23" i="4"/>
  <c r="O23" i="4" s="1"/>
  <c r="H17" i="4" l="1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16" i="4"/>
  <c r="J37" i="4"/>
  <c r="K37" i="4" s="1"/>
  <c r="F37" i="4"/>
  <c r="J36" i="4"/>
  <c r="K36" i="4" s="1"/>
  <c r="F36" i="4"/>
  <c r="J35" i="4"/>
  <c r="K35" i="4" s="1"/>
  <c r="F35" i="4"/>
  <c r="J34" i="4"/>
  <c r="K34" i="4" s="1"/>
  <c r="F34" i="4"/>
  <c r="I34" i="4" s="1"/>
  <c r="J33" i="4"/>
  <c r="K33" i="4" s="1"/>
  <c r="F33" i="4"/>
  <c r="J32" i="4"/>
  <c r="K32" i="4" s="1"/>
  <c r="F32" i="4"/>
  <c r="J31" i="4"/>
  <c r="K31" i="4" s="1"/>
  <c r="F31" i="4"/>
  <c r="J30" i="4"/>
  <c r="K30" i="4" s="1"/>
  <c r="F30" i="4"/>
  <c r="I30" i="4" s="1"/>
  <c r="J29" i="4"/>
  <c r="K29" i="4" s="1"/>
  <c r="F29" i="4"/>
  <c r="J28" i="4"/>
  <c r="K28" i="4" s="1"/>
  <c r="F28" i="4"/>
  <c r="J27" i="4"/>
  <c r="K27" i="4" s="1"/>
  <c r="F27" i="4"/>
  <c r="J26" i="4"/>
  <c r="K26" i="4" s="1"/>
  <c r="F26" i="4"/>
  <c r="I26" i="4" s="1"/>
  <c r="J25" i="4"/>
  <c r="K25" i="4" s="1"/>
  <c r="F25" i="4"/>
  <c r="J24" i="4"/>
  <c r="K24" i="4" s="1"/>
  <c r="F24" i="4"/>
  <c r="J23" i="4"/>
  <c r="K23" i="4" s="1"/>
  <c r="F23" i="4"/>
  <c r="J22" i="4"/>
  <c r="K22" i="4" s="1"/>
  <c r="F22" i="4"/>
  <c r="I22" i="4" s="1"/>
  <c r="J21" i="4"/>
  <c r="K21" i="4" s="1"/>
  <c r="F21" i="4"/>
  <c r="J20" i="4"/>
  <c r="K20" i="4" s="1"/>
  <c r="F20" i="4"/>
  <c r="J19" i="4"/>
  <c r="K19" i="4" s="1"/>
  <c r="F19" i="4"/>
  <c r="J18" i="4"/>
  <c r="K18" i="4" s="1"/>
  <c r="F18" i="4"/>
  <c r="I18" i="4" s="1"/>
  <c r="J17" i="4"/>
  <c r="K17" i="4" s="1"/>
  <c r="F17" i="4"/>
  <c r="J16" i="4"/>
  <c r="K16" i="4" s="1"/>
  <c r="F16" i="4"/>
  <c r="I16" i="4" s="1"/>
  <c r="I20" i="4" l="1"/>
  <c r="I24" i="4"/>
  <c r="I28" i="4"/>
  <c r="I21" i="4"/>
  <c r="I25" i="4"/>
  <c r="I36" i="4"/>
  <c r="I32" i="4"/>
  <c r="I29" i="4"/>
  <c r="I33" i="4"/>
  <c r="I37" i="4"/>
  <c r="O43" i="4"/>
  <c r="I35" i="4"/>
  <c r="I19" i="4"/>
  <c r="I23" i="4"/>
  <c r="I27" i="4"/>
  <c r="I31" i="4"/>
  <c r="R4" i="4"/>
  <c r="R5" i="4"/>
  <c r="R3" i="4"/>
  <c r="I17" i="4"/>
  <c r="H38" i="4"/>
  <c r="F38" i="4"/>
  <c r="I3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<sst xmlns="http://schemas.openxmlformats.org/spreadsheetml/2006/main" count="95" uniqueCount="64">
  <si>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</si>
  <si>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</si>
  <si>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</si>
  <si>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</si>
  <si>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</si>
  <si>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</si>
  <si>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</si>
  <si>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</si>
  <si>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</si>
  <si>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</si>
  <si>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</si>
  <si>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</si>
  <si>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</si>
  <si>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 xml:space="preserve">TOTAL: 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</si>
  <si>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</si>
  <si>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</si>
  <si>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</si>
  <si>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</si>
  <si>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</si>
  <si>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</si>
  <si>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</si>
  <si>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</si>
  <si>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</si>
  <si>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</si>
  <si>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 xml:space="preserve">APIRIPRAZOL 10 MG (F) </t>
  </si>
  <si>
    <t xml:space="preserve">ARISTAB, 1MG/Ml </t>
  </si>
  <si>
    <t xml:space="preserve">BIPERIDENO 5MG/ML, SOLUÇÃO IN, </t>
  </si>
  <si>
    <t xml:space="preserve">CLONAZEPAM 2,5MG/ML, SOL ORAL </t>
  </si>
  <si>
    <t xml:space="preserve">CLOMIPRAMINA 25MG, </t>
  </si>
  <si>
    <t xml:space="preserve">CLORIDRATO DE CLORPROMAZINA 25MG, COMPRIMIDO (B) </t>
  </si>
  <si>
    <t xml:space="preserve">CLORIDRATO DE CLORPROMAZINA40MG/ML, SOLUÇÃO ORAL (B)  </t>
  </si>
  <si>
    <t xml:space="preserve">ETOMIDATO 2MG/ML, SOL INJETÁVEL, AMP (F) </t>
  </si>
  <si>
    <t xml:space="preserve">FENITOINA 100MG, COMPRIMIDO </t>
  </si>
  <si>
    <t xml:space="preserve">FENITOINA SÓDICA 50MG/ML, SOLUÇÃO INJETÁVEL, AMPOLA (B) </t>
  </si>
  <si>
    <t xml:space="preserve">FENOBARBITAL 40MG/ML GOTAS, FR 20ML (B) </t>
  </si>
  <si>
    <t xml:space="preserve">HALOPERIDOL 1MG, COMPRIMIDO </t>
  </si>
  <si>
    <t xml:space="preserve">IMIPRAMINA 25MG, COMPRIMIDO (F) </t>
  </si>
  <si>
    <t xml:space="preserve">LEVOMEPROMAZINA 40MG/ML, SOLUÇÃO ORAL, FRASCO COM 20ML </t>
  </si>
  <si>
    <t xml:space="preserve">PARACETAMOL 500MG + CODEÍNA 30MG,COMP (F) </t>
  </si>
  <si>
    <t xml:space="preserve">PERICIAZINA 1% GOTAS, FRASCO COM 20ML (F) </t>
  </si>
  <si>
    <t xml:space="preserve">PERICIAZINA 4% GOTAS, FRASCO </t>
  </si>
  <si>
    <t xml:space="preserve">PREGABALINA 75MG, COMPRIMIDO </t>
  </si>
  <si>
    <t xml:space="preserve">RISPERIDONA 1MG/ML, SOLUÇÃO ORAL FRASCO COM 30ML  </t>
  </si>
  <si>
    <t xml:space="preserve">SUXAMETONIO, CLORETO 100MG, PÓ PARA SOLUÇÃO INJETÁVEL, FRASCO/AMPOLA (F) </t>
  </si>
  <si>
    <t xml:space="preserve">TOPIRAMATO 25MG, COMPRIMIDO  (ESPECIALIZADO) (E) </t>
  </si>
  <si>
    <t xml:space="preserve">VALPROATO DE SÓDIO 250MG, COMPRIMIDO (B) </t>
  </si>
  <si>
    <t xml:space="preserve">UND </t>
  </si>
  <si>
    <t xml:space="preserve">FRS </t>
  </si>
  <si>
    <t xml:space="preserve">  UND </t>
  </si>
  <si>
    <t xml:space="preserve">A. G. Kienen &amp; Cia. Ltda. </t>
  </si>
  <si>
    <t xml:space="preserve">APOTEK DISTRIBUIDORA DE MEDICAMENTOS E MATERIAIS HOSPITALARES LTDA </t>
  </si>
  <si>
    <t>Conexão Medica Comercial Ltda</t>
  </si>
  <si>
    <t xml:space="preserve">DISTRIBUIDORA DE MEDICAMENTOS BANDEIRANTE LTDA </t>
  </si>
  <si>
    <t xml:space="preserve">Drogafonte Ltda | Tipo: Ltda/Eireli - LC123: </t>
  </si>
  <si>
    <t>G.O MEDICAL LTDA | Tipo: EPP/SS</t>
  </si>
  <si>
    <t xml:space="preserve">MCW Produtos Medicos e Hospitalares </t>
  </si>
  <si>
    <t xml:space="preserve">MEDICAL CENTER DISTRIBUIDORA DE MEDICAMENTOS LTDA </t>
  </si>
  <si>
    <t xml:space="preserve">MEDVIDA DISTRIBUIDORA DE MEDICAMENTOS HOSPITALAR EIRELI </t>
  </si>
  <si>
    <t xml:space="preserve">Multifarma Comércio e Representações LTDA </t>
  </si>
  <si>
    <t xml:space="preserve">NORD PRODUTOS EM SAUDE LTDA </t>
  </si>
  <si>
    <t xml:space="preserve">RAMO PRODUTOS FARMACEUTICOS LTDA </t>
  </si>
  <si>
    <t xml:space="preserve">SRL DISTRIBUIDORA DE MEDICAMENTOS E MATERIAIS HOSPITALARES LTDA </t>
  </si>
  <si>
    <t xml:space="preserve">Uni Hospitalar Ltda | Tipo: Ltda/Eireli </t>
  </si>
  <si>
    <t>OBJETO: AQUISIÇÃO PARCELADA DE MEDICAMENTOS CONTROLADOS, DESTINADOS AO ATENDIMENTO DA DEMANDA DAS UNIDADES DE SAÚDE DE MAMANGUAPE.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</si>
</sst>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20">
    <font>
      <sz val="11"/>
      <color theme="1"/>
      <name val="Calibri"/>
      <charset val="134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name val="Times New Roman"/>
      <family val="1"/>
    </font>
    <font>
      <b/>
      <sz val="10"/>
      <color theme="1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sz val="10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181717"/>
      <name val="Arial"/>
      <family val="2"/>
    </font>
    <font>
      <sz val="8"/>
      <color rgb="FF18171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51">
    <xf numFmtId="0" fontId="0" fillId="0" borderId="0" xfId="0"/>
    <xf numFmtId="164" fontId="1" fillId="0" borderId="0" xfId="1" applyNumberFormat="1" applyFont="1" applyAlignment="1">
      <alignment horizontal="center"/>
    </xf>
    <xf numFmtId="164" fontId="1" fillId="0" borderId="0" xfId="1" applyNumberFormat="1" applyFont="1" applyAlignment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44" fontId="4" fillId="2" borderId="2" xfId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4" fontId="6" fillId="0" borderId="4" xfId="0" applyNumberFormat="1" applyFont="1" applyBorder="1" applyAlignment="1">
      <alignment horizontal="center" vertical="center"/>
    </xf>
    <xf numFmtId="44" fontId="7" fillId="0" borderId="4" xfId="0" applyNumberFormat="1" applyFont="1" applyBorder="1" applyAlignment="1">
      <alignment horizontal="center" vertical="center"/>
    </xf>
    <xf numFmtId="4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vertical="justify" wrapText="1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 wrapText="1"/>
    </xf>
    <xf numFmtId="44" fontId="11" fillId="0" borderId="1" xfId="1" applyFont="1" applyBorder="1" applyAlignment="1">
      <alignment horizontal="center" vertical="center" wrapText="1"/>
    </xf>
    <xf numFmtId="9" fontId="10" fillId="0" borderId="1" xfId="2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9" fontId="12" fillId="5" borderId="1" xfId="2" applyFont="1" applyFill="1" applyBorder="1" applyAlignment="1">
      <alignment horizontal="center" vertical="center" wrapText="1"/>
    </xf>
    <xf numFmtId="2" fontId="5" fillId="3" borderId="1" xfId="2" applyNumberFormat="1" applyFont="1" applyFill="1" applyBorder="1" applyAlignment="1">
      <alignment horizontal="center" vertical="center"/>
    </xf>
    <xf numFmtId="44" fontId="15" fillId="4" borderId="1" xfId="0" applyNumberFormat="1" applyFont="1" applyFill="1" applyBorder="1" applyAlignment="1">
      <alignment horizontal="center" vertical="center"/>
    </xf>
    <xf numFmtId="9" fontId="4" fillId="2" borderId="2" xfId="2" applyFont="1" applyFill="1" applyBorder="1" applyAlignment="1">
      <alignment horizontal="center" wrapText="1"/>
    </xf>
    <xf numFmtId="9" fontId="7" fillId="0" borderId="1" xfId="2" applyFont="1" applyBorder="1" applyAlignment="1">
      <alignment horizontal="center" vertical="center"/>
    </xf>
    <xf numFmtId="0" fontId="0" fillId="0" borderId="0" xfId="0" applyAlignment="1">
      <alignment horizontal="center"/>
    </xf>
    <xf numFmtId="9" fontId="16" fillId="0" borderId="0" xfId="2" applyFont="1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8" fontId="17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164" fontId="13" fillId="0" borderId="0" xfId="1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justify" wrapText="1"/>
    </xf>
    <xf numFmtId="0" fontId="13" fillId="0" borderId="0" xfId="0" applyFont="1" applyAlignment="1">
      <alignment horizontal="center" vertical="justify" wrapText="1"/>
    </xf>
    <xf numFmtId="0" fontId="1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5</c:v>
                </c:pt>
                <c:pt idx="1">
                  <c:v>16</c:v>
                </c:pt>
                <c:pt idx="2">
                  <c:v>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5</xdr:col>
      <xdr:colOff>914400</xdr:colOff>
      <xdr:row>0</xdr:row>
      <xdr:rowOff>76200</xdr:rowOff>
    </xdr:from>
    <xdr:to>
      <xdr:col>7</xdr:col>
      <xdr:colOff>887730</xdr:colOff>
      <xdr:row>5</xdr:row>
      <xdr:rowOff>31115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00850" y="76200"/>
          <a:ext cx="177355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43"/>
  <sheetViews>
    <sheetView tabSelected="1" zoomScaleNormal="100" zoomScaleSheetLayoutView="40" workbookViewId="0">
      <selection activeCell="A12" sqref="A12:O12"/>
    </sheetView>
  </sheetViews>
  <sheetFormatPr defaultColWidth="9" defaultRowHeight="15"/>
  <cols>
    <col min="1" max="1" width="6" style="30" customWidth="1"/>
    <col min="2" max="2" width="52.85546875" style="30" customWidth="1"/>
    <col min="3" max="3" width="7" style="30" customWidth="1"/>
    <col min="4" max="4" width="6.140625" style="30" bestFit="1" customWidth="1"/>
    <col min="5" max="5" width="16.28515625" style="30" bestFit="1" customWidth="1"/>
    <col min="6" max="6" width="15.28515625" style="30" bestFit="1" customWidth="1"/>
    <col min="7" max="7" width="11.7109375" style="30" bestFit="1" customWidth="1"/>
    <col min="8" max="8" width="16" style="30" bestFit="1" customWidth="1"/>
    <col min="9" max="9" width="17" style="30" bestFit="1" customWidth="1"/>
    <col min="10" max="10" width="9" style="30"/>
    <col min="11" max="11" width="12" style="30" customWidth="1"/>
    <col min="12" max="12" width="59.85546875" style="30" bestFit="1" customWidth="1"/>
    <col min="13" max="13" width="11.28515625" style="30" hidden="1" customWidth="1"/>
    <col min="14" max="14" width="14.5703125" style="31" hidden="1" customWidth="1"/>
    <col min="15" max="15" width="11.28515625" style="30" hidden="1" customWidth="1"/>
    <col min="16" max="16" width="0" hidden="1" customWidth="1"/>
    <col min="17" max="17" width="16" hidden="1" customWidth="1"/>
    <col min="18" max="20" width="0" hidden="1" customWidth="1"/>
  </cols>
  <sheetData>
    <row r="2" spans="1:19">
      <c r="Q2" s="24" t="s">
        <v>9</v>
      </c>
      <c r="R2" s="24" t="s">
        <v>19</v>
      </c>
      <c r="S2" s="24" t="s">
        <v>20</v>
      </c>
    </row>
    <row r="3" spans="1:19">
      <c r="Q3" s="20" t="s">
        <v>15</v>
      </c>
      <c r="R3" s="20">
        <f>COUNTIF($K$16:$K$37,Q3)</f>
        <v>5</v>
      </c>
      <c r="S3" s="23">
        <f>R3/$R$6</f>
        <v>0.22727272727272727</v>
      </c>
    </row>
    <row r="4" spans="1:19">
      <c r="Q4" s="20" t="s">
        <v>17</v>
      </c>
      <c r="R4" s="20">
        <f>COUNTIF($K$16:$K$37,Q4)</f>
        <v>16</v>
      </c>
      <c r="S4" s="23">
        <f t="shared" ref="S4:S5" si="0">R4/$R$6</f>
        <v>0.72727272727272729</v>
      </c>
    </row>
    <row r="5" spans="1:19">
      <c r="Q5" s="20" t="s">
        <v>16</v>
      </c>
      <c r="R5" s="20">
        <f>COUNTIF($K$16:$K$37,Q5)</f>
        <v>1</v>
      </c>
      <c r="S5" s="23">
        <f t="shared" si="0"/>
        <v>4.5454545454545456E-2</v>
      </c>
    </row>
    <row r="6" spans="1:19" ht="15.75">
      <c r="A6" s="43" t="s">
        <v>0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2"/>
      <c r="Q6" s="24" t="s">
        <v>18</v>
      </c>
      <c r="R6" s="24">
        <f>SUM(R3:R5)</f>
        <v>22</v>
      </c>
      <c r="S6" s="25">
        <f>SUM(S3:S5)</f>
        <v>1</v>
      </c>
    </row>
    <row r="7" spans="1:19" ht="15.75">
      <c r="A7" s="43" t="s">
        <v>1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2"/>
      <c r="Q7" s="2"/>
    </row>
    <row r="8" spans="1:19" ht="15.75">
      <c r="A8" s="1"/>
      <c r="B8" s="1"/>
      <c r="C8" s="1"/>
      <c r="D8" s="1"/>
      <c r="E8" s="1"/>
      <c r="F8" s="1"/>
      <c r="G8" s="1"/>
      <c r="H8" s="1"/>
      <c r="I8" s="1"/>
    </row>
    <row r="9" spans="1:19">
      <c r="A9" s="32"/>
    </row>
    <row r="10" spans="1:19" ht="33.75">
      <c r="A10" s="49" t="s">
        <v>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19"/>
      <c r="Q10" s="19"/>
    </row>
    <row r="11" spans="1:19">
      <c r="A11" s="32"/>
    </row>
    <row r="12" spans="1:19" ht="32.25" customHeight="1">
      <c r="A12" s="47" t="s">
        <v>63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18"/>
      <c r="Q12" s="18"/>
    </row>
    <row r="13" spans="1:19" ht="15.75">
      <c r="A13" s="33"/>
      <c r="B13" s="33"/>
      <c r="C13" s="33"/>
      <c r="D13" s="33"/>
      <c r="E13" s="34"/>
      <c r="F13" s="33"/>
      <c r="G13" s="33"/>
      <c r="H13" s="33"/>
      <c r="I13" s="33"/>
    </row>
    <row r="14" spans="1:19" ht="45" customHeight="1">
      <c r="A14" s="3" t="s">
        <v>3</v>
      </c>
      <c r="B14" s="3" t="s">
        <v>4</v>
      </c>
      <c r="C14" s="3" t="s">
        <v>5</v>
      </c>
      <c r="D14" s="3" t="s">
        <v>6</v>
      </c>
      <c r="E14" s="50" t="s">
        <v>7</v>
      </c>
      <c r="F14" s="50"/>
      <c r="G14" s="45" t="s">
        <v>8</v>
      </c>
      <c r="H14" s="46"/>
      <c r="I14" s="17" t="s">
        <v>14</v>
      </c>
      <c r="J14" s="4">
        <v>0.50009999999999999</v>
      </c>
      <c r="K14" s="16" t="s">
        <v>9</v>
      </c>
      <c r="L14" s="3" t="s">
        <v>10</v>
      </c>
      <c r="M14" s="44" t="s">
        <v>23</v>
      </c>
      <c r="N14" s="44"/>
      <c r="O14" s="44"/>
    </row>
    <row r="15" spans="1:19" ht="25.5" customHeight="1">
      <c r="A15" s="35"/>
      <c r="B15" s="35"/>
      <c r="C15" s="35"/>
      <c r="D15" s="35"/>
      <c r="E15" s="5" t="s">
        <v>11</v>
      </c>
      <c r="F15" s="5" t="s">
        <v>12</v>
      </c>
      <c r="G15" s="5" t="s">
        <v>11</v>
      </c>
      <c r="H15" s="5" t="s">
        <v>12</v>
      </c>
      <c r="I15" s="5"/>
      <c r="J15" s="38"/>
      <c r="K15" s="38"/>
      <c r="L15" s="38"/>
      <c r="M15" s="5" t="s">
        <v>11</v>
      </c>
      <c r="N15" s="28" t="s">
        <v>22</v>
      </c>
      <c r="O15" s="5" t="s">
        <v>21</v>
      </c>
    </row>
    <row r="16" spans="1:19" hidden="1">
      <c r="A16" s="6">
        <v>1</v>
      </c>
      <c r="B16" s="39" t="s">
        <v>24</v>
      </c>
      <c r="C16" s="39" t="s">
        <v>46</v>
      </c>
      <c r="D16" s="39">
        <v>28800</v>
      </c>
      <c r="E16" s="40">
        <v>3.69</v>
      </c>
      <c r="F16" s="21">
        <f t="shared" ref="F16:F37" si="1">E16*D16</f>
        <v>106272</v>
      </c>
      <c r="G16" s="21">
        <v>0.41</v>
      </c>
      <c r="H16" s="21">
        <f>D16*G16</f>
        <v>11808</v>
      </c>
      <c r="I16" s="22">
        <f>F16-H16</f>
        <v>94464</v>
      </c>
      <c r="J16" s="26">
        <f t="shared" ref="J16:J37" si="2">(E16-G16)/E16%</f>
        <v>88.888888888888872</v>
      </c>
      <c r="K16" s="27" t="str">
        <f>IF(J16&lt;0,"NEGOCIAR",IF(J16&gt;50.01,"DILIGÊNCIA","OK"))</f>
        <v>DILIGÊNCIA</v>
      </c>
      <c r="L16" s="41" t="s">
        <v>59</v>
      </c>
      <c r="M16" s="15">
        <v>7.37</v>
      </c>
      <c r="N16" s="29">
        <f>(G16-M16)/G16</f>
        <v>-16.975609756097562</v>
      </c>
      <c r="O16" s="15" t="str">
        <f>IF(M16&gt;0,IF(N16&gt;0,"Aprovado","Revisar"),"")</f>
        <v>Revisar</v>
      </c>
    </row>
    <row r="17" spans="1:15" hidden="1">
      <c r="A17" s="6">
        <v>2</v>
      </c>
      <c r="B17" s="39" t="s">
        <v>25</v>
      </c>
      <c r="C17" s="39" t="s">
        <v>46</v>
      </c>
      <c r="D17" s="39">
        <v>10800</v>
      </c>
      <c r="E17" s="40">
        <v>186.5</v>
      </c>
      <c r="F17" s="21">
        <f t="shared" si="1"/>
        <v>2014200</v>
      </c>
      <c r="G17" s="21">
        <v>121</v>
      </c>
      <c r="H17" s="21">
        <f t="shared" ref="H17:H37" si="3">D17*G17</f>
        <v>1306800</v>
      </c>
      <c r="I17" s="22">
        <f t="shared" ref="I17:I37" si="4">F17-H17</f>
        <v>707400</v>
      </c>
      <c r="J17" s="26">
        <f t="shared" si="2"/>
        <v>35.120643431635386</v>
      </c>
      <c r="K17" s="27" t="str">
        <f t="shared" ref="K17:K37" si="5">IF(J17&lt;0,"NEGOCIAR",IF(J17&gt;50.01,"DILIGÊNCIA","OK"))</f>
        <v>OK</v>
      </c>
      <c r="L17" s="41" t="s">
        <v>62</v>
      </c>
      <c r="M17" s="15">
        <v>21.83</v>
      </c>
      <c r="N17" s="29">
        <f t="shared" ref="N17:N22" si="6">(G17-M17)/G17</f>
        <v>0.8195867768595041</v>
      </c>
      <c r="O17" s="15" t="str">
        <f t="shared" ref="O17:O37" si="7">IF(M17&gt;0,IF(N17&gt;0,"Aprovado","Revisar"),"")</f>
        <v>Aprovado</v>
      </c>
    </row>
    <row r="18" spans="1:15" hidden="1">
      <c r="A18" s="6">
        <v>3</v>
      </c>
      <c r="B18" s="39" t="s">
        <v>26</v>
      </c>
      <c r="C18" s="39" t="s">
        <v>46</v>
      </c>
      <c r="D18" s="39">
        <v>2000</v>
      </c>
      <c r="E18" s="40">
        <v>5.58</v>
      </c>
      <c r="F18" s="21">
        <f t="shared" si="1"/>
        <v>11160</v>
      </c>
      <c r="G18" s="21">
        <v>5.5</v>
      </c>
      <c r="H18" s="21">
        <f t="shared" si="3"/>
        <v>11000</v>
      </c>
      <c r="I18" s="22">
        <f t="shared" si="4"/>
        <v>160</v>
      </c>
      <c r="J18" s="26">
        <f t="shared" si="2"/>
        <v>1.4336917562724028</v>
      </c>
      <c r="K18" s="27" t="str">
        <f t="shared" si="5"/>
        <v>OK</v>
      </c>
      <c r="L18" s="41" t="s">
        <v>61</v>
      </c>
      <c r="M18" s="15">
        <v>7.62</v>
      </c>
      <c r="N18" s="29">
        <f t="shared" si="6"/>
        <v>-0.38545454545454549</v>
      </c>
      <c r="O18" s="15" t="str">
        <f t="shared" si="7"/>
        <v>Revisar</v>
      </c>
    </row>
    <row r="19" spans="1:15" hidden="1">
      <c r="A19" s="6">
        <v>4</v>
      </c>
      <c r="B19" s="39" t="s">
        <v>27</v>
      </c>
      <c r="C19" s="39" t="s">
        <v>47</v>
      </c>
      <c r="D19" s="39">
        <v>1440</v>
      </c>
      <c r="E19" s="40">
        <v>5.78</v>
      </c>
      <c r="F19" s="21">
        <f t="shared" si="1"/>
        <v>8323.2000000000007</v>
      </c>
      <c r="G19" s="21">
        <v>2.29</v>
      </c>
      <c r="H19" s="21">
        <f t="shared" si="3"/>
        <v>3297.6</v>
      </c>
      <c r="I19" s="22">
        <f t="shared" si="4"/>
        <v>5025.6000000000004</v>
      </c>
      <c r="J19" s="26">
        <f t="shared" si="2"/>
        <v>60.38062283737024</v>
      </c>
      <c r="K19" s="27" t="str">
        <f t="shared" si="5"/>
        <v>DILIGÊNCIA</v>
      </c>
      <c r="L19" s="41" t="s">
        <v>50</v>
      </c>
      <c r="M19" s="15">
        <v>10.59</v>
      </c>
      <c r="N19" s="29">
        <f t="shared" si="6"/>
        <v>-3.624454148471616</v>
      </c>
      <c r="O19" s="15" t="str">
        <f t="shared" si="7"/>
        <v>Revisar</v>
      </c>
    </row>
    <row r="20" spans="1:15" hidden="1">
      <c r="A20" s="6">
        <v>5</v>
      </c>
      <c r="B20" s="39" t="s">
        <v>28</v>
      </c>
      <c r="C20" s="39" t="s">
        <v>46</v>
      </c>
      <c r="D20" s="39">
        <v>28800</v>
      </c>
      <c r="E20" s="40">
        <v>1.89</v>
      </c>
      <c r="F20" s="21">
        <f t="shared" si="1"/>
        <v>54432</v>
      </c>
      <c r="G20" s="21">
        <v>1.04</v>
      </c>
      <c r="H20" s="21">
        <f t="shared" si="3"/>
        <v>29952</v>
      </c>
      <c r="I20" s="22">
        <f t="shared" si="4"/>
        <v>24480</v>
      </c>
      <c r="J20" s="26">
        <f t="shared" si="2"/>
        <v>44.973544973544968</v>
      </c>
      <c r="K20" s="27" t="str">
        <f t="shared" si="5"/>
        <v>OK</v>
      </c>
      <c r="L20" s="41" t="s">
        <v>57</v>
      </c>
      <c r="M20" s="15">
        <v>4.3</v>
      </c>
      <c r="N20" s="29">
        <f t="shared" si="6"/>
        <v>-3.1346153846153841</v>
      </c>
      <c r="O20" s="15" t="str">
        <f t="shared" si="7"/>
        <v>Revisar</v>
      </c>
    </row>
    <row r="21" spans="1:15" hidden="1">
      <c r="A21" s="6">
        <v>6</v>
      </c>
      <c r="B21" s="39" t="s">
        <v>29</v>
      </c>
      <c r="C21" s="39" t="s">
        <v>46</v>
      </c>
      <c r="D21" s="39">
        <v>216000</v>
      </c>
      <c r="E21" s="40">
        <v>0.77</v>
      </c>
      <c r="F21" s="21">
        <f t="shared" si="1"/>
        <v>166320</v>
      </c>
      <c r="G21" s="21">
        <v>0.28000000000000003</v>
      </c>
      <c r="H21" s="21">
        <f t="shared" si="3"/>
        <v>60480.000000000007</v>
      </c>
      <c r="I21" s="22">
        <f t="shared" si="4"/>
        <v>105840</v>
      </c>
      <c r="J21" s="26">
        <f t="shared" si="2"/>
        <v>63.636363636363633</v>
      </c>
      <c r="K21" s="27" t="str">
        <f t="shared" si="5"/>
        <v>DILIGÊNCIA</v>
      </c>
      <c r="L21" s="41" t="s">
        <v>53</v>
      </c>
      <c r="M21" s="15">
        <v>4.96</v>
      </c>
      <c r="N21" s="29">
        <f t="shared" si="6"/>
        <v>-16.714285714285712</v>
      </c>
      <c r="O21" s="15" t="str">
        <f t="shared" si="7"/>
        <v>Revisar</v>
      </c>
    </row>
    <row r="22" spans="1:15" ht="25.5" hidden="1">
      <c r="A22" s="6">
        <v>7</v>
      </c>
      <c r="B22" s="39" t="s">
        <v>30</v>
      </c>
      <c r="C22" s="39" t="s">
        <v>47</v>
      </c>
      <c r="D22" s="39">
        <v>1440</v>
      </c>
      <c r="E22" s="40">
        <v>28.7</v>
      </c>
      <c r="F22" s="21">
        <f t="shared" si="1"/>
        <v>41328</v>
      </c>
      <c r="G22" s="21">
        <v>8.39</v>
      </c>
      <c r="H22" s="21">
        <f t="shared" si="3"/>
        <v>12081.6</v>
      </c>
      <c r="I22" s="22">
        <f t="shared" si="4"/>
        <v>29246.400000000001</v>
      </c>
      <c r="J22" s="26">
        <f t="shared" si="2"/>
        <v>70.766550522648089</v>
      </c>
      <c r="K22" s="27" t="str">
        <f t="shared" si="5"/>
        <v>DILIGÊNCIA</v>
      </c>
      <c r="L22" s="41" t="s">
        <v>50</v>
      </c>
      <c r="M22" s="15">
        <v>1.84</v>
      </c>
      <c r="N22" s="29">
        <f t="shared" si="6"/>
        <v>0.78069129916567348</v>
      </c>
      <c r="O22" s="15" t="str">
        <f t="shared" si="7"/>
        <v>Aprovado</v>
      </c>
    </row>
    <row r="23" spans="1:15" hidden="1">
      <c r="A23" s="6">
        <v>8</v>
      </c>
      <c r="B23" s="39" t="s">
        <v>31</v>
      </c>
      <c r="C23" s="39" t="s">
        <v>46</v>
      </c>
      <c r="D23" s="39">
        <v>1440</v>
      </c>
      <c r="E23" s="40">
        <v>25.67</v>
      </c>
      <c r="F23" s="21">
        <f t="shared" si="1"/>
        <v>36964.800000000003</v>
      </c>
      <c r="G23" s="21">
        <v>14.64</v>
      </c>
      <c r="H23" s="21">
        <f t="shared" si="3"/>
        <v>21081.600000000002</v>
      </c>
      <c r="I23" s="22">
        <f t="shared" si="4"/>
        <v>15883.2</v>
      </c>
      <c r="J23" s="26">
        <f t="shared" si="2"/>
        <v>42.968445656408257</v>
      </c>
      <c r="K23" s="27" t="str">
        <f t="shared" si="5"/>
        <v>OK</v>
      </c>
      <c r="L23" s="41" t="s">
        <v>50</v>
      </c>
      <c r="M23" s="15">
        <v>3.25</v>
      </c>
      <c r="N23" s="29">
        <f>(G23-M23)/G23</f>
        <v>0.77800546448087438</v>
      </c>
      <c r="O23" s="15" t="str">
        <f t="shared" si="7"/>
        <v>Aprovado</v>
      </c>
    </row>
    <row r="24" spans="1:15" hidden="1">
      <c r="A24" s="6">
        <v>9</v>
      </c>
      <c r="B24" s="39" t="s">
        <v>32</v>
      </c>
      <c r="C24" s="39" t="s">
        <v>46</v>
      </c>
      <c r="D24" s="39">
        <v>259200</v>
      </c>
      <c r="E24" s="40">
        <v>0.45</v>
      </c>
      <c r="F24" s="21">
        <f t="shared" si="1"/>
        <v>116640</v>
      </c>
      <c r="G24" s="21">
        <v>0.19</v>
      </c>
      <c r="H24" s="21">
        <f t="shared" si="3"/>
        <v>49248</v>
      </c>
      <c r="I24" s="22">
        <f t="shared" si="4"/>
        <v>67392</v>
      </c>
      <c r="J24" s="26">
        <f t="shared" si="2"/>
        <v>57.777777777777771</v>
      </c>
      <c r="K24" s="27" t="str">
        <f t="shared" si="5"/>
        <v>DILIGÊNCIA</v>
      </c>
      <c r="L24" s="41" t="s">
        <v>60</v>
      </c>
      <c r="M24" s="15">
        <v>5.49</v>
      </c>
      <c r="N24" s="29">
        <f t="shared" ref="N24:N37" si="8">(G24-M24)/G24</f>
        <v>-27.89473684210526</v>
      </c>
      <c r="O24" s="15" t="str">
        <f t="shared" si="7"/>
        <v>Revisar</v>
      </c>
    </row>
    <row r="25" spans="1:15" ht="25.5" hidden="1">
      <c r="A25" s="6">
        <v>10</v>
      </c>
      <c r="B25" s="39" t="s">
        <v>33</v>
      </c>
      <c r="C25" s="39" t="s">
        <v>46</v>
      </c>
      <c r="D25" s="39">
        <v>2400</v>
      </c>
      <c r="E25" s="40">
        <v>12.35</v>
      </c>
      <c r="F25" s="21">
        <f t="shared" si="1"/>
        <v>29640</v>
      </c>
      <c r="G25" s="21">
        <v>19.600000000000001</v>
      </c>
      <c r="H25" s="21">
        <f t="shared" si="3"/>
        <v>47040</v>
      </c>
      <c r="I25" s="22">
        <f t="shared" si="4"/>
        <v>-17400</v>
      </c>
      <c r="J25" s="26">
        <f t="shared" si="2"/>
        <v>-58.704453441295563</v>
      </c>
      <c r="K25" s="27" t="str">
        <f t="shared" si="5"/>
        <v>NEGOCIAR</v>
      </c>
      <c r="L25" s="41" t="s">
        <v>54</v>
      </c>
      <c r="M25" s="15">
        <v>2.95</v>
      </c>
      <c r="N25" s="29">
        <f t="shared" si="8"/>
        <v>0.84948979591836737</v>
      </c>
      <c r="O25" s="15" t="str">
        <f t="shared" si="7"/>
        <v>Aprovado</v>
      </c>
    </row>
    <row r="26" spans="1:15">
      <c r="A26" s="6">
        <v>11</v>
      </c>
      <c r="B26" s="39" t="s">
        <v>34</v>
      </c>
      <c r="C26" s="39" t="s">
        <v>47</v>
      </c>
      <c r="D26" s="39">
        <v>5760</v>
      </c>
      <c r="E26" s="40">
        <v>22.75</v>
      </c>
      <c r="F26" s="21">
        <f t="shared" si="1"/>
        <v>131040</v>
      </c>
      <c r="G26" s="21">
        <v>4.3</v>
      </c>
      <c r="H26" s="21">
        <f t="shared" si="3"/>
        <v>24768</v>
      </c>
      <c r="I26" s="22">
        <f t="shared" si="4"/>
        <v>106272</v>
      </c>
      <c r="J26" s="26">
        <f t="shared" si="2"/>
        <v>81.098901098901095</v>
      </c>
      <c r="K26" s="27" t="str">
        <f t="shared" si="5"/>
        <v>DILIGÊNCIA</v>
      </c>
      <c r="L26" s="41" t="s">
        <v>51</v>
      </c>
      <c r="M26" s="15">
        <v>5.47</v>
      </c>
      <c r="N26" s="29">
        <f t="shared" si="8"/>
        <v>-0.27209302325581397</v>
      </c>
      <c r="O26" s="15" t="str">
        <f t="shared" si="7"/>
        <v>Revisar</v>
      </c>
    </row>
    <row r="27" spans="1:15" hidden="1">
      <c r="A27" s="6">
        <v>12</v>
      </c>
      <c r="B27" s="39" t="s">
        <v>35</v>
      </c>
      <c r="C27" s="39" t="s">
        <v>46</v>
      </c>
      <c r="D27" s="39">
        <v>86400</v>
      </c>
      <c r="E27" s="40">
        <v>0.41</v>
      </c>
      <c r="F27" s="21">
        <f t="shared" si="1"/>
        <v>35424</v>
      </c>
      <c r="G27" s="21">
        <v>0.19</v>
      </c>
      <c r="H27" s="21">
        <f t="shared" si="3"/>
        <v>16416</v>
      </c>
      <c r="I27" s="22">
        <f t="shared" si="4"/>
        <v>19008</v>
      </c>
      <c r="J27" s="26">
        <f t="shared" si="2"/>
        <v>53.658536585365852</v>
      </c>
      <c r="K27" s="27" t="str">
        <f t="shared" si="5"/>
        <v>DILIGÊNCIA</v>
      </c>
      <c r="L27" s="41" t="s">
        <v>50</v>
      </c>
      <c r="M27" s="15">
        <v>3.84</v>
      </c>
      <c r="N27" s="29">
        <f t="shared" si="8"/>
        <v>-19.210526315789473</v>
      </c>
      <c r="O27" s="15" t="str">
        <f t="shared" si="7"/>
        <v>Revisar</v>
      </c>
    </row>
    <row r="28" spans="1:15" hidden="1">
      <c r="A28" s="6">
        <v>13</v>
      </c>
      <c r="B28" s="39" t="s">
        <v>36</v>
      </c>
      <c r="C28" s="39" t="s">
        <v>46</v>
      </c>
      <c r="D28" s="39">
        <v>28800</v>
      </c>
      <c r="E28" s="40">
        <v>1.56</v>
      </c>
      <c r="F28" s="21">
        <f t="shared" si="1"/>
        <v>44928</v>
      </c>
      <c r="G28" s="21">
        <v>0.43</v>
      </c>
      <c r="H28" s="21">
        <f t="shared" si="3"/>
        <v>12384</v>
      </c>
      <c r="I28" s="22">
        <f t="shared" si="4"/>
        <v>32544</v>
      </c>
      <c r="J28" s="26">
        <f t="shared" si="2"/>
        <v>72.435897435897445</v>
      </c>
      <c r="K28" s="27" t="str">
        <f t="shared" si="5"/>
        <v>DILIGÊNCIA</v>
      </c>
      <c r="L28" s="41" t="s">
        <v>52</v>
      </c>
      <c r="M28" s="15">
        <v>4.97</v>
      </c>
      <c r="N28" s="29">
        <f t="shared" si="8"/>
        <v>-10.558139534883722</v>
      </c>
      <c r="O28" s="15" t="str">
        <f t="shared" si="7"/>
        <v>Revisar</v>
      </c>
    </row>
    <row r="29" spans="1:15" ht="25.5" hidden="1">
      <c r="A29" s="6">
        <v>14</v>
      </c>
      <c r="B29" s="39" t="s">
        <v>37</v>
      </c>
      <c r="C29" s="39" t="s">
        <v>47</v>
      </c>
      <c r="D29" s="39">
        <v>720</v>
      </c>
      <c r="E29" s="40">
        <v>44.13</v>
      </c>
      <c r="F29" s="21">
        <f t="shared" si="1"/>
        <v>31773.600000000002</v>
      </c>
      <c r="G29" s="21">
        <v>15.51</v>
      </c>
      <c r="H29" s="21">
        <f t="shared" si="3"/>
        <v>11167.2</v>
      </c>
      <c r="I29" s="22">
        <f t="shared" si="4"/>
        <v>20606.400000000001</v>
      </c>
      <c r="J29" s="26">
        <f t="shared" si="2"/>
        <v>64.853840924541132</v>
      </c>
      <c r="K29" s="27" t="str">
        <f t="shared" si="5"/>
        <v>DILIGÊNCIA</v>
      </c>
      <c r="L29" s="41" t="s">
        <v>56</v>
      </c>
      <c r="M29" s="15">
        <v>6.37</v>
      </c>
      <c r="N29" s="29">
        <f t="shared" si="8"/>
        <v>0.58929722759509995</v>
      </c>
      <c r="O29" s="15" t="str">
        <f t="shared" si="7"/>
        <v>Aprovado</v>
      </c>
    </row>
    <row r="30" spans="1:15" hidden="1">
      <c r="A30" s="6">
        <v>15</v>
      </c>
      <c r="B30" s="39" t="s">
        <v>38</v>
      </c>
      <c r="C30" s="39" t="s">
        <v>46</v>
      </c>
      <c r="D30" s="39">
        <v>311040</v>
      </c>
      <c r="E30" s="40">
        <v>1.75</v>
      </c>
      <c r="F30" s="21">
        <f t="shared" si="1"/>
        <v>544320</v>
      </c>
      <c r="G30" s="21">
        <v>0.34</v>
      </c>
      <c r="H30" s="21">
        <f t="shared" si="3"/>
        <v>105753.60000000001</v>
      </c>
      <c r="I30" s="22">
        <f t="shared" si="4"/>
        <v>438566.40000000002</v>
      </c>
      <c r="J30" s="26">
        <f t="shared" si="2"/>
        <v>80.571428571428555</v>
      </c>
      <c r="K30" s="27" t="str">
        <f t="shared" si="5"/>
        <v>DILIGÊNCIA</v>
      </c>
      <c r="L30" s="41" t="s">
        <v>53</v>
      </c>
      <c r="M30" s="15">
        <v>1.06</v>
      </c>
      <c r="N30" s="29">
        <f t="shared" si="8"/>
        <v>-2.117647058823529</v>
      </c>
      <c r="O30" s="15" t="str">
        <f t="shared" si="7"/>
        <v>Revisar</v>
      </c>
    </row>
    <row r="31" spans="1:15" hidden="1">
      <c r="A31" s="6">
        <v>16</v>
      </c>
      <c r="B31" s="39" t="s">
        <v>39</v>
      </c>
      <c r="C31" s="39" t="s">
        <v>47</v>
      </c>
      <c r="D31" s="39">
        <v>1920</v>
      </c>
      <c r="E31" s="40">
        <v>47.76</v>
      </c>
      <c r="F31" s="21">
        <f t="shared" si="1"/>
        <v>91699.199999999997</v>
      </c>
      <c r="G31" s="21">
        <v>13.31</v>
      </c>
      <c r="H31" s="21">
        <f t="shared" si="3"/>
        <v>25555.200000000001</v>
      </c>
      <c r="I31" s="22">
        <f t="shared" si="4"/>
        <v>66144</v>
      </c>
      <c r="J31" s="26">
        <f t="shared" si="2"/>
        <v>72.131490787269684</v>
      </c>
      <c r="K31" s="27" t="str">
        <f t="shared" si="5"/>
        <v>DILIGÊNCIA</v>
      </c>
      <c r="L31" s="42" t="s">
        <v>49</v>
      </c>
      <c r="M31" s="15">
        <v>0.97</v>
      </c>
      <c r="N31" s="29">
        <f t="shared" si="8"/>
        <v>0.92712246431254686</v>
      </c>
      <c r="O31" s="15" t="str">
        <f t="shared" si="7"/>
        <v>Aprovado</v>
      </c>
    </row>
    <row r="32" spans="1:15" hidden="1">
      <c r="A32" s="6">
        <v>17</v>
      </c>
      <c r="B32" s="39" t="s">
        <v>40</v>
      </c>
      <c r="C32" s="39" t="s">
        <v>47</v>
      </c>
      <c r="D32" s="39">
        <v>3840</v>
      </c>
      <c r="E32" s="40">
        <v>47.76</v>
      </c>
      <c r="F32" s="21">
        <f t="shared" si="1"/>
        <v>183398.39999999999</v>
      </c>
      <c r="G32" s="21">
        <v>25.91</v>
      </c>
      <c r="H32" s="21">
        <f t="shared" si="3"/>
        <v>99494.399999999994</v>
      </c>
      <c r="I32" s="22">
        <f t="shared" si="4"/>
        <v>83904</v>
      </c>
      <c r="J32" s="26">
        <f t="shared" si="2"/>
        <v>45.74958123953099</v>
      </c>
      <c r="K32" s="27" t="str">
        <f t="shared" si="5"/>
        <v>OK</v>
      </c>
      <c r="L32" s="42" t="s">
        <v>49</v>
      </c>
      <c r="M32" s="15">
        <v>3.07</v>
      </c>
      <c r="N32" s="29">
        <f t="shared" si="8"/>
        <v>0.8815129293708992</v>
      </c>
      <c r="O32" s="15" t="str">
        <f t="shared" si="7"/>
        <v>Aprovado</v>
      </c>
    </row>
    <row r="33" spans="1:15" hidden="1">
      <c r="A33" s="6">
        <v>18</v>
      </c>
      <c r="B33" s="39" t="s">
        <v>41</v>
      </c>
      <c r="C33" s="39" t="s">
        <v>46</v>
      </c>
      <c r="D33" s="39">
        <v>576000</v>
      </c>
      <c r="E33" s="40">
        <v>0.73</v>
      </c>
      <c r="F33" s="21">
        <f t="shared" si="1"/>
        <v>420480</v>
      </c>
      <c r="G33" s="21"/>
      <c r="H33" s="21">
        <f t="shared" si="3"/>
        <v>0</v>
      </c>
      <c r="I33" s="22">
        <f t="shared" si="4"/>
        <v>420480</v>
      </c>
      <c r="J33" s="26">
        <f t="shared" si="2"/>
        <v>100</v>
      </c>
      <c r="K33" s="27" t="str">
        <f t="shared" si="5"/>
        <v>DILIGÊNCIA</v>
      </c>
      <c r="L33" s="41" t="s">
        <v>58</v>
      </c>
      <c r="M33" s="15">
        <v>1.03</v>
      </c>
      <c r="N33" s="29" t="e">
        <f t="shared" si="8"/>
        <v>#DIV/0!</v>
      </c>
      <c r="O33" s="15" t="e">
        <f t="shared" si="7"/>
        <v>#DIV/0!</v>
      </c>
    </row>
    <row r="34" spans="1:15" ht="25.5" hidden="1">
      <c r="A34" s="6">
        <v>19</v>
      </c>
      <c r="B34" s="39" t="s">
        <v>42</v>
      </c>
      <c r="C34" s="39" t="s">
        <v>47</v>
      </c>
      <c r="D34" s="39">
        <v>9600</v>
      </c>
      <c r="E34" s="40">
        <v>40.83</v>
      </c>
      <c r="F34" s="21">
        <f t="shared" si="1"/>
        <v>391968</v>
      </c>
      <c r="G34" s="21">
        <v>9.8699999999999992</v>
      </c>
      <c r="H34" s="21">
        <f t="shared" si="3"/>
        <v>94751.999999999985</v>
      </c>
      <c r="I34" s="22">
        <f t="shared" si="4"/>
        <v>297216</v>
      </c>
      <c r="J34" s="26">
        <f t="shared" si="2"/>
        <v>75.826598089639972</v>
      </c>
      <c r="K34" s="27" t="str">
        <f t="shared" si="5"/>
        <v>DILIGÊNCIA</v>
      </c>
      <c r="L34" s="41" t="s">
        <v>55</v>
      </c>
      <c r="M34" s="15">
        <v>0.74</v>
      </c>
      <c r="N34" s="29">
        <f t="shared" si="8"/>
        <v>0.9250253292806484</v>
      </c>
      <c r="O34" s="15" t="str">
        <f t="shared" si="7"/>
        <v>Aprovado</v>
      </c>
    </row>
    <row r="35" spans="1:15" ht="25.5" hidden="1">
      <c r="A35" s="6">
        <v>20</v>
      </c>
      <c r="B35" s="39" t="s">
        <v>43</v>
      </c>
      <c r="C35" s="39" t="s">
        <v>48</v>
      </c>
      <c r="D35" s="39">
        <v>2400</v>
      </c>
      <c r="E35" s="40">
        <v>41.03</v>
      </c>
      <c r="F35" s="21">
        <f t="shared" si="1"/>
        <v>98472</v>
      </c>
      <c r="G35" s="21">
        <v>2.5499999999999998</v>
      </c>
      <c r="H35" s="21">
        <f t="shared" si="3"/>
        <v>6120</v>
      </c>
      <c r="I35" s="22">
        <f t="shared" si="4"/>
        <v>92352</v>
      </c>
      <c r="J35" s="26">
        <f t="shared" si="2"/>
        <v>93.785035339995133</v>
      </c>
      <c r="K35" s="27" t="str">
        <f t="shared" si="5"/>
        <v>DILIGÊNCIA</v>
      </c>
      <c r="L35" s="41" t="s">
        <v>54</v>
      </c>
      <c r="M35" s="15">
        <v>0.55000000000000004</v>
      </c>
      <c r="N35" s="29">
        <f t="shared" si="8"/>
        <v>0.78431372549019607</v>
      </c>
      <c r="O35" s="15" t="str">
        <f t="shared" si="7"/>
        <v>Aprovado</v>
      </c>
    </row>
    <row r="36" spans="1:15" hidden="1">
      <c r="A36" s="6">
        <v>21</v>
      </c>
      <c r="B36" s="39" t="s">
        <v>44</v>
      </c>
      <c r="C36" s="39" t="s">
        <v>46</v>
      </c>
      <c r="D36" s="39">
        <v>172800</v>
      </c>
      <c r="E36" s="40">
        <v>0.43</v>
      </c>
      <c r="F36" s="21">
        <f t="shared" si="1"/>
        <v>74304</v>
      </c>
      <c r="G36" s="21">
        <v>0.18</v>
      </c>
      <c r="H36" s="21">
        <f t="shared" si="3"/>
        <v>31104</v>
      </c>
      <c r="I36" s="22">
        <f t="shared" si="4"/>
        <v>43200</v>
      </c>
      <c r="J36" s="26">
        <f t="shared" si="2"/>
        <v>58.139534883720927</v>
      </c>
      <c r="K36" s="27" t="str">
        <f t="shared" si="5"/>
        <v>DILIGÊNCIA</v>
      </c>
      <c r="L36" s="41" t="s">
        <v>56</v>
      </c>
      <c r="M36" s="15">
        <v>0.76</v>
      </c>
      <c r="N36" s="29">
        <f t="shared" si="8"/>
        <v>-3.2222222222222228</v>
      </c>
      <c r="O36" s="15" t="str">
        <f t="shared" si="7"/>
        <v>Revisar</v>
      </c>
    </row>
    <row r="37" spans="1:15" hidden="1">
      <c r="A37" s="6">
        <v>22</v>
      </c>
      <c r="B37" s="39" t="s">
        <v>45</v>
      </c>
      <c r="C37" s="39" t="s">
        <v>46</v>
      </c>
      <c r="D37" s="39">
        <v>168000</v>
      </c>
      <c r="E37" s="40">
        <v>1.0900000000000001</v>
      </c>
      <c r="F37" s="21">
        <f t="shared" si="1"/>
        <v>183120</v>
      </c>
      <c r="G37" s="21">
        <v>0.37</v>
      </c>
      <c r="H37" s="21">
        <f t="shared" si="3"/>
        <v>62160</v>
      </c>
      <c r="I37" s="22">
        <f t="shared" si="4"/>
        <v>120960</v>
      </c>
      <c r="J37" s="26">
        <f t="shared" si="2"/>
        <v>66.055045871559642</v>
      </c>
      <c r="K37" s="27" t="str">
        <f t="shared" si="5"/>
        <v>DILIGÊNCIA</v>
      </c>
      <c r="L37" s="41" t="s">
        <v>53</v>
      </c>
      <c r="M37" s="15">
        <v>8.3000000000000007</v>
      </c>
      <c r="N37" s="29">
        <f t="shared" si="8"/>
        <v>-21.432432432432435</v>
      </c>
      <c r="O37" s="15" t="str">
        <f t="shared" si="7"/>
        <v>Revisar</v>
      </c>
    </row>
    <row r="38" spans="1:15" hidden="1">
      <c r="A38" s="36"/>
      <c r="B38" s="7" t="s">
        <v>13</v>
      </c>
      <c r="C38" s="8"/>
      <c r="D38" s="8"/>
      <c r="E38" s="9"/>
      <c r="F38" s="10">
        <f>SUM(F16:F37)</f>
        <v>4816207.2</v>
      </c>
      <c r="G38" s="11"/>
      <c r="H38" s="10">
        <f>SUM(H16:H37)</f>
        <v>2042463.2000000002</v>
      </c>
      <c r="I38" s="10">
        <f>SUM(I16:I37)</f>
        <v>2773744</v>
      </c>
    </row>
    <row r="39" spans="1:15">
      <c r="A39" s="37"/>
      <c r="B39" s="12"/>
      <c r="C39" s="13"/>
      <c r="D39" s="13"/>
      <c r="E39" s="14"/>
      <c r="F39" s="11"/>
      <c r="G39" s="11"/>
      <c r="H39" s="11"/>
      <c r="I39" s="11"/>
    </row>
    <row r="43" spans="1:15">
      <c r="O43" s="30">
        <f>SUBTOTAL(9,H19,H17)</f>
        <v>0</v>
      </c>
    </row>
  </sheetData>
  <sheetProtection algorithmName="SHA-512" hashValue="J0Fbm054MG/z0b68oSo4wc1YS8eb8VNsojsvJ8Qr4670db76k++AHD7Mef3IQYLElqVcsZcTFRrTUqNl73S1QQ==" saltValue="O+EHY4a6lXxieJruf9VOoQ==" spinCount="100000" sheet="1" objects="1" scenarios="1" selectLockedCells="1" selectUnlockedCells="1"/>
  <autoFilter ref="A15:O38" xr:uid="{00000000-0001-0000-0000-000000000000}">
    <filterColumn colId="10">
      <filters>
        <filter val="DILIGÊNCIA"/>
      </filters>
    </filterColumn>
    <filterColumn colId="11">
      <filters>
        <filter val="Conexão Medica Comercial Ltda"/>
      </filters>
    </filterColumn>
  </autoFilter>
  <mergeCells count="7">
    <mergeCell ref="A6:O6"/>
    <mergeCell ref="M14:O14"/>
    <mergeCell ref="G14:H14"/>
    <mergeCell ref="A12:O12"/>
    <mergeCell ref="A10:O10"/>
    <mergeCell ref="A7:O7"/>
    <mergeCell ref="E14:F14"/>
  </mergeCells>
  <conditionalFormatting sqref="J16:J37">
    <cfRule type="cellIs" dxfId="12" priority="21" operator="between">
      <formula>-0.01</formula>
      <formula>-5000</formula>
    </cfRule>
    <cfRule type="cellIs" dxfId="11" priority="22" operator="between">
      <formula>0</formula>
      <formula>50</formula>
    </cfRule>
    <cfRule type="cellIs" dxfId="10" priority="23" operator="between">
      <formula>50.1</formula>
      <formula>100</formula>
    </cfRule>
    <cfRule type="colorScale" priority="24">
      <colorScale>
        <cfvo type="min"/>
        <cfvo type="max"/>
        <color theme="0"/>
        <color theme="0"/>
      </colorScale>
    </cfRule>
    <cfRule type="cellIs" dxfId="9" priority="25" operator="greaterThan">
      <formula>73.64</formula>
    </cfRule>
    <cfRule type="cellIs" dxfId="8" priority="26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 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2025-06-26T14:29:50Z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