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drawings/drawing6.xml" ContentType="application/vnd.openxmlformats-officedocument.drawing+xml"/>
  <Override PartName="/xl/embeddings/oleObject1.bin" ContentType="application/vnd.openxmlformats-officedocument.oleObject"/>
  <Override PartName="/xl/drawings/drawing7.xml" ContentType="application/vnd.openxmlformats-officedocument.drawing+xml"/>
  <Override PartName="/xl/drawings/drawing8.xml" ContentType="application/vnd.openxmlformats-officedocument.drawing+xml"/>
  <Override PartName="/xl/comments11.xml" ContentType="application/vnd.openxmlformats-officedocument.spreadsheetml.comments+xml"/>
  <Override PartName="/xl/comments12.xml" ContentType="application/vnd.openxmlformats-officedocument.spreadsheetml.comments+xml"/>
  <Override PartName="/xl/comments13.xml" ContentType="application/vnd.openxmlformats-officedocument.spreadsheetml.comments+xml"/>
  <Override PartName="/xl/comments14.xml" ContentType="application/vnd.openxmlformats-officedocument.spreadsheetml.comments+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codeName="EstaPastaDeTrabalho"/>
  <mc:AlternateContent xmlns:mc="http://schemas.openxmlformats.org/markup-compatibility/2006">
    <mc:Choice Requires="x15">
      <x15ac:absPath xmlns:x15ac="http://schemas.microsoft.com/office/spreadsheetml/2010/11/ac" url="C:\Users\Kleber\Documents\EPE\Biblioteca\SINAPI\"/>
    </mc:Choice>
  </mc:AlternateContent>
  <xr:revisionPtr revIDLastSave="0" documentId="13_ncr:1_{E7F587B1-142C-4296-9013-E7A4C598C670}" xr6:coauthVersionLast="47" xr6:coauthVersionMax="47" xr10:uidLastSave="{00000000-0000-0000-0000-000000000000}"/>
  <bookViews>
    <workbookView xWindow="-120" yWindow="-120" windowWidth="29040" windowHeight="15720" tabRatio="921" firstSheet="20" activeTab="21" xr2:uid="{00000000-000D-0000-FFFF-FFFF00000000}"/>
  </bookViews>
  <sheets>
    <sheet name="ORÇAMENTO" sheetId="1" state="hidden" r:id="rId1"/>
    <sheet name="MEMÓRIA_R.FRANCISCO" sheetId="3" state="hidden" r:id="rId2"/>
    <sheet name="MEMÓRIA_R.WALFREDO" sheetId="28" state="hidden" r:id="rId3"/>
    <sheet name="CCU" sheetId="29" state="hidden" r:id="rId4"/>
    <sheet name="Planilha CT Original" sheetId="30" state="hidden" r:id="rId5"/>
    <sheet name="Maria Livramento - T1" sheetId="36" state="hidden" r:id="rId6"/>
    <sheet name="Maria Livramento - T2" sheetId="47" state="hidden" r:id="rId7"/>
    <sheet name="Fábio Vaz - T1" sheetId="48" state="hidden" r:id="rId8"/>
    <sheet name="Fábio Vaz - T2" sheetId="49" state="hidden" r:id="rId9"/>
    <sheet name="José Vieira - T1" sheetId="52" state="hidden" r:id="rId10"/>
    <sheet name="José Vieira - T2" sheetId="51" state="hidden" r:id="rId11"/>
    <sheet name="José Vieira - T3" sheetId="50" state="hidden" r:id="rId12"/>
    <sheet name="Genésio Andrade - T1" sheetId="53" state="hidden" r:id="rId13"/>
    <sheet name="Genésio Andrade - T2" sheetId="54" state="hidden" r:id="rId14"/>
    <sheet name="Travessa Cunha" sheetId="55" state="hidden" r:id="rId15"/>
    <sheet name="Planilha Global" sheetId="45" state="hidden" r:id="rId16"/>
    <sheet name="Composição Custos Unit" sheetId="32" state="hidden" r:id="rId17"/>
    <sheet name="BDI" sheetId="40" state="hidden" r:id="rId18"/>
    <sheet name="Encargos" sheetId="46" state="hidden" r:id="rId19"/>
    <sheet name="Resumo" sheetId="38" state="hidden" r:id="rId20"/>
    <sheet name="Encargos Sociais" sheetId="56" r:id="rId21"/>
    <sheet name="ES Não Desonerado" sheetId="57" r:id="rId22"/>
    <sheet name="Vale Verde 1" sheetId="43" state="hidden" r:id="rId23"/>
    <sheet name="Vale Verde 2" sheetId="42" state="hidden" r:id="rId24"/>
    <sheet name="Francisco J. Cardoso - T1" sheetId="34" state="hidden" r:id="rId25"/>
    <sheet name="Francisco J. Cardoso - T2" sheetId="35" state="hidden" r:id="rId26"/>
    <sheet name="Planilha Consolidada Individual" sheetId="37" state="hidden" r:id="rId27"/>
    <sheet name="Planilha Ajuste" sheetId="31" state="hidden" r:id="rId28"/>
    <sheet name="Planilha Consolidada" sheetId="44" state="hidden" r:id="rId29"/>
    <sheet name="Planilha Global11" sheetId="39" state="hidden" r:id="rId30"/>
    <sheet name="M.Cálculo" sheetId="33" state="hidden" r:id="rId31"/>
    <sheet name="CRONOGRAMA" sheetId="8" state="hidden" r:id="rId32"/>
    <sheet name="QCI" sheetId="12" state="hidden" r:id="rId33"/>
    <sheet name="Relatório de Compatibilidade" sheetId="26" state="hidden" r:id="rId34"/>
    <sheet name="Relatório de Compatibilidade (1" sheetId="27" state="hidden" r:id="rId35"/>
  </sheets>
  <externalReferences>
    <externalReference r:id="rId36"/>
    <externalReference r:id="rId37"/>
    <externalReference r:id="rId38"/>
    <externalReference r:id="rId39"/>
    <externalReference r:id="rId40"/>
  </externalReferences>
  <definedNames>
    <definedName name="_xlnm.Print_Area" localSheetId="17">BDI!$A$1:$T$21</definedName>
    <definedName name="_xlnm.Print_Area" localSheetId="3">CCU!$A$1:$G$21</definedName>
    <definedName name="_xlnm.Print_Area" localSheetId="16">'Composição Custos Unit'!$A$1:$G$38</definedName>
    <definedName name="_xlnm.Print_Area" localSheetId="31">CRONOGRAMA!$B$1:$H$17</definedName>
    <definedName name="_xlnm.Print_Area" localSheetId="20">'Encargos Sociais'!$A$3:$H$45</definedName>
    <definedName name="_xlnm.Print_Area" localSheetId="21">'ES Não Desonerado'!$A$1:$G$41</definedName>
    <definedName name="_xlnm.Print_Area" localSheetId="7">'Fábio Vaz - T1'!$A$1:$F$117</definedName>
    <definedName name="_xlnm.Print_Area" localSheetId="8">'Fábio Vaz - T2'!$A$1:$F$102</definedName>
    <definedName name="_xlnm.Print_Area" localSheetId="24">'Francisco J. Cardoso - T1'!$A$1:$F$82</definedName>
    <definedName name="_xlnm.Print_Area" localSheetId="25">'Francisco J. Cardoso - T2'!$A$1:$F$75</definedName>
    <definedName name="_xlnm.Print_Area" localSheetId="12">'Genésio Andrade - T1'!$A$1:$F$98</definedName>
    <definedName name="_xlnm.Print_Area" localSheetId="13">'Genésio Andrade - T2'!$A$1:$F$100</definedName>
    <definedName name="_xlnm.Print_Area" localSheetId="9">'José Vieira - T1'!$A$1:$F$96</definedName>
    <definedName name="_xlnm.Print_Area" localSheetId="10">'José Vieira - T2'!$A$1:$F$111</definedName>
    <definedName name="_xlnm.Print_Area" localSheetId="11">'José Vieira - T3'!$A$1:$F$95</definedName>
    <definedName name="_xlnm.Print_Area" localSheetId="30">M.Cálculo!$B$2:$E$99</definedName>
    <definedName name="_xlnm.Print_Area" localSheetId="5">'Maria Livramento - T1'!$A$1:$F$109</definedName>
    <definedName name="_xlnm.Print_Area" localSheetId="6">'Maria Livramento - T2'!$A$1:$F$111</definedName>
    <definedName name="_xlnm.Print_Area" localSheetId="0">ORÇAMENTO!$A$1:$I$94</definedName>
    <definedName name="_xlnm.Print_Area" localSheetId="27">'Planilha Ajuste'!$A$1:$P$189</definedName>
    <definedName name="_xlnm.Print_Area" localSheetId="28">'Planilha Consolidada'!$A$1:$P$138</definedName>
    <definedName name="_xlnm.Print_Area" localSheetId="26">'Planilha Consolidada Individual'!$A$1:$H$152</definedName>
    <definedName name="_xlnm.Print_Area" localSheetId="4">'Planilha CT Original'!$A$1:$I$79</definedName>
    <definedName name="_xlnm.Print_Area" localSheetId="15">'Planilha Global'!$A$1:$P$45</definedName>
    <definedName name="_xlnm.Print_Area" localSheetId="29">'Planilha Global11'!$A$1:$H$35</definedName>
    <definedName name="_xlnm.Print_Area" localSheetId="32">QCI!$A$1:$J$37</definedName>
    <definedName name="_xlnm.Print_Area" localSheetId="19">Resumo!$B$1:$M$21</definedName>
    <definedName name="_xlnm.Print_Area" localSheetId="14">'Travessa Cunha'!$A$1:$F$95</definedName>
    <definedName name="_xlnm.Print_Area" localSheetId="22">'Vale Verde 1'!$A$1:$F$101</definedName>
    <definedName name="_xlnm.Print_Area" localSheetId="23">'Vale Verde 2'!$A$1:$F$103</definedName>
    <definedName name="Eventos">OFFSET([1]DADOS!$A$33,1,0):OFFSET([1]DADOS!$C$38,-1,0)</definedName>
    <definedName name="numEventos">COUNT(OFFSET(Eventos,0,0,,1))</definedName>
    <definedName name="_xlnm.Print_Titles" localSheetId="1">MEMÓRIA_R.FRANCISCO!$1:$7</definedName>
    <definedName name="_xlnm.Print_Titles" localSheetId="2">MEMÓRIA_R.WALFREDO!$1:$7</definedName>
    <definedName name="_xlnm.Print_Titles" localSheetId="0">ORÇAMENTO!$1:$13</definedName>
    <definedName name="_xlnm.Print_Titles" localSheetId="27">'Planilha Ajuste'!$6:$8</definedName>
    <definedName name="_xlnm.Print_Titles" localSheetId="28">'Planilha Consolidada'!$6:$8</definedName>
    <definedName name="_xlnm.Print_Titles" localSheetId="26">'Planilha Consolidada Individual'!$7:$8</definedName>
    <definedName name="_xlnm.Print_Titles" localSheetId="4">'Planilha CT Original'!$1:$13</definedName>
    <definedName name="_xlnm.Print_Titles" localSheetId="15">'Planilha Global'!$6:$8</definedName>
    <definedName name="_xlnm.Print_Titles" localSheetId="29">'Planilha Global11'!$6:$8</definedName>
    <definedName name="TotalEventos">SUM(TotalPorEvento)</definedName>
    <definedName name="TotalPorEvento">[1]Eventograma_e_Quantitativos!$I$51:OFFSET([1]Eventograma_e_Quantitativos!$I$55,-1,0)</definedName>
    <definedName name="ValoresPorEvento">[1]Eventograma_e_Quantitativos!$N$51:OFFSET([1]Eventograma_e_Quantitativos!$BK$55,-1,0)</definedName>
  </definedNames>
  <calcPr calcId="191029"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6" i="57" l="1"/>
  <c r="F36" i="57"/>
  <c r="G33" i="57"/>
  <c r="F33" i="57"/>
  <c r="G32" i="57"/>
  <c r="E31" i="57"/>
  <c r="D31" i="57"/>
  <c r="G27" i="57"/>
  <c r="G22" i="57"/>
  <c r="F22" i="57"/>
  <c r="G21" i="57"/>
  <c r="G20" i="57" s="1"/>
  <c r="F20" i="57"/>
  <c r="E20" i="57"/>
  <c r="D20" i="57"/>
  <c r="F19" i="57"/>
  <c r="E19" i="57"/>
  <c r="G19" i="57" s="1"/>
  <c r="F18" i="57"/>
  <c r="E18" i="57"/>
  <c r="F17" i="57"/>
  <c r="E17" i="57"/>
  <c r="G17" i="57" s="1"/>
  <c r="F16" i="57"/>
  <c r="E16" i="57"/>
  <c r="G16" i="57" s="1"/>
  <c r="F15" i="57"/>
  <c r="E15" i="57"/>
  <c r="G15" i="57" s="1"/>
  <c r="F14" i="57"/>
  <c r="E14" i="57"/>
  <c r="G14" i="57" s="1"/>
  <c r="F13" i="57"/>
  <c r="E13" i="57"/>
  <c r="G13" i="57" s="1"/>
  <c r="F12" i="57"/>
  <c r="E12" i="57"/>
  <c r="G12" i="57" s="1"/>
  <c r="G11" i="57"/>
  <c r="E11" i="57"/>
  <c r="D10" i="57"/>
  <c r="D39" i="57" s="1"/>
  <c r="G35" i="56"/>
  <c r="G36" i="56"/>
  <c r="G37" i="56"/>
  <c r="G38" i="56"/>
  <c r="G34" i="56"/>
  <c r="G33" i="56" s="1"/>
  <c r="F36" i="56"/>
  <c r="F37" i="56"/>
  <c r="F38" i="56"/>
  <c r="F35" i="56"/>
  <c r="F34" i="56"/>
  <c r="G24" i="56"/>
  <c r="G25" i="56"/>
  <c r="G26" i="56"/>
  <c r="G27" i="56"/>
  <c r="G28" i="56"/>
  <c r="G29" i="56"/>
  <c r="G30" i="56"/>
  <c r="G31" i="56"/>
  <c r="G32" i="56"/>
  <c r="G23" i="56"/>
  <c r="F24" i="56"/>
  <c r="F25" i="56"/>
  <c r="F26" i="56"/>
  <c r="F27" i="56"/>
  <c r="F28" i="56"/>
  <c r="F29" i="56"/>
  <c r="F30" i="56"/>
  <c r="F31" i="56"/>
  <c r="F32" i="56"/>
  <c r="F23" i="56"/>
  <c r="G15" i="56"/>
  <c r="G16" i="56"/>
  <c r="G17" i="56"/>
  <c r="G18" i="56"/>
  <c r="G19" i="56"/>
  <c r="G20" i="56"/>
  <c r="G21" i="56"/>
  <c r="G14" i="56"/>
  <c r="F15" i="56"/>
  <c r="F16" i="56"/>
  <c r="F17" i="56"/>
  <c r="F18" i="56"/>
  <c r="F19" i="56"/>
  <c r="F20" i="56"/>
  <c r="F21" i="56"/>
  <c r="F14" i="56"/>
  <c r="G13" i="56"/>
  <c r="E14" i="56"/>
  <c r="E15" i="56"/>
  <c r="E16" i="56"/>
  <c r="E17" i="56"/>
  <c r="E18" i="56"/>
  <c r="E19" i="56"/>
  <c r="E20" i="56"/>
  <c r="E21" i="56"/>
  <c r="E13" i="56"/>
  <c r="E12" i="56" s="1"/>
  <c r="E41" i="56" s="1"/>
  <c r="E33" i="56"/>
  <c r="D33" i="56"/>
  <c r="E22" i="56"/>
  <c r="D22" i="56"/>
  <c r="D12" i="56"/>
  <c r="D41" i="56" s="1"/>
  <c r="F10" i="57" l="1"/>
  <c r="F39" i="57" s="1"/>
  <c r="E10" i="57"/>
  <c r="E38" i="57" s="1"/>
  <c r="F38" i="57"/>
  <c r="F31" i="57"/>
  <c r="D38" i="57"/>
  <c r="D37" i="57" s="1"/>
  <c r="D40" i="57" s="1"/>
  <c r="G31" i="57"/>
  <c r="G18" i="57"/>
  <c r="G10" i="57" s="1"/>
  <c r="G38" i="57" s="1"/>
  <c r="G22" i="56"/>
  <c r="F22" i="56"/>
  <c r="F33" i="56"/>
  <c r="G12" i="56"/>
  <c r="G41" i="56" s="1"/>
  <c r="F12" i="56"/>
  <c r="F41" i="56" s="1"/>
  <c r="E40" i="56"/>
  <c r="E39" i="56" s="1"/>
  <c r="E42" i="56" s="1"/>
  <c r="D40" i="56"/>
  <c r="D39" i="56" s="1"/>
  <c r="D42" i="56" s="1"/>
  <c r="E39" i="57" l="1"/>
  <c r="E37" i="57" s="1"/>
  <c r="E40" i="57" s="1"/>
  <c r="F37" i="57"/>
  <c r="F40" i="57" s="1"/>
  <c r="G39" i="57"/>
  <c r="G37" i="57" s="1"/>
  <c r="G40" i="57" s="1"/>
  <c r="F40" i="56"/>
  <c r="F39" i="56" s="1"/>
  <c r="F42" i="56" s="1"/>
  <c r="G40" i="56"/>
  <c r="G39" i="56" s="1"/>
  <c r="G42" i="56" s="1"/>
  <c r="A5" i="32"/>
  <c r="M38" i="45" l="1"/>
  <c r="P37" i="45" l="1"/>
  <c r="P24" i="45"/>
  <c r="P28" i="45"/>
  <c r="P27" i="45"/>
  <c r="P23" i="45"/>
  <c r="P18" i="45"/>
  <c r="P14" i="45"/>
  <c r="P11" i="45"/>
  <c r="Q11" i="45"/>
  <c r="P29" i="45"/>
  <c r="P22" i="45"/>
  <c r="P17" i="45"/>
  <c r="N10" i="45"/>
  <c r="N11" i="45"/>
  <c r="N14" i="45"/>
  <c r="N17" i="45"/>
  <c r="N18" i="45"/>
  <c r="N22" i="45"/>
  <c r="N23" i="45"/>
  <c r="N24" i="45"/>
  <c r="N27" i="45"/>
  <c r="N28" i="45"/>
  <c r="N29" i="45"/>
  <c r="N30" i="45"/>
  <c r="N33" i="45"/>
  <c r="N34" i="45"/>
  <c r="N37" i="45"/>
  <c r="N38" i="45"/>
  <c r="N39" i="45"/>
  <c r="J35" i="32"/>
  <c r="J33" i="32"/>
  <c r="J28" i="32"/>
  <c r="J27" i="32"/>
  <c r="J29" i="32"/>
  <c r="J30" i="32"/>
  <c r="J31" i="32"/>
  <c r="J26" i="32"/>
  <c r="I26" i="32"/>
  <c r="J20" i="32"/>
  <c r="J18" i="32"/>
  <c r="J13" i="32"/>
  <c r="J12" i="32"/>
  <c r="J15" i="32"/>
  <c r="J16" i="32"/>
  <c r="J17" i="32"/>
  <c r="J11" i="32"/>
  <c r="J10" i="32"/>
  <c r="R29" i="45" l="1"/>
  <c r="J16" i="50"/>
  <c r="L11" i="45"/>
  <c r="B64" i="55"/>
  <c r="D64" i="55"/>
  <c r="C64" i="55"/>
  <c r="C69" i="54"/>
  <c r="D69" i="54"/>
  <c r="B69" i="54"/>
  <c r="C66" i="53"/>
  <c r="D66" i="53"/>
  <c r="B66" i="53"/>
  <c r="C64" i="50"/>
  <c r="D64" i="50"/>
  <c r="B64" i="50"/>
  <c r="B78" i="51"/>
  <c r="C78" i="51"/>
  <c r="C84" i="48"/>
  <c r="B84" i="48"/>
  <c r="B63" i="52"/>
  <c r="D63" i="52"/>
  <c r="C63" i="52"/>
  <c r="F19" i="38"/>
  <c r="F18" i="38"/>
  <c r="F17" i="38"/>
  <c r="F16" i="38"/>
  <c r="F14" i="38"/>
  <c r="L19" i="38"/>
  <c r="L18" i="38"/>
  <c r="L17" i="38"/>
  <c r="L16" i="38"/>
  <c r="L15" i="38"/>
  <c r="J16" i="38"/>
  <c r="J15" i="38"/>
  <c r="D90" i="55"/>
  <c r="D95" i="54"/>
  <c r="D93" i="53"/>
  <c r="D90" i="50"/>
  <c r="D106" i="51"/>
  <c r="D91" i="52"/>
  <c r="D97" i="49"/>
  <c r="D106" i="47"/>
  <c r="E19" i="38"/>
  <c r="G19" i="38"/>
  <c r="K30" i="55"/>
  <c r="G32" i="55" s="1"/>
  <c r="E32" i="55" s="1"/>
  <c r="D75" i="55" s="1"/>
  <c r="G30" i="55"/>
  <c r="J19" i="38" s="1"/>
  <c r="K8" i="55"/>
  <c r="E25" i="55" s="1"/>
  <c r="H7" i="55"/>
  <c r="J7" i="55" s="1"/>
  <c r="H6" i="55"/>
  <c r="J6" i="55" s="1"/>
  <c r="C95" i="55"/>
  <c r="A95" i="55"/>
  <c r="C90" i="55"/>
  <c r="B90" i="55"/>
  <c r="D89" i="55"/>
  <c r="C89" i="55"/>
  <c r="B89" i="55"/>
  <c r="C88" i="55"/>
  <c r="B88" i="55"/>
  <c r="D85" i="55"/>
  <c r="C85" i="55"/>
  <c r="B85" i="55"/>
  <c r="D84" i="55"/>
  <c r="C84" i="55"/>
  <c r="B84" i="55"/>
  <c r="C81" i="55"/>
  <c r="B81" i="55"/>
  <c r="C80" i="55"/>
  <c r="B80" i="55"/>
  <c r="C79" i="55"/>
  <c r="B79" i="55"/>
  <c r="C78" i="55"/>
  <c r="B78" i="55"/>
  <c r="C75" i="55"/>
  <c r="B75" i="55"/>
  <c r="C74" i="55"/>
  <c r="B74" i="55"/>
  <c r="C71" i="55"/>
  <c r="B71" i="55"/>
  <c r="C70" i="55"/>
  <c r="B70" i="55"/>
  <c r="C67" i="55"/>
  <c r="B67" i="55"/>
  <c r="A59" i="55"/>
  <c r="H49" i="55"/>
  <c r="G41" i="55"/>
  <c r="E41" i="55" s="1"/>
  <c r="D81" i="55" s="1"/>
  <c r="G39" i="55"/>
  <c r="E39" i="55" s="1"/>
  <c r="D80" i="55" s="1"/>
  <c r="P35" i="55"/>
  <c r="Q35" i="55" s="1"/>
  <c r="N35" i="55"/>
  <c r="O35" i="55" s="1"/>
  <c r="H35" i="55"/>
  <c r="J35" i="55" s="1"/>
  <c r="G35" i="55"/>
  <c r="L9" i="55"/>
  <c r="L8" i="55"/>
  <c r="H8" i="55"/>
  <c r="A2" i="55"/>
  <c r="A56" i="55" s="1"/>
  <c r="E18" i="38"/>
  <c r="E17" i="38"/>
  <c r="G18" i="38"/>
  <c r="G17" i="38"/>
  <c r="K35" i="54"/>
  <c r="G37" i="54" s="1"/>
  <c r="E37" i="54" s="1"/>
  <c r="D80" i="54" s="1"/>
  <c r="G35" i="54"/>
  <c r="J18" i="38" s="1"/>
  <c r="K8" i="54"/>
  <c r="E30" i="54" s="1"/>
  <c r="H10" i="54"/>
  <c r="J10" i="54" s="1"/>
  <c r="H9" i="54"/>
  <c r="J9" i="54" s="1"/>
  <c r="H8" i="54"/>
  <c r="J8" i="54" s="1"/>
  <c r="H7" i="54"/>
  <c r="J7" i="54" s="1"/>
  <c r="H6" i="54"/>
  <c r="J6" i="54" s="1"/>
  <c r="C100" i="54"/>
  <c r="A100" i="54"/>
  <c r="C95" i="54"/>
  <c r="B95" i="54"/>
  <c r="D94" i="54"/>
  <c r="C94" i="54"/>
  <c r="B94" i="54"/>
  <c r="C93" i="54"/>
  <c r="B93" i="54"/>
  <c r="D90" i="54"/>
  <c r="C90" i="54"/>
  <c r="B90" i="54"/>
  <c r="D89" i="54"/>
  <c r="C89" i="54"/>
  <c r="B89" i="54"/>
  <c r="C86" i="54"/>
  <c r="B86" i="54"/>
  <c r="C85" i="54"/>
  <c r="B85" i="54"/>
  <c r="C84" i="54"/>
  <c r="B84" i="54"/>
  <c r="C83" i="54"/>
  <c r="B83" i="54"/>
  <c r="C80" i="54"/>
  <c r="B80" i="54"/>
  <c r="C79" i="54"/>
  <c r="B79" i="54"/>
  <c r="C76" i="54"/>
  <c r="B76" i="54"/>
  <c r="C75" i="54"/>
  <c r="B75" i="54"/>
  <c r="C72" i="54"/>
  <c r="B72" i="54"/>
  <c r="A64" i="54"/>
  <c r="H54" i="54"/>
  <c r="G46" i="54"/>
  <c r="E46" i="54" s="1"/>
  <c r="D86" i="54" s="1"/>
  <c r="G44" i="54"/>
  <c r="E44" i="54" s="1"/>
  <c r="D85" i="54" s="1"/>
  <c r="P40" i="54"/>
  <c r="R40" i="54" s="1"/>
  <c r="N40" i="54"/>
  <c r="O40" i="54" s="1"/>
  <c r="H40" i="54"/>
  <c r="J40" i="54" s="1"/>
  <c r="G40" i="54"/>
  <c r="L9" i="54"/>
  <c r="L8" i="54"/>
  <c r="A2" i="54"/>
  <c r="A61" i="54" s="1"/>
  <c r="C76" i="53"/>
  <c r="B76" i="53"/>
  <c r="K32" i="53"/>
  <c r="G34" i="53" s="1"/>
  <c r="E34" i="53" s="1"/>
  <c r="D78" i="53" s="1"/>
  <c r="G30" i="53"/>
  <c r="H30" i="53" s="1"/>
  <c r="E30" i="53" s="1"/>
  <c r="D76" i="53" s="1"/>
  <c r="G32" i="53"/>
  <c r="J17" i="38" s="1"/>
  <c r="K8" i="53"/>
  <c r="E25" i="53" s="1"/>
  <c r="H8" i="53"/>
  <c r="J8" i="53" s="1"/>
  <c r="H6" i="53"/>
  <c r="J6" i="53" s="1"/>
  <c r="C98" i="53"/>
  <c r="A98" i="53"/>
  <c r="C93" i="53"/>
  <c r="B93" i="53"/>
  <c r="D92" i="53"/>
  <c r="C92" i="53"/>
  <c r="B92" i="53"/>
  <c r="C91" i="53"/>
  <c r="B91" i="53"/>
  <c r="D88" i="53"/>
  <c r="C88" i="53"/>
  <c r="B88" i="53"/>
  <c r="D87" i="53"/>
  <c r="C87" i="53"/>
  <c r="B87" i="53"/>
  <c r="C84" i="53"/>
  <c r="B84" i="53"/>
  <c r="C83" i="53"/>
  <c r="B83" i="53"/>
  <c r="C82" i="53"/>
  <c r="B82" i="53"/>
  <c r="C81" i="53"/>
  <c r="B81" i="53"/>
  <c r="C78" i="53"/>
  <c r="B78" i="53"/>
  <c r="C77" i="53"/>
  <c r="B77" i="53"/>
  <c r="C73" i="53"/>
  <c r="B73" i="53"/>
  <c r="C72" i="53"/>
  <c r="B72" i="53"/>
  <c r="C69" i="53"/>
  <c r="B69" i="53"/>
  <c r="A61" i="53"/>
  <c r="H51" i="53"/>
  <c r="G43" i="53"/>
  <c r="E43" i="53" s="1"/>
  <c r="K17" i="38" s="1"/>
  <c r="G41" i="53"/>
  <c r="E41" i="53" s="1"/>
  <c r="D83" i="53" s="1"/>
  <c r="P37" i="53"/>
  <c r="Q37" i="53" s="1"/>
  <c r="N37" i="53"/>
  <c r="O37" i="53" s="1"/>
  <c r="H37" i="53"/>
  <c r="J37" i="53" s="1"/>
  <c r="G37" i="53"/>
  <c r="L9" i="53"/>
  <c r="L8" i="53"/>
  <c r="J7" i="53"/>
  <c r="A2" i="53"/>
  <c r="A58" i="53" s="1"/>
  <c r="K8" i="52"/>
  <c r="E20" i="52" s="1"/>
  <c r="K29" i="52"/>
  <c r="G31" i="52" s="1"/>
  <c r="E31" i="52" s="1"/>
  <c r="D76" i="52" s="1"/>
  <c r="G29" i="52"/>
  <c r="J14" i="38" s="1"/>
  <c r="G27" i="52"/>
  <c r="H27" i="52" s="1"/>
  <c r="E27" i="52" s="1"/>
  <c r="D74" i="52" s="1"/>
  <c r="G42" i="51"/>
  <c r="H42" i="51" s="1"/>
  <c r="E42" i="51" s="1"/>
  <c r="D89" i="51" s="1"/>
  <c r="E16" i="38"/>
  <c r="E15" i="38"/>
  <c r="E14" i="38"/>
  <c r="G16" i="38"/>
  <c r="G15" i="38"/>
  <c r="G14" i="38"/>
  <c r="H6" i="52"/>
  <c r="J6" i="52" s="1"/>
  <c r="J11" i="52" s="1"/>
  <c r="E17" i="52" s="1"/>
  <c r="C96" i="52"/>
  <c r="A96" i="52"/>
  <c r="C91" i="52"/>
  <c r="B91" i="52"/>
  <c r="D90" i="52"/>
  <c r="C90" i="52"/>
  <c r="B90" i="52"/>
  <c r="C89" i="52"/>
  <c r="B89" i="52"/>
  <c r="D86" i="52"/>
  <c r="C86" i="52"/>
  <c r="B86" i="52"/>
  <c r="D85" i="52"/>
  <c r="L14" i="38" s="1"/>
  <c r="C85" i="52"/>
  <c r="B85" i="52"/>
  <c r="C82" i="52"/>
  <c r="B82" i="52"/>
  <c r="C81" i="52"/>
  <c r="B81" i="52"/>
  <c r="C80" i="52"/>
  <c r="B80" i="52"/>
  <c r="C79" i="52"/>
  <c r="B79" i="52"/>
  <c r="C76" i="52"/>
  <c r="B76" i="52"/>
  <c r="C75" i="52"/>
  <c r="B75" i="52"/>
  <c r="C74" i="52"/>
  <c r="B74" i="52"/>
  <c r="D71" i="52"/>
  <c r="C71" i="52"/>
  <c r="B71" i="52"/>
  <c r="C70" i="52"/>
  <c r="B70" i="52"/>
  <c r="C69" i="52"/>
  <c r="B69" i="52"/>
  <c r="C66" i="52"/>
  <c r="B66" i="52"/>
  <c r="A58" i="52"/>
  <c r="H48" i="52"/>
  <c r="G40" i="52"/>
  <c r="E40" i="52" s="1"/>
  <c r="D82" i="52" s="1"/>
  <c r="G38" i="52"/>
  <c r="E38" i="52" s="1"/>
  <c r="D81" i="52" s="1"/>
  <c r="P34" i="52"/>
  <c r="R34" i="52" s="1"/>
  <c r="N34" i="52"/>
  <c r="O34" i="52" s="1"/>
  <c r="H34" i="52"/>
  <c r="J34" i="52" s="1"/>
  <c r="G34" i="52"/>
  <c r="L9" i="52"/>
  <c r="L8" i="52"/>
  <c r="A2" i="52"/>
  <c r="A55" i="52" s="1"/>
  <c r="K44" i="51"/>
  <c r="G46" i="51" s="1"/>
  <c r="E46" i="51" s="1"/>
  <c r="D91" i="51" s="1"/>
  <c r="G44" i="51"/>
  <c r="K8" i="51"/>
  <c r="E35" i="51" s="1"/>
  <c r="H12" i="51"/>
  <c r="J12" i="51" s="1"/>
  <c r="H11" i="51"/>
  <c r="J11" i="51" s="1"/>
  <c r="H10" i="51"/>
  <c r="J10" i="51" s="1"/>
  <c r="H9" i="51"/>
  <c r="J9" i="51" s="1"/>
  <c r="H8" i="51"/>
  <c r="J8" i="51" s="1"/>
  <c r="H7" i="51"/>
  <c r="J7" i="51" s="1"/>
  <c r="H6" i="51"/>
  <c r="J6" i="51" s="1"/>
  <c r="C111" i="51"/>
  <c r="A111" i="51"/>
  <c r="C106" i="51"/>
  <c r="B106" i="51"/>
  <c r="D105" i="51"/>
  <c r="C105" i="51"/>
  <c r="B105" i="51"/>
  <c r="C104" i="51"/>
  <c r="B104" i="51"/>
  <c r="D101" i="51"/>
  <c r="C101" i="51"/>
  <c r="B101" i="51"/>
  <c r="D100" i="51"/>
  <c r="C100" i="51"/>
  <c r="B100" i="51"/>
  <c r="C97" i="51"/>
  <c r="B97" i="51"/>
  <c r="C96" i="51"/>
  <c r="B96" i="51"/>
  <c r="C95" i="51"/>
  <c r="B95" i="51"/>
  <c r="C94" i="51"/>
  <c r="B94" i="51"/>
  <c r="C91" i="51"/>
  <c r="B91" i="51"/>
  <c r="C90" i="51"/>
  <c r="B90" i="51"/>
  <c r="C89" i="51"/>
  <c r="B89" i="51"/>
  <c r="C86" i="51"/>
  <c r="B86" i="51"/>
  <c r="C85" i="51"/>
  <c r="B85" i="51"/>
  <c r="C84" i="51"/>
  <c r="B84" i="51"/>
  <c r="C81" i="51"/>
  <c r="B81" i="51"/>
  <c r="A73" i="51"/>
  <c r="H63" i="51"/>
  <c r="G55" i="51"/>
  <c r="E55" i="51" s="1"/>
  <c r="D97" i="51" s="1"/>
  <c r="G53" i="51"/>
  <c r="E53" i="51" s="1"/>
  <c r="D96" i="51" s="1"/>
  <c r="P49" i="51"/>
  <c r="Q49" i="51" s="1"/>
  <c r="N49" i="51"/>
  <c r="O49" i="51" s="1"/>
  <c r="H49" i="51"/>
  <c r="J49" i="51" s="1"/>
  <c r="G49" i="51"/>
  <c r="D86" i="51"/>
  <c r="E29" i="51"/>
  <c r="L9" i="51"/>
  <c r="L8" i="51"/>
  <c r="A2" i="51"/>
  <c r="A70" i="51" s="1"/>
  <c r="K30" i="50"/>
  <c r="G30" i="50"/>
  <c r="K8" i="50"/>
  <c r="H8" i="50"/>
  <c r="J7" i="50"/>
  <c r="K19" i="38" l="1"/>
  <c r="K18" i="38"/>
  <c r="R35" i="55"/>
  <c r="J11" i="54"/>
  <c r="E27" i="54" s="1"/>
  <c r="D72" i="54" s="1"/>
  <c r="H18" i="38" s="1"/>
  <c r="J9" i="53"/>
  <c r="E22" i="53" s="1"/>
  <c r="D78" i="51"/>
  <c r="F15" i="38"/>
  <c r="K15" i="38"/>
  <c r="J14" i="51"/>
  <c r="E32" i="51" s="1"/>
  <c r="Q34" i="52"/>
  <c r="K14" i="38"/>
  <c r="E49" i="55"/>
  <c r="D88" i="55" s="1"/>
  <c r="D70" i="55"/>
  <c r="I19" i="38" s="1"/>
  <c r="H30" i="55"/>
  <c r="J30" i="55" s="1"/>
  <c r="J11" i="55"/>
  <c r="E22" i="55" s="1"/>
  <c r="K35" i="55"/>
  <c r="E35" i="55" s="1"/>
  <c r="L30" i="55"/>
  <c r="Q40" i="54"/>
  <c r="E54" i="54"/>
  <c r="D93" i="54" s="1"/>
  <c r="D75" i="54"/>
  <c r="I18" i="38" s="1"/>
  <c r="K40" i="54"/>
  <c r="E40" i="54" s="1"/>
  <c r="E42" i="54" s="1"/>
  <c r="D84" i="54" s="1"/>
  <c r="H35" i="54"/>
  <c r="J35" i="54" s="1"/>
  <c r="L35" i="54"/>
  <c r="K37" i="53"/>
  <c r="E37" i="53" s="1"/>
  <c r="D81" i="53" s="1"/>
  <c r="R37" i="53"/>
  <c r="L32" i="53"/>
  <c r="D84" i="53"/>
  <c r="H32" i="53"/>
  <c r="J32" i="53" s="1"/>
  <c r="D72" i="53"/>
  <c r="I17" i="38" s="1"/>
  <c r="E51" i="53"/>
  <c r="D91" i="53" s="1"/>
  <c r="H29" i="52"/>
  <c r="J29" i="52" s="1"/>
  <c r="K34" i="52"/>
  <c r="E34" i="52" s="1"/>
  <c r="D69" i="52"/>
  <c r="I14" i="38" s="1"/>
  <c r="E48" i="52"/>
  <c r="D89" i="52" s="1"/>
  <c r="L29" i="52"/>
  <c r="K49" i="51"/>
  <c r="E49" i="51" s="1"/>
  <c r="D94" i="51" s="1"/>
  <c r="D84" i="51"/>
  <c r="I15" i="38" s="1"/>
  <c r="E63" i="51"/>
  <c r="D104" i="51" s="1"/>
  <c r="H44" i="51"/>
  <c r="J44" i="51" s="1"/>
  <c r="L44" i="51"/>
  <c r="R49" i="51"/>
  <c r="H6" i="50"/>
  <c r="J6" i="50" s="1"/>
  <c r="C95" i="50"/>
  <c r="A95" i="50"/>
  <c r="C90" i="50"/>
  <c r="B90" i="50"/>
  <c r="D89" i="50"/>
  <c r="C89" i="50"/>
  <c r="B89" i="50"/>
  <c r="C88" i="50"/>
  <c r="B88" i="50"/>
  <c r="D85" i="50"/>
  <c r="C85" i="50"/>
  <c r="B85" i="50"/>
  <c r="D84" i="50"/>
  <c r="C84" i="50"/>
  <c r="B84" i="50"/>
  <c r="C81" i="50"/>
  <c r="B81" i="50"/>
  <c r="C80" i="50"/>
  <c r="B80" i="50"/>
  <c r="C79" i="50"/>
  <c r="B79" i="50"/>
  <c r="C78" i="50"/>
  <c r="B78" i="50"/>
  <c r="C75" i="50"/>
  <c r="B75" i="50"/>
  <c r="C74" i="50"/>
  <c r="B74" i="50"/>
  <c r="C71" i="50"/>
  <c r="B71" i="50"/>
  <c r="C70" i="50"/>
  <c r="B70" i="50"/>
  <c r="C67" i="50"/>
  <c r="B67" i="50"/>
  <c r="A59" i="50"/>
  <c r="H49" i="50"/>
  <c r="G41" i="50"/>
  <c r="E41" i="50" s="1"/>
  <c r="G39" i="50"/>
  <c r="E39" i="50" s="1"/>
  <c r="D80" i="50" s="1"/>
  <c r="P35" i="50"/>
  <c r="Q35" i="50" s="1"/>
  <c r="N35" i="50"/>
  <c r="O35" i="50" s="1"/>
  <c r="H35" i="50"/>
  <c r="J35" i="50" s="1"/>
  <c r="G35" i="50"/>
  <c r="G32" i="50"/>
  <c r="E32" i="50" s="1"/>
  <c r="D75" i="50" s="1"/>
  <c r="L9" i="50"/>
  <c r="L8" i="50"/>
  <c r="E25" i="50"/>
  <c r="J8" i="50"/>
  <c r="A2" i="50"/>
  <c r="A56" i="50" s="1"/>
  <c r="C85" i="49"/>
  <c r="C86" i="49"/>
  <c r="C87" i="49"/>
  <c r="C88" i="49"/>
  <c r="C91" i="49"/>
  <c r="C92" i="49"/>
  <c r="C95" i="49"/>
  <c r="C96" i="49"/>
  <c r="C97" i="49"/>
  <c r="B80" i="49"/>
  <c r="B81" i="49"/>
  <c r="B82" i="49"/>
  <c r="B95" i="49"/>
  <c r="B86" i="49"/>
  <c r="B87" i="49"/>
  <c r="B88" i="49"/>
  <c r="B85" i="49"/>
  <c r="B97" i="49"/>
  <c r="D112" i="48"/>
  <c r="B112" i="48"/>
  <c r="M39" i="45"/>
  <c r="B89" i="47"/>
  <c r="B90" i="47"/>
  <c r="B91" i="47"/>
  <c r="B94" i="47"/>
  <c r="B95" i="47"/>
  <c r="B96" i="47"/>
  <c r="B97" i="47"/>
  <c r="B104" i="47"/>
  <c r="B106" i="47"/>
  <c r="B102" i="36"/>
  <c r="B93" i="36"/>
  <c r="B94" i="36"/>
  <c r="B95" i="36"/>
  <c r="B92" i="36"/>
  <c r="B89" i="36"/>
  <c r="B88" i="36"/>
  <c r="B87" i="36"/>
  <c r="D104" i="36"/>
  <c r="B104" i="36"/>
  <c r="J39" i="45"/>
  <c r="I39" i="45"/>
  <c r="E39" i="45"/>
  <c r="F39" i="45" s="1"/>
  <c r="F13" i="38"/>
  <c r="E13" i="38"/>
  <c r="G13" i="38"/>
  <c r="G35" i="49"/>
  <c r="J13" i="38" s="1"/>
  <c r="K35" i="49"/>
  <c r="K8" i="49"/>
  <c r="G33" i="49"/>
  <c r="E30" i="49"/>
  <c r="B99" i="36"/>
  <c r="B98" i="36"/>
  <c r="B101" i="47"/>
  <c r="B100" i="47"/>
  <c r="B107" i="48"/>
  <c r="B106" i="48"/>
  <c r="B92" i="49"/>
  <c r="B91" i="49"/>
  <c r="D92" i="49"/>
  <c r="D91" i="49"/>
  <c r="L13" i="38" s="1"/>
  <c r="D99" i="36"/>
  <c r="D98" i="36"/>
  <c r="D105" i="47"/>
  <c r="D101" i="47"/>
  <c r="D100" i="47"/>
  <c r="L11" i="38" s="1"/>
  <c r="D107" i="48"/>
  <c r="D106" i="48"/>
  <c r="L12" i="38" s="1"/>
  <c r="D81" i="50" l="1"/>
  <c r="K16" i="38"/>
  <c r="J21" i="51"/>
  <c r="L34" i="45"/>
  <c r="L33" i="45"/>
  <c r="M30" i="55"/>
  <c r="E30" i="55" s="1"/>
  <c r="D74" i="55" s="1"/>
  <c r="D67" i="55"/>
  <c r="H19" i="38" s="1"/>
  <c r="E27" i="55"/>
  <c r="D71" i="55" s="1"/>
  <c r="E37" i="55"/>
  <c r="D79" i="55" s="1"/>
  <c r="D78" i="55"/>
  <c r="M35" i="54"/>
  <c r="E35" i="54" s="1"/>
  <c r="D79" i="54" s="1"/>
  <c r="D83" i="54"/>
  <c r="E32" i="54"/>
  <c r="D76" i="54" s="1"/>
  <c r="M32" i="53"/>
  <c r="E32" i="53" s="1"/>
  <c r="D77" i="53" s="1"/>
  <c r="E39" i="53"/>
  <c r="D82" i="53" s="1"/>
  <c r="D69" i="53"/>
  <c r="H17" i="38" s="1"/>
  <c r="E27" i="53"/>
  <c r="D73" i="53" s="1"/>
  <c r="E22" i="52"/>
  <c r="D70" i="52" s="1"/>
  <c r="D66" i="52"/>
  <c r="H14" i="38" s="1"/>
  <c r="M29" i="52"/>
  <c r="E29" i="52" s="1"/>
  <c r="D75" i="52" s="1"/>
  <c r="D79" i="52"/>
  <c r="E36" i="52"/>
  <c r="D80" i="52" s="1"/>
  <c r="J26" i="51"/>
  <c r="E51" i="51"/>
  <c r="D95" i="51" s="1"/>
  <c r="M44" i="51"/>
  <c r="E44" i="51" s="1"/>
  <c r="D90" i="51" s="1"/>
  <c r="E37" i="51"/>
  <c r="D85" i="51" s="1"/>
  <c r="D81" i="51"/>
  <c r="H15" i="38" s="1"/>
  <c r="J31" i="51"/>
  <c r="J34" i="51"/>
  <c r="H30" i="50"/>
  <c r="J30" i="50" s="1"/>
  <c r="K35" i="50"/>
  <c r="E35" i="50" s="1"/>
  <c r="D78" i="50" s="1"/>
  <c r="R35" i="50"/>
  <c r="E22" i="50"/>
  <c r="E27" i="50" s="1"/>
  <c r="D71" i="50" s="1"/>
  <c r="D70" i="50"/>
  <c r="I16" i="38" s="1"/>
  <c r="E49" i="50"/>
  <c r="D88" i="50" s="1"/>
  <c r="L30" i="50"/>
  <c r="L10" i="38"/>
  <c r="L20" i="38" s="1"/>
  <c r="C102" i="49"/>
  <c r="A102" i="49"/>
  <c r="D96" i="49"/>
  <c r="B96" i="49"/>
  <c r="C82" i="49"/>
  <c r="C81" i="49"/>
  <c r="C80" i="49"/>
  <c r="C77" i="49"/>
  <c r="B77" i="49"/>
  <c r="C76" i="49"/>
  <c r="B76" i="49"/>
  <c r="C75" i="49"/>
  <c r="B75" i="49"/>
  <c r="C69" i="49"/>
  <c r="B69" i="49"/>
  <c r="C72" i="49"/>
  <c r="B72" i="49"/>
  <c r="A64" i="49"/>
  <c r="H54" i="49"/>
  <c r="G46" i="49"/>
  <c r="E46" i="49" s="1"/>
  <c r="G44" i="49"/>
  <c r="E44" i="49" s="1"/>
  <c r="D87" i="49" s="1"/>
  <c r="P40" i="49"/>
  <c r="R40" i="49" s="1"/>
  <c r="N40" i="49"/>
  <c r="O40" i="49" s="1"/>
  <c r="H40" i="49"/>
  <c r="J40" i="49" s="1"/>
  <c r="G40" i="49"/>
  <c r="G37" i="49"/>
  <c r="E37" i="49" s="1"/>
  <c r="D82" i="49" s="1"/>
  <c r="H33" i="49"/>
  <c r="E33" i="49" s="1"/>
  <c r="D80" i="49" s="1"/>
  <c r="D77" i="49"/>
  <c r="E20" i="49"/>
  <c r="D69" i="49" s="1"/>
  <c r="J15" i="49"/>
  <c r="J14" i="49"/>
  <c r="J13" i="49"/>
  <c r="L9" i="49"/>
  <c r="L8" i="49"/>
  <c r="E26" i="49"/>
  <c r="I13" i="38" s="1"/>
  <c r="J8" i="49"/>
  <c r="J6" i="49"/>
  <c r="A2" i="49"/>
  <c r="A61" i="49" s="1"/>
  <c r="E10" i="38"/>
  <c r="F12" i="38"/>
  <c r="F11" i="38"/>
  <c r="E12" i="38"/>
  <c r="E11" i="38"/>
  <c r="E26" i="32"/>
  <c r="M29" i="45"/>
  <c r="G94" i="55" l="1"/>
  <c r="G99" i="54"/>
  <c r="G97" i="53"/>
  <c r="J19" i="52"/>
  <c r="G95" i="52"/>
  <c r="G110" i="51"/>
  <c r="M30" i="50"/>
  <c r="E30" i="50" s="1"/>
  <c r="D74" i="50" s="1"/>
  <c r="E37" i="50"/>
  <c r="D79" i="50" s="1"/>
  <c r="J21" i="50"/>
  <c r="D67" i="50"/>
  <c r="H16" i="38" s="1"/>
  <c r="J24" i="50"/>
  <c r="G94" i="50"/>
  <c r="D88" i="49"/>
  <c r="K13" i="38"/>
  <c r="H35" i="49"/>
  <c r="J35" i="49" s="1"/>
  <c r="J16" i="49"/>
  <c r="E23" i="49" s="1"/>
  <c r="H13" i="38" s="1"/>
  <c r="D75" i="49"/>
  <c r="E54" i="49"/>
  <c r="D95" i="49" s="1"/>
  <c r="K40" i="49"/>
  <c r="E40" i="49" s="1"/>
  <c r="L35" i="49"/>
  <c r="Q40" i="49"/>
  <c r="K49" i="48"/>
  <c r="G49" i="48"/>
  <c r="J12" i="38" s="1"/>
  <c r="G47" i="48"/>
  <c r="E44" i="48"/>
  <c r="K8" i="48"/>
  <c r="H15" i="48"/>
  <c r="J15" i="48" s="1"/>
  <c r="H14" i="48"/>
  <c r="J14" i="48" s="1"/>
  <c r="H13" i="48"/>
  <c r="J13" i="48" s="1"/>
  <c r="H12" i="48"/>
  <c r="J12" i="48" s="1"/>
  <c r="H11" i="48"/>
  <c r="J11" i="48" s="1"/>
  <c r="H10" i="48"/>
  <c r="J10" i="48" s="1"/>
  <c r="H9" i="48"/>
  <c r="H8" i="48"/>
  <c r="H7" i="48"/>
  <c r="H6" i="48"/>
  <c r="K44" i="47"/>
  <c r="G44" i="47"/>
  <c r="J11" i="38" s="1"/>
  <c r="G39" i="36"/>
  <c r="G42" i="47"/>
  <c r="E39" i="47"/>
  <c r="K8" i="47"/>
  <c r="J12" i="47"/>
  <c r="H11" i="47"/>
  <c r="J11" i="47" s="1"/>
  <c r="H10" i="47"/>
  <c r="J10" i="47" s="1"/>
  <c r="L19" i="47"/>
  <c r="L18" i="47"/>
  <c r="H9" i="47"/>
  <c r="J9" i="47" s="1"/>
  <c r="H8" i="47"/>
  <c r="L14" i="47"/>
  <c r="L13" i="47"/>
  <c r="H7" i="47"/>
  <c r="J7" i="47" s="1"/>
  <c r="H6" i="47"/>
  <c r="K41" i="36"/>
  <c r="G41" i="36"/>
  <c r="E36" i="36"/>
  <c r="K8" i="36"/>
  <c r="J7" i="48" l="1"/>
  <c r="M35" i="49"/>
  <c r="E35" i="49" s="1"/>
  <c r="D81" i="49" s="1"/>
  <c r="J22" i="49"/>
  <c r="D72" i="49"/>
  <c r="E28" i="49"/>
  <c r="D76" i="49" s="1"/>
  <c r="D85" i="49"/>
  <c r="E42" i="49"/>
  <c r="D86" i="49" s="1"/>
  <c r="J25" i="49"/>
  <c r="H11" i="36"/>
  <c r="J11" i="36" s="1"/>
  <c r="J10" i="36"/>
  <c r="H9" i="36"/>
  <c r="H8" i="36"/>
  <c r="H7" i="36"/>
  <c r="J7" i="36" s="1"/>
  <c r="H6" i="36"/>
  <c r="G101" i="49" l="1"/>
  <c r="C117" i="48"/>
  <c r="A117" i="48"/>
  <c r="C110" i="48"/>
  <c r="D111" i="48"/>
  <c r="C111" i="48"/>
  <c r="B111" i="48"/>
  <c r="C103" i="48"/>
  <c r="C102" i="48"/>
  <c r="C101" i="48"/>
  <c r="C100" i="48"/>
  <c r="C97" i="48"/>
  <c r="C96" i="48"/>
  <c r="C95" i="48"/>
  <c r="C92" i="48"/>
  <c r="B92" i="48"/>
  <c r="C91" i="48"/>
  <c r="B91" i="48"/>
  <c r="C90" i="48"/>
  <c r="B90" i="48"/>
  <c r="C87" i="48"/>
  <c r="B87" i="48"/>
  <c r="A79" i="48"/>
  <c r="H68" i="48"/>
  <c r="G60" i="48"/>
  <c r="E60" i="48" s="1"/>
  <c r="G58" i="48"/>
  <c r="E58" i="48" s="1"/>
  <c r="D102" i="48" s="1"/>
  <c r="P54" i="48"/>
  <c r="Q54" i="48" s="1"/>
  <c r="N54" i="48"/>
  <c r="O54" i="48" s="1"/>
  <c r="H54" i="48"/>
  <c r="J54" i="48" s="1"/>
  <c r="G54" i="48"/>
  <c r="G51" i="48"/>
  <c r="E51" i="48" s="1"/>
  <c r="D97" i="48" s="1"/>
  <c r="H47" i="48"/>
  <c r="E47" i="48" s="1"/>
  <c r="D95" i="48" s="1"/>
  <c r="D92" i="48"/>
  <c r="E34" i="48"/>
  <c r="D84" i="48" s="1"/>
  <c r="L9" i="48"/>
  <c r="J9" i="48"/>
  <c r="L8" i="48"/>
  <c r="E40" i="48"/>
  <c r="I12" i="38" s="1"/>
  <c r="J8" i="48"/>
  <c r="J6" i="48"/>
  <c r="A2" i="48"/>
  <c r="A76" i="48" s="1"/>
  <c r="G46" i="47"/>
  <c r="E46" i="47" s="1"/>
  <c r="D91" i="47" s="1"/>
  <c r="E35" i="47"/>
  <c r="I11" i="38" s="1"/>
  <c r="H42" i="47"/>
  <c r="E42" i="47" s="1"/>
  <c r="D89" i="47" s="1"/>
  <c r="D86" i="47"/>
  <c r="J6" i="47"/>
  <c r="C111" i="47"/>
  <c r="A111" i="47"/>
  <c r="C104" i="47"/>
  <c r="C105" i="47"/>
  <c r="B105" i="47"/>
  <c r="C97" i="47"/>
  <c r="C96" i="47"/>
  <c r="C95" i="47"/>
  <c r="C94" i="47"/>
  <c r="C91" i="47"/>
  <c r="C90" i="47"/>
  <c r="C89" i="47"/>
  <c r="C86" i="47"/>
  <c r="B86" i="47"/>
  <c r="C85" i="47"/>
  <c r="B85" i="47"/>
  <c r="C84" i="47"/>
  <c r="B84" i="47"/>
  <c r="C78" i="47"/>
  <c r="B78" i="47"/>
  <c r="C81" i="47"/>
  <c r="B81" i="47"/>
  <c r="A73" i="47"/>
  <c r="H63" i="47"/>
  <c r="G55" i="47"/>
  <c r="E55" i="47" s="1"/>
  <c r="G53" i="47"/>
  <c r="E53" i="47" s="1"/>
  <c r="D96" i="47" s="1"/>
  <c r="P49" i="47"/>
  <c r="R49" i="47" s="1"/>
  <c r="N49" i="47"/>
  <c r="O49" i="47" s="1"/>
  <c r="H49" i="47"/>
  <c r="J49" i="47" s="1"/>
  <c r="G49" i="47"/>
  <c r="E29" i="47"/>
  <c r="D78" i="47" s="1"/>
  <c r="L9" i="47"/>
  <c r="L8" i="47"/>
  <c r="J8" i="47"/>
  <c r="A2" i="47"/>
  <c r="A70" i="47" s="1"/>
  <c r="D103" i="36"/>
  <c r="B103" i="36"/>
  <c r="C103" i="36"/>
  <c r="I38" i="45"/>
  <c r="E38" i="45"/>
  <c r="F38" i="45" s="1"/>
  <c r="I33" i="45"/>
  <c r="E33" i="45"/>
  <c r="F33" i="45" s="1"/>
  <c r="F32" i="45" s="1"/>
  <c r="H32" i="45"/>
  <c r="H46" i="36"/>
  <c r="B82" i="36"/>
  <c r="B83" i="36"/>
  <c r="B84" i="36"/>
  <c r="B79" i="36"/>
  <c r="B76" i="36"/>
  <c r="B75" i="36"/>
  <c r="O75" i="36"/>
  <c r="J75" i="36"/>
  <c r="E24" i="36"/>
  <c r="D75" i="36" s="1"/>
  <c r="L10" i="45" s="1"/>
  <c r="C109" i="36"/>
  <c r="L38" i="45" l="1"/>
  <c r="J14" i="47"/>
  <c r="E32" i="47" s="1"/>
  <c r="H11" i="38" s="1"/>
  <c r="D97" i="47"/>
  <c r="K11" i="38"/>
  <c r="R54" i="48"/>
  <c r="J16" i="48"/>
  <c r="E37" i="48" s="1"/>
  <c r="H12" i="38" s="1"/>
  <c r="D103" i="48"/>
  <c r="K12" i="38"/>
  <c r="K54" i="48"/>
  <c r="E54" i="48" s="1"/>
  <c r="D100" i="48" s="1"/>
  <c r="H49" i="48"/>
  <c r="J49" i="48" s="1"/>
  <c r="E68" i="48"/>
  <c r="D110" i="48" s="1"/>
  <c r="D90" i="48"/>
  <c r="L49" i="48"/>
  <c r="H44" i="47"/>
  <c r="J44" i="47" s="1"/>
  <c r="K49" i="47"/>
  <c r="E49" i="47" s="1"/>
  <c r="E51" i="47" s="1"/>
  <c r="D95" i="47" s="1"/>
  <c r="E63" i="47"/>
  <c r="D104" i="47" s="1"/>
  <c r="D84" i="47"/>
  <c r="Q49" i="47"/>
  <c r="L44" i="47"/>
  <c r="P47" i="45"/>
  <c r="F36" i="45"/>
  <c r="I37" i="45"/>
  <c r="E37" i="45"/>
  <c r="F37" i="45" s="1"/>
  <c r="H36" i="45"/>
  <c r="E29" i="45"/>
  <c r="H29" i="45" s="1"/>
  <c r="D29" i="45"/>
  <c r="I29" i="45" s="1"/>
  <c r="E28" i="45"/>
  <c r="H28" i="45" s="1"/>
  <c r="D28" i="45"/>
  <c r="I28" i="45" s="1"/>
  <c r="E27" i="45"/>
  <c r="H27" i="45" s="1"/>
  <c r="H26" i="45" s="1"/>
  <c r="D27" i="45"/>
  <c r="I27" i="45" s="1"/>
  <c r="I24" i="45"/>
  <c r="E24" i="45"/>
  <c r="F24" i="45" s="1"/>
  <c r="E23" i="45"/>
  <c r="H23" i="45" s="1"/>
  <c r="H21" i="45" s="1"/>
  <c r="D23" i="45"/>
  <c r="F22" i="45"/>
  <c r="I19" i="45"/>
  <c r="F19" i="45"/>
  <c r="I18" i="45"/>
  <c r="F18" i="45"/>
  <c r="I17" i="45"/>
  <c r="F17" i="45"/>
  <c r="H16" i="45"/>
  <c r="I14" i="45"/>
  <c r="F14" i="45"/>
  <c r="F13" i="45" s="1"/>
  <c r="H13" i="45"/>
  <c r="I11" i="45"/>
  <c r="F11" i="45"/>
  <c r="F9" i="45" s="1"/>
  <c r="I10" i="45"/>
  <c r="H9" i="45"/>
  <c r="C122" i="31"/>
  <c r="C82" i="31"/>
  <c r="D103" i="42"/>
  <c r="A103" i="42"/>
  <c r="A102" i="42"/>
  <c r="D101" i="43"/>
  <c r="A101" i="43"/>
  <c r="A100" i="43"/>
  <c r="O130" i="44"/>
  <c r="I130" i="44"/>
  <c r="L130" i="44" s="1"/>
  <c r="E130" i="44"/>
  <c r="F130" i="44" s="1"/>
  <c r="O129" i="44"/>
  <c r="I129" i="44"/>
  <c r="E129" i="44"/>
  <c r="F129" i="44" s="1"/>
  <c r="H128" i="44"/>
  <c r="M126" i="44"/>
  <c r="I126" i="44"/>
  <c r="E126" i="44"/>
  <c r="F126" i="44" s="1"/>
  <c r="B126" i="44"/>
  <c r="M125" i="44"/>
  <c r="I125" i="44"/>
  <c r="E125" i="44"/>
  <c r="F125" i="44" s="1"/>
  <c r="B125" i="44"/>
  <c r="I124" i="44"/>
  <c r="E124" i="44"/>
  <c r="F124" i="44" s="1"/>
  <c r="B124" i="44"/>
  <c r="H123" i="44"/>
  <c r="I121" i="44"/>
  <c r="L121" i="44" s="1"/>
  <c r="E121" i="44"/>
  <c r="F121" i="44" s="1"/>
  <c r="I120" i="44"/>
  <c r="E120" i="44"/>
  <c r="F120" i="44" s="1"/>
  <c r="I119" i="44"/>
  <c r="E119" i="44"/>
  <c r="F119" i="44" s="1"/>
  <c r="H118" i="44"/>
  <c r="I116" i="44"/>
  <c r="E116" i="44"/>
  <c r="F116" i="44" s="1"/>
  <c r="F115" i="44" s="1"/>
  <c r="H115" i="44"/>
  <c r="O113" i="44"/>
  <c r="I113" i="44"/>
  <c r="E113" i="44"/>
  <c r="F113" i="44" s="1"/>
  <c r="F112" i="44" s="1"/>
  <c r="B113" i="44"/>
  <c r="H112" i="44"/>
  <c r="I107" i="44"/>
  <c r="E107" i="44"/>
  <c r="F107" i="44" s="1"/>
  <c r="I105" i="44"/>
  <c r="E105" i="44"/>
  <c r="F105" i="44" s="1"/>
  <c r="I106" i="44"/>
  <c r="E106" i="44"/>
  <c r="F106" i="44" s="1"/>
  <c r="F104" i="44" s="1"/>
  <c r="H104" i="44"/>
  <c r="D101" i="44"/>
  <c r="I101" i="44" s="1"/>
  <c r="D100" i="44"/>
  <c r="I100" i="44" s="1"/>
  <c r="D99" i="44"/>
  <c r="I99" i="44" s="1"/>
  <c r="I96" i="44"/>
  <c r="E95" i="44"/>
  <c r="H95" i="44" s="1"/>
  <c r="H93" i="44" s="1"/>
  <c r="D95" i="44"/>
  <c r="I95" i="44" s="1"/>
  <c r="M94" i="44"/>
  <c r="F94" i="44"/>
  <c r="I91" i="44"/>
  <c r="F91" i="44"/>
  <c r="I90" i="44"/>
  <c r="F90" i="44"/>
  <c r="I89" i="44"/>
  <c r="F89" i="44"/>
  <c r="H88" i="44"/>
  <c r="I86" i="44"/>
  <c r="F86" i="44"/>
  <c r="F85" i="44" s="1"/>
  <c r="H85" i="44"/>
  <c r="I83" i="44"/>
  <c r="F83" i="44"/>
  <c r="F82" i="44" s="1"/>
  <c r="H82" i="44"/>
  <c r="A81" i="44"/>
  <c r="I77" i="44"/>
  <c r="E77" i="44"/>
  <c r="F77" i="44" s="1"/>
  <c r="M75" i="44"/>
  <c r="M105" i="44" s="1"/>
  <c r="I75" i="44"/>
  <c r="E75" i="44"/>
  <c r="F75" i="44" s="1"/>
  <c r="I76" i="44"/>
  <c r="E76" i="44"/>
  <c r="F76" i="44" s="1"/>
  <c r="F74" i="44" s="1"/>
  <c r="H74" i="44"/>
  <c r="E71" i="44"/>
  <c r="H71" i="44" s="1"/>
  <c r="D71" i="44"/>
  <c r="I71" i="44" s="1"/>
  <c r="D70" i="44"/>
  <c r="I70" i="44" s="1"/>
  <c r="D69" i="44"/>
  <c r="I69" i="44" s="1"/>
  <c r="O66" i="44"/>
  <c r="I66" i="44"/>
  <c r="E66" i="44"/>
  <c r="H66" i="44" s="1"/>
  <c r="O65" i="44"/>
  <c r="M65" i="44"/>
  <c r="E65" i="44"/>
  <c r="H65" i="44" s="1"/>
  <c r="H63" i="44" s="1"/>
  <c r="D65" i="44"/>
  <c r="I65" i="44" s="1"/>
  <c r="F64" i="44"/>
  <c r="I61" i="44"/>
  <c r="F61" i="44"/>
  <c r="B121" i="44"/>
  <c r="M60" i="44"/>
  <c r="M90" i="44" s="1"/>
  <c r="I60" i="44"/>
  <c r="F60" i="44"/>
  <c r="B120" i="44"/>
  <c r="M59" i="44"/>
  <c r="M119" i="44" s="1"/>
  <c r="I59" i="44"/>
  <c r="F59" i="44"/>
  <c r="H58" i="44"/>
  <c r="M56" i="44"/>
  <c r="M86" i="44" s="1"/>
  <c r="I56" i="44"/>
  <c r="F56" i="44"/>
  <c r="F55" i="44" s="1"/>
  <c r="H55" i="44"/>
  <c r="M53" i="44"/>
  <c r="M113" i="44" s="1"/>
  <c r="I53" i="44"/>
  <c r="F53" i="44"/>
  <c r="F51" i="44" s="1"/>
  <c r="I52" i="44"/>
  <c r="H51" i="44"/>
  <c r="A50" i="44"/>
  <c r="I46" i="44"/>
  <c r="E46" i="44"/>
  <c r="E101" i="44" s="1"/>
  <c r="H101" i="44" s="1"/>
  <c r="D45" i="44"/>
  <c r="I45" i="44" s="1"/>
  <c r="O42" i="44"/>
  <c r="O72" i="44" s="1"/>
  <c r="M42" i="44"/>
  <c r="M72" i="44" s="1"/>
  <c r="O41" i="44"/>
  <c r="O71" i="44" s="1"/>
  <c r="D41" i="44"/>
  <c r="I41" i="44" s="1"/>
  <c r="O40" i="44"/>
  <c r="O70" i="44" s="1"/>
  <c r="M40" i="44"/>
  <c r="M70" i="44" s="1"/>
  <c r="D40" i="44"/>
  <c r="I40" i="44" s="1"/>
  <c r="O39" i="44"/>
  <c r="O69" i="44" s="1"/>
  <c r="M39" i="44"/>
  <c r="M99" i="44" s="1"/>
  <c r="D39" i="44"/>
  <c r="I39" i="44" s="1"/>
  <c r="O36" i="44"/>
  <c r="I36" i="44"/>
  <c r="E36" i="44"/>
  <c r="H36" i="44" s="1"/>
  <c r="O35" i="44"/>
  <c r="M35" i="44"/>
  <c r="M95" i="44" s="1"/>
  <c r="E35" i="44"/>
  <c r="H35" i="44" s="1"/>
  <c r="H33" i="44" s="1"/>
  <c r="D35" i="44"/>
  <c r="I35" i="44" s="1"/>
  <c r="F34" i="44"/>
  <c r="D31" i="44"/>
  <c r="I31" i="44" s="1"/>
  <c r="D30" i="44"/>
  <c r="I30" i="44" s="1"/>
  <c r="D29" i="44"/>
  <c r="I29" i="44" s="1"/>
  <c r="D26" i="44"/>
  <c r="I26" i="44" s="1"/>
  <c r="I23" i="44"/>
  <c r="E23" i="44"/>
  <c r="F23" i="44" s="1"/>
  <c r="A21" i="44"/>
  <c r="E45" i="44"/>
  <c r="J17" i="44"/>
  <c r="J16" i="44"/>
  <c r="E16" i="44"/>
  <c r="E41" i="44" s="1"/>
  <c r="D16" i="44"/>
  <c r="I16" i="44" s="1"/>
  <c r="J15" i="44"/>
  <c r="E15" i="44"/>
  <c r="E40" i="44" s="1"/>
  <c r="H40" i="44" s="1"/>
  <c r="D15" i="44"/>
  <c r="I15" i="44" s="1"/>
  <c r="J14" i="44"/>
  <c r="E14" i="44"/>
  <c r="E39" i="44" s="1"/>
  <c r="H39" i="44" s="1"/>
  <c r="J11" i="44"/>
  <c r="E11" i="44"/>
  <c r="H11" i="44" s="1"/>
  <c r="H10" i="44" s="1"/>
  <c r="D11" i="44"/>
  <c r="I11" i="44" s="1"/>
  <c r="E30" i="44"/>
  <c r="H22" i="44"/>
  <c r="H58" i="42"/>
  <c r="C94" i="43"/>
  <c r="C91" i="43"/>
  <c r="C90" i="43"/>
  <c r="C89" i="43"/>
  <c r="C88" i="43"/>
  <c r="C85" i="43"/>
  <c r="C84" i="43"/>
  <c r="C83" i="43"/>
  <c r="C80" i="43"/>
  <c r="C79" i="43"/>
  <c r="C78" i="43"/>
  <c r="C75" i="43"/>
  <c r="C72" i="43"/>
  <c r="C71" i="43"/>
  <c r="C96" i="42"/>
  <c r="C93" i="42"/>
  <c r="C92" i="42"/>
  <c r="C91" i="42"/>
  <c r="C90" i="42"/>
  <c r="C87" i="42"/>
  <c r="C86" i="42"/>
  <c r="C85" i="42"/>
  <c r="C81" i="42"/>
  <c r="C82" i="42"/>
  <c r="C80" i="42"/>
  <c r="C77" i="42"/>
  <c r="C74" i="42"/>
  <c r="M107" i="31"/>
  <c r="M145" i="31"/>
  <c r="O117" i="31"/>
  <c r="O116" i="31"/>
  <c r="M116" i="31"/>
  <c r="B158" i="31"/>
  <c r="B151" i="31"/>
  <c r="B152" i="31"/>
  <c r="B153" i="31"/>
  <c r="B150" i="31"/>
  <c r="B145" i="31"/>
  <c r="B141" i="31"/>
  <c r="B142" i="31"/>
  <c r="B134" i="31"/>
  <c r="B126" i="31"/>
  <c r="B156" i="31" s="1"/>
  <c r="B127" i="31"/>
  <c r="B157" i="31" s="1"/>
  <c r="B121" i="31"/>
  <c r="B122" i="31"/>
  <c r="B123" i="31"/>
  <c r="B120" i="31"/>
  <c r="B115" i="31"/>
  <c r="B111" i="31"/>
  <c r="B112" i="31"/>
  <c r="B104" i="31"/>
  <c r="B86" i="31"/>
  <c r="B87" i="31"/>
  <c r="B88" i="31"/>
  <c r="B85" i="31"/>
  <c r="B82" i="31"/>
  <c r="B147" i="31" s="1"/>
  <c r="B81" i="31"/>
  <c r="B146" i="31" s="1"/>
  <c r="D152" i="31"/>
  <c r="I152" i="31" s="1"/>
  <c r="D151" i="31"/>
  <c r="I151" i="31" s="1"/>
  <c r="D150" i="31"/>
  <c r="I147" i="31"/>
  <c r="E146" i="31"/>
  <c r="H146" i="31" s="1"/>
  <c r="H144" i="31" s="1"/>
  <c r="D146" i="31"/>
  <c r="I146" i="31" s="1"/>
  <c r="F145" i="31"/>
  <c r="E122" i="31"/>
  <c r="H122" i="31" s="1"/>
  <c r="D122" i="31"/>
  <c r="I122" i="31" s="1"/>
  <c r="D121" i="31"/>
  <c r="I121" i="31" s="1"/>
  <c r="D120" i="31"/>
  <c r="I120" i="31" s="1"/>
  <c r="I117" i="31"/>
  <c r="E117" i="31"/>
  <c r="F117" i="31" s="1"/>
  <c r="E116" i="31"/>
  <c r="H116" i="31" s="1"/>
  <c r="H114" i="31" s="1"/>
  <c r="D116" i="31"/>
  <c r="I116" i="31" s="1"/>
  <c r="F115" i="31"/>
  <c r="J39" i="48" l="1"/>
  <c r="B117" i="31"/>
  <c r="D81" i="47"/>
  <c r="E56" i="48"/>
  <c r="D101" i="48" s="1"/>
  <c r="J36" i="48"/>
  <c r="E42" i="48"/>
  <c r="D91" i="48" s="1"/>
  <c r="D87" i="48"/>
  <c r="M49" i="48"/>
  <c r="E49" i="48" s="1"/>
  <c r="D96" i="48" s="1"/>
  <c r="M44" i="47"/>
  <c r="E44" i="47" s="1"/>
  <c r="D90" i="47" s="1"/>
  <c r="E37" i="47"/>
  <c r="D85" i="47" s="1"/>
  <c r="D94" i="47"/>
  <c r="F23" i="45"/>
  <c r="F21" i="45" s="1"/>
  <c r="F27" i="45"/>
  <c r="F26" i="45" s="1"/>
  <c r="H24" i="45"/>
  <c r="F16" i="45"/>
  <c r="F28" i="45"/>
  <c r="F29" i="45"/>
  <c r="I23" i="45"/>
  <c r="B116" i="31"/>
  <c r="M69" i="44"/>
  <c r="H132" i="44"/>
  <c r="F88" i="44"/>
  <c r="E26" i="44"/>
  <c r="H26" i="44" s="1"/>
  <c r="H25" i="44" s="1"/>
  <c r="F36" i="44"/>
  <c r="M89" i="44"/>
  <c r="M116" i="44"/>
  <c r="F123" i="44"/>
  <c r="F128" i="44"/>
  <c r="E29" i="44"/>
  <c r="M83" i="44"/>
  <c r="F35" i="44"/>
  <c r="F33" i="44" s="1"/>
  <c r="F66" i="44"/>
  <c r="F118" i="44"/>
  <c r="F58" i="44"/>
  <c r="H14" i="44"/>
  <c r="H30" i="44"/>
  <c r="F30" i="44"/>
  <c r="F101" i="44"/>
  <c r="B119" i="44"/>
  <c r="F22" i="44"/>
  <c r="E100" i="44"/>
  <c r="H100" i="44" s="1"/>
  <c r="H45" i="44"/>
  <c r="F45" i="44"/>
  <c r="E96" i="44"/>
  <c r="H41" i="44"/>
  <c r="H38" i="44" s="1"/>
  <c r="F41" i="44"/>
  <c r="F16" i="44"/>
  <c r="F11" i="44"/>
  <c r="F10" i="44" s="1"/>
  <c r="F40" i="44"/>
  <c r="F71" i="44"/>
  <c r="M100" i="44"/>
  <c r="E70" i="44"/>
  <c r="H70" i="44" s="1"/>
  <c r="M102" i="44"/>
  <c r="E31" i="44"/>
  <c r="H31" i="44" s="1"/>
  <c r="F39" i="44"/>
  <c r="M120" i="44"/>
  <c r="F15" i="44"/>
  <c r="F46" i="44"/>
  <c r="F95" i="44"/>
  <c r="F93" i="44" s="1"/>
  <c r="H15" i="44"/>
  <c r="H16" i="44"/>
  <c r="F65" i="44"/>
  <c r="F63" i="44" s="1"/>
  <c r="F146" i="31"/>
  <c r="F144" i="31" s="1"/>
  <c r="I150" i="31"/>
  <c r="F116" i="31"/>
  <c r="F114" i="31" s="1"/>
  <c r="H117" i="31"/>
  <c r="F122" i="31"/>
  <c r="G116" i="48" l="1"/>
  <c r="G110" i="47"/>
  <c r="F26" i="44"/>
  <c r="F25" i="44" s="1"/>
  <c r="F31" i="44"/>
  <c r="E69" i="44"/>
  <c r="F100" i="44"/>
  <c r="F132" i="44"/>
  <c r="F29" i="44"/>
  <c r="F28" i="44" s="1"/>
  <c r="H29" i="44"/>
  <c r="H28" i="44" s="1"/>
  <c r="H13" i="44"/>
  <c r="H96" i="44"/>
  <c r="F96" i="44"/>
  <c r="F70" i="44"/>
  <c r="F38" i="44"/>
  <c r="H44" i="44"/>
  <c r="E99" i="44"/>
  <c r="H55" i="43"/>
  <c r="M41" i="43"/>
  <c r="E43" i="43" s="1"/>
  <c r="D85" i="43" s="1"/>
  <c r="J24" i="45" s="1"/>
  <c r="I41" i="43"/>
  <c r="L8" i="43"/>
  <c r="I39" i="43"/>
  <c r="J39" i="43" s="1"/>
  <c r="E39" i="43" s="1"/>
  <c r="D83" i="43" s="1"/>
  <c r="J22" i="45" s="1"/>
  <c r="E36" i="43"/>
  <c r="D80" i="43" s="1"/>
  <c r="J19" i="45" s="1"/>
  <c r="A132" i="31"/>
  <c r="A101" i="31"/>
  <c r="O88" i="31"/>
  <c r="O123" i="31" s="1"/>
  <c r="O87" i="31"/>
  <c r="O122" i="31" s="1"/>
  <c r="O86" i="31"/>
  <c r="O121" i="31" s="1"/>
  <c r="M86" i="31"/>
  <c r="M88" i="31"/>
  <c r="O85" i="31"/>
  <c r="O120" i="31" s="1"/>
  <c r="M85" i="31"/>
  <c r="O82" i="31"/>
  <c r="O81" i="31"/>
  <c r="M81" i="31"/>
  <c r="M146" i="31" s="1"/>
  <c r="D96" i="43"/>
  <c r="C96" i="43"/>
  <c r="B96" i="43"/>
  <c r="D95" i="43"/>
  <c r="C95" i="43"/>
  <c r="B95" i="43"/>
  <c r="B79" i="43"/>
  <c r="B80" i="43"/>
  <c r="B78" i="43"/>
  <c r="D72" i="43"/>
  <c r="J11" i="45" s="1"/>
  <c r="B72" i="43"/>
  <c r="B75" i="43"/>
  <c r="P71" i="43"/>
  <c r="K71" i="43"/>
  <c r="B71" i="43"/>
  <c r="A66" i="43"/>
  <c r="E50" i="43"/>
  <c r="D90" i="43" s="1"/>
  <c r="K46" i="43"/>
  <c r="I46" i="43"/>
  <c r="E52" i="43" s="1"/>
  <c r="E24" i="43"/>
  <c r="D71" i="43" s="1"/>
  <c r="J10" i="45" s="1"/>
  <c r="J19" i="43"/>
  <c r="J13" i="43"/>
  <c r="K13" i="43" s="1"/>
  <c r="J12" i="43"/>
  <c r="K12" i="43" s="1"/>
  <c r="I11" i="43"/>
  <c r="K11" i="43" s="1"/>
  <c r="J10" i="43"/>
  <c r="K10" i="43" s="1"/>
  <c r="I9" i="43"/>
  <c r="K9" i="43" s="1"/>
  <c r="K8" i="43"/>
  <c r="A2" i="43"/>
  <c r="A63" i="43" s="1"/>
  <c r="B91" i="31"/>
  <c r="B36" i="31"/>
  <c r="B35" i="31"/>
  <c r="B34" i="31"/>
  <c r="B33" i="31"/>
  <c r="B32" i="31"/>
  <c r="B20" i="31"/>
  <c r="B19" i="31"/>
  <c r="B18" i="31"/>
  <c r="B15" i="31"/>
  <c r="B12" i="31"/>
  <c r="F80" i="31"/>
  <c r="E82" i="31"/>
  <c r="H82" i="31" s="1"/>
  <c r="I82" i="31"/>
  <c r="E81" i="31"/>
  <c r="D81" i="31"/>
  <c r="I81" i="31" s="1"/>
  <c r="E23" i="31"/>
  <c r="H23" i="31" s="1"/>
  <c r="H22" i="31" s="1"/>
  <c r="D23" i="31"/>
  <c r="I23" i="31" s="1"/>
  <c r="C95" i="36"/>
  <c r="C42" i="44" s="1"/>
  <c r="C72" i="44" s="1"/>
  <c r="C94" i="36"/>
  <c r="C41" i="44" s="1"/>
  <c r="C93" i="36"/>
  <c r="C40" i="44" s="1"/>
  <c r="C70" i="44" s="1"/>
  <c r="C92" i="36"/>
  <c r="C39" i="44" s="1"/>
  <c r="C69" i="44" s="1"/>
  <c r="C89" i="36"/>
  <c r="C36" i="44" s="1"/>
  <c r="C88" i="36"/>
  <c r="C35" i="44" s="1"/>
  <c r="C87" i="36"/>
  <c r="C34" i="44" s="1"/>
  <c r="G52" i="36"/>
  <c r="E52" i="36" s="1"/>
  <c r="D95" i="36" s="1"/>
  <c r="L30" i="45" s="1"/>
  <c r="G50" i="36"/>
  <c r="E50" i="36" s="1"/>
  <c r="D94" i="36" s="1"/>
  <c r="L29" i="45" s="1"/>
  <c r="J28" i="31"/>
  <c r="D98" i="42"/>
  <c r="C98" i="42"/>
  <c r="B98" i="42"/>
  <c r="D97" i="42"/>
  <c r="C97" i="42"/>
  <c r="B97" i="42"/>
  <c r="B81" i="42"/>
  <c r="B82" i="42"/>
  <c r="B80" i="42"/>
  <c r="D74" i="42"/>
  <c r="B74" i="42"/>
  <c r="B77" i="42"/>
  <c r="A69" i="42"/>
  <c r="E53" i="42"/>
  <c r="D92" i="42" s="1"/>
  <c r="J101" i="44" s="1"/>
  <c r="L101" i="44" s="1"/>
  <c r="K49" i="42"/>
  <c r="I49" i="42"/>
  <c r="E55" i="42" s="1"/>
  <c r="D93" i="42" s="1"/>
  <c r="J102" i="44" s="1"/>
  <c r="L102" i="44" s="1"/>
  <c r="M44" i="42"/>
  <c r="E46" i="42" s="1"/>
  <c r="D87" i="42" s="1"/>
  <c r="I44" i="42"/>
  <c r="I42" i="42"/>
  <c r="J42" i="42" s="1"/>
  <c r="E42" i="42" s="1"/>
  <c r="D85" i="42" s="1"/>
  <c r="E39" i="42"/>
  <c r="D82" i="42" s="1"/>
  <c r="J19" i="42"/>
  <c r="J13" i="42"/>
  <c r="K13" i="42" s="1"/>
  <c r="J12" i="42"/>
  <c r="K12" i="42" s="1"/>
  <c r="I11" i="42"/>
  <c r="K11" i="42" s="1"/>
  <c r="J10" i="42"/>
  <c r="K10" i="42" s="1"/>
  <c r="I9" i="42"/>
  <c r="K9" i="42" s="1"/>
  <c r="L8" i="42"/>
  <c r="E35" i="42" s="1"/>
  <c r="J8" i="42"/>
  <c r="K8" i="42" s="1"/>
  <c r="A2" i="42"/>
  <c r="A66" i="42" s="1"/>
  <c r="E25" i="37"/>
  <c r="E26" i="37"/>
  <c r="E23" i="37"/>
  <c r="A9" i="37"/>
  <c r="J30" i="37"/>
  <c r="E28" i="37"/>
  <c r="D28" i="37"/>
  <c r="E27" i="37"/>
  <c r="D27" i="37"/>
  <c r="I27" i="37" s="1"/>
  <c r="E22" i="37"/>
  <c r="D22" i="37"/>
  <c r="E19" i="37"/>
  <c r="D19" i="37"/>
  <c r="E18" i="37"/>
  <c r="D18" i="37"/>
  <c r="E17" i="37"/>
  <c r="D17" i="37"/>
  <c r="E14" i="37"/>
  <c r="D14" i="37"/>
  <c r="I11" i="37"/>
  <c r="E11" i="37"/>
  <c r="D11" i="37"/>
  <c r="E24" i="37"/>
  <c r="C75" i="35"/>
  <c r="C82" i="34"/>
  <c r="A152" i="37" s="1"/>
  <c r="B10" i="40"/>
  <c r="B16" i="40" s="1"/>
  <c r="E22" i="35"/>
  <c r="D52" i="35" s="1"/>
  <c r="B76" i="34"/>
  <c r="B75" i="34"/>
  <c r="B74" i="34"/>
  <c r="B73" i="34"/>
  <c r="B72" i="34"/>
  <c r="B71" i="34"/>
  <c r="B70" i="34"/>
  <c r="B67" i="34"/>
  <c r="B66" i="34"/>
  <c r="B65" i="34"/>
  <c r="A74" i="35"/>
  <c r="J33" i="45" l="1"/>
  <c r="J29" i="45"/>
  <c r="J5" i="39"/>
  <c r="I5" i="39" s="1"/>
  <c r="Q5" i="45"/>
  <c r="Q5" i="44"/>
  <c r="M120" i="31"/>
  <c r="M150" i="31"/>
  <c r="M123" i="31"/>
  <c r="M153" i="31"/>
  <c r="M121" i="31"/>
  <c r="M151" i="31"/>
  <c r="J134" i="31"/>
  <c r="J83" i="44"/>
  <c r="J142" i="31"/>
  <c r="J91" i="44"/>
  <c r="L91" i="44" s="1"/>
  <c r="J157" i="31"/>
  <c r="J106" i="44"/>
  <c r="L106" i="44" s="1"/>
  <c r="J145" i="31"/>
  <c r="L145" i="31" s="1"/>
  <c r="J94" i="44"/>
  <c r="L94" i="44" s="1"/>
  <c r="J147" i="31"/>
  <c r="L147" i="31" s="1"/>
  <c r="J96" i="44"/>
  <c r="L96" i="44" s="1"/>
  <c r="J158" i="31"/>
  <c r="J107" i="44"/>
  <c r="L107" i="44" s="1"/>
  <c r="J112" i="31"/>
  <c r="J61" i="44"/>
  <c r="L61" i="44" s="1"/>
  <c r="J115" i="31"/>
  <c r="L115" i="31" s="1"/>
  <c r="J64" i="44"/>
  <c r="L64" i="44" s="1"/>
  <c r="J128" i="31"/>
  <c r="J77" i="44"/>
  <c r="L77" i="44" s="1"/>
  <c r="J104" i="31"/>
  <c r="J53" i="44"/>
  <c r="J117" i="31"/>
  <c r="L117" i="31" s="1"/>
  <c r="J66" i="44"/>
  <c r="L66" i="44" s="1"/>
  <c r="J122" i="31"/>
  <c r="L122" i="31" s="1"/>
  <c r="J71" i="44"/>
  <c r="L71" i="44" s="1"/>
  <c r="J103" i="31"/>
  <c r="J52" i="44"/>
  <c r="J127" i="31"/>
  <c r="J76" i="44"/>
  <c r="L76" i="44" s="1"/>
  <c r="C71" i="44"/>
  <c r="C96" i="44"/>
  <c r="J87" i="31"/>
  <c r="J41" i="44"/>
  <c r="L41" i="44" s="1"/>
  <c r="J88" i="31"/>
  <c r="L88" i="31" s="1"/>
  <c r="J42" i="44"/>
  <c r="L42" i="44" s="1"/>
  <c r="H69" i="44"/>
  <c r="H68" i="44" s="1"/>
  <c r="F69" i="44"/>
  <c r="F68" i="44" s="1"/>
  <c r="F44" i="44"/>
  <c r="P140" i="44"/>
  <c r="H99" i="44"/>
  <c r="H98" i="44" s="1"/>
  <c r="F99" i="44"/>
  <c r="F98" i="44" s="1"/>
  <c r="R19" i="44"/>
  <c r="D80" i="42"/>
  <c r="E58" i="42"/>
  <c r="D96" i="42" s="1"/>
  <c r="K10" i="38"/>
  <c r="K20" i="38" s="1"/>
  <c r="J153" i="31"/>
  <c r="L153" i="31" s="1"/>
  <c r="J152" i="31"/>
  <c r="L152" i="31" s="1"/>
  <c r="I5" i="37"/>
  <c r="F24" i="37" s="1"/>
  <c r="Q5" i="31"/>
  <c r="E32" i="43"/>
  <c r="D78" i="43" s="1"/>
  <c r="J17" i="45" s="1"/>
  <c r="K15" i="42"/>
  <c r="E32" i="42" s="1"/>
  <c r="J44" i="42"/>
  <c r="K44" i="42" s="1"/>
  <c r="J41" i="43"/>
  <c r="K41" i="43" s="1"/>
  <c r="N41" i="43"/>
  <c r="D91" i="43"/>
  <c r="J46" i="43"/>
  <c r="L46" i="43" s="1"/>
  <c r="E46" i="43" s="1"/>
  <c r="J26" i="31"/>
  <c r="J29" i="31"/>
  <c r="L29" i="31" s="1"/>
  <c r="K15" i="43"/>
  <c r="E29" i="43" s="1"/>
  <c r="F82" i="31"/>
  <c r="F81" i="31"/>
  <c r="F79" i="31" s="1"/>
  <c r="H81" i="31"/>
  <c r="H79" i="31" s="1"/>
  <c r="F23" i="31"/>
  <c r="F22" i="31" s="1"/>
  <c r="D25" i="37"/>
  <c r="D26" i="37"/>
  <c r="I26" i="37" s="1"/>
  <c r="J49" i="42"/>
  <c r="L49" i="42" s="1"/>
  <c r="E49" i="42" s="1"/>
  <c r="N44" i="42"/>
  <c r="A5" i="37"/>
  <c r="A66" i="31"/>
  <c r="A32" i="37" s="1"/>
  <c r="A82" i="34"/>
  <c r="A109" i="36"/>
  <c r="A75" i="35" s="1"/>
  <c r="E14" i="39"/>
  <c r="J31" i="39"/>
  <c r="E28" i="39"/>
  <c r="E26" i="39"/>
  <c r="E23" i="39"/>
  <c r="E22" i="39"/>
  <c r="E18" i="39"/>
  <c r="E17" i="39"/>
  <c r="E90" i="55" l="1"/>
  <c r="E93" i="53"/>
  <c r="E95" i="54"/>
  <c r="F17" i="39"/>
  <c r="F26" i="39"/>
  <c r="E91" i="52"/>
  <c r="E106" i="51"/>
  <c r="E112" i="48"/>
  <c r="F112" i="48" s="1"/>
  <c r="E90" i="50"/>
  <c r="E97" i="49"/>
  <c r="E104" i="36"/>
  <c r="F104" i="36" s="1"/>
  <c r="E106" i="47"/>
  <c r="F106" i="47" s="1"/>
  <c r="J38" i="45"/>
  <c r="J30" i="45"/>
  <c r="F18" i="39"/>
  <c r="F22" i="39"/>
  <c r="F23" i="39"/>
  <c r="N65" i="44"/>
  <c r="N29" i="44"/>
  <c r="N75" i="44"/>
  <c r="N15" i="44"/>
  <c r="P15" i="44" s="1"/>
  <c r="N30" i="44"/>
  <c r="N90" i="44"/>
  <c r="N56" i="44"/>
  <c r="N17" i="44"/>
  <c r="P17" i="44" s="1"/>
  <c r="N64" i="44"/>
  <c r="P64" i="44" s="1"/>
  <c r="N126" i="44"/>
  <c r="N42" i="44"/>
  <c r="P42" i="44" s="1"/>
  <c r="N113" i="44"/>
  <c r="N45" i="44"/>
  <c r="N119" i="44"/>
  <c r="N95" i="44"/>
  <c r="N60" i="44"/>
  <c r="N125" i="44"/>
  <c r="N11" i="44"/>
  <c r="P11" i="44" s="1"/>
  <c r="P10" i="44" s="1"/>
  <c r="N40" i="44"/>
  <c r="N72" i="44"/>
  <c r="N34" i="44"/>
  <c r="N99" i="44"/>
  <c r="N26" i="44"/>
  <c r="N94" i="44"/>
  <c r="P94" i="44" s="1"/>
  <c r="N23" i="44"/>
  <c r="N70" i="44"/>
  <c r="N53" i="44"/>
  <c r="N59" i="44"/>
  <c r="N39" i="44"/>
  <c r="N35" i="44"/>
  <c r="N124" i="44"/>
  <c r="N105" i="44"/>
  <c r="N14" i="44"/>
  <c r="P14" i="44" s="1"/>
  <c r="N86" i="44"/>
  <c r="N116" i="44"/>
  <c r="N89" i="44"/>
  <c r="N69" i="44"/>
  <c r="N120" i="44"/>
  <c r="N102" i="44"/>
  <c r="P102" i="44" s="1"/>
  <c r="N83" i="44"/>
  <c r="N100" i="44"/>
  <c r="E64" i="55"/>
  <c r="F64" i="55" s="1"/>
  <c r="F63" i="55" s="1"/>
  <c r="F14" i="39"/>
  <c r="J156" i="31"/>
  <c r="J105" i="44"/>
  <c r="L105" i="44" s="1"/>
  <c r="Q106" i="44"/>
  <c r="Q91" i="44"/>
  <c r="Q83" i="44"/>
  <c r="L83" i="44"/>
  <c r="J140" i="31"/>
  <c r="J89" i="44"/>
  <c r="L89" i="44" s="1"/>
  <c r="L53" i="44"/>
  <c r="L52" i="44"/>
  <c r="J123" i="31"/>
  <c r="L123" i="31" s="1"/>
  <c r="J72" i="44"/>
  <c r="L72" i="44" s="1"/>
  <c r="J110" i="31"/>
  <c r="J59" i="44"/>
  <c r="L59" i="44" s="1"/>
  <c r="Q76" i="44"/>
  <c r="R48" i="44"/>
  <c r="E55" i="43"/>
  <c r="D94" i="43" s="1"/>
  <c r="J37" i="45" s="1"/>
  <c r="F18" i="37"/>
  <c r="H18" i="37" s="1"/>
  <c r="F26" i="37"/>
  <c r="H26" i="37" s="1"/>
  <c r="N145" i="31"/>
  <c r="P145" i="31" s="1"/>
  <c r="N153" i="31"/>
  <c r="P153" i="31" s="1"/>
  <c r="N151" i="31"/>
  <c r="N150" i="31"/>
  <c r="N29" i="31"/>
  <c r="P29" i="31" s="1"/>
  <c r="N80" i="31"/>
  <c r="E85" i="42" s="1"/>
  <c r="F85" i="42" s="1"/>
  <c r="N146" i="31"/>
  <c r="N81" i="31"/>
  <c r="N121" i="31"/>
  <c r="N116" i="31"/>
  <c r="E84" i="43" s="1"/>
  <c r="N115" i="31"/>
  <c r="N123" i="31"/>
  <c r="N120" i="31"/>
  <c r="N23" i="31"/>
  <c r="F27" i="37"/>
  <c r="H27" i="37" s="1"/>
  <c r="F14" i="37"/>
  <c r="H14" i="37" s="1"/>
  <c r="H13" i="37" s="1"/>
  <c r="F25" i="37"/>
  <c r="H25" i="37" s="1"/>
  <c r="F28" i="37"/>
  <c r="H28" i="37" s="1"/>
  <c r="F22" i="37"/>
  <c r="H22" i="37" s="1"/>
  <c r="F23" i="37"/>
  <c r="F11" i="37"/>
  <c r="H11" i="37" s="1"/>
  <c r="H10" i="37" s="1"/>
  <c r="N88" i="31"/>
  <c r="P88" i="31" s="1"/>
  <c r="F19" i="37"/>
  <c r="H19" i="37" s="1"/>
  <c r="F17" i="37"/>
  <c r="H17" i="37" s="1"/>
  <c r="H16" i="37" s="1"/>
  <c r="D77" i="42"/>
  <c r="J86" i="44" s="1"/>
  <c r="L86" i="44" s="1"/>
  <c r="O44" i="42"/>
  <c r="E44" i="42" s="1"/>
  <c r="D86" i="42" s="1"/>
  <c r="J95" i="44" s="1"/>
  <c r="L95" i="44" s="1"/>
  <c r="E37" i="42"/>
  <c r="D81" i="42" s="1"/>
  <c r="J90" i="44" s="1"/>
  <c r="L90" i="44" s="1"/>
  <c r="O41" i="43"/>
  <c r="E41" i="43" s="1"/>
  <c r="D84" i="43" s="1"/>
  <c r="J23" i="45" s="1"/>
  <c r="D88" i="43"/>
  <c r="J27" i="45" s="1"/>
  <c r="E48" i="43"/>
  <c r="D89" i="43" s="1"/>
  <c r="J28" i="45" s="1"/>
  <c r="J23" i="31"/>
  <c r="L23" i="31" s="1"/>
  <c r="J27" i="31"/>
  <c r="D75" i="43"/>
  <c r="J14" i="45" s="1"/>
  <c r="E34" i="43"/>
  <c r="D79" i="43" s="1"/>
  <c r="J18" i="45" s="1"/>
  <c r="D23" i="37"/>
  <c r="D24" i="37"/>
  <c r="H24" i="37" s="1"/>
  <c r="E51" i="42"/>
  <c r="D91" i="42" s="1"/>
  <c r="J100" i="44" s="1"/>
  <c r="L100" i="44" s="1"/>
  <c r="D90" i="42"/>
  <c r="J99" i="44" s="1"/>
  <c r="L99" i="44" s="1"/>
  <c r="F28" i="39"/>
  <c r="E66" i="53" l="1"/>
  <c r="F66" i="53" s="1"/>
  <c r="F65" i="53" s="1"/>
  <c r="E69" i="54"/>
  <c r="F69" i="54" s="1"/>
  <c r="F68" i="54" s="1"/>
  <c r="E78" i="51"/>
  <c r="F78" i="51" s="1"/>
  <c r="F77" i="51" s="1"/>
  <c r="E64" i="50"/>
  <c r="F64" i="50" s="1"/>
  <c r="F63" i="50" s="1"/>
  <c r="E84" i="48"/>
  <c r="F84" i="48" s="1"/>
  <c r="F83" i="48" s="1"/>
  <c r="E63" i="52"/>
  <c r="F63" i="52" s="1"/>
  <c r="F62" i="52" s="1"/>
  <c r="E76" i="53"/>
  <c r="F76" i="53" s="1"/>
  <c r="E75" i="55"/>
  <c r="F75" i="55" s="1"/>
  <c r="E78" i="53"/>
  <c r="F78" i="53" s="1"/>
  <c r="E80" i="54"/>
  <c r="F80" i="54" s="1"/>
  <c r="E88" i="53"/>
  <c r="F88" i="53" s="1"/>
  <c r="E90" i="54"/>
  <c r="F90" i="54" s="1"/>
  <c r="E85" i="55"/>
  <c r="F85" i="55" s="1"/>
  <c r="E86" i="54"/>
  <c r="F86" i="54" s="1"/>
  <c r="E81" i="55"/>
  <c r="F81" i="55" s="1"/>
  <c r="E84" i="53"/>
  <c r="F84" i="53" s="1"/>
  <c r="E83" i="53"/>
  <c r="F83" i="53" s="1"/>
  <c r="E85" i="54"/>
  <c r="F85" i="54" s="1"/>
  <c r="E80" i="55"/>
  <c r="F80" i="55" s="1"/>
  <c r="E67" i="55"/>
  <c r="F67" i="55" s="1"/>
  <c r="F66" i="55" s="1"/>
  <c r="E69" i="53"/>
  <c r="F69" i="53" s="1"/>
  <c r="F68" i="53" s="1"/>
  <c r="E72" i="54"/>
  <c r="F72" i="54" s="1"/>
  <c r="F71" i="54" s="1"/>
  <c r="E73" i="53"/>
  <c r="F73" i="53" s="1"/>
  <c r="E71" i="55"/>
  <c r="F71" i="55" s="1"/>
  <c r="E76" i="54"/>
  <c r="F76" i="54" s="1"/>
  <c r="E79" i="54"/>
  <c r="F79" i="54" s="1"/>
  <c r="E74" i="55"/>
  <c r="F74" i="55" s="1"/>
  <c r="E77" i="53"/>
  <c r="F77" i="53" s="1"/>
  <c r="E82" i="53"/>
  <c r="F82" i="53" s="1"/>
  <c r="E84" i="54"/>
  <c r="F84" i="54" s="1"/>
  <c r="E79" i="55"/>
  <c r="F79" i="55" s="1"/>
  <c r="E75" i="54"/>
  <c r="F75" i="54" s="1"/>
  <c r="E72" i="53"/>
  <c r="F72" i="53" s="1"/>
  <c r="E70" i="55"/>
  <c r="F70" i="55" s="1"/>
  <c r="E84" i="55"/>
  <c r="F84" i="55" s="1"/>
  <c r="E87" i="53"/>
  <c r="F87" i="53" s="1"/>
  <c r="E89" i="54"/>
  <c r="F89" i="54" s="1"/>
  <c r="E92" i="53"/>
  <c r="F92" i="53" s="1"/>
  <c r="E94" i="54"/>
  <c r="F94" i="54" s="1"/>
  <c r="E89" i="55"/>
  <c r="F89" i="55" s="1"/>
  <c r="E88" i="55"/>
  <c r="F88" i="55" s="1"/>
  <c r="E91" i="53"/>
  <c r="F91" i="53" s="1"/>
  <c r="E93" i="54"/>
  <c r="F93" i="54" s="1"/>
  <c r="E81" i="53"/>
  <c r="F81" i="53" s="1"/>
  <c r="E83" i="54"/>
  <c r="F83" i="54" s="1"/>
  <c r="E78" i="55"/>
  <c r="F78" i="55" s="1"/>
  <c r="E85" i="49"/>
  <c r="F85" i="49" s="1"/>
  <c r="E79" i="52"/>
  <c r="F79" i="52" s="1"/>
  <c r="E94" i="51"/>
  <c r="F94" i="51" s="1"/>
  <c r="E78" i="50"/>
  <c r="F78" i="50" s="1"/>
  <c r="E86" i="52"/>
  <c r="F86" i="52" s="1"/>
  <c r="E101" i="51"/>
  <c r="F101" i="51" s="1"/>
  <c r="E85" i="50"/>
  <c r="F85" i="50" s="1"/>
  <c r="E97" i="51"/>
  <c r="F97" i="51" s="1"/>
  <c r="E82" i="52"/>
  <c r="F82" i="52" s="1"/>
  <c r="E81" i="50"/>
  <c r="F81" i="50" s="1"/>
  <c r="E82" i="49"/>
  <c r="F82" i="49" s="1"/>
  <c r="E76" i="52"/>
  <c r="F76" i="52" s="1"/>
  <c r="E91" i="51"/>
  <c r="F91" i="51" s="1"/>
  <c r="E75" i="50"/>
  <c r="F75" i="50" s="1"/>
  <c r="E72" i="49"/>
  <c r="F72" i="49" s="1"/>
  <c r="F71" i="49" s="1"/>
  <c r="E81" i="51"/>
  <c r="F81" i="51" s="1"/>
  <c r="F80" i="51" s="1"/>
  <c r="E66" i="52"/>
  <c r="F66" i="52" s="1"/>
  <c r="F65" i="52" s="1"/>
  <c r="E67" i="50"/>
  <c r="F67" i="50" s="1"/>
  <c r="F66" i="50" s="1"/>
  <c r="E76" i="49"/>
  <c r="F76" i="49" s="1"/>
  <c r="E70" i="52"/>
  <c r="F70" i="52" s="1"/>
  <c r="E85" i="51"/>
  <c r="F85" i="51" s="1"/>
  <c r="E71" i="50"/>
  <c r="F71" i="50" s="1"/>
  <c r="E87" i="49"/>
  <c r="F87" i="49" s="1"/>
  <c r="E96" i="51"/>
  <c r="F96" i="51" s="1"/>
  <c r="E81" i="52"/>
  <c r="F81" i="52" s="1"/>
  <c r="E80" i="50"/>
  <c r="F80" i="50" s="1"/>
  <c r="E104" i="51"/>
  <c r="F104" i="51" s="1"/>
  <c r="E89" i="52"/>
  <c r="F89" i="52" s="1"/>
  <c r="E88" i="50"/>
  <c r="F88" i="50" s="1"/>
  <c r="E81" i="49"/>
  <c r="F81" i="49" s="1"/>
  <c r="E90" i="51"/>
  <c r="F90" i="51" s="1"/>
  <c r="E75" i="52"/>
  <c r="F75" i="52" s="1"/>
  <c r="E74" i="50"/>
  <c r="F74" i="50" s="1"/>
  <c r="E86" i="49"/>
  <c r="F86" i="49" s="1"/>
  <c r="E95" i="51"/>
  <c r="F95" i="51" s="1"/>
  <c r="E80" i="52"/>
  <c r="F80" i="52" s="1"/>
  <c r="E79" i="50"/>
  <c r="F79" i="50" s="1"/>
  <c r="E85" i="52"/>
  <c r="F85" i="52" s="1"/>
  <c r="E100" i="51"/>
  <c r="F100" i="51" s="1"/>
  <c r="E84" i="50"/>
  <c r="F84" i="50" s="1"/>
  <c r="E80" i="49"/>
  <c r="F80" i="49" s="1"/>
  <c r="E74" i="52"/>
  <c r="F74" i="52" s="1"/>
  <c r="E89" i="51"/>
  <c r="F89" i="51" s="1"/>
  <c r="E96" i="49"/>
  <c r="F96" i="49" s="1"/>
  <c r="E105" i="51"/>
  <c r="F105" i="51" s="1"/>
  <c r="E90" i="52"/>
  <c r="F90" i="52" s="1"/>
  <c r="E89" i="50"/>
  <c r="F89" i="50" s="1"/>
  <c r="E75" i="49"/>
  <c r="F75" i="49" s="1"/>
  <c r="E69" i="52"/>
  <c r="F69" i="52" s="1"/>
  <c r="E84" i="51"/>
  <c r="F84" i="51" s="1"/>
  <c r="E70" i="50"/>
  <c r="F70" i="50" s="1"/>
  <c r="E88" i="49"/>
  <c r="F88" i="49" s="1"/>
  <c r="E69" i="49"/>
  <c r="F69" i="49" s="1"/>
  <c r="F68" i="49" s="1"/>
  <c r="E91" i="47"/>
  <c r="F91" i="47" s="1"/>
  <c r="E98" i="36"/>
  <c r="F98" i="36" s="1"/>
  <c r="E100" i="47"/>
  <c r="F100" i="47" s="1"/>
  <c r="E106" i="48"/>
  <c r="F106" i="48" s="1"/>
  <c r="E91" i="49"/>
  <c r="F91" i="49" s="1"/>
  <c r="E89" i="36"/>
  <c r="E97" i="48"/>
  <c r="F97" i="48" s="1"/>
  <c r="P123" i="31"/>
  <c r="E99" i="36"/>
  <c r="F99" i="36" s="1"/>
  <c r="E101" i="47"/>
  <c r="F101" i="47" s="1"/>
  <c r="E107" i="48"/>
  <c r="F107" i="48" s="1"/>
  <c r="E92" i="49"/>
  <c r="F92" i="49" s="1"/>
  <c r="P34" i="45"/>
  <c r="E104" i="47"/>
  <c r="E102" i="36"/>
  <c r="E95" i="49"/>
  <c r="F95" i="49" s="1"/>
  <c r="E110" i="48"/>
  <c r="P95" i="44"/>
  <c r="P23" i="31"/>
  <c r="P22" i="31" s="1"/>
  <c r="P38" i="45"/>
  <c r="E111" i="48"/>
  <c r="F111" i="48" s="1"/>
  <c r="E105" i="47"/>
  <c r="F105" i="47" s="1"/>
  <c r="E103" i="36"/>
  <c r="F103" i="36" s="1"/>
  <c r="P72" i="44"/>
  <c r="P83" i="44"/>
  <c r="P82" i="44" s="1"/>
  <c r="P105" i="44"/>
  <c r="P33" i="45"/>
  <c r="P30" i="45"/>
  <c r="E103" i="48"/>
  <c r="F103" i="48" s="1"/>
  <c r="E97" i="47"/>
  <c r="F97" i="47" s="1"/>
  <c r="E95" i="36"/>
  <c r="F95" i="36" s="1"/>
  <c r="E102" i="48"/>
  <c r="F102" i="48" s="1"/>
  <c r="E96" i="47"/>
  <c r="F96" i="47" s="1"/>
  <c r="E94" i="36"/>
  <c r="E101" i="48"/>
  <c r="F101" i="48" s="1"/>
  <c r="E93" i="36"/>
  <c r="E95" i="47"/>
  <c r="F95" i="47" s="1"/>
  <c r="E92" i="36"/>
  <c r="E100" i="48"/>
  <c r="F100" i="48" s="1"/>
  <c r="E94" i="47"/>
  <c r="F94" i="47" s="1"/>
  <c r="E96" i="48"/>
  <c r="F96" i="48" s="1"/>
  <c r="E90" i="47"/>
  <c r="F90" i="47" s="1"/>
  <c r="E88" i="36"/>
  <c r="E95" i="48"/>
  <c r="F95" i="48" s="1"/>
  <c r="E89" i="47"/>
  <c r="F89" i="47" s="1"/>
  <c r="E87" i="36"/>
  <c r="E85" i="47"/>
  <c r="F85" i="47" s="1"/>
  <c r="E91" i="48"/>
  <c r="F91" i="48" s="1"/>
  <c r="E83" i="36"/>
  <c r="E84" i="47"/>
  <c r="F84" i="47" s="1"/>
  <c r="E90" i="48"/>
  <c r="F90" i="48" s="1"/>
  <c r="E82" i="36"/>
  <c r="E78" i="47"/>
  <c r="F78" i="47" s="1"/>
  <c r="F77" i="47" s="1"/>
  <c r="E76" i="36"/>
  <c r="E87" i="48"/>
  <c r="F87" i="48" s="1"/>
  <c r="E81" i="47"/>
  <c r="F81" i="47" s="1"/>
  <c r="F80" i="47" s="1"/>
  <c r="E79" i="36"/>
  <c r="P10" i="45"/>
  <c r="E75" i="36"/>
  <c r="P99" i="44"/>
  <c r="P100" i="44"/>
  <c r="P53" i="44"/>
  <c r="Q90" i="44"/>
  <c r="P90" i="44"/>
  <c r="P86" i="44"/>
  <c r="P85" i="44" s="1"/>
  <c r="P89" i="44"/>
  <c r="P59" i="44"/>
  <c r="J126" i="31"/>
  <c r="J75" i="44"/>
  <c r="L75" i="44" s="1"/>
  <c r="P75" i="44" s="1"/>
  <c r="J111" i="31"/>
  <c r="J60" i="44"/>
  <c r="L60" i="44" s="1"/>
  <c r="J107" i="31"/>
  <c r="J56" i="44"/>
  <c r="L56" i="44" s="1"/>
  <c r="J121" i="31"/>
  <c r="L121" i="31" s="1"/>
  <c r="P121" i="31" s="1"/>
  <c r="J70" i="44"/>
  <c r="L70" i="44" s="1"/>
  <c r="P70" i="44" s="1"/>
  <c r="J120" i="31"/>
  <c r="L120" i="31" s="1"/>
  <c r="P120" i="31" s="1"/>
  <c r="J69" i="44"/>
  <c r="L69" i="44" s="1"/>
  <c r="P69" i="44" s="1"/>
  <c r="J116" i="31"/>
  <c r="L116" i="31" s="1"/>
  <c r="P116" i="31" s="1"/>
  <c r="J65" i="44"/>
  <c r="L65" i="44" s="1"/>
  <c r="P65" i="44" s="1"/>
  <c r="P115" i="31"/>
  <c r="E83" i="43"/>
  <c r="E91" i="43"/>
  <c r="F91" i="43" s="1"/>
  <c r="E93" i="42"/>
  <c r="F93" i="42" s="1"/>
  <c r="E86" i="42"/>
  <c r="F86" i="42" s="1"/>
  <c r="H23" i="37"/>
  <c r="H21" i="37" s="1"/>
  <c r="H30" i="37" s="1"/>
  <c r="J151" i="31"/>
  <c r="L151" i="31" s="1"/>
  <c r="P151" i="31" s="1"/>
  <c r="G102" i="42"/>
  <c r="J141" i="31"/>
  <c r="J146" i="31"/>
  <c r="L146" i="31" s="1"/>
  <c r="P146" i="31" s="1"/>
  <c r="J137" i="31"/>
  <c r="J150" i="31"/>
  <c r="L150" i="31" s="1"/>
  <c r="P150" i="31" s="1"/>
  <c r="G100" i="43"/>
  <c r="F10" i="38"/>
  <c r="G11" i="38"/>
  <c r="G12" i="38"/>
  <c r="F78" i="54" l="1"/>
  <c r="F88" i="54"/>
  <c r="F86" i="53"/>
  <c r="F75" i="53"/>
  <c r="Q38" i="45"/>
  <c r="Q34" i="45"/>
  <c r="P32" i="45"/>
  <c r="Q33" i="45"/>
  <c r="Q30" i="45"/>
  <c r="F73" i="55"/>
  <c r="F71" i="53"/>
  <c r="F82" i="54"/>
  <c r="F84" i="49"/>
  <c r="F77" i="55"/>
  <c r="F83" i="50"/>
  <c r="F80" i="53"/>
  <c r="F83" i="55"/>
  <c r="F74" i="54"/>
  <c r="F69" i="55"/>
  <c r="F73" i="52"/>
  <c r="F99" i="51"/>
  <c r="F93" i="51"/>
  <c r="F88" i="51"/>
  <c r="F79" i="49"/>
  <c r="F84" i="52"/>
  <c r="F77" i="50"/>
  <c r="F69" i="50"/>
  <c r="F73" i="50"/>
  <c r="F78" i="52"/>
  <c r="F105" i="48"/>
  <c r="F90" i="49"/>
  <c r="F97" i="36"/>
  <c r="F99" i="47"/>
  <c r="F86" i="48"/>
  <c r="F99" i="48"/>
  <c r="F93" i="47"/>
  <c r="F88" i="47"/>
  <c r="F94" i="48"/>
  <c r="G75" i="36"/>
  <c r="F75" i="36"/>
  <c r="P60" i="44"/>
  <c r="P56" i="44"/>
  <c r="P55" i="44" s="1"/>
  <c r="Q10" i="45" l="1"/>
  <c r="E51" i="37"/>
  <c r="F51" i="37" s="1"/>
  <c r="E49" i="37"/>
  <c r="F49" i="37" s="1"/>
  <c r="E46" i="37"/>
  <c r="F46" i="37" s="1"/>
  <c r="E45" i="37"/>
  <c r="F45" i="37" s="1"/>
  <c r="E41" i="37"/>
  <c r="E66" i="37" s="1"/>
  <c r="E136" i="37" s="1"/>
  <c r="F136" i="37" s="1"/>
  <c r="E40" i="37"/>
  <c r="F40" i="37" s="1"/>
  <c r="E37" i="37"/>
  <c r="F37" i="37" s="1"/>
  <c r="E34" i="37"/>
  <c r="F34" i="37" s="1"/>
  <c r="N72" i="31"/>
  <c r="E25" i="39"/>
  <c r="F25" i="39" s="1"/>
  <c r="G43" i="36"/>
  <c r="E43" i="36" s="1"/>
  <c r="D89" i="36" s="1"/>
  <c r="L24" i="45" s="1"/>
  <c r="J10" i="38"/>
  <c r="J20" i="38" s="1"/>
  <c r="D84" i="36"/>
  <c r="L19" i="45" s="1"/>
  <c r="E32" i="36"/>
  <c r="J6" i="36"/>
  <c r="H39" i="36"/>
  <c r="J46" i="36"/>
  <c r="G46" i="36"/>
  <c r="J8" i="36"/>
  <c r="G146" i="37"/>
  <c r="D146" i="37"/>
  <c r="G145" i="37"/>
  <c r="E142" i="37"/>
  <c r="F142" i="37" s="1"/>
  <c r="B142" i="37"/>
  <c r="E141" i="37"/>
  <c r="F141" i="37" s="1"/>
  <c r="D141" i="37"/>
  <c r="B141" i="37"/>
  <c r="F140" i="37"/>
  <c r="D140" i="37"/>
  <c r="B140" i="37"/>
  <c r="D137" i="37"/>
  <c r="B137" i="37"/>
  <c r="D136" i="37"/>
  <c r="B136" i="37"/>
  <c r="D135" i="37"/>
  <c r="B135" i="37"/>
  <c r="E132" i="37"/>
  <c r="F132" i="37" s="1"/>
  <c r="D132" i="37"/>
  <c r="G129" i="37"/>
  <c r="D129" i="37"/>
  <c r="B129" i="37"/>
  <c r="E120" i="37"/>
  <c r="F120" i="37" s="1"/>
  <c r="E117" i="37"/>
  <c r="F117" i="37" s="1"/>
  <c r="E116" i="37"/>
  <c r="F116" i="37" s="1"/>
  <c r="E113" i="37"/>
  <c r="F113" i="37" s="1"/>
  <c r="I113" i="37"/>
  <c r="F112" i="37"/>
  <c r="I112" i="37"/>
  <c r="E111" i="37"/>
  <c r="F111" i="37" s="1"/>
  <c r="I111" i="37"/>
  <c r="F110" i="37"/>
  <c r="I110" i="37"/>
  <c r="F109" i="37"/>
  <c r="I109" i="37"/>
  <c r="I108" i="37"/>
  <c r="F108" i="37"/>
  <c r="E107" i="37"/>
  <c r="F107" i="37" s="1"/>
  <c r="I107" i="37"/>
  <c r="F106" i="37"/>
  <c r="I106" i="37"/>
  <c r="E105" i="37"/>
  <c r="F105" i="37" s="1"/>
  <c r="I105" i="37"/>
  <c r="H104" i="37"/>
  <c r="E97" i="37"/>
  <c r="F97" i="37" s="1"/>
  <c r="F85" i="37"/>
  <c r="E83" i="37"/>
  <c r="F83" i="37" s="1"/>
  <c r="F82" i="37"/>
  <c r="F81" i="37"/>
  <c r="E78" i="37"/>
  <c r="F78" i="37" s="1"/>
  <c r="F77" i="37"/>
  <c r="E76" i="37"/>
  <c r="F76" i="37" s="1"/>
  <c r="F75" i="37"/>
  <c r="F74" i="37"/>
  <c r="F73" i="37"/>
  <c r="F71" i="37"/>
  <c r="E70" i="37"/>
  <c r="F70" i="37" s="1"/>
  <c r="H69" i="37"/>
  <c r="F62" i="37"/>
  <c r="C102" i="36"/>
  <c r="C45" i="44" s="1"/>
  <c r="C46" i="44"/>
  <c r="C84" i="36"/>
  <c r="C31" i="44" s="1"/>
  <c r="C83" i="36"/>
  <c r="C30" i="44" s="1"/>
  <c r="C82" i="36"/>
  <c r="C29" i="44" s="1"/>
  <c r="C79" i="36"/>
  <c r="C26" i="44" s="1"/>
  <c r="B62" i="34"/>
  <c r="B55" i="35" s="1"/>
  <c r="C76" i="36"/>
  <c r="B59" i="34"/>
  <c r="A70" i="36"/>
  <c r="H60" i="36"/>
  <c r="P46" i="36"/>
  <c r="R46" i="36" s="1"/>
  <c r="N46" i="36"/>
  <c r="E26" i="36"/>
  <c r="D76" i="36" s="1"/>
  <c r="P9" i="45" s="1"/>
  <c r="L9" i="36"/>
  <c r="L8" i="36"/>
  <c r="A2" i="36"/>
  <c r="A67" i="36" s="1"/>
  <c r="J31" i="44" l="1"/>
  <c r="L31" i="44" s="1"/>
  <c r="J23" i="44"/>
  <c r="J82" i="31"/>
  <c r="L82" i="31" s="1"/>
  <c r="J36" i="44"/>
  <c r="L36" i="44" s="1"/>
  <c r="J93" i="31"/>
  <c r="J46" i="44"/>
  <c r="L46" i="44" s="1"/>
  <c r="E77" i="42"/>
  <c r="F77" i="42" s="1"/>
  <c r="F76" i="42" s="1"/>
  <c r="H41" i="36"/>
  <c r="J41" i="36" s="1"/>
  <c r="D45" i="37"/>
  <c r="H45" i="37" s="1"/>
  <c r="E39" i="36"/>
  <c r="E87" i="37"/>
  <c r="E122" i="37" s="1"/>
  <c r="F122" i="37" s="1"/>
  <c r="E65" i="37"/>
  <c r="E100" i="37" s="1"/>
  <c r="F100" i="37" s="1"/>
  <c r="E48" i="37"/>
  <c r="F48" i="37" s="1"/>
  <c r="E59" i="37"/>
  <c r="E94" i="37" s="1"/>
  <c r="F94" i="37" s="1"/>
  <c r="D50" i="37"/>
  <c r="I50" i="37" s="1"/>
  <c r="E60" i="36"/>
  <c r="D102" i="36" s="1"/>
  <c r="L37" i="45" s="1"/>
  <c r="I10" i="38"/>
  <c r="I20" i="38" s="1"/>
  <c r="D34" i="37"/>
  <c r="H34" i="37" s="1"/>
  <c r="H33" i="37" s="1"/>
  <c r="J69" i="31"/>
  <c r="D42" i="37"/>
  <c r="J77" i="31"/>
  <c r="F41" i="37"/>
  <c r="J9" i="36"/>
  <c r="J12" i="36" s="1"/>
  <c r="E29" i="36" s="1"/>
  <c r="O46" i="36"/>
  <c r="K46" i="36"/>
  <c r="E46" i="36" s="1"/>
  <c r="D92" i="36" s="1"/>
  <c r="L27" i="45" s="1"/>
  <c r="F66" i="37"/>
  <c r="H140" i="37"/>
  <c r="E118" i="37"/>
  <c r="F118" i="37" s="1"/>
  <c r="E101" i="37"/>
  <c r="F101" i="37" s="1"/>
  <c r="H141" i="37"/>
  <c r="H132" i="37"/>
  <c r="H131" i="37" s="1"/>
  <c r="H136" i="37"/>
  <c r="D142" i="37"/>
  <c r="D145" i="37"/>
  <c r="I94" i="37"/>
  <c r="Q46" i="36"/>
  <c r="D82" i="36"/>
  <c r="L17" i="45" s="1"/>
  <c r="L41" i="36"/>
  <c r="L23" i="44" l="1"/>
  <c r="P23" i="44" s="1"/>
  <c r="P22" i="44" s="1"/>
  <c r="J45" i="44"/>
  <c r="L45" i="44" s="1"/>
  <c r="P45" i="44" s="1"/>
  <c r="J29" i="44"/>
  <c r="L29" i="44" s="1"/>
  <c r="P29" i="44" s="1"/>
  <c r="F87" i="37"/>
  <c r="J85" i="31"/>
  <c r="J39" i="44"/>
  <c r="L39" i="44" s="1"/>
  <c r="P39" i="44" s="1"/>
  <c r="Q46" i="44"/>
  <c r="H10" i="38"/>
  <c r="H20" i="38" s="1"/>
  <c r="E34" i="36"/>
  <c r="D87" i="36"/>
  <c r="L22" i="45" s="1"/>
  <c r="E48" i="36"/>
  <c r="F65" i="37"/>
  <c r="E129" i="37"/>
  <c r="F129" i="37" s="1"/>
  <c r="H129" i="37" s="1"/>
  <c r="H128" i="37" s="1"/>
  <c r="F59" i="37"/>
  <c r="E135" i="37"/>
  <c r="F135" i="37" s="1"/>
  <c r="H135" i="37" s="1"/>
  <c r="H134" i="37" s="1"/>
  <c r="J31" i="36"/>
  <c r="D49" i="37"/>
  <c r="H49" i="37" s="1"/>
  <c r="J75" i="31"/>
  <c r="D40" i="37"/>
  <c r="H40" i="37" s="1"/>
  <c r="J92" i="31"/>
  <c r="D51" i="37"/>
  <c r="H51" i="37" s="1"/>
  <c r="D79" i="36"/>
  <c r="L14" i="45" s="1"/>
  <c r="M41" i="36"/>
  <c r="E41" i="36" s="1"/>
  <c r="H139" i="37"/>
  <c r="H142" i="37"/>
  <c r="J26" i="44" l="1"/>
  <c r="L26" i="44" s="1"/>
  <c r="P26" i="44" s="1"/>
  <c r="P25" i="44" s="1"/>
  <c r="P13" i="45"/>
  <c r="J34" i="44"/>
  <c r="L34" i="44" s="1"/>
  <c r="P34" i="44" s="1"/>
  <c r="F87" i="36"/>
  <c r="Q22" i="45" s="1"/>
  <c r="J80" i="31"/>
  <c r="L80" i="31" s="1"/>
  <c r="P80" i="31" s="1"/>
  <c r="D93" i="36"/>
  <c r="L28" i="45" s="1"/>
  <c r="D88" i="36"/>
  <c r="L23" i="45" s="1"/>
  <c r="J72" i="31"/>
  <c r="D37" i="37"/>
  <c r="H37" i="37" s="1"/>
  <c r="H36" i="37" s="1"/>
  <c r="D47" i="37"/>
  <c r="D48" i="37"/>
  <c r="H48" i="37" s="1"/>
  <c r="D83" i="36"/>
  <c r="L18" i="45" s="1"/>
  <c r="J28" i="36"/>
  <c r="J30" i="44" l="1"/>
  <c r="L30" i="44" s="1"/>
  <c r="P30" i="44" s="1"/>
  <c r="P26" i="45"/>
  <c r="J35" i="44"/>
  <c r="L35" i="44" s="1"/>
  <c r="P35" i="44" s="1"/>
  <c r="P21" i="45"/>
  <c r="J86" i="31"/>
  <c r="J40" i="44"/>
  <c r="L40" i="44" s="1"/>
  <c r="P40" i="44" s="1"/>
  <c r="F88" i="36"/>
  <c r="Q23" i="45" s="1"/>
  <c r="J81" i="31"/>
  <c r="L81" i="31" s="1"/>
  <c r="P81" i="31" s="1"/>
  <c r="D46" i="37"/>
  <c r="H46" i="37" s="1"/>
  <c r="G108" i="36"/>
  <c r="J76" i="31"/>
  <c r="D41" i="37"/>
  <c r="H41" i="37" s="1"/>
  <c r="J53" i="37"/>
  <c r="I93" i="31" l="1"/>
  <c r="E93" i="31"/>
  <c r="L34" i="35"/>
  <c r="O36" i="35"/>
  <c r="P35" i="35"/>
  <c r="O35" i="35"/>
  <c r="Q35" i="35" s="1"/>
  <c r="M137" i="31"/>
  <c r="N137" i="31" s="1"/>
  <c r="I158" i="31"/>
  <c r="E158" i="31"/>
  <c r="F158" i="31" s="1"/>
  <c r="I156" i="31"/>
  <c r="E156" i="31"/>
  <c r="F156" i="31" s="1"/>
  <c r="I157" i="31"/>
  <c r="E157" i="31"/>
  <c r="F157" i="31" s="1"/>
  <c r="H155" i="31"/>
  <c r="I141" i="31"/>
  <c r="F141" i="31"/>
  <c r="I142" i="31"/>
  <c r="F142" i="31"/>
  <c r="I140" i="31"/>
  <c r="F140" i="31"/>
  <c r="H139" i="31"/>
  <c r="I137" i="31"/>
  <c r="F137" i="31"/>
  <c r="F136" i="31" s="1"/>
  <c r="H136" i="31"/>
  <c r="I134" i="31"/>
  <c r="F134" i="31"/>
  <c r="F133" i="31" s="1"/>
  <c r="H133" i="31"/>
  <c r="F83" i="43"/>
  <c r="F84" i="43"/>
  <c r="E128" i="31"/>
  <c r="F128" i="31" s="1"/>
  <c r="I128" i="31"/>
  <c r="L128" i="31" s="1"/>
  <c r="D88" i="37" s="1"/>
  <c r="F93" i="31" l="1"/>
  <c r="E152" i="31"/>
  <c r="H160" i="31"/>
  <c r="E24" i="39"/>
  <c r="F24" i="39" s="1"/>
  <c r="E47" i="37"/>
  <c r="F47" i="37" s="1"/>
  <c r="H47" i="37" s="1"/>
  <c r="E72" i="34"/>
  <c r="E65" i="35" s="1"/>
  <c r="E71" i="34"/>
  <c r="E64" i="35" s="1"/>
  <c r="E70" i="34"/>
  <c r="E63" i="35" s="1"/>
  <c r="L93" i="31"/>
  <c r="Q93" i="31" s="1"/>
  <c r="F139" i="31"/>
  <c r="E37" i="35"/>
  <c r="E35" i="35"/>
  <c r="F155" i="31"/>
  <c r="E26" i="34"/>
  <c r="D58" i="34" s="1"/>
  <c r="D10" i="39" s="1"/>
  <c r="M110" i="31"/>
  <c r="M140" i="31" s="1"/>
  <c r="N140" i="31" s="1"/>
  <c r="M104" i="31"/>
  <c r="Q41" i="34"/>
  <c r="R41" i="34" s="1"/>
  <c r="O41" i="34"/>
  <c r="E43" i="34" s="1"/>
  <c r="C64" i="35"/>
  <c r="H33" i="35"/>
  <c r="I33" i="35" s="1"/>
  <c r="E33" i="35" s="1"/>
  <c r="D63" i="35" s="1"/>
  <c r="H34" i="35"/>
  <c r="H20" i="35"/>
  <c r="J20" i="35" s="1"/>
  <c r="H19" i="35"/>
  <c r="J19" i="35" s="1"/>
  <c r="H16" i="35"/>
  <c r="J16" i="35" s="1"/>
  <c r="H14" i="35"/>
  <c r="J14" i="35" s="1"/>
  <c r="H13" i="35"/>
  <c r="J13" i="35" s="1"/>
  <c r="H10" i="35"/>
  <c r="J10" i="35" s="1"/>
  <c r="H11" i="35"/>
  <c r="J11" i="35" s="1"/>
  <c r="K8" i="35"/>
  <c r="E28" i="35" s="1"/>
  <c r="D70" i="35"/>
  <c r="L158" i="31" s="1"/>
  <c r="D123" i="37" s="1"/>
  <c r="C70" i="35"/>
  <c r="C69" i="35"/>
  <c r="D68" i="35"/>
  <c r="L157" i="31" s="1"/>
  <c r="D121" i="37" s="1"/>
  <c r="I121" i="37" s="1"/>
  <c r="C68" i="35"/>
  <c r="C67" i="35"/>
  <c r="C66" i="35"/>
  <c r="C65" i="35"/>
  <c r="C63" i="35"/>
  <c r="C59" i="35"/>
  <c r="C60" i="35"/>
  <c r="C58" i="35"/>
  <c r="C55" i="35"/>
  <c r="A47" i="35"/>
  <c r="H39" i="35"/>
  <c r="D67" i="35"/>
  <c r="L36" i="35"/>
  <c r="H36" i="35"/>
  <c r="I35" i="35"/>
  <c r="K35" i="35" s="1"/>
  <c r="H35" i="35"/>
  <c r="M36" i="35"/>
  <c r="D60" i="35"/>
  <c r="L142" i="31" s="1"/>
  <c r="D102" i="37" s="1"/>
  <c r="I102" i="37" s="1"/>
  <c r="J18" i="35"/>
  <c r="H17" i="35"/>
  <c r="J17" i="35" s="1"/>
  <c r="J15" i="35"/>
  <c r="J12" i="35"/>
  <c r="L9" i="35"/>
  <c r="J9" i="35"/>
  <c r="L8" i="35"/>
  <c r="J8" i="35"/>
  <c r="A2" i="35"/>
  <c r="A44" i="35" s="1"/>
  <c r="C71" i="34"/>
  <c r="L39" i="34"/>
  <c r="M39" i="34" s="1"/>
  <c r="H38" i="34"/>
  <c r="I38" i="34" s="1"/>
  <c r="E38" i="34" s="1"/>
  <c r="D70" i="34" s="1"/>
  <c r="K8" i="34"/>
  <c r="E33" i="34" s="1"/>
  <c r="H39" i="34"/>
  <c r="E35" i="34"/>
  <c r="J21" i="34"/>
  <c r="J22" i="34"/>
  <c r="J23" i="34"/>
  <c r="J24" i="34"/>
  <c r="J25" i="34"/>
  <c r="J26" i="34"/>
  <c r="J18" i="34"/>
  <c r="H20" i="34"/>
  <c r="J20" i="34" s="1"/>
  <c r="H19" i="34"/>
  <c r="J19" i="34" s="1"/>
  <c r="J15" i="34"/>
  <c r="H17" i="34"/>
  <c r="J17" i="34" s="1"/>
  <c r="H16" i="34"/>
  <c r="J16" i="34" s="1"/>
  <c r="H14" i="34"/>
  <c r="J14" i="34" s="1"/>
  <c r="H13" i="34"/>
  <c r="J13" i="34" s="1"/>
  <c r="J12" i="34"/>
  <c r="H11" i="34"/>
  <c r="J11" i="34" s="1"/>
  <c r="H10" i="34"/>
  <c r="J10" i="34" s="1"/>
  <c r="H9" i="34"/>
  <c r="J9" i="34" s="1"/>
  <c r="D77" i="34"/>
  <c r="C77" i="34"/>
  <c r="C76" i="34"/>
  <c r="D75" i="34"/>
  <c r="C75" i="34"/>
  <c r="C74" i="34"/>
  <c r="C73" i="34"/>
  <c r="C72" i="34"/>
  <c r="C70" i="34"/>
  <c r="C66" i="34"/>
  <c r="D67" i="34"/>
  <c r="C67" i="34"/>
  <c r="C65" i="34"/>
  <c r="C59" i="34"/>
  <c r="B52" i="35"/>
  <c r="C62" i="34"/>
  <c r="O58" i="34"/>
  <c r="J58" i="34"/>
  <c r="A53" i="34"/>
  <c r="H45" i="34"/>
  <c r="L42" i="34"/>
  <c r="H42" i="34"/>
  <c r="I41" i="34"/>
  <c r="K41" i="34" s="1"/>
  <c r="H41" i="34"/>
  <c r="E27" i="34"/>
  <c r="D59" i="34" s="1"/>
  <c r="L9" i="34"/>
  <c r="L8" i="34"/>
  <c r="J8" i="34"/>
  <c r="A2" i="34"/>
  <c r="A50" i="34" s="1"/>
  <c r="M126" i="31"/>
  <c r="E126" i="31"/>
  <c r="F126" i="31" s="1"/>
  <c r="I126" i="31"/>
  <c r="I127" i="31"/>
  <c r="E127" i="31"/>
  <c r="F127" i="31" s="1"/>
  <c r="H125" i="31"/>
  <c r="D83" i="33"/>
  <c r="D81" i="33"/>
  <c r="D60" i="33"/>
  <c r="D52" i="33"/>
  <c r="D89" i="33" l="1"/>
  <c r="H152" i="31"/>
  <c r="F152" i="31"/>
  <c r="F160" i="31"/>
  <c r="M134" i="31"/>
  <c r="E11" i="39"/>
  <c r="F11" i="39" s="1"/>
  <c r="D120" i="37"/>
  <c r="D29" i="39"/>
  <c r="J29" i="34"/>
  <c r="E30" i="34" s="1"/>
  <c r="D19" i="39"/>
  <c r="D11" i="39"/>
  <c r="I39" i="34"/>
  <c r="K39" i="34" s="1"/>
  <c r="N39" i="34" s="1"/>
  <c r="D116" i="37"/>
  <c r="H116" i="37" s="1"/>
  <c r="D22" i="39"/>
  <c r="H22" i="39" s="1"/>
  <c r="D74" i="34"/>
  <c r="D26" i="39" s="1"/>
  <c r="L127" i="31"/>
  <c r="D27" i="39"/>
  <c r="N126" i="31"/>
  <c r="M156" i="31"/>
  <c r="Q157" i="31"/>
  <c r="Q142" i="31"/>
  <c r="P41" i="34"/>
  <c r="E41" i="34" s="1"/>
  <c r="S41" i="34"/>
  <c r="N36" i="35"/>
  <c r="I34" i="35"/>
  <c r="K34" i="35" s="1"/>
  <c r="L35" i="35"/>
  <c r="D65" i="35" s="1"/>
  <c r="F63" i="35"/>
  <c r="E39" i="35"/>
  <c r="D69" i="35" s="1"/>
  <c r="D58" i="35"/>
  <c r="J24" i="35"/>
  <c r="E25" i="35" s="1"/>
  <c r="I36" i="35"/>
  <c r="M34" i="35"/>
  <c r="L41" i="34"/>
  <c r="F70" i="34"/>
  <c r="E45" i="34"/>
  <c r="D76" i="34" s="1"/>
  <c r="D65" i="34"/>
  <c r="I42" i="34"/>
  <c r="M42" i="34"/>
  <c r="N42" i="34" s="1"/>
  <c r="F125" i="31"/>
  <c r="D28" i="39" l="1"/>
  <c r="H28" i="39" s="1"/>
  <c r="E94" i="43"/>
  <c r="F94" i="43" s="1"/>
  <c r="H11" i="39"/>
  <c r="I120" i="37"/>
  <c r="H120" i="37"/>
  <c r="I22" i="39"/>
  <c r="H26" i="39"/>
  <c r="D17" i="39"/>
  <c r="H17" i="39" s="1"/>
  <c r="Q127" i="31"/>
  <c r="D86" i="37"/>
  <c r="I86" i="37" s="1"/>
  <c r="D81" i="37"/>
  <c r="H81" i="37" s="1"/>
  <c r="E34" i="34"/>
  <c r="D66" i="34" s="1"/>
  <c r="E76" i="34"/>
  <c r="E69" i="35" s="1"/>
  <c r="F69" i="35" s="1"/>
  <c r="P36" i="35"/>
  <c r="E36" i="35" s="1"/>
  <c r="D66" i="35" s="1"/>
  <c r="D119" i="37" s="1"/>
  <c r="L156" i="31"/>
  <c r="D122" i="37" s="1"/>
  <c r="H122" i="37" s="1"/>
  <c r="Q134" i="31"/>
  <c r="L134" i="31"/>
  <c r="D94" i="37" s="1"/>
  <c r="H94" i="37" s="1"/>
  <c r="H93" i="37" s="1"/>
  <c r="L140" i="31"/>
  <c r="D100" i="37" s="1"/>
  <c r="H100" i="37" s="1"/>
  <c r="F65" i="35"/>
  <c r="N34" i="35"/>
  <c r="E34" i="35" s="1"/>
  <c r="D64" i="35" s="1"/>
  <c r="D72" i="34"/>
  <c r="D24" i="39" s="1"/>
  <c r="H24" i="39" s="1"/>
  <c r="E42" i="34"/>
  <c r="D73" i="34" s="1"/>
  <c r="E40" i="34"/>
  <c r="D71" i="34" s="1"/>
  <c r="D23" i="39" s="1"/>
  <c r="H23" i="39" s="1"/>
  <c r="E29" i="35"/>
  <c r="D59" i="35" s="1"/>
  <c r="L141" i="31" s="1"/>
  <c r="D101" i="37" s="1"/>
  <c r="D55" i="35"/>
  <c r="D62" i="34"/>
  <c r="D25" i="39" l="1"/>
  <c r="H25" i="39" s="1"/>
  <c r="D118" i="37"/>
  <c r="H118" i="37" s="1"/>
  <c r="I101" i="37"/>
  <c r="H101" i="37"/>
  <c r="D84" i="37"/>
  <c r="D14" i="39"/>
  <c r="H14" i="39" s="1"/>
  <c r="H13" i="39" s="1"/>
  <c r="D18" i="39"/>
  <c r="H18" i="39" s="1"/>
  <c r="D85" i="37"/>
  <c r="G81" i="34"/>
  <c r="F76" i="34"/>
  <c r="F72" i="34"/>
  <c r="I24" i="39" s="1"/>
  <c r="Q141" i="31"/>
  <c r="L137" i="31"/>
  <c r="D97" i="37" s="1"/>
  <c r="H97" i="37" s="1"/>
  <c r="H96" i="37" s="1"/>
  <c r="P140" i="31"/>
  <c r="F71" i="34"/>
  <c r="F64" i="35"/>
  <c r="G74" i="35"/>
  <c r="D40" i="33"/>
  <c r="D27" i="33"/>
  <c r="D20" i="33"/>
  <c r="G42" i="33"/>
  <c r="D42" i="33"/>
  <c r="G38" i="33"/>
  <c r="D36" i="33"/>
  <c r="D47" i="33" s="1"/>
  <c r="G27" i="33"/>
  <c r="H91" i="33"/>
  <c r="C71" i="33"/>
  <c r="D71" i="33"/>
  <c r="G66" i="33"/>
  <c r="F64" i="33"/>
  <c r="G62" i="33"/>
  <c r="D98" i="33"/>
  <c r="L126" i="31" s="1"/>
  <c r="C62" i="33"/>
  <c r="D62" i="33"/>
  <c r="E11" i="33"/>
  <c r="D82" i="37" l="1"/>
  <c r="H82" i="37" s="1"/>
  <c r="I23" i="39"/>
  <c r="I85" i="37"/>
  <c r="H85" i="37"/>
  <c r="D117" i="37"/>
  <c r="H117" i="37" s="1"/>
  <c r="D83" i="37"/>
  <c r="H83" i="37" s="1"/>
  <c r="P126" i="31"/>
  <c r="D87" i="37"/>
  <c r="H87" i="37" s="1"/>
  <c r="P137" i="31"/>
  <c r="P136" i="31" s="1"/>
  <c r="G91" i="33"/>
  <c r="B91" i="28"/>
  <c r="B86" i="28"/>
  <c r="B55" i="3"/>
  <c r="N69" i="31"/>
  <c r="I69" i="31"/>
  <c r="L69" i="31" s="1"/>
  <c r="E69" i="31"/>
  <c r="F69" i="31" s="1"/>
  <c r="E74" i="42" l="1"/>
  <c r="F74" i="42" s="1"/>
  <c r="F73" i="42" s="1"/>
  <c r="P69" i="31"/>
  <c r="P67" i="31" s="1"/>
  <c r="M176" i="31"/>
  <c r="M167" i="31"/>
  <c r="M164" i="31"/>
  <c r="M111" i="31"/>
  <c r="M141" i="31" s="1"/>
  <c r="N141" i="31" s="1"/>
  <c r="P141" i="31" s="1"/>
  <c r="M170" i="31"/>
  <c r="M48" i="31"/>
  <c r="O48" i="31"/>
  <c r="M171" i="31" l="1"/>
  <c r="N171" i="31" s="1"/>
  <c r="N134" i="31"/>
  <c r="P134" i="31" s="1"/>
  <c r="P133" i="31" s="1"/>
  <c r="G31" i="32"/>
  <c r="G30" i="32"/>
  <c r="G26" i="32"/>
  <c r="G28" i="32" s="1"/>
  <c r="G16" i="32"/>
  <c r="G15" i="32"/>
  <c r="G10" i="32"/>
  <c r="A2" i="32"/>
  <c r="O181" i="31"/>
  <c r="O180" i="31"/>
  <c r="O164" i="31"/>
  <c r="I103" i="31"/>
  <c r="N176" i="31"/>
  <c r="M177" i="31"/>
  <c r="N177" i="31" s="1"/>
  <c r="N175" i="31"/>
  <c r="N170" i="31"/>
  <c r="E176" i="31"/>
  <c r="F176" i="31" s="1"/>
  <c r="I176" i="31"/>
  <c r="E177" i="31"/>
  <c r="F177" i="31" s="1"/>
  <c r="I177" i="31"/>
  <c r="B176" i="31"/>
  <c r="B177" i="31"/>
  <c r="B175" i="31"/>
  <c r="I175" i="31"/>
  <c r="E175" i="31"/>
  <c r="F175" i="31" s="1"/>
  <c r="H174" i="31"/>
  <c r="B171" i="31"/>
  <c r="B172" i="31"/>
  <c r="B164" i="31"/>
  <c r="I111" i="31"/>
  <c r="I181" i="31"/>
  <c r="E181" i="31"/>
  <c r="E180" i="31"/>
  <c r="I180" i="31"/>
  <c r="H179" i="31"/>
  <c r="E172" i="31"/>
  <c r="I172" i="31"/>
  <c r="L172" i="31" s="1"/>
  <c r="E171" i="31"/>
  <c r="I171" i="31"/>
  <c r="I170" i="31"/>
  <c r="E170" i="31"/>
  <c r="F170" i="31" s="1"/>
  <c r="H169" i="31"/>
  <c r="N167" i="31"/>
  <c r="E167" i="31"/>
  <c r="I167" i="31"/>
  <c r="H166" i="31"/>
  <c r="N164" i="31"/>
  <c r="E164" i="31"/>
  <c r="I164" i="31"/>
  <c r="H163" i="31"/>
  <c r="C96" i="31"/>
  <c r="C95" i="31"/>
  <c r="C94" i="31"/>
  <c r="C92" i="31"/>
  <c r="C91" i="31"/>
  <c r="C87" i="31"/>
  <c r="C147" i="31" s="1"/>
  <c r="C86" i="31"/>
  <c r="C85" i="31"/>
  <c r="C77" i="31"/>
  <c r="C76" i="31"/>
  <c r="C75" i="31"/>
  <c r="C72" i="31"/>
  <c r="C68" i="31"/>
  <c r="C62" i="31"/>
  <c r="C121" i="31" s="1"/>
  <c r="C61" i="31"/>
  <c r="C120" i="31" s="1"/>
  <c r="C60" i="31"/>
  <c r="C59" i="31"/>
  <c r="C58" i="31"/>
  <c r="C55" i="31"/>
  <c r="C54" i="31"/>
  <c r="C53" i="31"/>
  <c r="C50" i="31"/>
  <c r="C49" i="31"/>
  <c r="C48" i="31"/>
  <c r="C45" i="31"/>
  <c r="C42" i="31"/>
  <c r="I112" i="31"/>
  <c r="N111" i="31"/>
  <c r="E79" i="43" s="1"/>
  <c r="F79" i="43" s="1"/>
  <c r="N110" i="31"/>
  <c r="E78" i="43" s="1"/>
  <c r="F78" i="43" s="1"/>
  <c r="I110" i="31"/>
  <c r="H109" i="31"/>
  <c r="N107" i="31"/>
  <c r="E75" i="43" s="1"/>
  <c r="F75" i="43" s="1"/>
  <c r="F74" i="43" s="1"/>
  <c r="I107" i="31"/>
  <c r="H106" i="31"/>
  <c r="N104" i="31"/>
  <c r="E72" i="43" s="1"/>
  <c r="F72" i="43" s="1"/>
  <c r="I104" i="31"/>
  <c r="H102" i="31"/>
  <c r="N96" i="31"/>
  <c r="N95" i="31"/>
  <c r="N94" i="31"/>
  <c r="N92" i="31"/>
  <c r="N91" i="31"/>
  <c r="N86" i="31"/>
  <c r="E91" i="42" s="1"/>
  <c r="F91" i="42" s="1"/>
  <c r="N85" i="31"/>
  <c r="E90" i="42" s="1"/>
  <c r="F90" i="42" s="1"/>
  <c r="N76" i="31"/>
  <c r="N75" i="31"/>
  <c r="N68" i="31"/>
  <c r="N62" i="31"/>
  <c r="N61" i="31"/>
  <c r="N60" i="31"/>
  <c r="N59" i="31"/>
  <c r="N58" i="31"/>
  <c r="N55" i="31"/>
  <c r="N54" i="31"/>
  <c r="N53" i="31"/>
  <c r="N50" i="31"/>
  <c r="N49" i="31"/>
  <c r="N48" i="31"/>
  <c r="N45" i="31"/>
  <c r="N42" i="31"/>
  <c r="N36" i="31"/>
  <c r="N35" i="31"/>
  <c r="N34" i="31"/>
  <c r="N33" i="31"/>
  <c r="N32" i="31"/>
  <c r="N27" i="31"/>
  <c r="N26" i="31"/>
  <c r="N20" i="31"/>
  <c r="N19" i="31"/>
  <c r="N15" i="31"/>
  <c r="N12" i="31"/>
  <c r="D92" i="31"/>
  <c r="I92" i="31" s="1"/>
  <c r="L92" i="31" s="1"/>
  <c r="D94" i="31"/>
  <c r="I94" i="31" s="1"/>
  <c r="L94" i="31" s="1"/>
  <c r="D95" i="31"/>
  <c r="I95" i="31" s="1"/>
  <c r="L95" i="31" s="1"/>
  <c r="D96" i="31"/>
  <c r="I96" i="31" s="1"/>
  <c r="D91" i="31"/>
  <c r="I91" i="31" s="1"/>
  <c r="L91" i="31" s="1"/>
  <c r="D86" i="31"/>
  <c r="D87" i="31"/>
  <c r="I87" i="31" s="1"/>
  <c r="L87" i="31" s="1"/>
  <c r="D85" i="31"/>
  <c r="I85" i="31" s="1"/>
  <c r="L85" i="31" s="1"/>
  <c r="D76" i="31"/>
  <c r="D77" i="31"/>
  <c r="I77" i="31" s="1"/>
  <c r="L77" i="31" s="1"/>
  <c r="D75" i="31"/>
  <c r="I75" i="31" s="1"/>
  <c r="L75" i="31" s="1"/>
  <c r="D72" i="31"/>
  <c r="I72" i="31" s="1"/>
  <c r="L72" i="31" s="1"/>
  <c r="P72" i="31" s="1"/>
  <c r="D68" i="31"/>
  <c r="I68" i="31" s="1"/>
  <c r="I55" i="31"/>
  <c r="L55" i="31" s="1"/>
  <c r="D59" i="31"/>
  <c r="I59" i="31" s="1"/>
  <c r="L59" i="31" s="1"/>
  <c r="D60" i="31"/>
  <c r="I60" i="31" s="1"/>
  <c r="L60" i="31" s="1"/>
  <c r="D61" i="31"/>
  <c r="I61" i="31" s="1"/>
  <c r="L61" i="31" s="1"/>
  <c r="D62" i="31"/>
  <c r="I62" i="31" s="1"/>
  <c r="L62" i="31" s="1"/>
  <c r="D58" i="31"/>
  <c r="D54" i="31"/>
  <c r="D53" i="31"/>
  <c r="D49" i="31"/>
  <c r="D50" i="31"/>
  <c r="D48" i="31"/>
  <c r="D45" i="31"/>
  <c r="D42" i="31"/>
  <c r="E33" i="31"/>
  <c r="E34" i="31"/>
  <c r="E35" i="31"/>
  <c r="E36" i="31"/>
  <c r="E32" i="31"/>
  <c r="E27" i="31"/>
  <c r="E28" i="31"/>
  <c r="E26" i="31"/>
  <c r="E19" i="31"/>
  <c r="E20" i="31"/>
  <c r="E18" i="31"/>
  <c r="E15" i="31"/>
  <c r="E12" i="31"/>
  <c r="D36" i="31"/>
  <c r="I36" i="31" s="1"/>
  <c r="D33" i="31"/>
  <c r="I33" i="31" s="1"/>
  <c r="L33" i="31" s="1"/>
  <c r="D34" i="31"/>
  <c r="D35" i="31"/>
  <c r="I35" i="31" s="1"/>
  <c r="L35" i="31" s="1"/>
  <c r="D32" i="31"/>
  <c r="I32" i="31" s="1"/>
  <c r="L32" i="31" s="1"/>
  <c r="D27" i="31"/>
  <c r="I27" i="31" s="1"/>
  <c r="L27" i="31" s="1"/>
  <c r="D28" i="31"/>
  <c r="I28" i="31" s="1"/>
  <c r="D20" i="31"/>
  <c r="I20" i="31" s="1"/>
  <c r="L20" i="31" s="1"/>
  <c r="D19" i="31"/>
  <c r="D18" i="31"/>
  <c r="I18" i="31" s="1"/>
  <c r="L18" i="31" s="1"/>
  <c r="D15" i="31"/>
  <c r="I15" i="31" s="1"/>
  <c r="L15" i="31" s="1"/>
  <c r="D12" i="31"/>
  <c r="B59" i="31"/>
  <c r="B60" i="31"/>
  <c r="B94" i="31" s="1"/>
  <c r="B61" i="31"/>
  <c r="B95" i="31" s="1"/>
  <c r="B62" i="31"/>
  <c r="B96" i="31" s="1"/>
  <c r="B58" i="31"/>
  <c r="B54" i="31"/>
  <c r="B55" i="31"/>
  <c r="B53" i="31"/>
  <c r="B49" i="31"/>
  <c r="B50" i="31"/>
  <c r="B48" i="31"/>
  <c r="B75" i="31" s="1"/>
  <c r="B45" i="31"/>
  <c r="B72" i="31" s="1"/>
  <c r="B42" i="31"/>
  <c r="B68" i="31" s="1"/>
  <c r="I72" i="30"/>
  <c r="I71" i="30"/>
  <c r="I70" i="30"/>
  <c r="I69" i="30"/>
  <c r="I68" i="30"/>
  <c r="I66" i="30"/>
  <c r="I65" i="30"/>
  <c r="I64" i="30"/>
  <c r="I62" i="30"/>
  <c r="I61" i="30"/>
  <c r="I60" i="30"/>
  <c r="I58" i="30"/>
  <c r="I57" i="30" s="1"/>
  <c r="I56" i="30"/>
  <c r="I55" i="30" s="1"/>
  <c r="I52" i="30"/>
  <c r="I51" i="30"/>
  <c r="I50" i="30"/>
  <c r="I49" i="30"/>
  <c r="I48" i="30"/>
  <c r="I46" i="30"/>
  <c r="I45" i="30"/>
  <c r="I44" i="30"/>
  <c r="I42" i="30"/>
  <c r="I41" i="30"/>
  <c r="I40" i="30"/>
  <c r="I38" i="30"/>
  <c r="I37" i="30" s="1"/>
  <c r="I36" i="30"/>
  <c r="I35" i="30" s="1"/>
  <c r="I32" i="30"/>
  <c r="I31" i="30"/>
  <c r="I30" i="30"/>
  <c r="I29" i="30"/>
  <c r="I28" i="30"/>
  <c r="I26" i="30"/>
  <c r="I25" i="30"/>
  <c r="F102" i="36" l="1"/>
  <c r="F110" i="48"/>
  <c r="F109" i="48" s="1"/>
  <c r="F104" i="47"/>
  <c r="F103" i="47" s="1"/>
  <c r="F83" i="36"/>
  <c r="Q18" i="45" s="1"/>
  <c r="E81" i="42"/>
  <c r="F81" i="42" s="1"/>
  <c r="F82" i="36"/>
  <c r="E80" i="42"/>
  <c r="F80" i="42" s="1"/>
  <c r="B107" i="31"/>
  <c r="B137" i="31"/>
  <c r="B110" i="31"/>
  <c r="B170" i="31" s="1"/>
  <c r="B140" i="31"/>
  <c r="H130" i="31"/>
  <c r="E88" i="43"/>
  <c r="F88" i="43" s="1"/>
  <c r="F92" i="36"/>
  <c r="Q27" i="45" s="1"/>
  <c r="E89" i="43"/>
  <c r="F89" i="43" s="1"/>
  <c r="F93" i="36"/>
  <c r="Q28" i="45" s="1"/>
  <c r="I76" i="31"/>
  <c r="L76" i="31" s="1"/>
  <c r="P76" i="31" s="1"/>
  <c r="I19" i="31"/>
  <c r="L19" i="31" s="1"/>
  <c r="E59" i="34"/>
  <c r="F59" i="34" s="1"/>
  <c r="F76" i="36"/>
  <c r="E62" i="34"/>
  <c r="E55" i="35" s="1"/>
  <c r="F55" i="35" s="1"/>
  <c r="F54" i="35" s="1"/>
  <c r="F79" i="36"/>
  <c r="Q14" i="45" s="1"/>
  <c r="E65" i="34"/>
  <c r="F65" i="34" s="1"/>
  <c r="E66" i="34"/>
  <c r="F66" i="34" s="1"/>
  <c r="I63" i="30"/>
  <c r="G33" i="32"/>
  <c r="G35" i="32" s="1"/>
  <c r="G18" i="32"/>
  <c r="H183" i="31"/>
  <c r="K96" i="31"/>
  <c r="L96" i="31" s="1"/>
  <c r="P96" i="31" s="1"/>
  <c r="K68" i="31"/>
  <c r="L68" i="31" s="1"/>
  <c r="P68" i="31" s="1"/>
  <c r="E92" i="31"/>
  <c r="E151" i="31" s="1"/>
  <c r="H33" i="31"/>
  <c r="E42" i="31"/>
  <c r="H42" i="31" s="1"/>
  <c r="H41" i="31" s="1"/>
  <c r="H12" i="31"/>
  <c r="H11" i="31" s="1"/>
  <c r="E45" i="31"/>
  <c r="H45" i="31" s="1"/>
  <c r="H44" i="31" s="1"/>
  <c r="H15" i="31"/>
  <c r="H14" i="31" s="1"/>
  <c r="E48" i="31"/>
  <c r="H48" i="31" s="1"/>
  <c r="H18" i="31"/>
  <c r="E50" i="31"/>
  <c r="H20" i="31"/>
  <c r="E49" i="31"/>
  <c r="H49" i="31" s="1"/>
  <c r="H19" i="31"/>
  <c r="E85" i="31"/>
  <c r="H26" i="31"/>
  <c r="E87" i="31"/>
  <c r="E147" i="31" s="1"/>
  <c r="H28" i="31"/>
  <c r="E86" i="31"/>
  <c r="H27" i="31"/>
  <c r="E91" i="31"/>
  <c r="H32" i="31"/>
  <c r="E62" i="31"/>
  <c r="E121" i="31" s="1"/>
  <c r="H36" i="31"/>
  <c r="E95" i="31"/>
  <c r="H95" i="31" s="1"/>
  <c r="H35" i="31"/>
  <c r="E60" i="31"/>
  <c r="H60" i="31" s="1"/>
  <c r="H34" i="31"/>
  <c r="G11" i="32"/>
  <c r="G13" i="32" s="1"/>
  <c r="F174" i="31"/>
  <c r="F181" i="31"/>
  <c r="F167" i="31"/>
  <c r="F166" i="31" s="1"/>
  <c r="F171" i="31"/>
  <c r="F180" i="31"/>
  <c r="F164" i="31"/>
  <c r="F163" i="31" s="1"/>
  <c r="F172" i="31"/>
  <c r="P27" i="31"/>
  <c r="P15" i="31"/>
  <c r="P14" i="31" s="1"/>
  <c r="P59" i="31"/>
  <c r="P94" i="31"/>
  <c r="F110" i="31"/>
  <c r="P55" i="31"/>
  <c r="F112" i="31"/>
  <c r="P85" i="31"/>
  <c r="F104" i="31"/>
  <c r="F102" i="31" s="1"/>
  <c r="F107" i="31"/>
  <c r="F106" i="31" s="1"/>
  <c r="F111" i="31"/>
  <c r="P71" i="31"/>
  <c r="P75" i="31"/>
  <c r="P60" i="31"/>
  <c r="P95" i="31"/>
  <c r="P35" i="31"/>
  <c r="P18" i="31"/>
  <c r="P91" i="31"/>
  <c r="P20" i="31"/>
  <c r="P32" i="31"/>
  <c r="P61" i="31"/>
  <c r="P33" i="31"/>
  <c r="P62" i="31"/>
  <c r="P19" i="31"/>
  <c r="P92" i="31"/>
  <c r="E53" i="31"/>
  <c r="E54" i="31"/>
  <c r="E55" i="31"/>
  <c r="I86" i="31"/>
  <c r="L86" i="31" s="1"/>
  <c r="F12" i="31"/>
  <c r="F11" i="31" s="1"/>
  <c r="E68" i="31"/>
  <c r="E72" i="31"/>
  <c r="E75" i="31"/>
  <c r="E96" i="31"/>
  <c r="E58" i="31"/>
  <c r="E59" i="31"/>
  <c r="E76" i="31"/>
  <c r="E61" i="31"/>
  <c r="E120" i="31" s="1"/>
  <c r="E77" i="31"/>
  <c r="I42" i="31"/>
  <c r="L42" i="31" s="1"/>
  <c r="E94" i="31"/>
  <c r="I45" i="31"/>
  <c r="L45" i="31" s="1"/>
  <c r="P45" i="31" s="1"/>
  <c r="P44" i="31" s="1"/>
  <c r="I48" i="31"/>
  <c r="L48" i="31" s="1"/>
  <c r="P48" i="31" s="1"/>
  <c r="I12" i="31"/>
  <c r="L12" i="31" s="1"/>
  <c r="I49" i="31"/>
  <c r="L49" i="31" s="1"/>
  <c r="P49" i="31" s="1"/>
  <c r="I50" i="31"/>
  <c r="L50" i="31" s="1"/>
  <c r="P50" i="31" s="1"/>
  <c r="I53" i="31"/>
  <c r="L53" i="31" s="1"/>
  <c r="P53" i="31" s="1"/>
  <c r="I54" i="31"/>
  <c r="L54" i="31" s="1"/>
  <c r="P54" i="31" s="1"/>
  <c r="I58" i="31"/>
  <c r="L58" i="31" s="1"/>
  <c r="P58" i="31" s="1"/>
  <c r="I34" i="31"/>
  <c r="L34" i="31" s="1"/>
  <c r="P34" i="31" s="1"/>
  <c r="F27" i="31"/>
  <c r="F32" i="31"/>
  <c r="F36" i="31"/>
  <c r="F15" i="31"/>
  <c r="F14" i="31" s="1"/>
  <c r="F18" i="31"/>
  <c r="F19" i="31"/>
  <c r="F20" i="31"/>
  <c r="F28" i="31"/>
  <c r="F35" i="31"/>
  <c r="F33" i="31"/>
  <c r="F34" i="31"/>
  <c r="L36" i="31"/>
  <c r="P36" i="31" s="1"/>
  <c r="L28" i="31"/>
  <c r="I67" i="30"/>
  <c r="I59" i="30"/>
  <c r="I27" i="30"/>
  <c r="I43" i="30"/>
  <c r="I47" i="30"/>
  <c r="I39" i="30"/>
  <c r="Q17" i="45" l="1"/>
  <c r="F74" i="36"/>
  <c r="F101" i="36"/>
  <c r="Q37" i="45"/>
  <c r="I28" i="39"/>
  <c r="M93" i="31"/>
  <c r="N93" i="31" s="1"/>
  <c r="M76" i="44"/>
  <c r="M129" i="44"/>
  <c r="N129" i="44" s="1"/>
  <c r="M46" i="44"/>
  <c r="N46" i="44" s="1"/>
  <c r="P46" i="44" s="1"/>
  <c r="P44" i="44" s="1"/>
  <c r="M130" i="44"/>
  <c r="N130" i="44" s="1"/>
  <c r="P130" i="44" s="1"/>
  <c r="M77" i="44"/>
  <c r="F78" i="36"/>
  <c r="H91" i="31"/>
  <c r="E150" i="31"/>
  <c r="F147" i="31"/>
  <c r="H147" i="31"/>
  <c r="F151" i="31"/>
  <c r="H151" i="31"/>
  <c r="F120" i="31"/>
  <c r="H120" i="31"/>
  <c r="F121" i="31"/>
  <c r="H121" i="31"/>
  <c r="E27" i="39"/>
  <c r="F27" i="39" s="1"/>
  <c r="H27" i="39" s="1"/>
  <c r="E50" i="37"/>
  <c r="F50" i="37" s="1"/>
  <c r="H50" i="37" s="1"/>
  <c r="H44" i="37" s="1"/>
  <c r="F31" i="31"/>
  <c r="H31" i="31"/>
  <c r="P57" i="31"/>
  <c r="E52" i="35"/>
  <c r="F52" i="35" s="1"/>
  <c r="F51" i="35" s="1"/>
  <c r="E59" i="35"/>
  <c r="F59" i="35" s="1"/>
  <c r="F62" i="34"/>
  <c r="F61" i="34" s="1"/>
  <c r="M128" i="31"/>
  <c r="N128" i="31" s="1"/>
  <c r="E146" i="37"/>
  <c r="F146" i="37" s="1"/>
  <c r="H146" i="37" s="1"/>
  <c r="E88" i="37"/>
  <c r="E86" i="37"/>
  <c r="E145" i="37"/>
  <c r="F145" i="37" s="1"/>
  <c r="H145" i="37" s="1"/>
  <c r="H144" i="37" s="1"/>
  <c r="H148" i="37" s="1"/>
  <c r="M127" i="31"/>
  <c r="M157" i="31" s="1"/>
  <c r="N157" i="31" s="1"/>
  <c r="E58" i="35"/>
  <c r="F58" i="35" s="1"/>
  <c r="N156" i="31"/>
  <c r="M180" i="31"/>
  <c r="N180" i="31" s="1"/>
  <c r="M52" i="44"/>
  <c r="N52" i="44" s="1"/>
  <c r="P52" i="44" s="1"/>
  <c r="P51" i="44" s="1"/>
  <c r="M181" i="31"/>
  <c r="N181" i="31" s="1"/>
  <c r="F60" i="31"/>
  <c r="G20" i="32"/>
  <c r="F45" i="31"/>
  <c r="F44" i="31" s="1"/>
  <c r="F49" i="31"/>
  <c r="F42" i="31"/>
  <c r="F41" i="31" s="1"/>
  <c r="F48" i="31"/>
  <c r="F77" i="31"/>
  <c r="H77" i="31"/>
  <c r="F94" i="31"/>
  <c r="H94" i="31"/>
  <c r="F75" i="31"/>
  <c r="H75" i="31"/>
  <c r="F87" i="31"/>
  <c r="H87" i="31"/>
  <c r="F95" i="31"/>
  <c r="F61" i="31"/>
  <c r="H61" i="31"/>
  <c r="F58" i="31"/>
  <c r="H58" i="31"/>
  <c r="F72" i="31"/>
  <c r="F71" i="31" s="1"/>
  <c r="H72" i="31"/>
  <c r="H71" i="31" s="1"/>
  <c r="F91" i="31"/>
  <c r="F53" i="31"/>
  <c r="H53" i="31"/>
  <c r="H25" i="31"/>
  <c r="F59" i="31"/>
  <c r="H59" i="31"/>
  <c r="P17" i="31"/>
  <c r="F54" i="31"/>
  <c r="H54" i="31"/>
  <c r="F76" i="31"/>
  <c r="H76" i="31"/>
  <c r="F96" i="31"/>
  <c r="H96" i="31"/>
  <c r="F68" i="31"/>
  <c r="F67" i="31" s="1"/>
  <c r="H68" i="31"/>
  <c r="H67" i="31" s="1"/>
  <c r="F55" i="31"/>
  <c r="H55" i="31"/>
  <c r="F62" i="31"/>
  <c r="H62" i="31"/>
  <c r="F86" i="31"/>
  <c r="H86" i="31"/>
  <c r="F85" i="31"/>
  <c r="H85" i="31"/>
  <c r="F50" i="31"/>
  <c r="H50" i="31"/>
  <c r="H47" i="31" s="1"/>
  <c r="F92" i="31"/>
  <c r="H92" i="31"/>
  <c r="P47" i="31"/>
  <c r="H17" i="31"/>
  <c r="I54" i="30"/>
  <c r="F169" i="31"/>
  <c r="F179" i="31"/>
  <c r="F109" i="31"/>
  <c r="F130" i="31" s="1"/>
  <c r="P42" i="31"/>
  <c r="P41" i="31" s="1"/>
  <c r="P86" i="31"/>
  <c r="P12" i="31"/>
  <c r="P11" i="31" s="1"/>
  <c r="F17" i="31"/>
  <c r="P52" i="31"/>
  <c r="P31" i="31"/>
  <c r="I34" i="30"/>
  <c r="M36" i="44" l="1"/>
  <c r="M16" i="44"/>
  <c r="M107" i="44"/>
  <c r="N107" i="44" s="1"/>
  <c r="P107" i="44" s="1"/>
  <c r="N77" i="44"/>
  <c r="P77" i="44" s="1"/>
  <c r="M106" i="44"/>
  <c r="N106" i="44" s="1"/>
  <c r="P106" i="44" s="1"/>
  <c r="N76" i="44"/>
  <c r="P76" i="44" s="1"/>
  <c r="M31" i="44"/>
  <c r="N31" i="44" s="1"/>
  <c r="P31" i="44" s="1"/>
  <c r="P28" i="44" s="1"/>
  <c r="M19" i="45"/>
  <c r="N19" i="45" s="1"/>
  <c r="P19" i="45" s="1"/>
  <c r="M61" i="44"/>
  <c r="I13" i="39"/>
  <c r="P157" i="31"/>
  <c r="E97" i="42"/>
  <c r="P156" i="31"/>
  <c r="E96" i="42"/>
  <c r="F96" i="42" s="1"/>
  <c r="M28" i="31"/>
  <c r="M82" i="31"/>
  <c r="E84" i="37"/>
  <c r="H150" i="31"/>
  <c r="H149" i="31" s="1"/>
  <c r="F150" i="31"/>
  <c r="F149" i="31" s="1"/>
  <c r="H119" i="31"/>
  <c r="F119" i="31"/>
  <c r="E96" i="43"/>
  <c r="F96" i="43" s="1"/>
  <c r="P93" i="31"/>
  <c r="P90" i="31" s="1"/>
  <c r="E95" i="43"/>
  <c r="F95" i="43" s="1"/>
  <c r="H38" i="31"/>
  <c r="H57" i="31"/>
  <c r="F57" i="31"/>
  <c r="M158" i="31"/>
  <c r="N158" i="31" s="1"/>
  <c r="E77" i="34"/>
  <c r="F77" i="34" s="1"/>
  <c r="P128" i="31"/>
  <c r="E67" i="37"/>
  <c r="E121" i="37"/>
  <c r="F121" i="37" s="1"/>
  <c r="H121" i="37" s="1"/>
  <c r="F86" i="37"/>
  <c r="H86" i="37" s="1"/>
  <c r="F84" i="37"/>
  <c r="H84" i="37" s="1"/>
  <c r="E119" i="37"/>
  <c r="F119" i="37" s="1"/>
  <c r="H119" i="37" s="1"/>
  <c r="N127" i="31"/>
  <c r="M103" i="31"/>
  <c r="E58" i="37"/>
  <c r="F58" i="37" s="1"/>
  <c r="E123" i="37"/>
  <c r="F123" i="37" s="1"/>
  <c r="H123" i="37" s="1"/>
  <c r="F88" i="37"/>
  <c r="H88" i="37" s="1"/>
  <c r="E74" i="34"/>
  <c r="F47" i="31"/>
  <c r="F183" i="31"/>
  <c r="F74" i="31"/>
  <c r="M112" i="31"/>
  <c r="M142" i="31" s="1"/>
  <c r="N142" i="31" s="1"/>
  <c r="P142" i="31" s="1"/>
  <c r="P139" i="31" s="1"/>
  <c r="M77" i="31"/>
  <c r="H52" i="31"/>
  <c r="F52" i="31"/>
  <c r="H90" i="31"/>
  <c r="H84" i="31"/>
  <c r="F90" i="31"/>
  <c r="F84" i="31"/>
  <c r="H74" i="31"/>
  <c r="P64" i="31"/>
  <c r="F24" i="30"/>
  <c r="D14" i="44" s="1"/>
  <c r="B16" i="28"/>
  <c r="B23" i="28"/>
  <c r="B37" i="28" s="1"/>
  <c r="B24" i="3"/>
  <c r="F67" i="1"/>
  <c r="F41" i="1"/>
  <c r="B18" i="3"/>
  <c r="B19" i="3" s="1"/>
  <c r="E77" i="49" l="1"/>
  <c r="F77" i="49" s="1"/>
  <c r="F74" i="49" s="1"/>
  <c r="E86" i="51"/>
  <c r="F86" i="51" s="1"/>
  <c r="F83" i="51" s="1"/>
  <c r="E71" i="52"/>
  <c r="F71" i="52" s="1"/>
  <c r="F68" i="52" s="1"/>
  <c r="F14" i="44"/>
  <c r="F13" i="44" s="1"/>
  <c r="I14" i="44"/>
  <c r="F97" i="42"/>
  <c r="F93" i="43"/>
  <c r="P74" i="44"/>
  <c r="M91" i="44"/>
  <c r="N91" i="44" s="1"/>
  <c r="P91" i="44" s="1"/>
  <c r="P88" i="44" s="1"/>
  <c r="M121" i="44"/>
  <c r="N121" i="44" s="1"/>
  <c r="P121" i="44" s="1"/>
  <c r="N61" i="44"/>
  <c r="P61" i="44" s="1"/>
  <c r="P58" i="44" s="1"/>
  <c r="P104" i="44"/>
  <c r="M66" i="44"/>
  <c r="N66" i="44" s="1"/>
  <c r="P66" i="44" s="1"/>
  <c r="P63" i="44" s="1"/>
  <c r="M41" i="44"/>
  <c r="N16" i="44"/>
  <c r="P16" i="44" s="1"/>
  <c r="P13" i="44" s="1"/>
  <c r="P19" i="44" s="1"/>
  <c r="E86" i="47"/>
  <c r="F86" i="47" s="1"/>
  <c r="F83" i="47" s="1"/>
  <c r="F108" i="47" s="1"/>
  <c r="E84" i="36"/>
  <c r="E92" i="48"/>
  <c r="F92" i="48" s="1"/>
  <c r="P16" i="45"/>
  <c r="M96" i="44"/>
  <c r="N96" i="44" s="1"/>
  <c r="P96" i="44" s="1"/>
  <c r="P93" i="44" s="1"/>
  <c r="N36" i="44"/>
  <c r="P36" i="44" s="1"/>
  <c r="P33" i="44" s="1"/>
  <c r="N82" i="31"/>
  <c r="E87" i="42" s="1"/>
  <c r="F87" i="42" s="1"/>
  <c r="F84" i="42" s="1"/>
  <c r="M147" i="31"/>
  <c r="N147" i="31" s="1"/>
  <c r="P147" i="31" s="1"/>
  <c r="P144" i="31" s="1"/>
  <c r="N28" i="31"/>
  <c r="M117" i="31"/>
  <c r="N117" i="31" s="1"/>
  <c r="P158" i="31"/>
  <c r="P155" i="31" s="1"/>
  <c r="E98" i="42"/>
  <c r="F98" i="42" s="1"/>
  <c r="M87" i="31"/>
  <c r="F89" i="36"/>
  <c r="Q24" i="45" s="1"/>
  <c r="E70" i="35"/>
  <c r="F70" i="35" s="1"/>
  <c r="I29" i="39" s="1"/>
  <c r="E29" i="39"/>
  <c r="F29" i="39" s="1"/>
  <c r="H29" i="39" s="1"/>
  <c r="H21" i="39" s="1"/>
  <c r="E73" i="34"/>
  <c r="E66" i="35" s="1"/>
  <c r="F66" i="35" s="1"/>
  <c r="N77" i="31"/>
  <c r="E82" i="42" s="1"/>
  <c r="F82" i="42" s="1"/>
  <c r="F79" i="42" s="1"/>
  <c r="E19" i="39"/>
  <c r="F19" i="39" s="1"/>
  <c r="H19" i="39" s="1"/>
  <c r="H16" i="39" s="1"/>
  <c r="E42" i="37"/>
  <c r="F42" i="37" s="1"/>
  <c r="H42" i="37" s="1"/>
  <c r="H39" i="37" s="1"/>
  <c r="H53" i="37" s="1"/>
  <c r="N103" i="31"/>
  <c r="E10" i="39"/>
  <c r="F10" i="39" s="1"/>
  <c r="H10" i="39" s="1"/>
  <c r="H9" i="39" s="1"/>
  <c r="E75" i="34"/>
  <c r="F75" i="34" s="1"/>
  <c r="P127" i="31"/>
  <c r="P125" i="31" s="1"/>
  <c r="H115" i="37"/>
  <c r="H80" i="37"/>
  <c r="E137" i="37"/>
  <c r="F137" i="37" s="1"/>
  <c r="H137" i="37" s="1"/>
  <c r="E102" i="37"/>
  <c r="F102" i="37" s="1"/>
  <c r="H102" i="37" s="1"/>
  <c r="H99" i="37" s="1"/>
  <c r="F67" i="37"/>
  <c r="F74" i="34"/>
  <c r="E67" i="35"/>
  <c r="F67" i="35" s="1"/>
  <c r="F64" i="31"/>
  <c r="M172" i="31"/>
  <c r="N172" i="31" s="1"/>
  <c r="P172" i="31" s="1"/>
  <c r="N112" i="31"/>
  <c r="E80" i="43" s="1"/>
  <c r="F80" i="43" s="1"/>
  <c r="F77" i="43" s="1"/>
  <c r="H64" i="31"/>
  <c r="H98" i="31"/>
  <c r="F98" i="31"/>
  <c r="I24" i="30"/>
  <c r="I23" i="30" s="1"/>
  <c r="D26" i="31"/>
  <c r="I18" i="30"/>
  <c r="I17" i="30" s="1"/>
  <c r="I20" i="30"/>
  <c r="I21" i="30"/>
  <c r="I22" i="30"/>
  <c r="I16" i="30"/>
  <c r="I15" i="30" s="1"/>
  <c r="G18" i="29"/>
  <c r="G19" i="29"/>
  <c r="G20" i="29"/>
  <c r="G17" i="29"/>
  <c r="F95" i="42" l="1"/>
  <c r="P48" i="45"/>
  <c r="F89" i="48"/>
  <c r="M71" i="44"/>
  <c r="N71" i="44" s="1"/>
  <c r="P71" i="44" s="1"/>
  <c r="P68" i="44" s="1"/>
  <c r="P79" i="44" s="1"/>
  <c r="M101" i="44"/>
  <c r="N101" i="44" s="1"/>
  <c r="P101" i="44" s="1"/>
  <c r="P98" i="44" s="1"/>
  <c r="P109" i="44" s="1"/>
  <c r="N41" i="44"/>
  <c r="P41" i="44" s="1"/>
  <c r="P38" i="44" s="1"/>
  <c r="P48" i="44" s="1"/>
  <c r="P82" i="31"/>
  <c r="P79" i="31" s="1"/>
  <c r="P28" i="31"/>
  <c r="F86" i="36"/>
  <c r="N87" i="31"/>
  <c r="M122" i="31"/>
  <c r="N122" i="31" s="1"/>
  <c r="P122" i="31" s="1"/>
  <c r="P119" i="31" s="1"/>
  <c r="M152" i="31"/>
  <c r="N152" i="31" s="1"/>
  <c r="P152" i="31" s="1"/>
  <c r="P149" i="31" s="1"/>
  <c r="P160" i="31" s="1"/>
  <c r="P117" i="31"/>
  <c r="P114" i="31" s="1"/>
  <c r="E85" i="43"/>
  <c r="F85" i="43" s="1"/>
  <c r="F82" i="43" s="1"/>
  <c r="P77" i="31"/>
  <c r="P74" i="31" s="1"/>
  <c r="F84" i="36"/>
  <c r="F81" i="36" s="1"/>
  <c r="E58" i="34"/>
  <c r="G58" i="34" s="1"/>
  <c r="E71" i="43"/>
  <c r="F73" i="34"/>
  <c r="I25" i="39" s="1"/>
  <c r="H31" i="39"/>
  <c r="J37" i="39" s="1"/>
  <c r="E68" i="35"/>
  <c r="F68" i="35" s="1"/>
  <c r="I27" i="39" s="1"/>
  <c r="I26" i="39"/>
  <c r="H125" i="37"/>
  <c r="E67" i="34"/>
  <c r="F67" i="34" s="1"/>
  <c r="F64" i="34" s="1"/>
  <c r="H185" i="31"/>
  <c r="P191" i="31" s="1"/>
  <c r="R98" i="31"/>
  <c r="R64" i="31"/>
  <c r="I26" i="31"/>
  <c r="L26" i="31" s="1"/>
  <c r="P26" i="31" s="1"/>
  <c r="F26" i="31"/>
  <c r="F25" i="31" s="1"/>
  <c r="I19" i="30"/>
  <c r="I14" i="30" s="1"/>
  <c r="G21" i="29"/>
  <c r="F62" i="1"/>
  <c r="F61" i="1"/>
  <c r="F60" i="1"/>
  <c r="F59" i="1"/>
  <c r="B81" i="3"/>
  <c r="F114" i="48" l="1"/>
  <c r="M12" i="38" s="1"/>
  <c r="Q19" i="45"/>
  <c r="P134" i="44"/>
  <c r="P141" i="44" s="1"/>
  <c r="P25" i="31"/>
  <c r="P38" i="31" s="1"/>
  <c r="F58" i="34"/>
  <c r="F57" i="34" s="1"/>
  <c r="I9" i="39" s="1"/>
  <c r="E92" i="42"/>
  <c r="F92" i="42" s="1"/>
  <c r="F89" i="42" s="1"/>
  <c r="F94" i="36"/>
  <c r="Q29" i="45" s="1"/>
  <c r="P87" i="31"/>
  <c r="P84" i="31" s="1"/>
  <c r="P98" i="31" s="1"/>
  <c r="E90" i="43"/>
  <c r="F90" i="43" s="1"/>
  <c r="F87" i="43" s="1"/>
  <c r="F71" i="43"/>
  <c r="F70" i="43" s="1"/>
  <c r="G71" i="43"/>
  <c r="F69" i="34"/>
  <c r="F38" i="31"/>
  <c r="F185" i="31" s="1"/>
  <c r="E60" i="35"/>
  <c r="F60" i="35" s="1"/>
  <c r="F57" i="35" s="1"/>
  <c r="F62" i="35"/>
  <c r="F35" i="1"/>
  <c r="F34" i="1"/>
  <c r="F36" i="1"/>
  <c r="F33" i="1"/>
  <c r="G35" i="1"/>
  <c r="G61" i="1"/>
  <c r="B76" i="3"/>
  <c r="C71" i="3"/>
  <c r="C80" i="3" s="1"/>
  <c r="C90" i="3" s="1"/>
  <c r="B71" i="3"/>
  <c r="B98" i="3"/>
  <c r="B25" i="3"/>
  <c r="B100" i="3" s="1"/>
  <c r="F69" i="1" s="1"/>
  <c r="G119" i="48" l="1"/>
  <c r="F120" i="48"/>
  <c r="F91" i="36"/>
  <c r="R38" i="31"/>
  <c r="F72" i="35"/>
  <c r="I21" i="39"/>
  <c r="J21" i="39" s="1"/>
  <c r="E72" i="37"/>
  <c r="F72" i="37" s="1"/>
  <c r="B80" i="3"/>
  <c r="B83" i="3" s="1"/>
  <c r="F65" i="1" s="1"/>
  <c r="F63" i="1"/>
  <c r="B87" i="3"/>
  <c r="F64" i="1"/>
  <c r="F86" i="1"/>
  <c r="L181" i="31" s="1"/>
  <c r="P181" i="31" s="1"/>
  <c r="F85" i="1"/>
  <c r="F57" i="1"/>
  <c r="F56" i="1"/>
  <c r="J180" i="31" l="1"/>
  <c r="L180" i="31" s="1"/>
  <c r="P180" i="31" s="1"/>
  <c r="J129" i="44"/>
  <c r="L129" i="44" s="1"/>
  <c r="P129" i="44" s="1"/>
  <c r="P128" i="44" s="1"/>
  <c r="F78" i="35"/>
  <c r="G77" i="35"/>
  <c r="P179" i="31"/>
  <c r="F38" i="1"/>
  <c r="F37" i="1"/>
  <c r="F39" i="1"/>
  <c r="B90" i="3"/>
  <c r="B88" i="3"/>
  <c r="F30" i="1"/>
  <c r="G14" i="8"/>
  <c r="G15" i="8" s="1"/>
  <c r="G27" i="1"/>
  <c r="B18" i="28"/>
  <c r="F74" i="1" s="1"/>
  <c r="B15" i="28"/>
  <c r="B91" i="3" l="1"/>
  <c r="F66" i="1" s="1"/>
  <c r="F40" i="1" s="1"/>
  <c r="F18" i="1"/>
  <c r="C45" i="28"/>
  <c r="C76" i="28" s="1"/>
  <c r="B70" i="28"/>
  <c r="B71" i="28" s="1"/>
  <c r="B59" i="28"/>
  <c r="B48" i="28" s="1"/>
  <c r="G82" i="1"/>
  <c r="C38" i="28" l="1"/>
  <c r="C23" i="28"/>
  <c r="C37" i="28" s="1"/>
  <c r="B38" i="28"/>
  <c r="A8" i="28"/>
  <c r="B94" i="28"/>
  <c r="C30" i="28"/>
  <c r="B29" i="28"/>
  <c r="B22" i="28"/>
  <c r="B11" i="28"/>
  <c r="A8" i="3"/>
  <c r="C12" i="8" s="1"/>
  <c r="B44" i="3"/>
  <c r="C29" i="3"/>
  <c r="C36" i="3"/>
  <c r="B25" i="28" l="1"/>
  <c r="F76" i="1" s="1"/>
  <c r="B45" i="28"/>
  <c r="B13" i="28"/>
  <c r="F73" i="1" s="1"/>
  <c r="B36" i="3"/>
  <c r="B37" i="3" s="1"/>
  <c r="F54" i="1"/>
  <c r="L112" i="31" s="1"/>
  <c r="D67" i="37" s="1"/>
  <c r="H67" i="37" s="1"/>
  <c r="B28" i="3"/>
  <c r="J164" i="31" l="1"/>
  <c r="L164" i="31" s="1"/>
  <c r="J113" i="44"/>
  <c r="L113" i="44" s="1"/>
  <c r="J167" i="31"/>
  <c r="L167" i="31" s="1"/>
  <c r="J116" i="44"/>
  <c r="L116" i="44" s="1"/>
  <c r="P167" i="31"/>
  <c r="P166" i="31" s="1"/>
  <c r="P164" i="31"/>
  <c r="P163" i="31" s="1"/>
  <c r="P112" i="31"/>
  <c r="F24" i="1"/>
  <c r="B76" i="28"/>
  <c r="B77" i="28" s="1"/>
  <c r="B81" i="28" s="1"/>
  <c r="B49" i="28"/>
  <c r="B51" i="28" s="1"/>
  <c r="F81" i="1" s="1"/>
  <c r="J124" i="44" s="1"/>
  <c r="L124" i="44" s="1"/>
  <c r="B39" i="28"/>
  <c r="B30" i="28"/>
  <c r="B32" i="28" s="1"/>
  <c r="B23" i="3"/>
  <c r="B17" i="3"/>
  <c r="B11" i="3"/>
  <c r="P124" i="44" l="1"/>
  <c r="P116" i="44"/>
  <c r="P115" i="44" s="1"/>
  <c r="P113" i="44"/>
  <c r="P112" i="44" s="1"/>
  <c r="F26" i="1"/>
  <c r="J175" i="31"/>
  <c r="L175" i="31" s="1"/>
  <c r="F78" i="1"/>
  <c r="B61" i="28"/>
  <c r="B62" i="28" s="1"/>
  <c r="F82" i="1" s="1"/>
  <c r="J125" i="44" s="1"/>
  <c r="L125" i="44" s="1"/>
  <c r="F83" i="1"/>
  <c r="J126" i="44" s="1"/>
  <c r="L126" i="44" s="1"/>
  <c r="B96" i="28"/>
  <c r="F88" i="1" s="1"/>
  <c r="F79" i="1"/>
  <c r="B29" i="3"/>
  <c r="B31" i="3" s="1"/>
  <c r="F48" i="1"/>
  <c r="P125" i="44" l="1"/>
  <c r="J171" i="31"/>
  <c r="L171" i="31" s="1"/>
  <c r="P171" i="31" s="1"/>
  <c r="J120" i="44"/>
  <c r="L120" i="44" s="1"/>
  <c r="P126" i="44"/>
  <c r="J170" i="31"/>
  <c r="L170" i="31" s="1"/>
  <c r="P170" i="31" s="1"/>
  <c r="J119" i="44"/>
  <c r="L119" i="44" s="1"/>
  <c r="P175" i="31"/>
  <c r="F28" i="1"/>
  <c r="J177" i="31"/>
  <c r="L177" i="31" s="1"/>
  <c r="F27" i="1"/>
  <c r="J176" i="31"/>
  <c r="L176" i="31" s="1"/>
  <c r="F17" i="1"/>
  <c r="F52" i="1"/>
  <c r="L110" i="31" s="1"/>
  <c r="D65" i="37" s="1"/>
  <c r="H65" i="37" s="1"/>
  <c r="B14" i="3"/>
  <c r="F47" i="1" s="1"/>
  <c r="P123" i="44" l="1"/>
  <c r="P119" i="44"/>
  <c r="P120" i="44"/>
  <c r="P169" i="31"/>
  <c r="P176" i="31"/>
  <c r="P177" i="31"/>
  <c r="L104" i="31"/>
  <c r="P110" i="31"/>
  <c r="F16" i="1"/>
  <c r="F22" i="1"/>
  <c r="F50" i="1"/>
  <c r="L107" i="31" s="1"/>
  <c r="D62" i="37" s="1"/>
  <c r="H62" i="37" s="1"/>
  <c r="H61" i="37" s="1"/>
  <c r="P118" i="44" l="1"/>
  <c r="P132" i="44" s="1"/>
  <c r="P104" i="31"/>
  <c r="D59" i="37"/>
  <c r="H59" i="37" s="1"/>
  <c r="P174" i="31"/>
  <c r="P183" i="31" s="1"/>
  <c r="L103" i="31"/>
  <c r="P107" i="31"/>
  <c r="P106" i="31" s="1"/>
  <c r="F20" i="1"/>
  <c r="P103" i="31" l="1"/>
  <c r="P102" i="31" s="1"/>
  <c r="D58" i="37"/>
  <c r="H58" i="37" s="1"/>
  <c r="H57" i="37" s="1"/>
  <c r="L15" i="12"/>
  <c r="L20" i="12"/>
  <c r="F53" i="1" l="1"/>
  <c r="L111" i="31" s="1"/>
  <c r="D66" i="37" s="1"/>
  <c r="H66" i="37" s="1"/>
  <c r="H64" i="37" s="1"/>
  <c r="H90" i="37" s="1"/>
  <c r="H150" i="37" s="1"/>
  <c r="P111" i="31" l="1"/>
  <c r="P109" i="31" s="1"/>
  <c r="F23" i="1"/>
  <c r="F43" i="1"/>
  <c r="I10" i="30"/>
  <c r="P130" i="31" l="1"/>
  <c r="P185" i="31" s="1"/>
  <c r="P192" i="31" s="1"/>
  <c r="I10" i="1"/>
  <c r="H67" i="1" l="1"/>
  <c r="I78" i="37" s="1"/>
  <c r="H41" i="1"/>
  <c r="I41" i="1" s="1"/>
  <c r="H39" i="1"/>
  <c r="I39" i="1" s="1"/>
  <c r="H35" i="1"/>
  <c r="I35" i="1" s="1"/>
  <c r="H34" i="1"/>
  <c r="I34" i="1" s="1"/>
  <c r="H37" i="1"/>
  <c r="I37" i="1" s="1"/>
  <c r="H33" i="1"/>
  <c r="I33" i="1" s="1"/>
  <c r="H40" i="1"/>
  <c r="I40" i="1" s="1"/>
  <c r="H36" i="1"/>
  <c r="I36" i="1" s="1"/>
  <c r="H38" i="1"/>
  <c r="I38" i="1" s="1"/>
  <c r="H61" i="1"/>
  <c r="I72" i="37" s="1"/>
  <c r="H66" i="1"/>
  <c r="I77" i="37" s="1"/>
  <c r="H64" i="1"/>
  <c r="I75" i="37" s="1"/>
  <c r="H62" i="1"/>
  <c r="I73" i="37" s="1"/>
  <c r="H65" i="1"/>
  <c r="I76" i="37" s="1"/>
  <c r="H60" i="1"/>
  <c r="I71" i="37" s="1"/>
  <c r="H63" i="1"/>
  <c r="I74" i="37" s="1"/>
  <c r="H59" i="1"/>
  <c r="I70" i="37" s="1"/>
  <c r="H85" i="1"/>
  <c r="I85" i="1" s="1"/>
  <c r="H86" i="1"/>
  <c r="Q86" i="44" s="1"/>
  <c r="H56" i="1"/>
  <c r="H57" i="1"/>
  <c r="H31" i="1"/>
  <c r="H30" i="1"/>
  <c r="I30" i="1" s="1"/>
  <c r="H27" i="1"/>
  <c r="I27" i="1" s="1"/>
  <c r="H26" i="1"/>
  <c r="I26" i="1" s="1"/>
  <c r="H28" i="1"/>
  <c r="I28" i="1" s="1"/>
  <c r="H18" i="1"/>
  <c r="I18" i="1" s="1"/>
  <c r="H74" i="1"/>
  <c r="I74" i="1" s="1"/>
  <c r="R132" i="44" s="1"/>
  <c r="H23" i="1"/>
  <c r="I23" i="1" s="1"/>
  <c r="H43" i="1"/>
  <c r="I43" i="1" s="1"/>
  <c r="I42" i="1" s="1"/>
  <c r="H24" i="1"/>
  <c r="I24" i="1" s="1"/>
  <c r="H16" i="1"/>
  <c r="I16" i="1" s="1"/>
  <c r="H22" i="1"/>
  <c r="I22" i="1" s="1"/>
  <c r="H20" i="1"/>
  <c r="H17" i="1"/>
  <c r="I17" i="1" s="1"/>
  <c r="H81" i="1"/>
  <c r="H82" i="1"/>
  <c r="H83" i="1"/>
  <c r="H79" i="1"/>
  <c r="H88" i="1"/>
  <c r="Q89" i="44" s="1"/>
  <c r="H78" i="1"/>
  <c r="H76" i="1"/>
  <c r="H73" i="1"/>
  <c r="H52" i="1"/>
  <c r="H54" i="1"/>
  <c r="H47" i="1"/>
  <c r="H48" i="1"/>
  <c r="Q53" i="44" s="1"/>
  <c r="H69" i="1"/>
  <c r="I69" i="1" s="1"/>
  <c r="I68" i="1" s="1"/>
  <c r="H53" i="1"/>
  <c r="H50" i="1"/>
  <c r="Q56" i="44" s="1"/>
  <c r="I58" i="37" l="1"/>
  <c r="Q52" i="44"/>
  <c r="I65" i="37"/>
  <c r="Q59" i="44"/>
  <c r="I67" i="37"/>
  <c r="Q61" i="44"/>
  <c r="I132" i="37"/>
  <c r="Q116" i="44"/>
  <c r="I142" i="37"/>
  <c r="Q126" i="44"/>
  <c r="I136" i="37"/>
  <c r="Q120" i="44"/>
  <c r="I129" i="37"/>
  <c r="Q113" i="44"/>
  <c r="I135" i="37"/>
  <c r="Q119" i="44"/>
  <c r="I140" i="37"/>
  <c r="Q124" i="44"/>
  <c r="I141" i="37"/>
  <c r="Q125" i="44"/>
  <c r="I34" i="37"/>
  <c r="Q23" i="44"/>
  <c r="I66" i="37"/>
  <c r="Q60" i="44"/>
  <c r="I88" i="1"/>
  <c r="I87" i="1" s="1"/>
  <c r="I100" i="37"/>
  <c r="Q140" i="31"/>
  <c r="I31" i="1"/>
  <c r="I49" i="37"/>
  <c r="I86" i="1"/>
  <c r="I97" i="37"/>
  <c r="Q137" i="31"/>
  <c r="R183" i="31"/>
  <c r="J148" i="37"/>
  <c r="Q107" i="31"/>
  <c r="I62" i="37"/>
  <c r="Q104" i="31"/>
  <c r="I59" i="37"/>
  <c r="I62" i="1"/>
  <c r="I66" i="1"/>
  <c r="I76" i="1"/>
  <c r="I75" i="1" s="1"/>
  <c r="Q167" i="31"/>
  <c r="I61" i="1"/>
  <c r="I54" i="1"/>
  <c r="Q112" i="31"/>
  <c r="I79" i="1"/>
  <c r="Q171" i="31"/>
  <c r="I82" i="1"/>
  <c r="Q176" i="31"/>
  <c r="I73" i="1"/>
  <c r="I72" i="1" s="1"/>
  <c r="Q164" i="31"/>
  <c r="I78" i="1"/>
  <c r="Q170" i="31"/>
  <c r="I20" i="1"/>
  <c r="I19" i="1" s="1"/>
  <c r="Q69" i="31"/>
  <c r="I52" i="1"/>
  <c r="Q110" i="31"/>
  <c r="I59" i="1"/>
  <c r="I56" i="1"/>
  <c r="I63" i="1"/>
  <c r="I67" i="1"/>
  <c r="I57" i="1"/>
  <c r="I81" i="1"/>
  <c r="Q175" i="31"/>
  <c r="I53" i="1"/>
  <c r="Q111" i="31"/>
  <c r="I60" i="1"/>
  <c r="I64" i="1"/>
  <c r="I83" i="1"/>
  <c r="Q177" i="31"/>
  <c r="I47" i="1"/>
  <c r="Q103" i="31"/>
  <c r="I65" i="1"/>
  <c r="I48" i="1"/>
  <c r="J48" i="1"/>
  <c r="I32" i="1"/>
  <c r="I15" i="1"/>
  <c r="I84" i="1"/>
  <c r="I29" i="1"/>
  <c r="I25" i="1"/>
  <c r="I21" i="1"/>
  <c r="I50" i="1"/>
  <c r="I49" i="1" s="1"/>
  <c r="H18" i="12"/>
  <c r="I46" i="1" l="1"/>
  <c r="I77" i="1"/>
  <c r="I51" i="1"/>
  <c r="I55" i="1"/>
  <c r="I80" i="1"/>
  <c r="I58" i="1"/>
  <c r="I45" i="1" s="1"/>
  <c r="H12" i="8" s="1"/>
  <c r="I14" i="1"/>
  <c r="I71" i="1"/>
  <c r="H17" i="12"/>
  <c r="H15" i="12" l="1"/>
  <c r="F12" i="8" l="1"/>
  <c r="F14" i="8" s="1"/>
  <c r="F15" i="8" s="1"/>
  <c r="E12" i="8"/>
  <c r="E14" i="8" s="1"/>
  <c r="E15" i="8" s="1"/>
  <c r="D12" i="8"/>
  <c r="D14" i="8" s="1"/>
  <c r="D15" i="8" s="1"/>
  <c r="H16" i="12"/>
  <c r="D16" i="8" l="1"/>
  <c r="E16" i="8" s="1"/>
  <c r="H20" i="12"/>
  <c r="I23" i="12"/>
  <c r="L22" i="12" l="1"/>
  <c r="L25" i="12"/>
  <c r="F16" i="8"/>
  <c r="F17" i="8" l="1"/>
  <c r="G16" i="8"/>
  <c r="G17" i="8" s="1"/>
  <c r="D17" i="8"/>
  <c r="E15" i="12"/>
  <c r="E18" i="12"/>
  <c r="F18" i="12" s="1"/>
  <c r="E16" i="12"/>
  <c r="F16" i="12" s="1"/>
  <c r="E17" i="12"/>
  <c r="F17" i="12" s="1"/>
  <c r="E17" i="8" l="1"/>
  <c r="F15" i="12"/>
  <c r="F20" i="12" s="1"/>
  <c r="E20" i="12"/>
  <c r="L14" i="12" s="1"/>
  <c r="F79" i="34"/>
  <c r="G84" i="34" l="1"/>
  <c r="F85" i="34"/>
  <c r="F98" i="43"/>
  <c r="F104" i="43" l="1"/>
  <c r="F102" i="43"/>
  <c r="G103" i="43"/>
  <c r="F100" i="42" l="1"/>
  <c r="F106" i="42" l="1"/>
  <c r="G105" i="42"/>
  <c r="F97" i="49"/>
  <c r="F94" i="49" l="1"/>
  <c r="F99" i="49" s="1"/>
  <c r="F91" i="52"/>
  <c r="F88" i="52" s="1"/>
  <c r="F93" i="52" s="1"/>
  <c r="F99" i="52" l="1"/>
  <c r="M14" i="38"/>
  <c r="G98" i="52"/>
  <c r="F106" i="51"/>
  <c r="F103" i="51" s="1"/>
  <c r="F108" i="51" s="1"/>
  <c r="M15" i="38" l="1"/>
  <c r="G113" i="51"/>
  <c r="F114" i="51"/>
  <c r="F90" i="50"/>
  <c r="F87" i="50" s="1"/>
  <c r="F92" i="50" s="1"/>
  <c r="M16" i="38" l="1"/>
  <c r="G97" i="50"/>
  <c r="F98" i="52"/>
  <c r="F98" i="50"/>
  <c r="F93" i="53"/>
  <c r="F90" i="53" s="1"/>
  <c r="F95" i="53" s="1"/>
  <c r="M17" i="38" l="1"/>
  <c r="F101" i="53"/>
  <c r="G100" i="53"/>
  <c r="F95" i="54"/>
  <c r="F92" i="54" s="1"/>
  <c r="F97" i="54" s="1"/>
  <c r="M18" i="38" l="1"/>
  <c r="F103" i="54"/>
  <c r="G102" i="54"/>
  <c r="F90" i="55"/>
  <c r="F87" i="55" s="1"/>
  <c r="F92" i="55" s="1"/>
  <c r="L39" i="45"/>
  <c r="P39" i="45" s="1"/>
  <c r="P36" i="45" s="1"/>
  <c r="Q39" i="45" l="1"/>
  <c r="M19" i="38"/>
  <c r="G97" i="55"/>
  <c r="F98" i="55"/>
  <c r="I16" i="39"/>
  <c r="F106" i="36"/>
  <c r="P50" i="45" s="1"/>
  <c r="R50" i="45" s="1"/>
  <c r="F76" i="35" l="1"/>
  <c r="M10" i="38"/>
  <c r="G111" i="36"/>
  <c r="F104" i="42"/>
  <c r="F112" i="36"/>
  <c r="F114" i="47"/>
  <c r="F112" i="47" l="1"/>
  <c r="F116" i="51"/>
  <c r="F101" i="52"/>
  <c r="F100" i="50"/>
  <c r="F100" i="55"/>
  <c r="F103" i="53"/>
  <c r="G113" i="47"/>
  <c r="M11" i="38"/>
  <c r="F105" i="54"/>
  <c r="P41" i="45"/>
  <c r="R41" i="45" s="1"/>
  <c r="M13" i="38"/>
  <c r="M20" i="38" l="1"/>
  <c r="F105" i="49"/>
  <c r="F107" i="49"/>
  <c r="G104" i="4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Kleber</author>
  </authors>
  <commentList>
    <comment ref="G39" authorId="0" shapeId="0" xr:uid="{5A8049BB-5A7A-43AB-B610-604F8FE615C4}">
      <text>
        <r>
          <rPr>
            <b/>
            <sz val="9"/>
            <color indexed="81"/>
            <rFont val="Segoe UI"/>
            <family val="2"/>
          </rPr>
          <t>Kleber:</t>
        </r>
        <r>
          <rPr>
            <sz val="9"/>
            <color indexed="81"/>
            <rFont val="Segoe UI"/>
            <family val="2"/>
          </rPr>
          <t xml:space="preserve">
Extensão alvenaria de contenção das calçadas</t>
        </r>
      </text>
    </comment>
    <comment ref="G41" authorId="0" shapeId="0" xr:uid="{861EA4F2-A148-47DB-8E15-D4F86BCC9AC1}">
      <text>
        <r>
          <rPr>
            <b/>
            <sz val="9"/>
            <color indexed="81"/>
            <rFont val="Segoe UI"/>
            <family val="2"/>
          </rPr>
          <t>Kleber:</t>
        </r>
        <r>
          <rPr>
            <sz val="9"/>
            <color indexed="81"/>
            <rFont val="Segoe UI"/>
            <family val="2"/>
          </rPr>
          <t xml:space="preserve">
Área de calçada</t>
        </r>
      </text>
    </comment>
    <comment ref="H41" authorId="0" shapeId="0" xr:uid="{F3745607-2314-4F71-9F54-F202E72483EC}">
      <text>
        <r>
          <rPr>
            <b/>
            <sz val="9"/>
            <color indexed="81"/>
            <rFont val="Segoe UI"/>
            <family val="2"/>
          </rPr>
          <t>Kleber:</t>
        </r>
        <r>
          <rPr>
            <sz val="9"/>
            <color indexed="81"/>
            <rFont val="Segoe UI"/>
            <family val="2"/>
          </rPr>
          <t xml:space="preserve">
Área de calçada excluindo área de rampas</t>
        </r>
      </text>
    </comment>
    <comment ref="J41" authorId="0" shapeId="0" xr:uid="{F04AED04-C0E5-46E3-9879-9E51B28A28C0}">
      <text>
        <r>
          <rPr>
            <b/>
            <sz val="9"/>
            <color indexed="81"/>
            <rFont val="Segoe UI"/>
            <family val="2"/>
          </rPr>
          <t>Kleber:</t>
        </r>
        <r>
          <rPr>
            <sz val="9"/>
            <color indexed="81"/>
            <rFont val="Segoe UI"/>
            <family val="2"/>
          </rPr>
          <t xml:space="preserve">
Volume das calçadas</t>
        </r>
      </text>
    </comment>
    <comment ref="K41" authorId="0" shapeId="0" xr:uid="{852CCBF6-6C28-4B3B-A00F-28A812E406BA}">
      <text>
        <r>
          <rPr>
            <b/>
            <sz val="9"/>
            <color indexed="81"/>
            <rFont val="Segoe UI"/>
            <family val="2"/>
          </rPr>
          <t>Kleber:</t>
        </r>
        <r>
          <rPr>
            <sz val="9"/>
            <color indexed="81"/>
            <rFont val="Segoe UI"/>
            <family val="2"/>
          </rPr>
          <t xml:space="preserve">
Extensão de piso tátil</t>
        </r>
      </text>
    </comment>
    <comment ref="L41" authorId="0" shapeId="0" xr:uid="{F036F6DA-2FAF-4EC7-8834-08E3F49027D9}">
      <text>
        <r>
          <rPr>
            <b/>
            <sz val="9"/>
            <color indexed="81"/>
            <rFont val="Segoe UI"/>
            <family val="2"/>
          </rPr>
          <t>Kleber:</t>
        </r>
        <r>
          <rPr>
            <sz val="9"/>
            <color indexed="81"/>
            <rFont val="Segoe UI"/>
            <family val="2"/>
          </rPr>
          <t xml:space="preserve">
Volume piso tátil nas calçadas</t>
        </r>
      </text>
    </comment>
    <comment ref="M41" authorId="0" shapeId="0" xr:uid="{09C53DFC-9C52-4EB7-A8C3-495045051B7D}">
      <text>
        <r>
          <rPr>
            <b/>
            <sz val="9"/>
            <color indexed="81"/>
            <rFont val="Segoe UI"/>
            <family val="2"/>
          </rPr>
          <t>Kleber:</t>
        </r>
        <r>
          <rPr>
            <sz val="9"/>
            <color indexed="81"/>
            <rFont val="Segoe UI"/>
            <family val="2"/>
          </rPr>
          <t xml:space="preserve">
Valor final calçadas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Kleber</author>
  </authors>
  <commentList>
    <comment ref="G42" authorId="0" shapeId="0" xr:uid="{8C325F6D-ACE3-40CE-9565-9EF71AF64687}">
      <text>
        <r>
          <rPr>
            <b/>
            <sz val="9"/>
            <color indexed="81"/>
            <rFont val="Segoe UI"/>
            <family val="2"/>
          </rPr>
          <t>Kleber:</t>
        </r>
        <r>
          <rPr>
            <sz val="9"/>
            <color indexed="81"/>
            <rFont val="Segoe UI"/>
            <family val="2"/>
          </rPr>
          <t xml:space="preserve">
Extensão alvenaria de contenção das calçadas</t>
        </r>
      </text>
    </comment>
    <comment ref="G44" authorId="0" shapeId="0" xr:uid="{44D9F1A0-3A03-4E2C-A297-EDE281CD7911}">
      <text>
        <r>
          <rPr>
            <b/>
            <sz val="9"/>
            <color indexed="81"/>
            <rFont val="Segoe UI"/>
            <family val="2"/>
          </rPr>
          <t>Kleber:</t>
        </r>
        <r>
          <rPr>
            <sz val="9"/>
            <color indexed="81"/>
            <rFont val="Segoe UI"/>
            <family val="2"/>
          </rPr>
          <t xml:space="preserve">
Área de calçada</t>
        </r>
      </text>
    </comment>
    <comment ref="H44" authorId="0" shapeId="0" xr:uid="{95D84049-0ACA-4755-AE59-9F720BD434C1}">
      <text>
        <r>
          <rPr>
            <b/>
            <sz val="9"/>
            <color indexed="81"/>
            <rFont val="Segoe UI"/>
            <family val="2"/>
          </rPr>
          <t>Kleber:</t>
        </r>
        <r>
          <rPr>
            <sz val="9"/>
            <color indexed="81"/>
            <rFont val="Segoe UI"/>
            <family val="2"/>
          </rPr>
          <t xml:space="preserve">
Área de calçada excluindo área de rampas</t>
        </r>
      </text>
    </comment>
    <comment ref="J44" authorId="0" shapeId="0" xr:uid="{2D3EA6D0-7546-4ED1-948A-5274F94AE1B8}">
      <text>
        <r>
          <rPr>
            <b/>
            <sz val="9"/>
            <color indexed="81"/>
            <rFont val="Segoe UI"/>
            <family val="2"/>
          </rPr>
          <t>Kleber:</t>
        </r>
        <r>
          <rPr>
            <sz val="9"/>
            <color indexed="81"/>
            <rFont val="Segoe UI"/>
            <family val="2"/>
          </rPr>
          <t xml:space="preserve">
Volume das calçadas</t>
        </r>
      </text>
    </comment>
    <comment ref="K44" authorId="0" shapeId="0" xr:uid="{EEC4A112-8BF5-4A0B-B298-D9AA2A7B5E86}">
      <text>
        <r>
          <rPr>
            <b/>
            <sz val="9"/>
            <color indexed="81"/>
            <rFont val="Segoe UI"/>
            <family val="2"/>
          </rPr>
          <t>Kleber:</t>
        </r>
        <r>
          <rPr>
            <sz val="9"/>
            <color indexed="81"/>
            <rFont val="Segoe UI"/>
            <family val="2"/>
          </rPr>
          <t xml:space="preserve">
Extensão de piso tátil</t>
        </r>
      </text>
    </comment>
    <comment ref="L44" authorId="0" shapeId="0" xr:uid="{FA16CCF6-1EAA-45C0-8077-570E18AE34CA}">
      <text>
        <r>
          <rPr>
            <b/>
            <sz val="9"/>
            <color indexed="81"/>
            <rFont val="Segoe UI"/>
            <family val="2"/>
          </rPr>
          <t>Kleber:</t>
        </r>
        <r>
          <rPr>
            <sz val="9"/>
            <color indexed="81"/>
            <rFont val="Segoe UI"/>
            <family val="2"/>
          </rPr>
          <t xml:space="preserve">
Volume piso tátil nas calçadas</t>
        </r>
      </text>
    </comment>
    <comment ref="M44" authorId="0" shapeId="0" xr:uid="{67023CAA-2834-4C03-AA67-86CF0A696703}">
      <text>
        <r>
          <rPr>
            <b/>
            <sz val="9"/>
            <color indexed="81"/>
            <rFont val="Segoe UI"/>
            <family val="2"/>
          </rPr>
          <t>Kleber:</t>
        </r>
        <r>
          <rPr>
            <sz val="9"/>
            <color indexed="81"/>
            <rFont val="Segoe UI"/>
            <family val="2"/>
          </rPr>
          <t xml:space="preserve">
Valor final calçadas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Kleber</author>
  </authors>
  <commentList>
    <comment ref="G47" authorId="0" shapeId="0" xr:uid="{C4AE00AF-C2BD-4287-ADDC-29DD778D750F}">
      <text>
        <r>
          <rPr>
            <b/>
            <sz val="9"/>
            <color indexed="81"/>
            <rFont val="Segoe UI"/>
            <family val="2"/>
          </rPr>
          <t>Kleber:</t>
        </r>
        <r>
          <rPr>
            <sz val="9"/>
            <color indexed="81"/>
            <rFont val="Segoe UI"/>
            <family val="2"/>
          </rPr>
          <t xml:space="preserve">
Extensão alvenaria de contenção das calçadas</t>
        </r>
      </text>
    </comment>
    <comment ref="G49" authorId="0" shapeId="0" xr:uid="{B6C10540-CBC5-4036-AA79-C3D28FA8F18F}">
      <text>
        <r>
          <rPr>
            <b/>
            <sz val="9"/>
            <color indexed="81"/>
            <rFont val="Segoe UI"/>
            <family val="2"/>
          </rPr>
          <t>Kleber:</t>
        </r>
        <r>
          <rPr>
            <sz val="9"/>
            <color indexed="81"/>
            <rFont val="Segoe UI"/>
            <family val="2"/>
          </rPr>
          <t xml:space="preserve">
Área de calçada</t>
        </r>
      </text>
    </comment>
    <comment ref="H49" authorId="0" shapeId="0" xr:uid="{FAD8BDF9-3D69-4B61-B1FF-6D151F9FC90C}">
      <text>
        <r>
          <rPr>
            <b/>
            <sz val="9"/>
            <color indexed="81"/>
            <rFont val="Segoe UI"/>
            <family val="2"/>
          </rPr>
          <t>Kleber:</t>
        </r>
        <r>
          <rPr>
            <sz val="9"/>
            <color indexed="81"/>
            <rFont val="Segoe UI"/>
            <family val="2"/>
          </rPr>
          <t xml:space="preserve">
Área de calçada excluindo área de rampas</t>
        </r>
      </text>
    </comment>
    <comment ref="J49" authorId="0" shapeId="0" xr:uid="{21B8E9C5-21F3-4CF3-AE57-AD7AC0BFB86A}">
      <text>
        <r>
          <rPr>
            <b/>
            <sz val="9"/>
            <color indexed="81"/>
            <rFont val="Segoe UI"/>
            <family val="2"/>
          </rPr>
          <t>Kleber:</t>
        </r>
        <r>
          <rPr>
            <sz val="9"/>
            <color indexed="81"/>
            <rFont val="Segoe UI"/>
            <family val="2"/>
          </rPr>
          <t xml:space="preserve">
Volume das calçadas</t>
        </r>
      </text>
    </comment>
    <comment ref="K49" authorId="0" shapeId="0" xr:uid="{4D8E7334-0C55-4DBA-A65A-BCE49D31D768}">
      <text>
        <r>
          <rPr>
            <b/>
            <sz val="9"/>
            <color indexed="81"/>
            <rFont val="Segoe UI"/>
            <family val="2"/>
          </rPr>
          <t>Kleber:</t>
        </r>
        <r>
          <rPr>
            <sz val="9"/>
            <color indexed="81"/>
            <rFont val="Segoe UI"/>
            <family val="2"/>
          </rPr>
          <t xml:space="preserve">
Extensão de piso tátil</t>
        </r>
      </text>
    </comment>
    <comment ref="L49" authorId="0" shapeId="0" xr:uid="{F4B0D813-836F-4540-9BD0-5B926D6B1334}">
      <text>
        <r>
          <rPr>
            <b/>
            <sz val="9"/>
            <color indexed="81"/>
            <rFont val="Segoe UI"/>
            <family val="2"/>
          </rPr>
          <t>Kleber:</t>
        </r>
        <r>
          <rPr>
            <sz val="9"/>
            <color indexed="81"/>
            <rFont val="Segoe UI"/>
            <family val="2"/>
          </rPr>
          <t xml:space="preserve">
Volume piso tátil nas calçadas</t>
        </r>
      </text>
    </comment>
    <comment ref="M49" authorId="0" shapeId="0" xr:uid="{BCF4003D-3B51-4FC8-850E-2D4A5AF3BCEE}">
      <text>
        <r>
          <rPr>
            <b/>
            <sz val="9"/>
            <color indexed="81"/>
            <rFont val="Segoe UI"/>
            <family val="2"/>
          </rPr>
          <t>Kleber:</t>
        </r>
        <r>
          <rPr>
            <sz val="9"/>
            <color indexed="81"/>
            <rFont val="Segoe UI"/>
            <family val="2"/>
          </rPr>
          <t xml:space="preserve">
Valor final calçadas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Kleber</author>
  </authors>
  <commentList>
    <comment ref="G33" authorId="0" shapeId="0" xr:uid="{54C2F41A-8A5D-4FAD-B868-3983B3651B7D}">
      <text>
        <r>
          <rPr>
            <b/>
            <sz val="9"/>
            <color indexed="81"/>
            <rFont val="Segoe UI"/>
            <family val="2"/>
          </rPr>
          <t>Kleber:</t>
        </r>
        <r>
          <rPr>
            <sz val="9"/>
            <color indexed="81"/>
            <rFont val="Segoe UI"/>
            <family val="2"/>
          </rPr>
          <t xml:space="preserve">
Extensão alvenaria de contenção das calçadas</t>
        </r>
      </text>
    </comment>
    <comment ref="G35" authorId="0" shapeId="0" xr:uid="{FF67A37C-E175-4BAA-BED7-C6F5DBAAE0E6}">
      <text>
        <r>
          <rPr>
            <b/>
            <sz val="9"/>
            <color indexed="81"/>
            <rFont val="Segoe UI"/>
            <family val="2"/>
          </rPr>
          <t>Kleber:</t>
        </r>
        <r>
          <rPr>
            <sz val="9"/>
            <color indexed="81"/>
            <rFont val="Segoe UI"/>
            <family val="2"/>
          </rPr>
          <t xml:space="preserve">
Área de calçada</t>
        </r>
      </text>
    </comment>
    <comment ref="H35" authorId="0" shapeId="0" xr:uid="{8BC7FCA6-5013-4D3C-A4D7-35B09813E203}">
      <text>
        <r>
          <rPr>
            <b/>
            <sz val="9"/>
            <color indexed="81"/>
            <rFont val="Segoe UI"/>
            <family val="2"/>
          </rPr>
          <t>Kleber:</t>
        </r>
        <r>
          <rPr>
            <sz val="9"/>
            <color indexed="81"/>
            <rFont val="Segoe UI"/>
            <family val="2"/>
          </rPr>
          <t xml:space="preserve">
Área de calçada excluindo área de rampas</t>
        </r>
      </text>
    </comment>
    <comment ref="J35" authorId="0" shapeId="0" xr:uid="{CC95C5E4-787A-40A1-80F4-97A998E9A952}">
      <text>
        <r>
          <rPr>
            <b/>
            <sz val="9"/>
            <color indexed="81"/>
            <rFont val="Segoe UI"/>
            <family val="2"/>
          </rPr>
          <t>Kleber:</t>
        </r>
        <r>
          <rPr>
            <sz val="9"/>
            <color indexed="81"/>
            <rFont val="Segoe UI"/>
            <family val="2"/>
          </rPr>
          <t xml:space="preserve">
Volume das calçadas</t>
        </r>
      </text>
    </comment>
    <comment ref="K35" authorId="0" shapeId="0" xr:uid="{85102232-46DC-462D-86CA-149BABCFA21A}">
      <text>
        <r>
          <rPr>
            <b/>
            <sz val="9"/>
            <color indexed="81"/>
            <rFont val="Segoe UI"/>
            <family val="2"/>
          </rPr>
          <t>Kleber:</t>
        </r>
        <r>
          <rPr>
            <sz val="9"/>
            <color indexed="81"/>
            <rFont val="Segoe UI"/>
            <family val="2"/>
          </rPr>
          <t xml:space="preserve">
Extensão de piso tátil</t>
        </r>
      </text>
    </comment>
    <comment ref="L35" authorId="0" shapeId="0" xr:uid="{F17FDE53-1BA1-40C3-A167-4E4B4F6BF9F5}">
      <text>
        <r>
          <rPr>
            <b/>
            <sz val="9"/>
            <color indexed="81"/>
            <rFont val="Segoe UI"/>
            <family val="2"/>
          </rPr>
          <t>Kleber:</t>
        </r>
        <r>
          <rPr>
            <sz val="9"/>
            <color indexed="81"/>
            <rFont val="Segoe UI"/>
            <family val="2"/>
          </rPr>
          <t xml:space="preserve">
Volume piso tátil nas calçadas</t>
        </r>
      </text>
    </comment>
    <comment ref="M35" authorId="0" shapeId="0" xr:uid="{49547BB5-2A26-45FE-8504-E2B76B26A873}">
      <text>
        <r>
          <rPr>
            <b/>
            <sz val="9"/>
            <color indexed="81"/>
            <rFont val="Segoe UI"/>
            <family val="2"/>
          </rPr>
          <t>Kleber:</t>
        </r>
        <r>
          <rPr>
            <sz val="9"/>
            <color indexed="81"/>
            <rFont val="Segoe UI"/>
            <family val="2"/>
          </rPr>
          <t xml:space="preserve">
Valor final calçadas</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Kleber</author>
  </authors>
  <commentList>
    <comment ref="G27" authorId="0" shapeId="0" xr:uid="{9D4E9B6C-CCF4-438B-9188-3848B486E692}">
      <text>
        <r>
          <rPr>
            <b/>
            <sz val="9"/>
            <color indexed="81"/>
            <rFont val="Segoe UI"/>
            <family val="2"/>
          </rPr>
          <t>Kleber:</t>
        </r>
        <r>
          <rPr>
            <sz val="9"/>
            <color indexed="81"/>
            <rFont val="Segoe UI"/>
            <family val="2"/>
          </rPr>
          <t xml:space="preserve">
Extensão alvenaria de contenção das calçadas</t>
        </r>
      </text>
    </comment>
    <comment ref="G29" authorId="0" shapeId="0" xr:uid="{C0906A55-9E54-4E66-A5D5-26CEA876E592}">
      <text>
        <r>
          <rPr>
            <b/>
            <sz val="9"/>
            <color indexed="81"/>
            <rFont val="Segoe UI"/>
            <family val="2"/>
          </rPr>
          <t>Kleber:</t>
        </r>
        <r>
          <rPr>
            <sz val="9"/>
            <color indexed="81"/>
            <rFont val="Segoe UI"/>
            <family val="2"/>
          </rPr>
          <t xml:space="preserve">
Área de calçada</t>
        </r>
      </text>
    </comment>
    <comment ref="H29" authorId="0" shapeId="0" xr:uid="{36E541CB-5982-4CD4-A9E1-0C36C46C34AB}">
      <text>
        <r>
          <rPr>
            <b/>
            <sz val="9"/>
            <color indexed="81"/>
            <rFont val="Segoe UI"/>
            <family val="2"/>
          </rPr>
          <t>Kleber:</t>
        </r>
        <r>
          <rPr>
            <sz val="9"/>
            <color indexed="81"/>
            <rFont val="Segoe UI"/>
            <family val="2"/>
          </rPr>
          <t xml:space="preserve">
Área de calçada excluindo área de rampas</t>
        </r>
      </text>
    </comment>
    <comment ref="J29" authorId="0" shapeId="0" xr:uid="{1EA18E63-557B-4CCD-9BBF-7A3BF6A55B74}">
      <text>
        <r>
          <rPr>
            <b/>
            <sz val="9"/>
            <color indexed="81"/>
            <rFont val="Segoe UI"/>
            <family val="2"/>
          </rPr>
          <t>Kleber:</t>
        </r>
        <r>
          <rPr>
            <sz val="9"/>
            <color indexed="81"/>
            <rFont val="Segoe UI"/>
            <family val="2"/>
          </rPr>
          <t xml:space="preserve">
Volume das calçadas</t>
        </r>
      </text>
    </comment>
    <comment ref="K29" authorId="0" shapeId="0" xr:uid="{406F251E-372F-40AB-9C13-8EE9615AD455}">
      <text>
        <r>
          <rPr>
            <b/>
            <sz val="9"/>
            <color indexed="81"/>
            <rFont val="Segoe UI"/>
            <family val="2"/>
          </rPr>
          <t>Kleber:</t>
        </r>
        <r>
          <rPr>
            <sz val="9"/>
            <color indexed="81"/>
            <rFont val="Segoe UI"/>
            <family val="2"/>
          </rPr>
          <t xml:space="preserve">
Extensão de piso tátil</t>
        </r>
      </text>
    </comment>
    <comment ref="L29" authorId="0" shapeId="0" xr:uid="{52AA9861-A049-4AD0-89A8-12E9B455BEEB}">
      <text>
        <r>
          <rPr>
            <b/>
            <sz val="9"/>
            <color indexed="81"/>
            <rFont val="Segoe UI"/>
            <family val="2"/>
          </rPr>
          <t>Kleber:</t>
        </r>
        <r>
          <rPr>
            <sz val="9"/>
            <color indexed="81"/>
            <rFont val="Segoe UI"/>
            <family val="2"/>
          </rPr>
          <t xml:space="preserve">
Volume piso tátil nas calçadas</t>
        </r>
      </text>
    </comment>
    <comment ref="M29" authorId="0" shapeId="0" xr:uid="{EE484230-AF29-457C-8B6D-4969C544F196}">
      <text>
        <r>
          <rPr>
            <b/>
            <sz val="9"/>
            <color indexed="81"/>
            <rFont val="Segoe UI"/>
            <family val="2"/>
          </rPr>
          <t>Kleber:</t>
        </r>
        <r>
          <rPr>
            <sz val="9"/>
            <color indexed="81"/>
            <rFont val="Segoe UI"/>
            <family val="2"/>
          </rPr>
          <t xml:space="preserve">
Valor final calçadas</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Kleber</author>
  </authors>
  <commentList>
    <comment ref="G42" authorId="0" shapeId="0" xr:uid="{CAE16F84-8F3F-40B5-95FD-4887A29F69A9}">
      <text>
        <r>
          <rPr>
            <b/>
            <sz val="9"/>
            <color indexed="81"/>
            <rFont val="Segoe UI"/>
            <family val="2"/>
          </rPr>
          <t>Kleber:</t>
        </r>
        <r>
          <rPr>
            <sz val="9"/>
            <color indexed="81"/>
            <rFont val="Segoe UI"/>
            <family val="2"/>
          </rPr>
          <t xml:space="preserve">
Extensão alvenaria de contenção das calçadas</t>
        </r>
      </text>
    </comment>
    <comment ref="G44" authorId="0" shapeId="0" xr:uid="{557B2FBB-453A-4AB1-81AC-9D691470C848}">
      <text>
        <r>
          <rPr>
            <b/>
            <sz val="9"/>
            <color indexed="81"/>
            <rFont val="Segoe UI"/>
            <family val="2"/>
          </rPr>
          <t>Kleber:</t>
        </r>
        <r>
          <rPr>
            <sz val="9"/>
            <color indexed="81"/>
            <rFont val="Segoe UI"/>
            <family val="2"/>
          </rPr>
          <t xml:space="preserve">
Área de calçada</t>
        </r>
      </text>
    </comment>
    <comment ref="H44" authorId="0" shapeId="0" xr:uid="{A9FE097B-29A5-4C03-8621-7001EE6151F2}">
      <text>
        <r>
          <rPr>
            <b/>
            <sz val="9"/>
            <color indexed="81"/>
            <rFont val="Segoe UI"/>
            <family val="2"/>
          </rPr>
          <t>Kleber:</t>
        </r>
        <r>
          <rPr>
            <sz val="9"/>
            <color indexed="81"/>
            <rFont val="Segoe UI"/>
            <family val="2"/>
          </rPr>
          <t xml:space="preserve">
Área de calçada excluindo área de rampas</t>
        </r>
      </text>
    </comment>
    <comment ref="J44" authorId="0" shapeId="0" xr:uid="{555B8ACC-AE60-48F6-A83F-5A7C1ACB5B3E}">
      <text>
        <r>
          <rPr>
            <b/>
            <sz val="9"/>
            <color indexed="81"/>
            <rFont val="Segoe UI"/>
            <family val="2"/>
          </rPr>
          <t>Kleber:</t>
        </r>
        <r>
          <rPr>
            <sz val="9"/>
            <color indexed="81"/>
            <rFont val="Segoe UI"/>
            <family val="2"/>
          </rPr>
          <t xml:space="preserve">
Volume das calçadas</t>
        </r>
      </text>
    </comment>
    <comment ref="K44" authorId="0" shapeId="0" xr:uid="{D3056FDA-9F68-4199-8D65-56AE46B4BA98}">
      <text>
        <r>
          <rPr>
            <b/>
            <sz val="9"/>
            <color indexed="81"/>
            <rFont val="Segoe UI"/>
            <family val="2"/>
          </rPr>
          <t>Kleber:</t>
        </r>
        <r>
          <rPr>
            <sz val="9"/>
            <color indexed="81"/>
            <rFont val="Segoe UI"/>
            <family val="2"/>
          </rPr>
          <t xml:space="preserve">
Extensão de piso tátil</t>
        </r>
      </text>
    </comment>
    <comment ref="L44" authorId="0" shapeId="0" xr:uid="{7D55A77D-BC87-41DC-863A-C924C260E90F}">
      <text>
        <r>
          <rPr>
            <b/>
            <sz val="9"/>
            <color indexed="81"/>
            <rFont val="Segoe UI"/>
            <family val="2"/>
          </rPr>
          <t>Kleber:</t>
        </r>
        <r>
          <rPr>
            <sz val="9"/>
            <color indexed="81"/>
            <rFont val="Segoe UI"/>
            <family val="2"/>
          </rPr>
          <t xml:space="preserve">
Volume piso tátil nas calçadas</t>
        </r>
      </text>
    </comment>
    <comment ref="M44" authorId="0" shapeId="0" xr:uid="{03366A74-2AF9-4845-A5FE-2DE6A11917E0}">
      <text>
        <r>
          <rPr>
            <b/>
            <sz val="9"/>
            <color indexed="81"/>
            <rFont val="Segoe UI"/>
            <family val="2"/>
          </rPr>
          <t>Kleber:</t>
        </r>
        <r>
          <rPr>
            <sz val="9"/>
            <color indexed="81"/>
            <rFont val="Segoe UI"/>
            <family val="2"/>
          </rPr>
          <t xml:space="preserve">
Valor final calçadas</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Kleber</author>
  </authors>
  <commentList>
    <comment ref="G30" authorId="0" shapeId="0" xr:uid="{CA0ECA74-0AC0-45E2-AB99-AD69EAAB1A7A}">
      <text>
        <r>
          <rPr>
            <b/>
            <sz val="9"/>
            <color indexed="81"/>
            <rFont val="Segoe UI"/>
            <family val="2"/>
          </rPr>
          <t>Kleber:</t>
        </r>
        <r>
          <rPr>
            <sz val="9"/>
            <color indexed="81"/>
            <rFont val="Segoe UI"/>
            <family val="2"/>
          </rPr>
          <t xml:space="preserve">
Área de calçada</t>
        </r>
      </text>
    </comment>
    <comment ref="H30" authorId="0" shapeId="0" xr:uid="{54673E47-A7B5-4E9F-AA75-21318D118F18}">
      <text>
        <r>
          <rPr>
            <b/>
            <sz val="9"/>
            <color indexed="81"/>
            <rFont val="Segoe UI"/>
            <family val="2"/>
          </rPr>
          <t>Kleber:</t>
        </r>
        <r>
          <rPr>
            <sz val="9"/>
            <color indexed="81"/>
            <rFont val="Segoe UI"/>
            <family val="2"/>
          </rPr>
          <t xml:space="preserve">
Área de calçada excluindo área de rampas</t>
        </r>
      </text>
    </comment>
    <comment ref="J30" authorId="0" shapeId="0" xr:uid="{8D49CA4B-8190-4437-9F84-379196C242A5}">
      <text>
        <r>
          <rPr>
            <b/>
            <sz val="9"/>
            <color indexed="81"/>
            <rFont val="Segoe UI"/>
            <family val="2"/>
          </rPr>
          <t>Kleber:</t>
        </r>
        <r>
          <rPr>
            <sz val="9"/>
            <color indexed="81"/>
            <rFont val="Segoe UI"/>
            <family val="2"/>
          </rPr>
          <t xml:space="preserve">
Volume das calçadas</t>
        </r>
      </text>
    </comment>
    <comment ref="K30" authorId="0" shapeId="0" xr:uid="{8455F224-EE3A-4082-809A-A201222CD618}">
      <text>
        <r>
          <rPr>
            <b/>
            <sz val="9"/>
            <color indexed="81"/>
            <rFont val="Segoe UI"/>
            <family val="2"/>
          </rPr>
          <t>Kleber:</t>
        </r>
        <r>
          <rPr>
            <sz val="9"/>
            <color indexed="81"/>
            <rFont val="Segoe UI"/>
            <family val="2"/>
          </rPr>
          <t xml:space="preserve">
Extensão de piso tátil</t>
        </r>
      </text>
    </comment>
    <comment ref="L30" authorId="0" shapeId="0" xr:uid="{AA748513-9DA4-4F1C-90C6-6ABB7BB610CE}">
      <text>
        <r>
          <rPr>
            <b/>
            <sz val="9"/>
            <color indexed="81"/>
            <rFont val="Segoe UI"/>
            <family val="2"/>
          </rPr>
          <t>Kleber:</t>
        </r>
        <r>
          <rPr>
            <sz val="9"/>
            <color indexed="81"/>
            <rFont val="Segoe UI"/>
            <family val="2"/>
          </rPr>
          <t xml:space="preserve">
Volume piso tátil nas calçadas</t>
        </r>
      </text>
    </comment>
    <comment ref="M30" authorId="0" shapeId="0" xr:uid="{62854834-3054-44B5-AC26-E97B992260F3}">
      <text>
        <r>
          <rPr>
            <b/>
            <sz val="9"/>
            <color indexed="81"/>
            <rFont val="Segoe UI"/>
            <family val="2"/>
          </rPr>
          <t>Kleber:</t>
        </r>
        <r>
          <rPr>
            <sz val="9"/>
            <color indexed="81"/>
            <rFont val="Segoe UI"/>
            <family val="2"/>
          </rPr>
          <t xml:space="preserve">
Valor final calçadas</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Kleber</author>
  </authors>
  <commentList>
    <comment ref="G30" authorId="0" shapeId="0" xr:uid="{048BF483-F11A-45D7-B14F-5615AF1D9DBE}">
      <text>
        <r>
          <rPr>
            <b/>
            <sz val="9"/>
            <color indexed="81"/>
            <rFont val="Segoe UI"/>
            <family val="2"/>
          </rPr>
          <t>Kleber:</t>
        </r>
        <r>
          <rPr>
            <sz val="9"/>
            <color indexed="81"/>
            <rFont val="Segoe UI"/>
            <family val="2"/>
          </rPr>
          <t xml:space="preserve">
Extensão alvenaria de contenção das calçadas</t>
        </r>
      </text>
    </comment>
    <comment ref="G32" authorId="0" shapeId="0" xr:uid="{AA5ACCD3-8C56-4B05-AC59-63EBC8DB006B}">
      <text>
        <r>
          <rPr>
            <b/>
            <sz val="9"/>
            <color indexed="81"/>
            <rFont val="Segoe UI"/>
            <family val="2"/>
          </rPr>
          <t>Kleber:</t>
        </r>
        <r>
          <rPr>
            <sz val="9"/>
            <color indexed="81"/>
            <rFont val="Segoe UI"/>
            <family val="2"/>
          </rPr>
          <t xml:space="preserve">
Área de calçada</t>
        </r>
      </text>
    </comment>
    <comment ref="H32" authorId="0" shapeId="0" xr:uid="{DB3B0AB1-5EA8-415F-9D57-511F27642C7A}">
      <text>
        <r>
          <rPr>
            <b/>
            <sz val="9"/>
            <color indexed="81"/>
            <rFont val="Segoe UI"/>
            <family val="2"/>
          </rPr>
          <t>Kleber:</t>
        </r>
        <r>
          <rPr>
            <sz val="9"/>
            <color indexed="81"/>
            <rFont val="Segoe UI"/>
            <family val="2"/>
          </rPr>
          <t xml:space="preserve">
Área de calçada excluindo área de rampas</t>
        </r>
      </text>
    </comment>
    <comment ref="J32" authorId="0" shapeId="0" xr:uid="{12D789ED-F1C3-4C7E-A8B5-A9A9CA344821}">
      <text>
        <r>
          <rPr>
            <b/>
            <sz val="9"/>
            <color indexed="81"/>
            <rFont val="Segoe UI"/>
            <family val="2"/>
          </rPr>
          <t>Kleber:</t>
        </r>
        <r>
          <rPr>
            <sz val="9"/>
            <color indexed="81"/>
            <rFont val="Segoe UI"/>
            <family val="2"/>
          </rPr>
          <t xml:space="preserve">
Volume das calçadas</t>
        </r>
      </text>
    </comment>
    <comment ref="K32" authorId="0" shapeId="0" xr:uid="{BEF58EE4-2171-4921-B227-15FD5559969C}">
      <text>
        <r>
          <rPr>
            <b/>
            <sz val="9"/>
            <color indexed="81"/>
            <rFont val="Segoe UI"/>
            <family val="2"/>
          </rPr>
          <t>Kleber:</t>
        </r>
        <r>
          <rPr>
            <sz val="9"/>
            <color indexed="81"/>
            <rFont val="Segoe UI"/>
            <family val="2"/>
          </rPr>
          <t xml:space="preserve">
Extensão de piso tátil</t>
        </r>
      </text>
    </comment>
    <comment ref="L32" authorId="0" shapeId="0" xr:uid="{9AAA5AB3-41E5-48E3-B892-ECA942EF8BB6}">
      <text>
        <r>
          <rPr>
            <b/>
            <sz val="9"/>
            <color indexed="81"/>
            <rFont val="Segoe UI"/>
            <family val="2"/>
          </rPr>
          <t>Kleber:</t>
        </r>
        <r>
          <rPr>
            <sz val="9"/>
            <color indexed="81"/>
            <rFont val="Segoe UI"/>
            <family val="2"/>
          </rPr>
          <t xml:space="preserve">
Volume piso tátil nas calçadas</t>
        </r>
      </text>
    </comment>
    <comment ref="M32" authorId="0" shapeId="0" xr:uid="{8628A14A-493D-4C84-AAD7-D54CDD60D4AB}">
      <text>
        <r>
          <rPr>
            <b/>
            <sz val="9"/>
            <color indexed="81"/>
            <rFont val="Segoe UI"/>
            <family val="2"/>
          </rPr>
          <t>Kleber:</t>
        </r>
        <r>
          <rPr>
            <sz val="9"/>
            <color indexed="81"/>
            <rFont val="Segoe UI"/>
            <family val="2"/>
          </rPr>
          <t xml:space="preserve">
Valor final calçadas</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Kleber</author>
  </authors>
  <commentList>
    <comment ref="G35" authorId="0" shapeId="0" xr:uid="{EAA7F0DA-E238-4249-BFDB-C8A2BCA73754}">
      <text>
        <r>
          <rPr>
            <b/>
            <sz val="9"/>
            <color indexed="81"/>
            <rFont val="Segoe UI"/>
            <family val="2"/>
          </rPr>
          <t>Kleber:</t>
        </r>
        <r>
          <rPr>
            <sz val="9"/>
            <color indexed="81"/>
            <rFont val="Segoe UI"/>
            <family val="2"/>
          </rPr>
          <t xml:space="preserve">
Área de calçada</t>
        </r>
      </text>
    </comment>
    <comment ref="H35" authorId="0" shapeId="0" xr:uid="{FCCF62FC-5255-438A-80F4-3FF46855591F}">
      <text>
        <r>
          <rPr>
            <b/>
            <sz val="9"/>
            <color indexed="81"/>
            <rFont val="Segoe UI"/>
            <family val="2"/>
          </rPr>
          <t>Kleber:</t>
        </r>
        <r>
          <rPr>
            <sz val="9"/>
            <color indexed="81"/>
            <rFont val="Segoe UI"/>
            <family val="2"/>
          </rPr>
          <t xml:space="preserve">
Área de calçada excluindo área de rampas</t>
        </r>
      </text>
    </comment>
    <comment ref="J35" authorId="0" shapeId="0" xr:uid="{9C619B37-38F3-41E3-A706-4A1C6C4B3872}">
      <text>
        <r>
          <rPr>
            <b/>
            <sz val="9"/>
            <color indexed="81"/>
            <rFont val="Segoe UI"/>
            <family val="2"/>
          </rPr>
          <t>Kleber:</t>
        </r>
        <r>
          <rPr>
            <sz val="9"/>
            <color indexed="81"/>
            <rFont val="Segoe UI"/>
            <family val="2"/>
          </rPr>
          <t xml:space="preserve">
Volume das calçadas</t>
        </r>
      </text>
    </comment>
    <comment ref="K35" authorId="0" shapeId="0" xr:uid="{01D6E6F8-087E-4D55-BD5E-E6FB81865FE0}">
      <text>
        <r>
          <rPr>
            <b/>
            <sz val="9"/>
            <color indexed="81"/>
            <rFont val="Segoe UI"/>
            <family val="2"/>
          </rPr>
          <t>Kleber:</t>
        </r>
        <r>
          <rPr>
            <sz val="9"/>
            <color indexed="81"/>
            <rFont val="Segoe UI"/>
            <family val="2"/>
          </rPr>
          <t xml:space="preserve">
Extensão de piso tátil</t>
        </r>
      </text>
    </comment>
    <comment ref="L35" authorId="0" shapeId="0" xr:uid="{6205F179-6FF9-48CE-A2AB-D85C8EDB7037}">
      <text>
        <r>
          <rPr>
            <b/>
            <sz val="9"/>
            <color indexed="81"/>
            <rFont val="Segoe UI"/>
            <family val="2"/>
          </rPr>
          <t>Kleber:</t>
        </r>
        <r>
          <rPr>
            <sz val="9"/>
            <color indexed="81"/>
            <rFont val="Segoe UI"/>
            <family val="2"/>
          </rPr>
          <t xml:space="preserve">
Volume piso tátil nas calçadas</t>
        </r>
      </text>
    </comment>
    <comment ref="M35" authorId="0" shapeId="0" xr:uid="{16D6675A-419B-4343-9165-6D140FECF492}">
      <text>
        <r>
          <rPr>
            <b/>
            <sz val="9"/>
            <color indexed="81"/>
            <rFont val="Segoe UI"/>
            <family val="2"/>
          </rPr>
          <t>Kleber:</t>
        </r>
        <r>
          <rPr>
            <sz val="9"/>
            <color indexed="81"/>
            <rFont val="Segoe UI"/>
            <family val="2"/>
          </rPr>
          <t xml:space="preserve">
Valor final calçadas</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Kleber</author>
  </authors>
  <commentList>
    <comment ref="G30" authorId="0" shapeId="0" xr:uid="{906B2833-31AF-4812-8B54-0D23746CD254}">
      <text>
        <r>
          <rPr>
            <b/>
            <sz val="9"/>
            <color indexed="81"/>
            <rFont val="Segoe UI"/>
            <family val="2"/>
          </rPr>
          <t>Kleber:</t>
        </r>
        <r>
          <rPr>
            <sz val="9"/>
            <color indexed="81"/>
            <rFont val="Segoe UI"/>
            <family val="2"/>
          </rPr>
          <t xml:space="preserve">
Área de calçada</t>
        </r>
      </text>
    </comment>
    <comment ref="H30" authorId="0" shapeId="0" xr:uid="{77648DFA-26DE-4789-8736-60ACE60CFF8C}">
      <text>
        <r>
          <rPr>
            <b/>
            <sz val="9"/>
            <color indexed="81"/>
            <rFont val="Segoe UI"/>
            <family val="2"/>
          </rPr>
          <t>Kleber:</t>
        </r>
        <r>
          <rPr>
            <sz val="9"/>
            <color indexed="81"/>
            <rFont val="Segoe UI"/>
            <family val="2"/>
          </rPr>
          <t xml:space="preserve">
Área de calçada excluindo área de rampas</t>
        </r>
      </text>
    </comment>
    <comment ref="J30" authorId="0" shapeId="0" xr:uid="{CFBD1192-BD57-46ED-9162-BC687DAF3A0F}">
      <text>
        <r>
          <rPr>
            <b/>
            <sz val="9"/>
            <color indexed="81"/>
            <rFont val="Segoe UI"/>
            <family val="2"/>
          </rPr>
          <t>Kleber:</t>
        </r>
        <r>
          <rPr>
            <sz val="9"/>
            <color indexed="81"/>
            <rFont val="Segoe UI"/>
            <family val="2"/>
          </rPr>
          <t xml:space="preserve">
Volume das calçadas</t>
        </r>
      </text>
    </comment>
    <comment ref="K30" authorId="0" shapeId="0" xr:uid="{C8700744-0510-4203-AB04-5F37509C6D72}">
      <text>
        <r>
          <rPr>
            <b/>
            <sz val="9"/>
            <color indexed="81"/>
            <rFont val="Segoe UI"/>
            <family val="2"/>
          </rPr>
          <t>Kleber:</t>
        </r>
        <r>
          <rPr>
            <sz val="9"/>
            <color indexed="81"/>
            <rFont val="Segoe UI"/>
            <family val="2"/>
          </rPr>
          <t xml:space="preserve">
Extensão de piso tátil</t>
        </r>
      </text>
    </comment>
    <comment ref="L30" authorId="0" shapeId="0" xr:uid="{856E90C0-7034-4DF5-8552-1238908D89AB}">
      <text>
        <r>
          <rPr>
            <b/>
            <sz val="9"/>
            <color indexed="81"/>
            <rFont val="Segoe UI"/>
            <family val="2"/>
          </rPr>
          <t>Kleber:</t>
        </r>
        <r>
          <rPr>
            <sz val="9"/>
            <color indexed="81"/>
            <rFont val="Segoe UI"/>
            <family val="2"/>
          </rPr>
          <t xml:space="preserve">
Volume piso tátil nas calçadas</t>
        </r>
      </text>
    </comment>
    <comment ref="M30" authorId="0" shapeId="0" xr:uid="{B729DD51-C4BA-415D-AD02-A9D2DB427850}">
      <text>
        <r>
          <rPr>
            <b/>
            <sz val="9"/>
            <color indexed="81"/>
            <rFont val="Segoe UI"/>
            <family val="2"/>
          </rPr>
          <t>Kleber:</t>
        </r>
        <r>
          <rPr>
            <sz val="9"/>
            <color indexed="81"/>
            <rFont val="Segoe UI"/>
            <family val="2"/>
          </rPr>
          <t xml:space="preserve">
Valor final calçadas</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Kleber</author>
  </authors>
  <commentList>
    <comment ref="I39" authorId="0" shapeId="0" xr:uid="{3F8B4BB5-A8A8-4B86-A021-0205ED4FC67D}">
      <text>
        <r>
          <rPr>
            <b/>
            <sz val="9"/>
            <color indexed="81"/>
            <rFont val="Segoe UI"/>
            <family val="2"/>
          </rPr>
          <t>Kleber:</t>
        </r>
        <r>
          <rPr>
            <sz val="9"/>
            <color indexed="81"/>
            <rFont val="Segoe UI"/>
            <family val="2"/>
          </rPr>
          <t xml:space="preserve">
Extensão alvenaria de contenção das calçadas</t>
        </r>
      </text>
    </comment>
    <comment ref="I41" authorId="0" shapeId="0" xr:uid="{81E8EA76-D9AE-469A-97B4-97E2DBE910BA}">
      <text>
        <r>
          <rPr>
            <b/>
            <sz val="9"/>
            <color indexed="81"/>
            <rFont val="Segoe UI"/>
            <family val="2"/>
          </rPr>
          <t>Kleber:</t>
        </r>
        <r>
          <rPr>
            <sz val="9"/>
            <color indexed="81"/>
            <rFont val="Segoe UI"/>
            <family val="2"/>
          </rPr>
          <t xml:space="preserve">
Área de calçada</t>
        </r>
      </text>
    </comment>
    <comment ref="J41" authorId="0" shapeId="0" xr:uid="{F68946B2-7304-4873-A255-A8348BDCC3F9}">
      <text>
        <r>
          <rPr>
            <b/>
            <sz val="9"/>
            <color indexed="81"/>
            <rFont val="Segoe UI"/>
            <family val="2"/>
          </rPr>
          <t>Kleber:</t>
        </r>
        <r>
          <rPr>
            <sz val="9"/>
            <color indexed="81"/>
            <rFont val="Segoe UI"/>
            <family val="2"/>
          </rPr>
          <t xml:space="preserve">
Área de calçada excluindo área de rampas</t>
        </r>
      </text>
    </comment>
    <comment ref="L41" authorId="0" shapeId="0" xr:uid="{11D8F767-2A02-4C51-9B59-50FD23FC7DAD}">
      <text>
        <r>
          <rPr>
            <b/>
            <sz val="9"/>
            <color indexed="81"/>
            <rFont val="Segoe UI"/>
            <family val="2"/>
          </rPr>
          <t>Kleber:</t>
        </r>
        <r>
          <rPr>
            <sz val="9"/>
            <color indexed="81"/>
            <rFont val="Segoe UI"/>
            <family val="2"/>
          </rPr>
          <t xml:space="preserve">
Volume das calçadas</t>
        </r>
      </text>
    </comment>
    <comment ref="M41" authorId="0" shapeId="0" xr:uid="{42A68BA1-D4CD-45E3-B233-3F6E7F8296BD}">
      <text>
        <r>
          <rPr>
            <b/>
            <sz val="9"/>
            <color indexed="81"/>
            <rFont val="Segoe UI"/>
            <family val="2"/>
          </rPr>
          <t>Kleber:</t>
        </r>
        <r>
          <rPr>
            <sz val="9"/>
            <color indexed="81"/>
            <rFont val="Segoe UI"/>
            <family val="2"/>
          </rPr>
          <t xml:space="preserve">
Extensão de piso tátil</t>
        </r>
      </text>
    </comment>
    <comment ref="N41" authorId="0" shapeId="0" xr:uid="{CF9DA850-61FD-4C19-89D6-66EC13FF9F44}">
      <text>
        <r>
          <rPr>
            <b/>
            <sz val="9"/>
            <color indexed="81"/>
            <rFont val="Segoe UI"/>
            <family val="2"/>
          </rPr>
          <t>Kleber:</t>
        </r>
        <r>
          <rPr>
            <sz val="9"/>
            <color indexed="81"/>
            <rFont val="Segoe UI"/>
            <family val="2"/>
          </rPr>
          <t xml:space="preserve">
Volume piso tátil nas calçadas</t>
        </r>
      </text>
    </comment>
    <comment ref="O41" authorId="0" shapeId="0" xr:uid="{C2C7040E-D133-4C3F-9CF6-950222416655}">
      <text>
        <r>
          <rPr>
            <b/>
            <sz val="9"/>
            <color indexed="81"/>
            <rFont val="Segoe UI"/>
            <family val="2"/>
          </rPr>
          <t>Kleber:</t>
        </r>
        <r>
          <rPr>
            <sz val="9"/>
            <color indexed="81"/>
            <rFont val="Segoe UI"/>
            <family val="2"/>
          </rPr>
          <t xml:space="preserve">
Valor final calçadas</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Kleber</author>
  </authors>
  <commentList>
    <comment ref="I42" authorId="0" shapeId="0" xr:uid="{04AA5A9D-E9F1-446B-B381-8309EEE0EA7C}">
      <text>
        <r>
          <rPr>
            <b/>
            <sz val="9"/>
            <color indexed="81"/>
            <rFont val="Segoe UI"/>
            <family val="2"/>
          </rPr>
          <t>Kleber:</t>
        </r>
        <r>
          <rPr>
            <sz val="9"/>
            <color indexed="81"/>
            <rFont val="Segoe UI"/>
            <family val="2"/>
          </rPr>
          <t xml:space="preserve">
Extensão alvenaria de contenção das calçadas</t>
        </r>
      </text>
    </comment>
    <comment ref="I44" authorId="0" shapeId="0" xr:uid="{88239FDE-FCBD-4C87-82A7-C8209756ABED}">
      <text>
        <r>
          <rPr>
            <b/>
            <sz val="9"/>
            <color indexed="81"/>
            <rFont val="Segoe UI"/>
            <family val="2"/>
          </rPr>
          <t>Kleber:</t>
        </r>
        <r>
          <rPr>
            <sz val="9"/>
            <color indexed="81"/>
            <rFont val="Segoe UI"/>
            <family val="2"/>
          </rPr>
          <t xml:space="preserve">
Área de calçada</t>
        </r>
      </text>
    </comment>
    <comment ref="J44" authorId="0" shapeId="0" xr:uid="{7C50C69B-58F6-4E91-A7BE-583D2BF8D373}">
      <text>
        <r>
          <rPr>
            <b/>
            <sz val="9"/>
            <color indexed="81"/>
            <rFont val="Segoe UI"/>
            <family val="2"/>
          </rPr>
          <t>Kleber:</t>
        </r>
        <r>
          <rPr>
            <sz val="9"/>
            <color indexed="81"/>
            <rFont val="Segoe UI"/>
            <family val="2"/>
          </rPr>
          <t xml:space="preserve">
Área de calçada excluindo área de rampas</t>
        </r>
      </text>
    </comment>
    <comment ref="L44" authorId="0" shapeId="0" xr:uid="{21C61D3D-D7C5-49F2-9855-50E6BE3EECAD}">
      <text>
        <r>
          <rPr>
            <b/>
            <sz val="9"/>
            <color indexed="81"/>
            <rFont val="Segoe UI"/>
            <family val="2"/>
          </rPr>
          <t>Kleber:</t>
        </r>
        <r>
          <rPr>
            <sz val="9"/>
            <color indexed="81"/>
            <rFont val="Segoe UI"/>
            <family val="2"/>
          </rPr>
          <t xml:space="preserve">
Volume das calçadas</t>
        </r>
      </text>
    </comment>
    <comment ref="M44" authorId="0" shapeId="0" xr:uid="{204FDD4E-B65C-42FD-B2C7-9C20677930FC}">
      <text>
        <r>
          <rPr>
            <b/>
            <sz val="9"/>
            <color indexed="81"/>
            <rFont val="Segoe UI"/>
            <family val="2"/>
          </rPr>
          <t>Kleber:</t>
        </r>
        <r>
          <rPr>
            <sz val="9"/>
            <color indexed="81"/>
            <rFont val="Segoe UI"/>
            <family val="2"/>
          </rPr>
          <t xml:space="preserve">
Extensão de piso tátil</t>
        </r>
      </text>
    </comment>
    <comment ref="N44" authorId="0" shapeId="0" xr:uid="{5DBF913B-C900-417D-BB27-369013D763F1}">
      <text>
        <r>
          <rPr>
            <b/>
            <sz val="9"/>
            <color indexed="81"/>
            <rFont val="Segoe UI"/>
            <family val="2"/>
          </rPr>
          <t>Kleber:</t>
        </r>
        <r>
          <rPr>
            <sz val="9"/>
            <color indexed="81"/>
            <rFont val="Segoe UI"/>
            <family val="2"/>
          </rPr>
          <t xml:space="preserve">
Volume piso tátil nas calçadas</t>
        </r>
      </text>
    </comment>
    <comment ref="O44" authorId="0" shapeId="0" xr:uid="{1427F5E0-29C0-4DF0-B022-8D6ED1C6D4C3}">
      <text>
        <r>
          <rPr>
            <b/>
            <sz val="9"/>
            <color indexed="81"/>
            <rFont val="Segoe UI"/>
            <family val="2"/>
          </rPr>
          <t>Kleber:</t>
        </r>
        <r>
          <rPr>
            <sz val="9"/>
            <color indexed="81"/>
            <rFont val="Segoe UI"/>
            <family val="2"/>
          </rPr>
          <t xml:space="preserve">
Valor final calçadas</t>
        </r>
      </text>
    </comment>
  </commentList>
</comments>
</file>

<file path=xl/comments13.xml><?xml version="1.0" encoding="utf-8"?>
<comments xmlns="http://schemas.openxmlformats.org/spreadsheetml/2006/main" xmlns:mc="http://schemas.openxmlformats.org/markup-compatibility/2006" xmlns:xr="http://schemas.microsoft.com/office/spreadsheetml/2014/revision" mc:Ignorable="xr">
  <authors>
    <author>Kleber</author>
  </authors>
  <commentList>
    <comment ref="H38" authorId="0" shapeId="0" xr:uid="{36A71643-AB3E-42A6-A2D3-08B640031624}">
      <text>
        <r>
          <rPr>
            <b/>
            <sz val="9"/>
            <color indexed="81"/>
            <rFont val="Segoe UI"/>
            <family val="2"/>
          </rPr>
          <t>Kleber:</t>
        </r>
        <r>
          <rPr>
            <sz val="9"/>
            <color indexed="81"/>
            <rFont val="Segoe UI"/>
            <family val="2"/>
          </rPr>
          <t xml:space="preserve">
Extensão alvenaria de contenção das calçadas</t>
        </r>
      </text>
    </comment>
    <comment ref="H39" authorId="0" shapeId="0" xr:uid="{E6F13A70-70C3-42BE-8FB8-9577DD1746E8}">
      <text>
        <r>
          <rPr>
            <b/>
            <sz val="9"/>
            <color indexed="81"/>
            <rFont val="Segoe UI"/>
            <family val="2"/>
          </rPr>
          <t>Kleber:</t>
        </r>
        <r>
          <rPr>
            <sz val="9"/>
            <color indexed="81"/>
            <rFont val="Segoe UI"/>
            <family val="2"/>
          </rPr>
          <t xml:space="preserve">
Área de calçada</t>
        </r>
      </text>
    </comment>
    <comment ref="I39" authorId="0" shapeId="0" xr:uid="{9582C644-52DA-41AF-A872-6D8B16D51CE1}">
      <text>
        <r>
          <rPr>
            <b/>
            <sz val="9"/>
            <color indexed="81"/>
            <rFont val="Segoe UI"/>
            <family val="2"/>
          </rPr>
          <t>Kleber:</t>
        </r>
        <r>
          <rPr>
            <sz val="9"/>
            <color indexed="81"/>
            <rFont val="Segoe UI"/>
            <family val="2"/>
          </rPr>
          <t xml:space="preserve">
Área de calçada excluindo área de rampas</t>
        </r>
      </text>
    </comment>
    <comment ref="K39" authorId="0" shapeId="0" xr:uid="{9C254E61-277C-4BC8-8008-4D11312E8D44}">
      <text>
        <r>
          <rPr>
            <b/>
            <sz val="9"/>
            <color indexed="81"/>
            <rFont val="Segoe UI"/>
            <family val="2"/>
          </rPr>
          <t>Kleber:</t>
        </r>
        <r>
          <rPr>
            <sz val="9"/>
            <color indexed="81"/>
            <rFont val="Segoe UI"/>
            <family val="2"/>
          </rPr>
          <t xml:space="preserve">
Volume das calçadas</t>
        </r>
      </text>
    </comment>
    <comment ref="L39" authorId="0" shapeId="0" xr:uid="{3A2EAD24-0DF2-406F-AE3E-78F6C8C4D11D}">
      <text>
        <r>
          <rPr>
            <b/>
            <sz val="9"/>
            <color indexed="81"/>
            <rFont val="Segoe UI"/>
            <family val="2"/>
          </rPr>
          <t>Kleber:</t>
        </r>
        <r>
          <rPr>
            <sz val="9"/>
            <color indexed="81"/>
            <rFont val="Segoe UI"/>
            <family val="2"/>
          </rPr>
          <t xml:space="preserve">
Extensão de piso tátil</t>
        </r>
      </text>
    </comment>
    <comment ref="M39" authorId="0" shapeId="0" xr:uid="{D8EA031A-D784-4F4E-B2F7-D8DB58A420D7}">
      <text>
        <r>
          <rPr>
            <b/>
            <sz val="9"/>
            <color indexed="81"/>
            <rFont val="Segoe UI"/>
            <family val="2"/>
          </rPr>
          <t>Kleber:</t>
        </r>
        <r>
          <rPr>
            <sz val="9"/>
            <color indexed="81"/>
            <rFont val="Segoe UI"/>
            <family val="2"/>
          </rPr>
          <t xml:space="preserve">
Volume piso tátil nas calçadas</t>
        </r>
      </text>
    </comment>
    <comment ref="N39" authorId="0" shapeId="0" xr:uid="{1CBE690F-60C5-40B6-9988-83DC3C882BC2}">
      <text>
        <r>
          <rPr>
            <b/>
            <sz val="9"/>
            <color indexed="81"/>
            <rFont val="Segoe UI"/>
            <family val="2"/>
          </rPr>
          <t>Kleber:</t>
        </r>
        <r>
          <rPr>
            <sz val="9"/>
            <color indexed="81"/>
            <rFont val="Segoe UI"/>
            <family val="2"/>
          </rPr>
          <t xml:space="preserve">
Valor final calçadas</t>
        </r>
      </text>
    </comment>
    <comment ref="H42" authorId="0" shapeId="0" xr:uid="{FC5C8045-89A7-482F-BCB2-4605B8E19768}">
      <text>
        <r>
          <rPr>
            <b/>
            <sz val="9"/>
            <color indexed="81"/>
            <rFont val="Segoe UI"/>
            <family val="2"/>
          </rPr>
          <t>Kleber:</t>
        </r>
        <r>
          <rPr>
            <sz val="9"/>
            <color indexed="81"/>
            <rFont val="Segoe UI"/>
            <family val="2"/>
          </rPr>
          <t xml:space="preserve">
Área de piso tátil nas rampas</t>
        </r>
      </text>
    </comment>
    <comment ref="I42" authorId="0" shapeId="0" xr:uid="{E26904F1-3E37-4605-B960-F100CD3BA333}">
      <text>
        <r>
          <rPr>
            <b/>
            <sz val="9"/>
            <color indexed="81"/>
            <rFont val="Segoe UI"/>
            <family val="2"/>
          </rPr>
          <t>Kleber:</t>
        </r>
        <r>
          <rPr>
            <sz val="9"/>
            <color indexed="81"/>
            <rFont val="Segoe UI"/>
            <family val="2"/>
          </rPr>
          <t xml:space="preserve">
Área de piso tátil nas calçadas</t>
        </r>
      </text>
    </comment>
    <comment ref="L42" authorId="0" shapeId="0" xr:uid="{91F295BD-0E69-41F5-B66E-6ECCC4FEBEB0}">
      <text>
        <r>
          <rPr>
            <b/>
            <sz val="9"/>
            <color indexed="81"/>
            <rFont val="Segoe UI"/>
            <family val="2"/>
          </rPr>
          <t>Kleber:</t>
        </r>
        <r>
          <rPr>
            <sz val="9"/>
            <color indexed="81"/>
            <rFont val="Segoe UI"/>
            <family val="2"/>
          </rPr>
          <t xml:space="preserve">
Comprimento piso tatil rampas</t>
        </r>
      </text>
    </comment>
    <comment ref="M42" authorId="0" shapeId="0" xr:uid="{834CDEB2-DE7D-423A-9A1A-34D9D754AAD8}">
      <text>
        <r>
          <rPr>
            <b/>
            <sz val="9"/>
            <color indexed="81"/>
            <rFont val="Segoe UI"/>
            <family val="2"/>
          </rPr>
          <t>Kleber:</t>
        </r>
        <r>
          <rPr>
            <sz val="9"/>
            <color indexed="81"/>
            <rFont val="Segoe UI"/>
            <family val="2"/>
          </rPr>
          <t xml:space="preserve">
Comprimento piso tatil calçadas</t>
        </r>
      </text>
    </comment>
  </commentList>
</comments>
</file>

<file path=xl/comments14.xml><?xml version="1.0" encoding="utf-8"?>
<comments xmlns="http://schemas.openxmlformats.org/spreadsheetml/2006/main" xmlns:mc="http://schemas.openxmlformats.org/markup-compatibility/2006" xmlns:xr="http://schemas.microsoft.com/office/spreadsheetml/2014/revision" mc:Ignorable="xr">
  <authors>
    <author>Kleber</author>
  </authors>
  <commentList>
    <comment ref="H33" authorId="0" shapeId="0" xr:uid="{14FA01A2-A9D9-4B15-9C57-7F9C321AA29C}">
      <text>
        <r>
          <rPr>
            <b/>
            <sz val="9"/>
            <color indexed="81"/>
            <rFont val="Segoe UI"/>
            <family val="2"/>
          </rPr>
          <t>Kleber:</t>
        </r>
        <r>
          <rPr>
            <sz val="9"/>
            <color indexed="81"/>
            <rFont val="Segoe UI"/>
            <family val="2"/>
          </rPr>
          <t xml:space="preserve">
Extensão alvenaria de contenção das calçadas</t>
        </r>
      </text>
    </comment>
    <comment ref="H34" authorId="0" shapeId="0" xr:uid="{49CB6A31-25B2-473A-9E55-A8A26798A608}">
      <text>
        <r>
          <rPr>
            <b/>
            <sz val="9"/>
            <color indexed="81"/>
            <rFont val="Segoe UI"/>
            <family val="2"/>
          </rPr>
          <t>Kleber:</t>
        </r>
        <r>
          <rPr>
            <sz val="9"/>
            <color indexed="81"/>
            <rFont val="Segoe UI"/>
            <family val="2"/>
          </rPr>
          <t xml:space="preserve">
Área de calçada</t>
        </r>
      </text>
    </comment>
    <comment ref="I34" authorId="0" shapeId="0" xr:uid="{5D1F877C-004E-40D0-BA62-77EF5F33BA26}">
      <text>
        <r>
          <rPr>
            <b/>
            <sz val="9"/>
            <color indexed="81"/>
            <rFont val="Segoe UI"/>
            <family val="2"/>
          </rPr>
          <t>Kleber:</t>
        </r>
        <r>
          <rPr>
            <sz val="9"/>
            <color indexed="81"/>
            <rFont val="Segoe UI"/>
            <family val="2"/>
          </rPr>
          <t xml:space="preserve">
Área de calçada excluindo área de rampas</t>
        </r>
      </text>
    </comment>
    <comment ref="K34" authorId="0" shapeId="0" xr:uid="{B9D72F42-71D9-42F4-931C-C11322675293}">
      <text>
        <r>
          <rPr>
            <b/>
            <sz val="9"/>
            <color indexed="81"/>
            <rFont val="Segoe UI"/>
            <family val="2"/>
          </rPr>
          <t>Kleber:</t>
        </r>
        <r>
          <rPr>
            <sz val="9"/>
            <color indexed="81"/>
            <rFont val="Segoe UI"/>
            <family val="2"/>
          </rPr>
          <t xml:space="preserve">
Volume das calçadas</t>
        </r>
      </text>
    </comment>
    <comment ref="L34" authorId="0" shapeId="0" xr:uid="{73F0AFB3-DB51-46C4-9214-CA54CAC5D20B}">
      <text>
        <r>
          <rPr>
            <b/>
            <sz val="9"/>
            <color indexed="81"/>
            <rFont val="Segoe UI"/>
            <family val="2"/>
          </rPr>
          <t>Kleber:</t>
        </r>
        <r>
          <rPr>
            <sz val="9"/>
            <color indexed="81"/>
            <rFont val="Segoe UI"/>
            <family val="2"/>
          </rPr>
          <t xml:space="preserve">
Extensão de piso tátil</t>
        </r>
      </text>
    </comment>
    <comment ref="M34" authorId="0" shapeId="0" xr:uid="{55A2039F-BBEB-478D-B4EC-9F44171CC157}">
      <text>
        <r>
          <rPr>
            <b/>
            <sz val="9"/>
            <color indexed="81"/>
            <rFont val="Segoe UI"/>
            <family val="2"/>
          </rPr>
          <t>Kleber:</t>
        </r>
        <r>
          <rPr>
            <sz val="9"/>
            <color indexed="81"/>
            <rFont val="Segoe UI"/>
            <family val="2"/>
          </rPr>
          <t xml:space="preserve">
Volume piso tátil nas calçadas</t>
        </r>
      </text>
    </comment>
    <comment ref="N34" authorId="0" shapeId="0" xr:uid="{F8FFF4D1-CB02-41CE-82BE-85F207DFDD48}">
      <text>
        <r>
          <rPr>
            <b/>
            <sz val="9"/>
            <color indexed="81"/>
            <rFont val="Segoe UI"/>
            <family val="2"/>
          </rPr>
          <t>Kleber:</t>
        </r>
        <r>
          <rPr>
            <sz val="9"/>
            <color indexed="81"/>
            <rFont val="Segoe UI"/>
            <family val="2"/>
          </rPr>
          <t xml:space="preserve">
Valor final calçadas</t>
        </r>
      </text>
    </comment>
    <comment ref="H36" authorId="0" shapeId="0" xr:uid="{F8564961-02AE-48D8-84BF-FEEF009939DB}">
      <text>
        <r>
          <rPr>
            <b/>
            <sz val="9"/>
            <color indexed="81"/>
            <rFont val="Segoe UI"/>
            <family val="2"/>
          </rPr>
          <t>Kleber:</t>
        </r>
        <r>
          <rPr>
            <sz val="9"/>
            <color indexed="81"/>
            <rFont val="Segoe UI"/>
            <family val="2"/>
          </rPr>
          <t xml:space="preserve">
Área de piso tátil nas rampas</t>
        </r>
      </text>
    </comment>
    <comment ref="I36" authorId="0" shapeId="0" xr:uid="{ED0C0628-EB1B-459C-9DC9-009130B67D69}">
      <text>
        <r>
          <rPr>
            <b/>
            <sz val="9"/>
            <color indexed="81"/>
            <rFont val="Segoe UI"/>
            <family val="2"/>
          </rPr>
          <t>Kleber:</t>
        </r>
        <r>
          <rPr>
            <sz val="9"/>
            <color indexed="81"/>
            <rFont val="Segoe UI"/>
            <family val="2"/>
          </rPr>
          <t xml:space="preserve">
Área de piso tátil nas calçadas</t>
        </r>
      </text>
    </comment>
    <comment ref="L36" authorId="0" shapeId="0" xr:uid="{A1ACD6B4-9D22-48AC-ABF6-4068F0BC4246}">
      <text>
        <r>
          <rPr>
            <b/>
            <sz val="9"/>
            <color indexed="81"/>
            <rFont val="Segoe UI"/>
            <family val="2"/>
          </rPr>
          <t>Kleber:</t>
        </r>
        <r>
          <rPr>
            <sz val="9"/>
            <color indexed="81"/>
            <rFont val="Segoe UI"/>
            <family val="2"/>
          </rPr>
          <t xml:space="preserve">
Comprimento piso tatil rampas</t>
        </r>
      </text>
    </comment>
    <comment ref="M36" authorId="0" shapeId="0" xr:uid="{7677AEDC-50D7-4454-A74D-1DDE5785EDE5}">
      <text>
        <r>
          <rPr>
            <b/>
            <sz val="9"/>
            <color indexed="81"/>
            <rFont val="Segoe UI"/>
            <family val="2"/>
          </rPr>
          <t>Kleber:</t>
        </r>
        <r>
          <rPr>
            <sz val="9"/>
            <color indexed="81"/>
            <rFont val="Segoe UI"/>
            <family val="2"/>
          </rPr>
          <t xml:space="preserve">
Comprimento piso tatil calçadas</t>
        </r>
      </text>
    </comment>
  </commentList>
</comments>
</file>

<file path=xl/sharedStrings.xml><?xml version="1.0" encoding="utf-8"?>
<sst xmlns="http://schemas.openxmlformats.org/spreadsheetml/2006/main" count="4211" uniqueCount="1127">
  <si>
    <t>ITEM</t>
  </si>
  <si>
    <t>DISCRIMINAÇÃO</t>
  </si>
  <si>
    <t>UNID.</t>
  </si>
  <si>
    <t>QUANT.</t>
  </si>
  <si>
    <t>1.0</t>
  </si>
  <si>
    <t>1.1</t>
  </si>
  <si>
    <t>2.0</t>
  </si>
  <si>
    <t>2.1</t>
  </si>
  <si>
    <t>3.0</t>
  </si>
  <si>
    <t>3.1</t>
  </si>
  <si>
    <t>TERRAPLENAGEM</t>
  </si>
  <si>
    <t>m</t>
  </si>
  <si>
    <t>3.2</t>
  </si>
  <si>
    <t>m²</t>
  </si>
  <si>
    <t>4.0</t>
  </si>
  <si>
    <t>4.1</t>
  </si>
  <si>
    <t>SUB-TOTAL (R$)</t>
  </si>
  <si>
    <t>MEMÓRIA DE CÁLCULO</t>
  </si>
  <si>
    <t>PRELIMINARES</t>
  </si>
  <si>
    <t>QUANTITATIVOS E ORÇAMENTO BÁSICO</t>
  </si>
  <si>
    <t>PAVIMENTAÇÃO</t>
  </si>
  <si>
    <t>=</t>
  </si>
  <si>
    <t>área total a ser pavimentada</t>
  </si>
  <si>
    <t>CÓD.</t>
  </si>
  <si>
    <t>SINAPI</t>
  </si>
  <si>
    <t>SERVIÇOS COMPLEMENTARES</t>
  </si>
  <si>
    <t>Limpeza final da obra</t>
  </si>
  <si>
    <t>área total da obra</t>
  </si>
  <si>
    <t>(comprimento)</t>
  </si>
  <si>
    <t>BDI (%):</t>
  </si>
  <si>
    <t>(quantidade de lados)</t>
  </si>
  <si>
    <t>Nota:</t>
  </si>
  <si>
    <t>P. UNIT. SEM BDI   (R$)</t>
  </si>
  <si>
    <t>P. UNIT. COM BDI   (R$)</t>
  </si>
  <si>
    <t>SERVIÇOS COMPLEMENTARES (com BDI).............................................................................................................................................</t>
  </si>
  <si>
    <t>Revestimento em paralelepípedo inclusive colchão areia</t>
  </si>
  <si>
    <t>CRONOGRAMA FÍSICO-FINANCEIRO</t>
  </si>
  <si>
    <t>DESCRIÇÃO DOS SERVIÇOS</t>
  </si>
  <si>
    <t>MÊS 1</t>
  </si>
  <si>
    <t>MÊS 2</t>
  </si>
  <si>
    <t>MÊS 3</t>
  </si>
  <si>
    <t>VALOR (R$)</t>
  </si>
  <si>
    <t>CUSTO MENSAL (R$)</t>
  </si>
  <si>
    <t>PERCENTUAL MENSAL (%)</t>
  </si>
  <si>
    <t>CUSTO ACUMULADO (R$)</t>
  </si>
  <si>
    <t>PERCENTUAL ACUMULADO (%)</t>
  </si>
  <si>
    <t>ESTADO DA PARAÍBA</t>
  </si>
  <si>
    <t>Programa</t>
  </si>
  <si>
    <t>Modalidade</t>
  </si>
  <si>
    <t>Ministério das Cidades</t>
  </si>
  <si>
    <t>Planejamento Urbano</t>
  </si>
  <si>
    <t>Apoio à Política Nacional de Desenvolvimento Urbano</t>
  </si>
  <si>
    <t>Pavimentação e Drenagem de Vias Urbanas</t>
  </si>
  <si>
    <t>Item</t>
  </si>
  <si>
    <t>TOTAL</t>
  </si>
  <si>
    <t xml:space="preserve">Quadro de Composição do Investimento - QCI - OGU - Setor Público </t>
  </si>
  <si>
    <t>Emprendimento</t>
  </si>
  <si>
    <t>Agente executor</t>
  </si>
  <si>
    <t>-</t>
  </si>
  <si>
    <t>Discriminação</t>
  </si>
  <si>
    <t>Investimento Total (R$)</t>
  </si>
  <si>
    <t>Total (R$)</t>
  </si>
  <si>
    <t>Recursos União</t>
  </si>
  <si>
    <t>Contrapartida</t>
  </si>
  <si>
    <t>Outras fontes</t>
  </si>
  <si>
    <t>Forma analítica:</t>
  </si>
  <si>
    <t>Rua Altino Pereira Rodrigues</t>
  </si>
  <si>
    <t>Rua José Pedro</t>
  </si>
  <si>
    <t>Relatório de Compatibilidade para PROJETO ASSUNÇÃO - PAVIMENTAÇÃO.xls</t>
  </si>
  <si>
    <t>Executar em 11/01/2019 16:35</t>
  </si>
  <si>
    <t>Os seguintes recursos desta pasta de trabalho não têm suporte em versões anteriores do Excel. Eles poderão ser perdidos ou prejudicados se você abrir esta pasta de trabalho em uma versão anterior do Excel ou salvá-la em um formato de arquivo anterior.</t>
  </si>
  <si>
    <t>Perda significativa de funcionalidade</t>
  </si>
  <si>
    <t>Núm. de ocorrências</t>
  </si>
  <si>
    <t>Versão</t>
  </si>
  <si>
    <t>Os efeitos neste objeto serão removidos. O texto que ultrapassar os limites deste gráfico aparecerá cortado.</t>
  </si>
  <si>
    <t>ORÇAMENTO MARCONDES BALDUINO'!A1:K49</t>
  </si>
  <si>
    <t>Excel 97-2003</t>
  </si>
  <si>
    <t>ORÇAMENTO_ROBERTA BALDUINO'!A1:I48</t>
  </si>
  <si>
    <t>ORÇAMENTO_PROJETADA'!A1:I48</t>
  </si>
  <si>
    <t>ORÇAMENTO_JOSÉ_PEDRO'!A1:I48</t>
  </si>
  <si>
    <t>QCI'!B2:L27</t>
  </si>
  <si>
    <t>Perda insignificante de fidelidade</t>
  </si>
  <si>
    <t>Algumas fórmulas nesta pasta de trabalho estão vinculadas a outras pastas de trabalho que estão fechadas. Quando as fórmulas forem recalculadas em versões anteriores do Excel sem que as pastas de trabalho vinculadas sejam abertas, não será possível retornar caracteres além do limite de 255.</t>
  </si>
  <si>
    <t>CRONOGRAMA_CAIXA'!C18</t>
  </si>
  <si>
    <t>Algumas células ou alguns estilos desta pasta de trabalho contêm formatação para a qual não há suporte no formato de arquivo selecionado. Esses formatos serão convertidos no formato mais próximo disponível.</t>
  </si>
  <si>
    <t>Executar em 11/01/2019 16:36</t>
  </si>
  <si>
    <t>1.2</t>
  </si>
  <si>
    <t>Drenagem</t>
  </si>
  <si>
    <t>Rua Maria Bezerra da Nobrega</t>
  </si>
  <si>
    <t>DER/PB</t>
  </si>
  <si>
    <t>06.201.00</t>
  </si>
  <si>
    <t>Placa indicativa de obra</t>
  </si>
  <si>
    <t xml:space="preserve">Locação de pavimentação. Af_10/2018 </t>
  </si>
  <si>
    <t>Regularização de superfícies com motoniveladora. Af_11/2019</t>
  </si>
  <si>
    <t>ORSE</t>
  </si>
  <si>
    <t>02450</t>
  </si>
  <si>
    <t>FONTE</t>
  </si>
  <si>
    <t>(altura)</t>
  </si>
  <si>
    <t>PAVIMENTAÇÃO (com BDI) .........................................................................................................................................................................</t>
  </si>
  <si>
    <t>TERRAPLENAGEM (com BDI) ....................................................................................................................................................................</t>
  </si>
  <si>
    <t>04.910.02</t>
  </si>
  <si>
    <t>Forn. e aplicação de meio-fio em pedra granítica</t>
  </si>
  <si>
    <t>PRELIMINARES (com BDI) .......................................................................................................................................................................................................</t>
  </si>
  <si>
    <t xml:space="preserve">DER - ENCARGOS SOCIAIS DESONERADOS: 100,13% </t>
  </si>
  <si>
    <t xml:space="preserve">101169 </t>
  </si>
  <si>
    <t>ENCARGOS SOCIAIS DESONERADOS -  85,70% (hora) =&gt; 48,17% (mês)</t>
  </si>
  <si>
    <t>Execução de pavimento em paralelepípedos, rejuntamento com argamassa traço 1:3 (cimento e areia). Af_05/2020</t>
  </si>
  <si>
    <t>DER-PB - Vigência =&gt; julho-setembro/2022</t>
  </si>
  <si>
    <t>3.3</t>
  </si>
  <si>
    <t>Meio-fio de concreto tipo MPC-05</t>
  </si>
  <si>
    <t>04.910.05</t>
  </si>
  <si>
    <t>(área total calculada no autocad - rua tem largura variável)</t>
  </si>
  <si>
    <t>Forn. e aplicação de meio-fio em pedra granítica para cordão de travamento do final da pavimentação</t>
  </si>
  <si>
    <t>(extensão)</t>
  </si>
  <si>
    <t>PREFEITURA MUNICIPAL DE MAMANGUAPE</t>
  </si>
  <si>
    <t>3,00 x 6,00 + 7,00 x 7,00 = 67,00</t>
  </si>
  <si>
    <t>(cordão para travamento de ruas com largura de 6,00 metros)</t>
  </si>
  <si>
    <t>(cordão para travamento de ruas com largura de 7,00 metros)</t>
  </si>
  <si>
    <t>(quantidade)</t>
  </si>
  <si>
    <t>RUA FRANCISCO JOSÉ CARDOSO</t>
  </si>
  <si>
    <t>PAVIMENTAÇÃO NA RUA FRANCISCO JOSÉ CARDOSO</t>
  </si>
  <si>
    <t xml:space="preserve">SINAPI DESONERADO - Data-base =&gt; Novembro/2022 </t>
  </si>
  <si>
    <t>Nº OPERAÇÃO: 1052738-43                                     SISCONV: 866700</t>
  </si>
  <si>
    <t>621,40  x 2,00 = 1.242,80</t>
  </si>
  <si>
    <t>RUA WALFREDO DE FARIAS CAVALCANTE</t>
  </si>
  <si>
    <t>(largura)</t>
  </si>
  <si>
    <t>CALÇADA E RAMPA DE ACESSIBILIDADE (com BDI) .........................................................................................................................................................................</t>
  </si>
  <si>
    <t>Execução de passeio (calçada) ou piso de concreto com concreto moldado in loco, feito em obra, acabamento convencional, não armado</t>
  </si>
  <si>
    <t>m³</t>
  </si>
  <si>
    <t>4.2</t>
  </si>
  <si>
    <t>Execução de rampa de acessibilidade de concreto com concreto moldado in loco, feito em obra, acabamento convencional, não armado</t>
  </si>
  <si>
    <t>4.3</t>
  </si>
  <si>
    <t>Piso tátil direcional e/ou alerta, de concreto, natural, p/deficientes visuais, dimensões 25x25x2,5cm.</t>
  </si>
  <si>
    <t xml:space="preserve">CALÇADA E RAMPA DE ACESSIBILIDADE </t>
  </si>
  <si>
    <t>Piso (calçada) em concreto de 12MPa</t>
  </si>
  <si>
    <t>Volume total de calçada</t>
  </si>
  <si>
    <t>( área da calçada)</t>
  </si>
  <si>
    <t>(espessura da calçada)</t>
  </si>
  <si>
    <t>Piso (calçada) em concreto de 12MPa para rampa de acessibilidade</t>
  </si>
  <si>
    <t>Volume total de rampa</t>
  </si>
  <si>
    <t>(largura da calçada)</t>
  </si>
  <si>
    <t>(quantidade de rampas)</t>
  </si>
  <si>
    <t>( área das rampas)</t>
  </si>
  <si>
    <t>(espessura de concreto)</t>
  </si>
  <si>
    <t>(volume do piso tátil)</t>
  </si>
  <si>
    <t>Nas rampas:</t>
  </si>
  <si>
    <t>(área da rampa de acessibilidade - item 4.2)</t>
  </si>
  <si>
    <t>No comprimento das calçadas:</t>
  </si>
  <si>
    <t>Área total</t>
  </si>
  <si>
    <t>07324</t>
  </si>
  <si>
    <t>Piso tátil direcional e/ou alerta, de concreto, colorido, p/deficientes visuais, dimensões 25x25x2,5cm, aplicado com argamassa industrializada ac-ii.</t>
  </si>
  <si>
    <t>Demolição de lajes, de forma mecanizada com martelete, sem reaproveita mento. Af_12/2017</t>
  </si>
  <si>
    <t>(área da  calçada existente)</t>
  </si>
  <si>
    <t>(espessura)</t>
  </si>
  <si>
    <t>ORÇAMENTO GLOBAL</t>
  </si>
  <si>
    <t>DESCRIÇÃO: PAVIMENTAÇÃO DA RUA FRANCISCO JOSÉ CARDOSO E RUA WALFREDO DE FARIAS CAVALCANTE</t>
  </si>
  <si>
    <t>1.3</t>
  </si>
  <si>
    <t>5.0</t>
  </si>
  <si>
    <t>5.1</t>
  </si>
  <si>
    <t>(espessura do meio-fio)</t>
  </si>
  <si>
    <t>MÊS 4</t>
  </si>
  <si>
    <t>SINALIZAÇÃO VIÁRIA (com BDI)...............................................................................................................................................................</t>
  </si>
  <si>
    <t>DER-PB</t>
  </si>
  <si>
    <t>06.200.00</t>
  </si>
  <si>
    <t>Sinalização vertical, com chapas planas de aço zincado nº16 conformidade com norma abnt nbr 11904:2015, suporte de fixação em secção quadrada de 3" madeira de lei, pintado duas demãos, tinta a base de borracha clorada ou esmalte sintético branco, com fixação, parafusos, arruelas, porcas e elementos metálicos galvanizados, películas reto refletiva tipo III a, em acordo norma nbr 14644/2013</t>
  </si>
  <si>
    <t>06.000.02</t>
  </si>
  <si>
    <t>Placa esmaltada para identificação nr de rua, dimensões 45x25cm</t>
  </si>
  <si>
    <t>und</t>
  </si>
  <si>
    <t>SINALIZAÇÃO VIÁRIA</t>
  </si>
  <si>
    <t xml:space="preserve">Placa de sinalização totalmente refletiva, tipo R-1, com a indicação PARE </t>
  </si>
  <si>
    <t>5.2</t>
  </si>
  <si>
    <t>Placa indicativa de logradouro</t>
  </si>
  <si>
    <t>quantidades de placas</t>
  </si>
  <si>
    <t>(quantidade de placas)</t>
  </si>
  <si>
    <t>6.0</t>
  </si>
  <si>
    <t>6.1</t>
  </si>
  <si>
    <t>4,00 x 2,50 = 10,00</t>
  </si>
  <si>
    <t>621,40 + 17,75 = 639,15</t>
  </si>
  <si>
    <t>DRENAGEM</t>
  </si>
  <si>
    <t>Poço de visita</t>
  </si>
  <si>
    <t>Boca de lobo</t>
  </si>
  <si>
    <t>5.4</t>
  </si>
  <si>
    <t xml:space="preserve">Rede coletora </t>
  </si>
  <si>
    <t>5.5</t>
  </si>
  <si>
    <t>Locação da rede</t>
  </si>
  <si>
    <t>Escavação mecanizada de vala</t>
  </si>
  <si>
    <t>(área - perfil longitudinal)</t>
  </si>
  <si>
    <t>5.6</t>
  </si>
  <si>
    <t>5.7</t>
  </si>
  <si>
    <t xml:space="preserve">Colchão de areia </t>
  </si>
  <si>
    <t>Reaterro mecanizado de vala</t>
  </si>
  <si>
    <t xml:space="preserve">Ponta de ala </t>
  </si>
  <si>
    <t>(volume de escavação)</t>
  </si>
  <si>
    <t>(volume do colchão de areia)</t>
  </si>
  <si>
    <t>(área do tubo)</t>
  </si>
  <si>
    <t>269,29 - 22,76 - (0,35 x 126,46) = 202,27</t>
  </si>
  <si>
    <t>126,46 x 1,20 x 0,15 = 22,76</t>
  </si>
  <si>
    <t>224,41 x 1,20 = 269,29</t>
  </si>
  <si>
    <t>Ponta de ala em concreto ciclópico, para tubos de concreto (simples) d=0.40 à 0.60 m</t>
  </si>
  <si>
    <t xml:space="preserve">92212 </t>
  </si>
  <si>
    <t>Tubo de concreto para redes coletoras de águas pluviais, diâmetro de 600 mm, junta rígida, instalado em local com baixo nível de interferências - fornecimento e assentamento. Af_12/2015</t>
  </si>
  <si>
    <t>Escavação mecanizada de vala com prof. Maior que 1,5 m e até 3,0 m(média entre montante e jusante/uma composição por trecho), com escavadeira hidráulica (0,8 m3/111 hp), larg. Menor que 1,5 m, em solo de 1a categoria, locais com baixo nível de interferência. Af_01/2015</t>
  </si>
  <si>
    <t>Reaterro mecanizado de vala com escavadeira hidráulica (capacidade da caçamba: 0,8 m³ / potência: 111 hp), largura de 1,5 a 2,5 m, profundidade até 1,5 m, com solo de 1ª categoria em locais com baixo nível de interferência. Af_04/2016</t>
  </si>
  <si>
    <t>5.3</t>
  </si>
  <si>
    <t>5.8</t>
  </si>
  <si>
    <t>97935</t>
  </si>
  <si>
    <t>01.200.04</t>
  </si>
  <si>
    <t>04.999.26</t>
  </si>
  <si>
    <t>Composição de Preço</t>
  </si>
  <si>
    <t>Código</t>
  </si>
  <si>
    <t>Descrição da Composição</t>
  </si>
  <si>
    <t>Unid</t>
  </si>
  <si>
    <t>Quant</t>
  </si>
  <si>
    <t>h</t>
  </si>
  <si>
    <t>04722/SINAPI</t>
  </si>
  <si>
    <t>Pedra britada n. 3 (38 a 50 mm) posto pedreira/fornecedor, sem frete</t>
  </si>
  <si>
    <t>Descrição do Serviço</t>
  </si>
  <si>
    <t>Unidade</t>
  </si>
  <si>
    <t>03444/ORSE</t>
  </si>
  <si>
    <t>un</t>
  </si>
  <si>
    <t xml:space="preserve">88309/SINAPI </t>
  </si>
  <si>
    <t>102727/SINAPI</t>
  </si>
  <si>
    <t>102487/SINAPI</t>
  </si>
  <si>
    <t>Pedreiro com encargos complementares</t>
  </si>
  <si>
    <t>Concreto ciclópico fck = 15mpa, 30% pedra de mão em volume real, inclusive lançamento. Af_05/2021.</t>
  </si>
  <si>
    <t>Fabricação, montagem e desmontagem de fôrma para boca para bueiro, em  chapa de madeira compensada resinada, e = 17 mm, 2 utilizações. Af_07/2021.</t>
  </si>
  <si>
    <t xml:space="preserve">COMPOSIÇÃO DE CUSTO UNITÁRIO </t>
  </si>
  <si>
    <t>CCU 01 - Ponta de ala em concreto ciclópico, para tubos de concreto (simples) d=0.40 à 0.60 m</t>
  </si>
  <si>
    <t>Custo Total (R$)</t>
  </si>
  <si>
    <t>Custo Unit. (R$)</t>
  </si>
  <si>
    <t>CCU - 01</t>
  </si>
  <si>
    <t>PRÓPRIA</t>
  </si>
  <si>
    <t>VALOR TOTAL (R$)</t>
  </si>
  <si>
    <t>Caixa para boca de lobo simples retangular, em concreto pré-moldado, dimensões internas: 0,6x1,0x1,2 m. Af_12/2020</t>
  </si>
  <si>
    <t>Locação de rede de água ou esgoto. Af_10/2018</t>
  </si>
  <si>
    <t>Colchao de areia excl.apenas transporte da areia</t>
  </si>
  <si>
    <t>Poço de visita p/tubulacao de 0,40m e 0,80m</t>
  </si>
  <si>
    <t>5.9</t>
  </si>
  <si>
    <t>04.942.02</t>
  </si>
  <si>
    <t>Entrada d'agua tipo EDA-01</t>
  </si>
  <si>
    <t>46,97 x 0,07 = 3,29</t>
  </si>
  <si>
    <t>127,00 x 6,00 = 762,00</t>
  </si>
  <si>
    <t>[127,00 x (1,50 - 0,12)] - 48,00 = 127,26 x 0,07 = 8,91</t>
  </si>
  <si>
    <t>8,00 x 1,20 x 4,00 = 48,00 x 0,07 - 0,89 = 2,47</t>
  </si>
  <si>
    <t>0,25 x 3,90 x 4,00 = 3,90</t>
  </si>
  <si>
    <t>0,25 x 127,00 = 31,75</t>
  </si>
  <si>
    <t>6.2</t>
  </si>
  <si>
    <t>6.3</t>
  </si>
  <si>
    <t>6.4</t>
  </si>
  <si>
    <t>6.5</t>
  </si>
  <si>
    <t>6.6</t>
  </si>
  <si>
    <t>6.7</t>
  </si>
  <si>
    <t>6.8</t>
  </si>
  <si>
    <t>6.9</t>
  </si>
  <si>
    <t>7.0</t>
  </si>
  <si>
    <t>7.1</t>
  </si>
  <si>
    <t>Serviços topográficos para pavimentação, inclusive nota de serviços, acompanhamento e greide</t>
  </si>
  <si>
    <t>SERVIÇOS PRELIMINARES (com BDI) .......................................................................................................................................................................................................</t>
  </si>
  <si>
    <t>MOVIMENTO DE TERRA (com BDI) ....................................................................................................................................................................</t>
  </si>
  <si>
    <t>RAMPAS DE ACESSIBILIDADE (com BDI)...............................................................................................................................................................</t>
  </si>
  <si>
    <t>Assentamento de guia (meio-fio) em trecho reto, confeccionada em concreto pré-fabricado, dimensões 100x15x13x30 cm (comprimento x base inferior x base superior x altura), para vias urbanas (uso viário)</t>
  </si>
  <si>
    <t>RUA VEREADOR FIRMINO CAETANO</t>
  </si>
  <si>
    <t>DIVERSOS (com BDI).............................................................................................................................................</t>
  </si>
  <si>
    <t>RUA LOPES RIBEIRO</t>
  </si>
  <si>
    <t>RUA ANTÔNIO PESSOA DE VASCONCELOS</t>
  </si>
  <si>
    <t>ESTADO DA PARAIBA</t>
  </si>
  <si>
    <t>Preços unitário sem BDI</t>
  </si>
  <si>
    <t>Discriminação dos Serviços</t>
  </si>
  <si>
    <t>Unid.</t>
  </si>
  <si>
    <t>Quant. a Executar</t>
  </si>
  <si>
    <t>Quant. Acrescida</t>
  </si>
  <si>
    <t>Quant. Suprimida</t>
  </si>
  <si>
    <t>Quant. Ajustado/A Executar</t>
  </si>
  <si>
    <t>Preço (R$)</t>
  </si>
  <si>
    <t>Unitário Ajustado - A Executar</t>
  </si>
  <si>
    <t>Total a Executar Ajustado</t>
  </si>
  <si>
    <t>BDI</t>
  </si>
  <si>
    <t>SERVIÇOS PRELIMINARES</t>
  </si>
  <si>
    <t>MOVIMENTO DE TERRA</t>
  </si>
  <si>
    <t>unid</t>
  </si>
  <si>
    <t>Regularização e compactação do subleito até 20 cm de espessura</t>
  </si>
  <si>
    <t>Revestimento em paralelepipedo inc.colchao areia</t>
  </si>
  <si>
    <t>Forn. e aplicacao de meio fio em pedra granitica (Cordão de travamento)</t>
  </si>
  <si>
    <t>Concreto fck = 15mpa, traço 1:3,4:3,5 (cimento/ areia média/ brita 1) - preparo mecânico com betoneira 400 l.</t>
  </si>
  <si>
    <t>Lançamento/aplicação manual de concreto em fundações</t>
  </si>
  <si>
    <t>Piso podotátil em placa cimentícia, assentado com argamassa em rampa do passeio público</t>
  </si>
  <si>
    <t>Placa esmaltada para identificação nr de Rua, dimensões 45x25cm</t>
  </si>
  <si>
    <t>Caiação de meio-fio</t>
  </si>
  <si>
    <t>Confecção de placa em aço nº 16 galvanizado, com película retrorrefletiva tipo I + III</t>
  </si>
  <si>
    <t>Fornecimento e implantação de suporte e travessa para placa de sinalização em madeira de lei tratada 8 x 8 cm (h = 3,00m)</t>
  </si>
  <si>
    <t>Limpeza final de obra</t>
  </si>
  <si>
    <t>RAMPAS DE ACESSIBILIDADE</t>
  </si>
  <si>
    <t>DIVERSOS</t>
  </si>
  <si>
    <t>Quant. Contratada CTEF 118/2020</t>
  </si>
  <si>
    <t>IMPLANTAÇÃO DE PAVIMENTAÇÃO EM VIAS PUBLICAS URBANAS NO MUNICÍPIO DE MAMANGUAPE-PB - CT 1052738-43/2018</t>
  </si>
  <si>
    <t>TOTAIS RUA VEREADOR FIRMINO CAETANO  .  .  .  .  .  . .  . R$</t>
  </si>
  <si>
    <t>Unitário Contratado CTEF 118/2020 (R$)</t>
  </si>
  <si>
    <t>Total Contratado  CTEF 118/2020 (R$)</t>
  </si>
  <si>
    <t>Quant. Executado  CTEF 118/2020</t>
  </si>
  <si>
    <t>Total Executado  CTEF 118/2020 (R$)</t>
  </si>
  <si>
    <t>TOTAIS RUA LOPES RIBEIRO  .  .  .  .  .  . .  . R$</t>
  </si>
  <si>
    <t>TOTAIS ANTONIO PESSOA DE VASCONCELOS  .  .  .  .  .  . .  . R$</t>
  </si>
  <si>
    <t>RUAS DO CONTRATO ORIGINAL</t>
  </si>
  <si>
    <t>Locação de pavimentação</t>
  </si>
  <si>
    <t>Regularização e compactação de sub-leito até 20cm de espessura</t>
  </si>
  <si>
    <t>Execução de pavimento em paralelepípedo inclusive colchão de areia rejuntado no traço 1:3 (Cimento e areia)</t>
  </si>
  <si>
    <t>Assentamento de guia (meio-fio) para cordão de travamento do pavimento, em pedra granítica</t>
  </si>
  <si>
    <t>CALÇADAS E RAMPAS</t>
  </si>
  <si>
    <t>TOTAIS RUA WALFREDO DE FARIAS CAVALCANTE  .  .  .  .  .  . .  . R$</t>
  </si>
  <si>
    <t>T  O  T  A  I  S    .  .  .  .  .  . .  .  .  .  .  .  .  . . .  (R$)</t>
  </si>
  <si>
    <t>Comp 01</t>
  </si>
  <si>
    <t>Comp 02</t>
  </si>
  <si>
    <t>Sinalização permanente, vertical, com placa octogonal de aço, padrão DNER, largura 0,60m, com tubo de aço galvanizado de 2,10m, já sendo descontado a altura que ficará contido na base, fixado com base de concreto 40 x 40 x 50</t>
  </si>
  <si>
    <t>Comp 05</t>
  </si>
  <si>
    <t>DER-PB 04.999.26</t>
  </si>
  <si>
    <t>SINAPI 97935</t>
  </si>
  <si>
    <t xml:space="preserve">SINAPI 92212 </t>
  </si>
  <si>
    <t>SINAPI 99063</t>
  </si>
  <si>
    <t>SINAPI 90092</t>
  </si>
  <si>
    <t>DER-PB 01.200.04</t>
  </si>
  <si>
    <t>SINAPI 93367</t>
  </si>
  <si>
    <t>DER-PB 04.942.02</t>
  </si>
  <si>
    <t>Código/ Fonte/ Data-base</t>
  </si>
  <si>
    <t>94990</t>
  </si>
  <si>
    <t>Comp 06</t>
  </si>
  <si>
    <t>PLANILHA ORÇAMENTÁRIA DE AJUSTE (REPROGRAMAÇÃO)</t>
  </si>
  <si>
    <t>COMPOSIÇÃO DE CUSTOS</t>
  </si>
  <si>
    <t>Descrição</t>
  </si>
  <si>
    <t>Quantidade</t>
  </si>
  <si>
    <t>Preço Unitário</t>
  </si>
  <si>
    <t>Código SINAPI</t>
  </si>
  <si>
    <t>Preço Total</t>
  </si>
  <si>
    <t>Servente com encargos complementares</t>
  </si>
  <si>
    <t>88316 Composição</t>
  </si>
  <si>
    <t>SUBTOTAL (MÃO-DE-OBRA)</t>
  </si>
  <si>
    <t>SUBTOTAL (MATERIAL)</t>
  </si>
  <si>
    <t>TOTAL GERAL</t>
  </si>
  <si>
    <t>Base da Composição: 04960/ORSE</t>
  </si>
  <si>
    <t>88316 Compos</t>
  </si>
  <si>
    <t>as</t>
  </si>
  <si>
    <t>Base da Composição: Sinapi 73916/2 - Jan/2020</t>
  </si>
  <si>
    <t>Bucha de nylon sem aba s6, com parafuso de 4,20 x 40 mm em aço zincado com rosca soberba, cabeça chata e fenda</t>
  </si>
  <si>
    <t>11950 Insumos</t>
  </si>
  <si>
    <t>Placa de aço esmaltada para identificação de rua, 45 cm x 20 cm</t>
  </si>
  <si>
    <t>13521 Insumos</t>
  </si>
  <si>
    <t>Comp</t>
  </si>
  <si>
    <t>SINAPI 94273</t>
  </si>
  <si>
    <t>SINAPI 99064</t>
  </si>
  <si>
    <t>SINAPI 101169</t>
  </si>
  <si>
    <t>SINAPI 102498</t>
  </si>
  <si>
    <t>SINAPI 100576</t>
  </si>
  <si>
    <t>RUAS NOVAS A SEREM INCLUÍDAS</t>
  </si>
  <si>
    <t>127,00 x 2,00 = 254,00</t>
  </si>
  <si>
    <t xml:space="preserve">Data-base: </t>
  </si>
  <si>
    <t>Contrato: 1052738-43/2018</t>
  </si>
  <si>
    <t>BDI:</t>
  </si>
  <si>
    <t>Quantitativo</t>
  </si>
  <si>
    <t>Preço S/ BDI</t>
  </si>
  <si>
    <t>Placa da obra em aço galvanizado (2,50 x 4,00m)</t>
  </si>
  <si>
    <t>74209/001</t>
  </si>
  <si>
    <t>02.702.00 DER/PB AGOSTO/2018</t>
  </si>
  <si>
    <t>3.4</t>
  </si>
  <si>
    <t>04.910.02 DER/PB AGOSTO/2018</t>
  </si>
  <si>
    <t>74157/004</t>
  </si>
  <si>
    <t>73916/002</t>
  </si>
  <si>
    <t>75390 / GIDUR JP</t>
  </si>
  <si>
    <t>Meio-fio exposto: 0,15 de altura + 0,10 face superior</t>
  </si>
  <si>
    <t>Q = 1,0 Unidade</t>
  </si>
  <si>
    <t xml:space="preserve">RUA VEREADOR FIRMINO CAETANO </t>
  </si>
  <si>
    <t>L = ((200,00 x 2) + (3,00 x 2) x 4,0) - (8,40 + 8,20 + 9,70 + 7,70) = 390,00 m</t>
  </si>
  <si>
    <t>L = ((200,00 x 2,0) + (3,00 x 2,0) x 4,0) - (7,80 + 8,20 + 7,80 + 8,20) = 392,00 m</t>
  </si>
  <si>
    <t xml:space="preserve">RUA ANTONIO PESSOA DE VASCONCELOS </t>
  </si>
  <si>
    <t>L = ((200,00 x 2) + (3,00 x 2) + (3,00 x 2) + (3,00 x 2) + (3,00 x 2)) - (7,75 + 8,30 + 8,20 + 8,00) = 391,75 m</t>
  </si>
  <si>
    <t>Objeto/Programa: Pavimentação em vias públicas urbanas no município de Mamanguape - PB - REPROGRAMAÇÃO</t>
  </si>
  <si>
    <t>Quantitativo executado CT 118/2020: 62,30m</t>
  </si>
  <si>
    <t>Quantitativo a executar: 390,00 - 62,30 = 327,70m</t>
  </si>
  <si>
    <t>Quantitativo executado CT 118/2020: 0,00m</t>
  </si>
  <si>
    <t>Quantitativo a executar: 392,00m</t>
  </si>
  <si>
    <t>Quantitativo executado CT 118/2020: 480,00m²</t>
  </si>
  <si>
    <t>Quantitativo a executar: 1.696,75 - 480,00 = 1.216,75m²</t>
  </si>
  <si>
    <t>A = (200,00 x 8,00) + (3,00 x 8,30) + (3,00 x 7,75) + (3,00 x 8,00) + (3,00 x 8,20) = 1.696,75 m²</t>
  </si>
  <si>
    <t>Quantitativo executado CT 118/2020: 480,00m², o que corresponde a 60,00m (metros linear), tendo em vista que a largura da rua é de 8,00m</t>
  </si>
  <si>
    <t>Quantitativo a executar: 200,00 - 60,00 = 140,00m</t>
  </si>
  <si>
    <t>A = (0,10 + 0,15) x 391,75 = 97,94m²</t>
  </si>
  <si>
    <t>Quantitativo executado CT 118/2020: 30,00m²</t>
  </si>
  <si>
    <t>Quantitativo a executar: 97,94 - 30,00 = 67,94m²</t>
  </si>
  <si>
    <t>L = 7,80 + 8,00 + 8,20 + 8,30 + 7,75 = 40,05 m</t>
  </si>
  <si>
    <t>A = 3,00 x 1,50 = 4,50m²</t>
  </si>
  <si>
    <t>C = 621,40 m</t>
  </si>
  <si>
    <t>Área total calculada no autocad (rua tem largura variável): A = 3.594,47m²</t>
  </si>
  <si>
    <t>C = (621,40 x 2,00) = 1.242,80 m</t>
  </si>
  <si>
    <t>Quantidade de cordões para travamento de ruas com largura de 6,00 metros: 3,00 x 6,00 = 18,00m</t>
  </si>
  <si>
    <t>Quantidade de cordões para travamento de ruas com largura de 7,00 metros: 7,00 x 7,00 = 49,00m</t>
  </si>
  <si>
    <t>Total: 18,00 + 49,00 = 67,00m</t>
  </si>
  <si>
    <t>Q = 4,0 Unidade</t>
  </si>
  <si>
    <t>Poço de visita para tubulação de 0,40m e 0,80m</t>
  </si>
  <si>
    <t>Q = 1,00 unid</t>
  </si>
  <si>
    <t>Caixa para boca de lobo simples retangular, em concreto pré-moldado, dimensões internas: 0,6x1,0x1,2 m</t>
  </si>
  <si>
    <t>Tubo de concreto para redes coletoras de águas pluviais, diâmetro de 600 mm, junta rígida, instalado em local com baixo nível de interferências - fornecimento e assentamento</t>
  </si>
  <si>
    <t>Locação de rede de água ou esgoto</t>
  </si>
  <si>
    <t>Escavação mecanizada de vala com prof. Maior que 1,5 m e até 3,0 m(média entre montante e jusante/uma composição por trecho), com escavadeira hidráulica (0,8 m3/111 hp), larg. Menor que 1,5 m, em solo de 1a categoria, locais com baixo nível de interferência</t>
  </si>
  <si>
    <t>Reaterro mecanizado de vala com escavadeira hidráulica (capacidade da caçamba: 0,8 m³ / potência: 111 hp), largura de 1,5 a 2,5 m, profundidade até 1,5 m, com solo de 1ª categoria em locais com baixo nível de interferência</t>
  </si>
  <si>
    <t>C = 126,46m</t>
  </si>
  <si>
    <t>Área do perfil longitudinal: A = 224,41m²</t>
  </si>
  <si>
    <t>Largura: L = 1,20m</t>
  </si>
  <si>
    <t>V = 224,41 x 1,20 = 269,29m³</t>
  </si>
  <si>
    <t>V = 126,46 x 1,20 x 0,15 = 22,76m³</t>
  </si>
  <si>
    <t>Volume do colchão de areia: V = 22,76m³</t>
  </si>
  <si>
    <t>Volume de escavação: V = 269,29m³</t>
  </si>
  <si>
    <t>Área do tubo: A = 0,35m²</t>
  </si>
  <si>
    <t>Extensão: C = 126,46m</t>
  </si>
  <si>
    <t>V = 269,29 - 22,76 - (0,35 x 126,46) = 202,07m³</t>
  </si>
  <si>
    <t>A = (0,10 + 0,15) x 621,40 = 310,70 m²</t>
  </si>
  <si>
    <t>4.4</t>
  </si>
  <si>
    <t>4.5</t>
  </si>
  <si>
    <t>4.6</t>
  </si>
  <si>
    <t>4.7</t>
  </si>
  <si>
    <t>4.8</t>
  </si>
  <si>
    <t>4.9</t>
  </si>
  <si>
    <t>Pintura de meio-fio com tinta branca a base de cal</t>
  </si>
  <si>
    <t>Placa indicativa da obra em chapa de aço galvanizado</t>
  </si>
  <si>
    <t>Extensão da rua</t>
  </si>
  <si>
    <t>Memória de Cálculos - Pavimentação</t>
  </si>
  <si>
    <t>largura</t>
  </si>
  <si>
    <t>comprimento</t>
  </si>
  <si>
    <t>área</t>
  </si>
  <si>
    <t>meio-fio</t>
  </si>
  <si>
    <t>descidas drenagem</t>
  </si>
  <si>
    <t>rampas</t>
  </si>
  <si>
    <t>largura rampa</t>
  </si>
  <si>
    <t>&gt; Serviços Preliminares:</t>
  </si>
  <si>
    <t>&gt; Pavimentação:</t>
  </si>
  <si>
    <t>&gt; Placa esmaltada para identificação do nome da rua (45,00 x 20,00 cm) = 1und</t>
  </si>
  <si>
    <t>Planilha Orçamentária Individual - Pavimentação</t>
  </si>
  <si>
    <t>Quant.</t>
  </si>
  <si>
    <t>Preço</t>
  </si>
  <si>
    <t>Unitário</t>
  </si>
  <si>
    <t>Total</t>
  </si>
  <si>
    <t>Serviços Preliminares</t>
  </si>
  <si>
    <t>Pavimentação</t>
  </si>
  <si>
    <t>T  O  T  A  L  .  .  .  .  .  . .  .</t>
  </si>
  <si>
    <t>Extensão: 373,51m</t>
  </si>
  <si>
    <t>Comprimento: 373,51m</t>
  </si>
  <si>
    <t>Largura maior: 5,00m</t>
  </si>
  <si>
    <t>Área: A = 373,51 x 5,00 = 1.867,55m²</t>
  </si>
  <si>
    <t>Boca de rua 1 (trapézio)</t>
  </si>
  <si>
    <t>Boca de rua 3</t>
  </si>
  <si>
    <t>A = (4,72 + 4,18) x 4,89 / 2 + 1,22 x 1,18 / 2</t>
  </si>
  <si>
    <t xml:space="preserve"> + 1,05 x 1,06 / 2 =</t>
  </si>
  <si>
    <t>A = 23,04m²</t>
  </si>
  <si>
    <t>Boca de rua 2</t>
  </si>
  <si>
    <t>A = 5,09 x 6,00 + 1,01 x 0,86 / 2 + 1,37 x 1,12 / 2</t>
  </si>
  <si>
    <t>A = 31,74m²</t>
  </si>
  <si>
    <t>A = 5,00 x 5,00 + 1,35 x 1,20 / 2 + 1,46 x 1,20 / 2 =</t>
  </si>
  <si>
    <t>A = 26,70m²</t>
  </si>
  <si>
    <t>Boca de rua 4</t>
  </si>
  <si>
    <t>A = 5,00 x 5,00 + 1,20 x 1,20 / 2 + 1,18 x 1,00 / 2 =</t>
  </si>
  <si>
    <t>A = 26,31m²</t>
  </si>
  <si>
    <t>Boca de rua 5</t>
  </si>
  <si>
    <t>A = 5,00 x 5,00 + 1,20 x 1,20 / 2 + 1,20 x 1,20 / 2 =</t>
  </si>
  <si>
    <t>A = 26,44m²</t>
  </si>
  <si>
    <t>&gt; Locação de pavimentação:
Extensão da rua: 373,51m</t>
  </si>
  <si>
    <t>Boca de rua 6</t>
  </si>
  <si>
    <t>&gt; Regularização e compactação de sub-leito até 20cm de espessura: A = 1.867,55 + 23,04 + 31,74 + 26,44 + 26,70 + 26,31 + 26,44 = 2.028,22m²</t>
  </si>
  <si>
    <t>&gt; Execução de pavimento em paralelepípedo inclusive colchão de areia rejuntado no traço 1:3 (Cimento e areia):  A = 1.867,55 + 23,04 + 31,74 + 26,44 + 26,70 + 26,31 + 26,44 = 2.028,22m²</t>
  </si>
  <si>
    <t>&gt; Assentamento de guia (meio-fio) em trecho reto, confeccionada em concreto pré-fabricado, dimensões 100x15x13x30 cm (comprimento x base inferior x base superior x altura), para vias urbanas (uso viário):
Comprimento de meio-fio: C = 19,46 + 3,35 + 16,60 + 22,09 + 23,57 + 2,62 + 0,34 + 0,78 + 7,38 + 2,09 + 2,28 + 6,59 + 3,16 + 5,85 + 6,16 + 2,55 + 3,65 + 7,03 + 3,45 + 9,26 + 1,86 + 3,40 + 0,94 + 3,19 + 1,72 + 9,26 + 15,55 + 5,97 + 7,19 + 9,66 + 9,53 + 14,85 + 32,28 + 5,18 + 12,13 + 13,23 + 13,34 + 1,53 + 4,59 + 6,00 + 3,25 + 1,76 + 11,74 + 10,99 + 8,84 + 20,45 + 11,97 + 1,88 + 0,74 + 3,06 + 3,80 + 1,88 + 11,52 + 2,58 + 3,94 + 7,51 + 8,76 + 1,88 + 3,80 + 3,80 + 1,88 + 11,42 + 23,16 + 13,45 + 7,39 + 21,31 + 13,82 + 2,09 + 1,88 + 3,80 + 3,83 + 1,68 + 2,56 + 0,94 + 1,64 + 1,88 + 3,80 + 14,00 + 3,80 + 1,88 + 1,07 + 1,51 + 14,48 + 15,38 + 6,57 + 3,90 + 10,08 + 9,87 + 5,51 + 11,02 + 3,94 + 11,70 + 21,22 + 10,51 + 7,54 + 15,97 + 3,97 + 3,94 + 10,54 + 11,34 = 760,08m</t>
  </si>
  <si>
    <t>&gt; Execução de alvenaria de conteção para as calçadas utilizando bloco cerâmico, de 8 furos, na horizontal (9 x 19 x 19)cm, com duas fiadas, e assentados com argamassa de preparo manual: A = (19,35 + 16,77 + 21,73 + 23,91 + 7,76 + 1,93 + 1,91 + 6,76 + 3,26 + 1,06 + 0,50 + 3,19 + 9,53 + 32,28 + 13,28 + 13,24 + 4,59 + 1,05 + 5,76 + 1,05 + 3,25 + 10,66 + 11,95 + 8,59 + 20,78 + 11,99 + 0,79 + 0,71 + 0,68 + 11,52 + 7,54 + 3,80 + 1,05 + 1,05 + 3,80 + 23,13 + 13,39 + 7,33 + 21,31 + 2,15 + 1,05 + 1,05 + 3,83 + 1,64 + 3,80 + 1,05 + 13,95 + 1,05 + 3,80 + 0,67 + 15,41 + 3,82 + 10,51 + 16,08 + 4,17 + 10,04 + 11,56) x 0,20 = 457,86m x 0,20m = 91,57m²</t>
  </si>
  <si>
    <t>Extensão: 242,44m</t>
  </si>
  <si>
    <t>&gt; Assentamento de guia (meio-fio) em trecho reto, confeccionada em concreto pré-fabricado, dimensões 100x15x13x30 cm (comprimento x base inferior x base superior x altura), para vias urbanas (uso viário):
Comprimento de meio-fio: C = 19,11 + 1,55 + 18,21 + 6,36 + 6,59 + 14,85 + 12,43 + 2,31 + 10,81 + 15,88 + 10,66 + 1,09 + 2,11 + 2,21 + 2,83 + 8,77 + 4,82 + 1,56 + 4,49 + 19,67 + 11,41 + 11,30 + 12,12 + 4,52 + 5,42 + 5,35 + 2,59 + 0,68 + 1,95 + 3,33 + 6,64 + 3,46 + 0,28 + 1,86 + 0,24 + 16,96 + 32,58 + 16,10 + 5,47 + 9,85 + 8,23 + 4,55 + 0,25 + 6,67 + 9,65 + 2,01 + 3,43 + 4,18 + 1,78 + 0,59 + 1,55 + 9,65 + 9,74 + 13,87 + 22,17 + 1,39 + 5,52 + 1,86 + 2,38 + 32,97 + 6,39 + 3,59 + 15,89 + 6,34 = 493,07m</t>
  </si>
  <si>
    <t>&gt; Locação de pavimentação:
Extensão da rua: 242,44m</t>
  </si>
  <si>
    <t>Comprimento: 242,44m</t>
  </si>
  <si>
    <t>Boca de rua 1</t>
  </si>
  <si>
    <t>A = 5,00 x 5,00 + (1,55 x 1,70 / 2) + (0,91 x 0,92 / 2)</t>
  </si>
  <si>
    <t>A = 26,74m²</t>
  </si>
  <si>
    <t>A = 5,00 x 5,00 + 1,28 x 1,18 / 2 + 1,16 x 1,22 / 2</t>
  </si>
  <si>
    <t>A = 5,00 x 5,00 + 1,19 x 1,32 / 2 + 1,19 x 1,08 / 2 =</t>
  </si>
  <si>
    <t>A = 26,47m²</t>
  </si>
  <si>
    <t>A = 26,67m²</t>
  </si>
  <si>
    <t>A = 5,00 x 5,00 + 0,79 x 0,78 / 2 + 1,83 x 1,83 / 2 =</t>
  </si>
  <si>
    <t>A = 26,99m²</t>
  </si>
  <si>
    <t>Área: A = 242,44 x 5,00 = 1.212,20m²</t>
  </si>
  <si>
    <t>&gt; Regularização e compactação de sub-leito até 20cm de espessura: A = 1.212,20 + 26,74 + 26,47 + 26,67 + 26,99 = 1.319,07m²</t>
  </si>
  <si>
    <t>&gt; Execução de pavimento em paralelepípedo inclusive colchão de areia rejuntado no traço 1:3 (Cimento e areia):  A = 1.212,20 + 26,74 + 26,47 + 26,67 + 26,99 = 1.319,07m²</t>
  </si>
  <si>
    <t>&gt; Execução de alvenaria de conteção para as calçadas utilizando bloco cerâmico, de 8 furos, na horizontal (9 x 19 x 19)cm, com duas fiadas, e assentados com argamassa de preparo manual: A = (1,60 + 18,85 + 10,77 + 2,11 + 2,84 + 1,05 + 1,05 + 4,85 + 8,64 + 19,67 + 11,45 + 12,32 + 11,10 + 4,68 + 5,28 + 3,27 + 1,05 + 6,77 + 1,05 + 3,51 + 0,71 + 9,12 + 5,50 + 0,68 + 6,81 + 1,05 + 1,05 + 4,18 + 0,54 + 13,88 + 5,52 + 22,19 + 1,05 + 1,05 + 1,86 + 3,57 + 32,97 + 6,33 + 1,05 + 1,05) x 0,20 = 252,07m x 0,20m = 50,41m²</t>
  </si>
  <si>
    <t>&gt; Execução de passeio (calçada) em concreto moldado in loco, feito em obra, acabamento convencional, não armado, espessura 6 cm (excluindo-se área de rampas, espessuras do meio-fio e volume do piso tátil): V =  (3,35 x 1,05 / 2) + (19,46 x 1,05) + (16,60 x 1,05) + (22,09 x 1,05) + (23,57 x 1,05) + (2,62 x 1,05) + (1,05 + 0,71) x 0,34 / 2 + (0,71 + 1,05) x 0,78 / 2 + (7,38 x 1,05) + (2,09 x 1,05) + (2,28 x 1,05) + (6,59 x 1,05) + (0,26 + 1,05) x 3,16 / 2 + (5,85 x 1,05) + (6,16 x 1,05 / 2) + (1,05 + 0,59) x 2,55 / 2 + (7,03 x 0,32 / 2) + (0,32 + 0,37) x 3,45 / 2 + (0,59 + 1,05) x 9,26 / 2 + (1,05 x 1,05 / 2) + (3,40 x 1,05) + (0,94 x 0,50) + (3,19 x 1,05) + (1,05 x 1,05 / 2) + (9,26 x 1,05) + (15,55 x 0,37 / 2) + (1,05 + 0,46) x 0,68 / 2 + (5,97 x 0,46 / 2) + (7,19 x 0,75 / 2) + (9,66 x 0,19 / 2) + (0,19 + 0,16) x 14,85 / 2 + 32,28 x 1,05 + (0,16 + 0,54) x 5,18 / 2 + (0,54 + 1,05) x 12,13 / 2 + (13,23 x 1,05) + (13,34 x 1,05) + (1,05 x 1,05 / 2) + (4,59 x 1,05) + (6,00 x 1,05) + (3,25 x 1,05) + (1,05 x 1,05 / 2) + (11,74 x 1,05) + (10,99 x 1,05) + (8,84 x 1,05) + (20,45 x 1,05) + (11,97 x 1,05) + (1,05 x 1,05 / 2) + (0,74 x 1,05) + (0,86 + 0,71) x 3,06 / 2 + (0,68 + 0,95) x 3,80 / 2 + (0,95 x 0,95 / 2) + (11,52 x 1,05) + (0,63 + 0,92) x 2,58 / 2 + (0,92 + 0,95) x 3,94 / 2 + (7,51 x 1,05) + (0,95 + 0,58) x 8,76 / 2 + (1,05 x 1,05 / 2) + (3,80 x 1,05) + (3,80 x 1,05) + (1,05 x 1,05 / 2) + (0,58 + 1,05) x 11,42 / 2 + (23,16 x 1,05) + (13,45 x 1,05) + (7,39 x 1,05) + (21,31 x 1,05) + (13,82 x 0,96 / 2) + (2,09 x 1,05) + (1,05 x 1,05 / 2) + (3,80 x 1,05) + (3,83 x 1,05) + (1,05 x 1,05 / 2) + (2,56 x 0,29 / 2) + (0,29 + 1,05) x 0,94 / 2 + (1,64 x 1,05) + (1,05 x 1,05 / 2) + (3,80 x 1,05) + (14,00 x 1,05) + (3,80 x 1,05) + (1,05 x 1,05 / 2) + (1,07 + 0,67) x 1,05 / 2 + (1,51 x 0,23) / 2 + (14,48 x 0,33 / 2) + (15,38 x 1,05) + (0,33 + 0,43) x 6,57 / 2 + (3,90 x 1,05) + (10,08 x 0,53 / 2) + (0,43 + 1,10) x 9,87 / 2 + (1,10 + 0,97) x 5,51 / 2 + (0,53 + 1,03) x 11,02 / 2 + (0,97 + 0,15) x 3,94 / 2 + (0,15 + 1,05) x 11,70 / 2 + (1,03 + 0,68) x 21,22 / 2 + (10,51 x 1,05) + (0,68 + 0,73) x 7,54 / 2 + 15,97 x 1,05 + (0,73 + 1,03) x 3,97 / 2 + (1,03 + 1,00) x 3,94 / 2 + (1,00 + 0,98) x 10,54 / 2 + (11,34 x 1,05) = 631,39m² - 132,47m² = 498,92m² x 0,06m = 29,94m³</t>
  </si>
  <si>
    <t>Desconto do volume do piso tátil nas calçadas:
V = (10,13 + 7,80 + 1,78 + 2,54 + 18,95 + 23,71 + 7,53 + 3,69 + 22,84 + 10,39 + 10,13 + 0,63 + 4,55 + 5,83 + 3,20 + 0,86 + 3,56 + 3,41 + 0,72 + 10,00 + 20,59 + 10,64 + 0,87 + 3,83 + 11,56 + 0,90 + 3,85 + 3,86 + 1,15 + 4,17 + 11,22 + 10,36 + 3,36 + 20,37 + 10,97 + 14,32 + 9,28 + 21,08 + 5,52 + 11,48 + 16,01 + 11,42 + 9,26) x 0,25 x 0,02 = 368,32 x 0,20 x 0,02 = 1,47m³
Total: V = 29,94 - 1,47 = 28,47m³</t>
  </si>
  <si>
    <t>&gt; Piso tátil direcional e/ou alerta, de concreto, na cor natural, para deficientes visuais, dimensões 20x20cm, aplicado com argamassa industrializada ac-ii (rota acessível):
Rampas: A = (1,20 x 0,20) x 3 x 7 + (1,05 + 2,42 + 1,05 + 4,76 + 1,42 / 2 + 2,00 + 1,05 + 3,00 + 1,05 + 2,66 + 1,05 + 2,01 + 1,05 + 3,00 + 1,05 + 1,05 + 1,05 + 1,05 + 1,05 + 1,05 + 1,05 + 2,00 + 1,05 + 2,00 + 1,05 + 2,00 + 0,99) x 0,20 = 13,70m²
Calçadas: A = (10,13 + 7,80 + 1,78 + 2,54 + 18,95 + 23,71 + 7,53 + 3,69 + 22,84 + 10,39 + 10,13 + 0,63 + 4,55 + 5,83 + 3,20 + 0,86 + 3,56 + 3,41 + 0,72 + 10,00 + 20,59 + 10,64 + 0,87 + 3,83 + 11,56 + 0,90 + 3,85 + 3,86 + 1,15 + 4,17 + 11,22 + 10,36 + 3,36 + 20,37 + 10,97 + 14,32 + 9,28 + 21,08 + 5,52 + 11,48 + 16,01 + 11,42 + 9,26) x 0,20 = 73,66m²
Total: A = 13,70 + 73,66 = 87,36m²</t>
  </si>
  <si>
    <t>&gt; Pintura acrílica em piso cimentado da rampa, 2 demãos: A = (7,50 x 1,20) x 7 + 5,75 + 6,31 + 5,25 + 6,11 + 5,71 + 5,24 + 5,25 + 7,18 + 7,07 + 5,20 + 5,25 + 5,15 = 132,47m²</t>
  </si>
  <si>
    <t>RUA FRANCISCO JOSÉ CARDOSO - Trecho 01</t>
  </si>
  <si>
    <t>Diversos</t>
  </si>
  <si>
    <t>&gt; Diversos</t>
  </si>
  <si>
    <t>Execução de alvenaria de conteção para as calçadas utilizando bloco cerâmico, de 8 furos, na horizontal (9 x 19 x 19)cm, com duas fiadas, e assentados com argamassa de preparo manual</t>
  </si>
  <si>
    <t>Execução de passeio (calçada) em concreto moldado in loco, feito em obra, acabamento convencional, não armado, espessura 6 cm</t>
  </si>
  <si>
    <t>Execução de rampa em concreto moldado in loco, feito em obra, acabamento convencional, não armado, conforme ABNT NBR 9050/2004</t>
  </si>
  <si>
    <t>Piso tátil direcional e/ou alerta, de concreto, na cor natural, para deficientes visuais, dimensões 20x20cm, aplicado com argamassa industrializada ac-ii</t>
  </si>
  <si>
    <t>Pintura acrílica em piso cimentado da rampa, 2 demãos</t>
  </si>
  <si>
    <t>&gt; Placa indicativa da obra em chapa de aço galvanizado (3,00m x 1,50m) = 4,50m²</t>
  </si>
  <si>
    <t>Composição 03</t>
  </si>
  <si>
    <t>Composição 04</t>
  </si>
  <si>
    <t>Placa esmaltada para identificação de nome de rua, dimensões 45x20cm</t>
  </si>
  <si>
    <t>103329</t>
  </si>
  <si>
    <t>102491</t>
  </si>
  <si>
    <t>Composição 05</t>
  </si>
  <si>
    <t>RUA FRANCISCO JOSÉ CARDOSO - Trecho 02</t>
  </si>
  <si>
    <t>&gt; Execução de rampa em concreto moldado in loco, feito em obra, acabamento convencional, não armado, conforme ABNT NBR 9050/2004:
Serão 7 rampas de tamanho padrão (7,50 x 1,20), mais 12 rampas de formas variadas, cujas áreas forma extraídas do AutoCad. Logo,
A = (7,50 x 1,20) x 7 + 5,75 + 6,31 + 5,25 + 6,11 + 5,71 + 5,24 + 5,25 + 7,18 + 7,07 + 5,20 + 5,25 + 5,15 = 132,47m² x 0,06m = 7,95m³
Desconto do volume do piso tátil nas rampas:
V = [(1,20 x 3 x 7) + (1,05 + 2,42 + 1,05 + 4,76 + 1,42 / 2 + 2,00 + 1,05 + 3,00 + 1,05 + 2,66 + 1,05 + 2,01 + 1,05 + 3,00 + 1,05 + 1,05 + 1,05 + 1,05 + 1,05 + 1,05 + 1,05 + 2,00 + 1,05 + 2,00 + 1,05 + 2,00 + 0,99)] x 0,20 x 0,02 = 0,27m³
Total: V = 7,95 - 0,27 = 7,68m³</t>
  </si>
  <si>
    <t>&gt; Execução de rampa em concreto moldado in loco, feito em obra, acabamento convencional, não armado, conforme ABNT NBR 9050/2004: A = (7,50 x 1,20) x 3 + 4,98 + 5,40 + 5,24 + 6,19 + 7,62 + 5,24 + 5,25 = 66,92m² x 0,06m = 4,02m³
Desconto do volume do piso tátil nas rampas:
V = [(1,20 x 3 x 3) + (1,05 + 2,00 + 1,05 + 2,30 + 2,00 + 1,05 + 1,05 x 3 + 1,05 x 3 + 2,00 + 1,05 + 2,00 + 1,05)] x 0,20 x 0,02 = 0,13m³
Total: V = 4,02 - 0,13 = 3,89m³</t>
  </si>
  <si>
    <t>&gt; Pintura acrílica em piso cimentado da rampa, 2 demãos: A = (7,50 x 1,20) x 3 + 4,98 + 5,40 + 5,24 + 6,19 + 7,62 + 5,24 + 5,25 = 66,92m²</t>
  </si>
  <si>
    <t>&gt; Execução de passeio (calçada) em concreto moldado in loco, feito em obra, acabamento convencional, não armado, espessura 6 cm (excluindo-se área de rampas, espessuras do meio-fio e volume do piso tátil): V =  (19,11 x 1,05) + (1,55 x 1,05) + (18,21 x 1,05 / 2) + (6,36 x 0,23 / 2) + (6,59 x 0,76 / 2) + (0,23 + 0,14) x 14,85 / 2 + (12,43 x 0,48 / 2) + (0,48 + 0,33) x 2,31 / 2 + (10,81 x 1,05) + (0,33 + 0,20) x 15,88 / 2 + (1,05 + 0,92) x 10,66 / 2 + (0,20 + 1,05) x 1,09 / 2 + (2,11 x 1,05) + (1,05 x 1,05 / 2) + (2,83 x 1,05) + (8,77 x 1,05) + (4,82 x 1,05) + (1,05 x 1,05 / 2) + (0,98 + 1,05) x 4,49 / 2 + (19,67 x 1,05) + (11,41 x 1,05) + (11,30 x 1,05) + (12,12 x 1,05) + (4,52 x 1,05) + (5,42 x 1,05) + (1,05 + 0,77) x 5,35 / 2 + (1,05 + 0,60) x 2,59 / 2 + (0,60 + 0,82) x 0,68 / 2 + (0,82 x 0,82 / 2) + (0,82 + 0,54) x 0,67 / 2 + (3,33 x 1,05) + (6,64 x 1,05) + (3,46 x 1,06) + (0,28 x 0,54) + (0,54 x 1,86) + (0,24 x 0,19) + (0,19 + 0,62) x 16,96 / 2 + (0,26 + 0,54) x 32,58 / 2 + (0,62 + 0,29) x 16,10 / 2 + (5,47 x 1,05) + (9,85 x 1,05) + (1,05 + 0,54) x 8,23 / 2 + (0,77 + 0,92) x 4,55 / 2 + (0,25 x 1,05) + (6,67 x 1,05) + (9,65 x 0,92 / 2) + (1,05 x 1,05 / 2) + (3,43 x 1,05) + (4,18 x 1,05) + (1,05 x 1,05 / 2) + (0,59 x 1,05) + (9,65 x 0,82 / 2) + (9,74 x 0,51 / 2) + (13,87 x 1,05) + (22,17 x 1,05) + (1,05 x 1,05 / 2) + (5,52 x 1,05) + (1,86 x 1,05) + (1,05 x 1,05 / 2) + (32,97 x 1,05) + (0,27 + 0,60) x 6,39 / 2 + (3,59 x 1,05) + (0,93 + 0,71) x 15,89 / 2 + (6,34 x 1,05) = 373,40m² - 66,92m² = 306,48m² x 0,06m = 18,39m³
Desconto do volume do piso tátil nas calçadas:
V = (13,88 + 5,77 + 10,70 + 8,72 + 4,52 + 16,38 + 11,42 + 3,61 + 3,83 + 0,87 + 0,41 + 4,99 + 9,95 + 6,69 + 9,82 + 5,01 + 8,99 + 4,51 + 3,64 + 6,67 + 1,00 + 3,38 + 4,23 + 0,90 + 0,62 + 8,84 + 0,73 + 5,48 + 17,18 + 0,93 + 1,14 + 4,75 + 19,48 + 20,78 + 6,34) x 0,20 x 0,02 = 236,16 x 0,20 x 0,02 = 0,94m³
Total: V = 18,39 - 0,94 = 17,45m³</t>
  </si>
  <si>
    <t>&gt; Piso tátil direcional e/ou alerta, de concreto, na cor natural, para deficientes visuais, dimensões 20x20cm, aplicado com argamassa industrializada ac-ii (rota acessível):
Rampas: A = (1,20 x 0,20) x 3 x 3 + (1,05 + 2,00 + 1,05 + 2,30 + 2,00 + 1,05 + 1,05 x 3 + 1,05 x 3 + 2,00 + 1,05 + 2,00 + 1,05) x 0,20 = 6,53m²
Calçadas: A = (13,88 + 5,77 + 10,70 + 8,72 + 4,52 + 16,38 + 11,42 + 3,61 + 3,83 + 0,87 + 0,41 + 4,99 + 9,95 + 6,69 + 9,82 + 5,01 + 8,99 + 4,51 + 3,64 + 6,67 + 1,00 + 3,38 + 4,23 + 0,90 + 0,62 + 8,84 + 0,73 + 5,48 + 17,18 + 0,93 + 1,14 + 4,75 + 19,48 + 20,78 + 6,34) x 0,20 = 47,23m²
Total: A = 6,53 + 47,23 = 53,76m²</t>
  </si>
  <si>
    <t>TOTAL GERAL  (R$)</t>
  </si>
  <si>
    <t>&gt; Movimento de Terra:</t>
  </si>
  <si>
    <t>Movimento de Terra</t>
  </si>
  <si>
    <t>Composição 02</t>
  </si>
  <si>
    <t>RESUMO GERAL</t>
  </si>
  <si>
    <t>Comprimento (m)</t>
  </si>
  <si>
    <t>Largura (m)</t>
  </si>
  <si>
    <t>Área de Pavimentação (m²)</t>
  </si>
  <si>
    <t>Meio-fio (m)</t>
  </si>
  <si>
    <t>Área de Calçada (m²)</t>
  </si>
  <si>
    <t>Placas de sinalização (und)</t>
  </si>
  <si>
    <t>Rampas (m²)</t>
  </si>
  <si>
    <t>PLANILHA ORÇAMENTÁRIA GLOBAL (REPROGRAMAÇÃO)</t>
  </si>
  <si>
    <t>TOTAL GERAL  .  .  .  .  .  . .  . R$</t>
  </si>
  <si>
    <t>Placa indicativa da obra em chapa de aço galvanizado (3,00m x 1,50m)</t>
  </si>
  <si>
    <t>Composição 01</t>
  </si>
  <si>
    <t>Cálculo da área de pavimentação:</t>
  </si>
  <si>
    <t>TOTAL RUA FRANCISCO JOSÉ CARDOSO - Trecho 01 .  .  .  .  .  . .  . R$</t>
  </si>
  <si>
    <t>TOTAL RUA FRANCISCO JOSÉ CARDOSO - Trecho 02 .  .  .  .  .  . .  . R$</t>
  </si>
  <si>
    <t>IMPLANTAÇÃO DE PAVIMENTAÇÃO EM VIAS PUBLICAS URBANAS 
NO MUNICÍPIO DE MAMANGUAPE-PB - CT 1052738-43/2018</t>
  </si>
  <si>
    <t>&gt; Sinalização permanente, vertical, com placa octogonal de aço, padrão DNER, largura 0,60m, com tubo de aço galvanizado de 2,10m, já sendo descontado a altura que ficará contido na base, fixado com base de concreto 40 x 40 x 50 = 4 und</t>
  </si>
  <si>
    <t>&gt; Sinalização permanente, vertical, com placa octogonal de aço, padrão DNER, largura 0,60m, com tubo de aço galvanizado de 2,10m, já sendo descontado a altura que ficará contido na base, fixado com base de concreto 40 x 40 x 50 = 7 und</t>
  </si>
  <si>
    <t>&gt; Pintura de meio-fio com tinta branca a base de cal: A = 760,08 x (0,15 + 0,13) = 212,82m²</t>
  </si>
  <si>
    <t>&gt; Pintura de meio-fio com tinta branca a base de cal: A = 493,07 x (0,15 + 0,13) = 138,06m²</t>
  </si>
  <si>
    <t>Encargos Sociais Desonerados de 84,05% (h)</t>
  </si>
  <si>
    <t>Obs: Encargos Sociais Desonerados de 84,05% (h) contidos nos insumos, conforme informa a tabela de referência citada.</t>
  </si>
  <si>
    <t>&gt; Assentamento de guia (meio-fio) para cordão de travamento do pavimento, em pedra granítica
Para travamento do início e fim do pavimento, e das bocas de rua: C = 5,00 + 5,00 + 4,18 + 6,00 + 5,00 + 5,00 + 5,00 + 5,00  = 40,18m</t>
  </si>
  <si>
    <t>&gt; Assentamento de guia (meio-fio) para cordão de travamento do pavimento, em pedra granítica
Para travamento do início e fim do pavimento, e das bocas de rua: C = 5,00 + 5,00 + 5,00 + 5,00 + 5,00 + 6,00  = 31,00m</t>
  </si>
  <si>
    <t>Encargos Sociais Desonerados de 84,05% (h) - Data-base dos preços unitários - SINAPI PB: Abril/2023 - DER-PB: Jul-Set/2022</t>
  </si>
  <si>
    <t>Construção e Reforma de quaisquer Edificações inclusive Unidades Habitacionais, Escolas, Hospitais, de uso Agropecuário, Estações p/Trens/Metrôs, Estádios e Quadras Esportivas Instalações p/Embarque/Desembarque de passageiros em Aeroportos, Rodoviárias, Portos, etc., Pórticos, Mirantes e outros Edifícios de finalidade turística</t>
  </si>
  <si>
    <t xml:space="preserve">Construção de Rodovias, Ferrovias, Pistas de Aeroportos, Pontes, Viadutos, Metrôs, Túneis, Barreiras Acústicas, Praças de Pedágio, Sinalização de Rodovias e Aeroportos, Placas de Sinalização de Tráfego e Semelhantes, Infra Viária Urbana, Estacionamento de Veículos, Praças, Calçadas p/Pedestres, Elevados, Passarelas, Ciclovias e VLT </t>
  </si>
  <si>
    <t>Abastecimento de Água, Coleta de Esgoto</t>
  </si>
  <si>
    <t>Fornecimento de materiais e equipamentos</t>
  </si>
  <si>
    <t>Construção e Manutenção de Estações e Redes de Distribuição de Energia Elétrica</t>
  </si>
  <si>
    <t>Portuárias, Marítimas e Fluviais</t>
  </si>
  <si>
    <t>Item componente do BDI</t>
  </si>
  <si>
    <t>% Informado</t>
  </si>
  <si>
    <t>1ºQ</t>
  </si>
  <si>
    <t>Médio</t>
  </si>
  <si>
    <t>3º Q</t>
  </si>
  <si>
    <t>Administração Central ( AC )</t>
  </si>
  <si>
    <t>7.85</t>
  </si>
  <si>
    <t>Seguro (S) e Garantia (G)</t>
  </si>
  <si>
    <t>Risco (R)</t>
  </si>
  <si>
    <t>Despesas Financeiras (DF)</t>
  </si>
  <si>
    <t>Lucro (L)</t>
  </si>
  <si>
    <t>Impostos (I) - PIS, COFINS, ISSQN</t>
  </si>
  <si>
    <t>Conforme Legislação Específica</t>
  </si>
  <si>
    <t>Observações</t>
  </si>
  <si>
    <t>VALORES DE BDI POR TIPO DE OBRA</t>
  </si>
  <si>
    <t>1) Preencher apenas a coluna % Informado (Coluna B)</t>
  </si>
  <si>
    <t>Tipo de Obra</t>
  </si>
  <si>
    <t>2) Os Tributos normalmente aplicáveis são: PIS (0,65%), COFINS (3,00%), ISS (2,5%) e CPRB (4,5%).</t>
  </si>
  <si>
    <t>Construção de Edifícios</t>
  </si>
  <si>
    <t>3) O cálculo do BDI se baseia na fórmula abaixo utilizada pelo Acórdão 2622/13 do TCU, conforme CE GEPAD 354/2013 de 17/10/2013.</t>
  </si>
  <si>
    <t>Construção de Rodovias e Ferrovias</t>
  </si>
  <si>
    <t>B.D.I  =</t>
  </si>
  <si>
    <t>Rede de Abastecimento de Água, Coleta de Esgotos</t>
  </si>
  <si>
    <t>Fórmula Utilizada:</t>
  </si>
  <si>
    <t>Estações e Redes de Distribuição de Energia Elétrica</t>
  </si>
  <si>
    <t>Obras Portuárias, Marítimas e Fluviais</t>
  </si>
  <si>
    <t>Fornecimento de Materiais e Equipamentos</t>
  </si>
  <si>
    <t xml:space="preserve">Unitário Ajustado com BDI 29,35% </t>
  </si>
  <si>
    <t>PLANILHA ORÇAMENTÁRIA CONSOLIDADA (REPROGRAMAÇÃO)</t>
  </si>
  <si>
    <t>TOTAL RUA ANTONIO PESSOA DE VASCONCELOS  .  .  .  .  .  . .  . R$</t>
  </si>
  <si>
    <t>TOTAL RUA VEREADOR FIRMINO CAETANO  .  .  .  .  .  . .  . R$</t>
  </si>
  <si>
    <t>Trecho 01: E0 à E0+1,00 (triângulo)</t>
  </si>
  <si>
    <t>Trecho 02: E0+1,00 à E1+1,43 (trapézio)</t>
  </si>
  <si>
    <t>Comprimento (base): 1,96m</t>
  </si>
  <si>
    <t>Comprimento: 20,40m</t>
  </si>
  <si>
    <t>Largura (altura): 6,00m</t>
  </si>
  <si>
    <t>Largura inicial: 6,00m / Largura final: 5,00m</t>
  </si>
  <si>
    <t>Área: A = 1,96 x 6,00 / 2 = 5,88m²</t>
  </si>
  <si>
    <t>Área: A = (6,00 + 5,00) x 20,40 / 2 = 112,20m²</t>
  </si>
  <si>
    <t>Trecho 03: E1+1,43 à E8+10,24 (retângulo)</t>
  </si>
  <si>
    <t>Trecho 04: E8+10,24 à E10+8,05 (trapézio)</t>
  </si>
  <si>
    <t>Comprimento: 148,81m</t>
  </si>
  <si>
    <t>Comprimento: 37,90m</t>
  </si>
  <si>
    <t>Largura: 5,00m</t>
  </si>
  <si>
    <t>Largura inicial: 5,00m / Largura final: 6,00m</t>
  </si>
  <si>
    <t>Área: A = 148,81 x 5,00 = 744,05m²</t>
  </si>
  <si>
    <t>Área: A = (5,00 + 6,00) x 37,90 / 2 = 208,45m²</t>
  </si>
  <si>
    <t>Trecho 05: E10+8,05 à E13+5,78 (retângulo)</t>
  </si>
  <si>
    <t>Trecho 06: E13+5,78 à E13+7,40 (triângulo)</t>
  </si>
  <si>
    <t>Comprimento: 57,73m</t>
  </si>
  <si>
    <t>Comprimento (base): 3,52m</t>
  </si>
  <si>
    <t>Largura: 6,00m</t>
  </si>
  <si>
    <t>Área: A = 57,73 x 6,00 = 346,38m²</t>
  </si>
  <si>
    <t>Área: A = 3,52 x 6,00 / 2 = 10,56m²</t>
  </si>
  <si>
    <t>Áreas indicadas em planta, extraídas do CAD:</t>
  </si>
  <si>
    <t>A1 = 1,00m² ; A2 = 0,16m²</t>
  </si>
  <si>
    <t>Atotal = 1,00 + 0,16 = 1,16m²</t>
  </si>
  <si>
    <t>&gt; Terraplenagem:</t>
  </si>
  <si>
    <t>&gt; Passeios (calçadas)</t>
  </si>
  <si>
    <t>&gt; Rampas de Acessibilidade</t>
  </si>
  <si>
    <t>Serviços de Terraplanagem</t>
  </si>
  <si>
    <t>Passeios (calçadas)</t>
  </si>
  <si>
    <t>Rampas de Acessibilidade</t>
  </si>
  <si>
    <t>Concreto Fck = 15MPa, traço 1:3,4:3,5 (em massa seca de cimento/ areia média/ brita 1) - preparo mecânico com betoneira 400 L</t>
  </si>
  <si>
    <t>Lançamento com uso de baldes, adensamento e acabamento de concreto em estruturas</t>
  </si>
  <si>
    <t>Pintura de piso com tinta acrílica, aplicação manual, 2 demãos, incluso fundo preparador</t>
  </si>
  <si>
    <t>PASSEIOS (CALÇADAS)</t>
  </si>
  <si>
    <t>Trecho 01: E0 à E6+0,44 (retângulo)</t>
  </si>
  <si>
    <t>Trecho 02: E6+0,44 à E6+17,42 (trapézio)</t>
  </si>
  <si>
    <t>Comprimento: 120,44m</t>
  </si>
  <si>
    <t>Comprimento: 16,99m</t>
  </si>
  <si>
    <t>Área: A = 120,44 x 6,00 = 722,64m²</t>
  </si>
  <si>
    <t>Área: A = (6,00 + 5,00) x 16,99 / 2 = 93,45m²</t>
  </si>
  <si>
    <t>Trecho 03: E6+17,42 à E8+16,50 (retângulo)</t>
  </si>
  <si>
    <t>Trecho 04: E8+16,50 à E10+2,52 (trapézio)</t>
  </si>
  <si>
    <t>Comprimento: 39,08m</t>
  </si>
  <si>
    <t>Comprimento: 25,97m</t>
  </si>
  <si>
    <t>Área: A = 39,08 x 5,00 = 195,40m²</t>
  </si>
  <si>
    <t>Área: A = (5,00 + 6,00) x 25,97 / 2 = 142,84m²</t>
  </si>
  <si>
    <t>Trecho 05: E10+2,52 à E14+19,25 (retângulo)</t>
  </si>
  <si>
    <t>Trecho 06: E14+19,25 à E15 (triângulo)</t>
  </si>
  <si>
    <t>Comprimento: 96,73m</t>
  </si>
  <si>
    <t>Comprimento (base): 1,49m</t>
  </si>
  <si>
    <t>Área: A = 305,78 x 6,00 = 580,38m²</t>
  </si>
  <si>
    <t>Área: A = 1,49 x 6,00 / 2 = 4,50m²</t>
  </si>
  <si>
    <t>88309 Composição</t>
  </si>
  <si>
    <t>88629 Composição</t>
  </si>
  <si>
    <t>Argamassa traço 1:3 (em volume de cimento e areia média úmida), preparo manual</t>
  </si>
  <si>
    <t>Fornecimento e aplicação de meio-fio em pedra granítica</t>
  </si>
  <si>
    <t>Pintura de meio-fio com tinta branca a base de cal (caiação)</t>
  </si>
  <si>
    <t>RUA PROJETADA 2 (Vale Verde)</t>
  </si>
  <si>
    <t>Extensão da Rua: E13+7,40 = 267,40m</t>
  </si>
  <si>
    <t>RUA PROJETADA 1 (Vale Verde)</t>
  </si>
  <si>
    <t>Extensão da Rua: E15 = 300,00m</t>
  </si>
  <si>
    <t>TOTAIS RUA PROJETADA 1 (Vale Verde) .  .  .  .  .  . .  . R$</t>
  </si>
  <si>
    <t>TOTAIS RUA PROJETADA 2 (Vale Verde) .  .  .  .  .  . .  . R$</t>
  </si>
  <si>
    <t>Piso tátil direcional e/ou alerta, de concreto, na cor natural, para deficientes visuais, dimensões 20x20cm, aplicado com argamassa industrializada ac-ii - m²</t>
  </si>
  <si>
    <t>Composição 03 - Base 09417/ORSE</t>
  </si>
  <si>
    <t>Concreto Fck = 15mpa, traço 1:3,4:3,5 (em massa seca de cimento/ areia média/ brita 1), preparo mecânico com betoneira 400 L</t>
  </si>
  <si>
    <t>Execução de pavimento em paralelepípedos, rejuntamento com argamassa traço 1:3 (cimento e areia)</t>
  </si>
  <si>
    <t>Alvenaria de blocos cerâmicos furados na horizontal de 9x19x19 cm (espessura 9 cm) e argamassa de assentamento com preparo manual (para contenção das calçadas)</t>
  </si>
  <si>
    <t>103329 SINAPI Out/23</t>
  </si>
  <si>
    <t>94990 SINAPI
Out/23</t>
  </si>
  <si>
    <t>94963 SINAPI
Out/23</t>
  </si>
  <si>
    <t>103670 SINAPI
Out/23</t>
  </si>
  <si>
    <t>102491 SINAPI
Out/23</t>
  </si>
  <si>
    <t>Obs.: Data-base dos preços unitários - SINAPI PB: Outubro/2023, DER-PB: Jul-Set/2023</t>
  </si>
  <si>
    <t>100576 SINAPI Out/23</t>
  </si>
  <si>
    <t>99064 SINAPI Out/23</t>
  </si>
  <si>
    <t>Composição 01 (SINAPI 74209/1 Jan/2020)</t>
  </si>
  <si>
    <t>94273 SINAPI Out/23</t>
  </si>
  <si>
    <t>101169 SINAPI Out/23</t>
  </si>
  <si>
    <t>Composição 02 (04960/ORSE)</t>
  </si>
  <si>
    <t>Composição 03 (Base 09417/ORSE)</t>
  </si>
  <si>
    <t>102498 SINAPI Out/23</t>
  </si>
  <si>
    <t>Composição 04 (Base 4650/ORSE)</t>
  </si>
  <si>
    <t>Composição 05 (SINAPI 73916/2 Jan/20)</t>
  </si>
  <si>
    <t>BDI: 27,48%</t>
  </si>
  <si>
    <t xml:space="preserve">Unitário com BDI 27,48% </t>
  </si>
  <si>
    <t>Obs.: Data-base dos preços unitários - SINAPI PB: Outubro/2023 - DER-PB: Jul-Set/2023</t>
  </si>
  <si>
    <t xml:space="preserve">Unitário Ajustado com BDI 27,54% </t>
  </si>
  <si>
    <t>BDI: 27,54%</t>
  </si>
  <si>
    <t xml:space="preserve">Unitário com BDI 27,54% </t>
  </si>
  <si>
    <t>Itens a excluir</t>
  </si>
  <si>
    <t>Itens a incluir</t>
  </si>
  <si>
    <r>
      <rPr>
        <b/>
        <sz val="10"/>
        <rFont val="Arial"/>
        <family val="2"/>
      </rPr>
      <t>&gt; Concreto Fck = 15MPa, traço 1:3,4:3,5 (em massa seca de cimento/ areia média/ brita 1) - preparo mecânico com betoneira 400 L</t>
    </r>
    <r>
      <rPr>
        <sz val="10"/>
        <rFont val="Arial"/>
        <family val="2"/>
      </rPr>
      <t xml:space="preserve">
V = (7,50 x 1,20) x 6 = 54,00m² x 0,06m = 3,24m³
Desconto do volume do piso tátil nas rampas:
V = [(1,20 x 2 + 1,50 x 1) x 6] x 0,20 x 0,02 = 0,09m³
Total: V = 3,24 - 0,09 = 3,15m³</t>
    </r>
  </si>
  <si>
    <r>
      <rPr>
        <b/>
        <sz val="10"/>
        <rFont val="Arial"/>
        <family val="2"/>
      </rPr>
      <t>&gt; Lançamento com uso de baldes, adensamento e acabamento de concreto em estruturas</t>
    </r>
    <r>
      <rPr>
        <sz val="10"/>
        <rFont val="Arial"/>
        <family val="2"/>
      </rPr>
      <t xml:space="preserve">
V = (7,50 x 1,20) x 6 = 54,00m² x 0,06m = 3,24m³
Desconto do volume do piso tátil nas rampas:
V = [(1,20 x 2 + 1,50 x 1) x 6] x 0,20 x 0,02 = 0,09m³
Total: V = 3,24 - 0,09 = 3,15m³</t>
    </r>
  </si>
  <si>
    <r>
      <rPr>
        <b/>
        <sz val="10"/>
        <rFont val="Arial"/>
        <family val="2"/>
      </rPr>
      <t>&gt; Piso tátil direcional e/ou alerta, de concreto, na cor natural, para deficientes visuais, dimensões 20x20cm, aplicado com argamassa industrializada ac-ii</t>
    </r>
    <r>
      <rPr>
        <sz val="10"/>
        <rFont val="Arial"/>
        <family val="2"/>
      </rPr>
      <t xml:space="preserve">
Rampas: A = [(1,20 x 2 + 1,50 x 1) x 6] x 0,20 = 4,68m²
</t>
    </r>
  </si>
  <si>
    <r>
      <rPr>
        <b/>
        <sz val="10"/>
        <rFont val="Arial"/>
        <family val="2"/>
      </rPr>
      <t>&gt; Pintura de piso com tinta acrílica, aplicação manual, 2 demãos, incluso fundo preparador</t>
    </r>
    <r>
      <rPr>
        <sz val="10"/>
        <rFont val="Arial"/>
        <family val="2"/>
      </rPr>
      <t xml:space="preserve">
A = (7,50 x 1,20) x 6 = 54,00m²</t>
    </r>
  </si>
  <si>
    <r>
      <rPr>
        <b/>
        <sz val="10"/>
        <rFont val="Arial"/>
        <family val="2"/>
      </rPr>
      <t>&gt; Placa indicativa da obra em chapa de aço galvanizado</t>
    </r>
    <r>
      <rPr>
        <sz val="10"/>
        <rFont val="Arial"/>
        <family val="2"/>
      </rPr>
      <t xml:space="preserve">
A = (4,00m x 2,00m) = 8,00m²</t>
    </r>
  </si>
  <si>
    <r>
      <rPr>
        <b/>
        <sz val="10"/>
        <rFont val="Arial"/>
        <family val="2"/>
      </rPr>
      <t xml:space="preserve"> &gt; Locação de pavimentação</t>
    </r>
    <r>
      <rPr>
        <sz val="10"/>
        <rFont val="Arial"/>
        <family val="2"/>
      </rPr>
      <t xml:space="preserve">
Será a extensão da rua: C = E15 = 300,00m</t>
    </r>
  </si>
  <si>
    <r>
      <rPr>
        <b/>
        <sz val="10"/>
        <rFont val="Arial"/>
        <family val="2"/>
      </rPr>
      <t>&gt; Regularização e compactação de sub-leito até 20cm de espessura</t>
    </r>
    <r>
      <rPr>
        <sz val="10"/>
        <rFont val="Arial"/>
        <family val="2"/>
      </rPr>
      <t xml:space="preserve">
A = (722,64 + 93,45 + 195,40 + 142,84 + 1.834,68 + 4,50) = 1.739,21m²</t>
    </r>
  </si>
  <si>
    <r>
      <rPr>
        <b/>
        <sz val="10"/>
        <rFont val="Arial"/>
        <family val="2"/>
      </rPr>
      <t>&gt; Assentamento de guia (meio-fio) em trecho reto, confeccionada em concreto pré-fabricado, dimensões 100x15x13x30 cm (comprimento x base inferior x base superior x altura), para vias urbanas (uso viário)</t>
    </r>
    <r>
      <rPr>
        <sz val="10"/>
        <rFont val="Arial"/>
        <family val="2"/>
      </rPr>
      <t xml:space="preserve">
Comprimento de meio-fio: C = 35,63 + 39,49 + 3,54 + 8,32 + 54,55 + 63,15 + 2,23 + 2,34 + 9,88 + 11,44 + 14,99 + 15,38 +  7,92 + 8,14 + 5,85 + 6,02 + 26,89 + 26,94 + 25,97 + 26,07 + 37,51 + 37,62 + 13,30 + 13,38 + 45,80 + 45,88 + 1,49 = 589,72m</t>
    </r>
  </si>
  <si>
    <r>
      <rPr>
        <b/>
        <sz val="10"/>
        <rFont val="Arial"/>
        <family val="2"/>
      </rPr>
      <t>&gt; Execução de pavimento em paralelepípedo inclusive colchão de areia rejuntado no traço 1:3 (Cimento e areia)</t>
    </r>
    <r>
      <rPr>
        <sz val="10"/>
        <rFont val="Arial"/>
        <family val="2"/>
      </rPr>
      <t xml:space="preserve">
A = (722,64 + 93,45 + 195,40 + 142,84 + 1.834,68 + 4,50) = 1.739,21m²</t>
    </r>
  </si>
  <si>
    <r>
      <rPr>
        <b/>
        <sz val="10"/>
        <rFont val="Arial"/>
        <family val="2"/>
      </rPr>
      <t>&gt; Assentamento de guia (meio-fio) para cordão de travamento do pavimento, em pedra granítica</t>
    </r>
    <r>
      <rPr>
        <sz val="10"/>
        <rFont val="Arial"/>
        <family val="2"/>
      </rPr>
      <t xml:space="preserve">
Para travamento do fim do pavimento, e a cada 40 metros a contar da E0: C = 6,18 + 6,00 x 5 + 5,00 + 5,89 = 47,07m</t>
    </r>
  </si>
  <si>
    <r>
      <rPr>
        <b/>
        <sz val="10"/>
        <rFont val="Arial"/>
        <family val="2"/>
      </rPr>
      <t>&gt; Alvenaria de blocos cerâmicos furados na horizontal de 9x19x19 cm (espessura 9 cm) e argamassa de assentamento com preparo manual (para contenção das calçadas)</t>
    </r>
    <r>
      <rPr>
        <sz val="10"/>
        <rFont val="Arial"/>
        <family val="2"/>
      </rPr>
      <t xml:space="preserve">
A = (1,20 + 1,20 + 35,49 + 39,65 + 8,36 + 53,39 + 64,32 + 1,71 + 2,83 + 9,87 + 11,50 + 14,95 + 15,42 + 1,33 + 7,91 + 5,80 + 8,34 + 26,96 + 15,82 + 25,97 + 26,11 + 37,56 + 37,66 + 13,31 + 11,48 + 42,97 + 17,19 + 1,26 + 1,24) x 0,20 = 540,80m x 0,20m = 108,16m²</t>
    </r>
  </si>
  <si>
    <r>
      <rPr>
        <b/>
        <sz val="10"/>
        <rFont val="Arial"/>
        <family val="2"/>
      </rPr>
      <t>&gt; Execução de passeio (calçada) em concreto moldado in loco, feito em obra, acabamento convencional, não armado, espessura 6 cm</t>
    </r>
    <r>
      <rPr>
        <sz val="10"/>
        <rFont val="Arial"/>
        <family val="2"/>
      </rPr>
      <t xml:space="preserve">
Obs.: excluindo-se área de rampas, espessuras do meio-fio e volume do piso tátil
A = (35,63 + 39,49) x 1,20 + (1,20 + 0,94) x 3,54 / 2 + (8,32 + 54,55 + 63,15 + 2,23 + 2,34 + 9,88 + 11,44 + 14,99 + 15,38 +  7,92 + 8,14 + 5,85 + 6,02 + 26,89 + 26,94 + 25,97 + 26,07 + 37,51 + 37,62 + 13,30 + 13,38 + 45,80 + 45,88 + 1,49) x 1,20 = 707,20m² - 90,00m² = 617,20m² x 0,06m = 37,03m³
Desconto do volume do piso tátil nas calçadas:
V = (4,22 + 5,00 + 26,98 + 27,43 + 8,36 + 5,49 + 3,18 + 5,49 + 3,30 + 3,88 + 3,79 + 4,49 + 5,93 + 5,98 + 4,22 + 4,99 + 5,62 + 6,51 + 4,76 + 6,11 + 5,19 + 5,21 + 5,57 + 6,39 + 5,02 + 7,18 + 2,08 + 2,51 + 2,27 + 3,61 + 14,95 + 15,51 + 7,92 + 8,13 + 5,83 + 6,04 + 23,58 + 26,87 + 25,97 + 29,50 + 6,74 + 34,89 + 23,37 + 2,62 + 13,31 + 13,35 + 30,10 + 30,19 + 7,97 + 9,81) x 0,20 x 0,02 = 527,41 x 0,20 x 0,02 = 2,11m³
Total: V = 37,03 - 2,11 = 34,92m³</t>
    </r>
  </si>
  <si>
    <r>
      <rPr>
        <b/>
        <sz val="10"/>
        <rFont val="Arial"/>
        <family val="2"/>
      </rPr>
      <t>&gt; Piso tátil direcional e/ou alerta, de concreto, na cor natural, para deficientes visuais, dimensões 20x20cm, aplicado com argamassa industrializada ac-ii</t>
    </r>
    <r>
      <rPr>
        <sz val="10"/>
        <rFont val="Arial"/>
        <family val="2"/>
      </rPr>
      <t xml:space="preserve">
Será a área referente ao desconto do piso tátil das calçadas, cujo somatório do comprimento foi calculado no item anterior:
A = 527,41 x 0,20 = 105,48m³</t>
    </r>
  </si>
  <si>
    <r>
      <rPr>
        <b/>
        <sz val="10"/>
        <rFont val="Arial"/>
        <family val="2"/>
      </rPr>
      <t>&gt; Concreto Fck = 15MPa, traço 1:3,4:3,5 (em massa seca de cimento/ areia média/ brita 1) - preparo mecânico com betoneira 400 L</t>
    </r>
    <r>
      <rPr>
        <sz val="10"/>
        <rFont val="Arial"/>
        <family val="2"/>
      </rPr>
      <t xml:space="preserve">
V = (7,50 x 1,20) x 10 = 90,00m² x 0,06m = 5,40m³
Desconto do volume do piso tátil nas rampas:
V = [(1,20 x 2 + 1,50 x 1) x 10] x 0,20 x 0,02 = 0,16m³
Total: V = 5,40 - 0,16 = 5,24m³</t>
    </r>
  </si>
  <si>
    <r>
      <rPr>
        <b/>
        <sz val="10"/>
        <rFont val="Arial"/>
        <family val="2"/>
      </rPr>
      <t>&gt; Lançamento com uso de baldes, adensamento e acabamento de concreto em estruturas</t>
    </r>
    <r>
      <rPr>
        <sz val="10"/>
        <rFont val="Arial"/>
        <family val="2"/>
      </rPr>
      <t xml:space="preserve">
V = (7,50 x 1,20) x 10 = 90,00m² x 0,06m = 5,40m³
Desconto do volume do piso tátil nas rampas:
V = [(1,20 x 2 + 1,50 x 1) x 10] x 0,20 x 0,02 = 0,16m³
Total: V = 5,40 - 0,16 = 5,24m³</t>
    </r>
  </si>
  <si>
    <r>
      <rPr>
        <b/>
        <sz val="10"/>
        <rFont val="Arial"/>
        <family val="2"/>
      </rPr>
      <t>&gt; Piso tátil direcional e/ou alerta, de concreto, na cor natural, para deficientes visuais, dimensões 20x20cm, aplicado com argamassa industrializada ac-ii</t>
    </r>
    <r>
      <rPr>
        <sz val="10"/>
        <rFont val="Arial"/>
        <family val="2"/>
      </rPr>
      <t xml:space="preserve">
Rampas: A = [(1,20 x 2 + 1,50 x 1) x 10] x 0,20 = 7,80m²
</t>
    </r>
  </si>
  <si>
    <r>
      <rPr>
        <b/>
        <sz val="10"/>
        <rFont val="Arial"/>
        <family val="2"/>
      </rPr>
      <t>&gt; Pintura de piso com tinta acrílica, aplicação manual, 2 demãos, incluso fundo preparador</t>
    </r>
    <r>
      <rPr>
        <sz val="10"/>
        <rFont val="Arial"/>
        <family val="2"/>
      </rPr>
      <t xml:space="preserve">
A = (7,50 x 1,20) x 10 = 90,00m²</t>
    </r>
  </si>
  <si>
    <r>
      <rPr>
        <b/>
        <sz val="10"/>
        <rFont val="Arial"/>
        <family val="2"/>
      </rPr>
      <t>&gt; Pintura de meio-fio com tinta branca a base de cal</t>
    </r>
    <r>
      <rPr>
        <sz val="10"/>
        <rFont val="Arial"/>
        <family val="2"/>
      </rPr>
      <t xml:space="preserve">
A = 589,72 x (0,15 + 0,13) = 165,12m²</t>
    </r>
  </si>
  <si>
    <r>
      <rPr>
        <b/>
        <sz val="10"/>
        <rFont val="Arial"/>
        <family val="2"/>
      </rPr>
      <t>&gt; Sinalização permanente, vertical, com placa octogonal de aço, padrão DNER, largura 0,60m, com tubo de aço galvanizado de 2,10m, já sendo descontado a altura que ficará contido na base, fixado com base de concreto 40 x 40 x 50</t>
    </r>
    <r>
      <rPr>
        <sz val="10"/>
        <rFont val="Arial"/>
        <family val="2"/>
      </rPr>
      <t xml:space="preserve">
Quantidade = 1 und</t>
    </r>
  </si>
  <si>
    <r>
      <rPr>
        <b/>
        <sz val="10"/>
        <rFont val="Arial"/>
        <family val="2"/>
      </rPr>
      <t>&gt; Placa esmaltada para identificação do nome da rua (45,00 x 20,00 cm)</t>
    </r>
    <r>
      <rPr>
        <sz val="10"/>
        <rFont val="Arial"/>
        <family val="2"/>
      </rPr>
      <t xml:space="preserve">
Quantidade = 1und</t>
    </r>
  </si>
  <si>
    <r>
      <rPr>
        <b/>
        <sz val="10"/>
        <rFont val="Arial"/>
        <family val="2"/>
      </rPr>
      <t xml:space="preserve"> &gt; Locação de pavimentação</t>
    </r>
    <r>
      <rPr>
        <sz val="10"/>
        <rFont val="Arial"/>
        <family val="2"/>
      </rPr>
      <t xml:space="preserve">
Será a extensão da rua: C = E13+7,40 = 267,40m</t>
    </r>
  </si>
  <si>
    <r>
      <rPr>
        <b/>
        <sz val="10"/>
        <rFont val="Arial"/>
        <family val="2"/>
      </rPr>
      <t>&gt; Regularização e compactação de sub-leito até 20cm de espessura</t>
    </r>
    <r>
      <rPr>
        <sz val="10"/>
        <rFont val="Arial"/>
        <family val="2"/>
      </rPr>
      <t xml:space="preserve">
A = (5,88 + 112,20 + 744,05 + 208,45 + 346,38 + 10,56 + 1,16) = 1.428,68m²</t>
    </r>
  </si>
  <si>
    <r>
      <rPr>
        <b/>
        <sz val="10"/>
        <rFont val="Arial"/>
        <family val="2"/>
      </rPr>
      <t>&gt; Assentamento de guia (meio-fio) em trecho reto, confeccionada em concreto pré-fabricado, dimensões 100x15x13x30 cm (comprimento x base inferior x base superior x altura), para vias urbanas (uso viário)</t>
    </r>
    <r>
      <rPr>
        <sz val="10"/>
        <rFont val="Arial"/>
        <family val="2"/>
      </rPr>
      <t xml:space="preserve">
Comprimento de meio-fio: C = 2,76 + 2,15 + 3,02 + 18,32 + 18,34 + 47,31 + 47,31 + 44,17 + 44,17 + 57,34 + 57,34 + 37,73 + 37,90 + 19,89 + 19,83 + 37,84 + 37,88 = 533,30m</t>
    </r>
  </si>
  <si>
    <r>
      <rPr>
        <b/>
        <sz val="10"/>
        <rFont val="Arial"/>
        <family val="2"/>
      </rPr>
      <t>&gt; Execução de pavimento em paralelepípedo inclusive colchão de areia rejuntado no traço 1:3 (Cimento e areia)</t>
    </r>
    <r>
      <rPr>
        <sz val="10"/>
        <rFont val="Arial"/>
        <family val="2"/>
      </rPr>
      <t xml:space="preserve">
A = (5,88 + 112,20 + 744,05 + 208,45 + 346,38 + 10,56 + 1,16) = 1.428,68m²</t>
    </r>
  </si>
  <si>
    <r>
      <rPr>
        <b/>
        <sz val="10"/>
        <rFont val="Arial"/>
        <family val="2"/>
      </rPr>
      <t>&gt; Assentamento de guia (meio-fio) para cordão de travamento do pavimento, em pedra granítica</t>
    </r>
    <r>
      <rPr>
        <sz val="10"/>
        <rFont val="Arial"/>
        <family val="2"/>
      </rPr>
      <t xml:space="preserve">
Para travamento do fim do pavimento, e a cada 40 metros a contar da E0: C = 6,00m x 6 + 6,96m = 42,96m</t>
    </r>
  </si>
  <si>
    <r>
      <rPr>
        <b/>
        <sz val="10"/>
        <rFont val="Arial"/>
        <family val="2"/>
      </rPr>
      <t>&gt; Alvenaria de blocos cerâmicos furados na horizontal de 9x19x19 cm (espessura 9 cm) e argamassa de assentamento com preparo manual (para contenção das calçadas)</t>
    </r>
    <r>
      <rPr>
        <sz val="10"/>
        <rFont val="Arial"/>
        <family val="2"/>
      </rPr>
      <t xml:space="preserve">
A = (18,58 + 21,75 + 47,26 + 47,28 + 44,15 + 44,18 + 57,32 + 57,35 + 37,73 + 37,92 + 19,85 + 19,89 + 37,05 + 42,20 + 1,39 + 1,39) x 0,20 = 535,29m x 0,20m = 107,06m²</t>
    </r>
  </si>
  <si>
    <r>
      <rPr>
        <b/>
        <sz val="10"/>
        <rFont val="Arial"/>
        <family val="2"/>
      </rPr>
      <t>&gt; Execução de passeio (calçada) em concreto moldado in loco, feito em obra, acabamento convencional, não armado, espessura 6 cm</t>
    </r>
    <r>
      <rPr>
        <sz val="10"/>
        <rFont val="Arial"/>
        <family val="2"/>
      </rPr>
      <t xml:space="preserve">
Obs.: excluindo-se área de rampas, espessuras do meio-fio e volume do piso tátil
A = (1,20 x 1,20) / 2 + (0,51 + 0,18) x 1,20 / 2 + (1,20 x 1,20) / 2 + (0,45 + 0,17) x 1,20 / 2 + (3,02 + 18,32 + 18,34 + 47,31 + 47,31 + 44,17 + 44,17 + 57,34 + 57,34 + 37,73 + 37,90 + 19,89 + 19,83 + 37,84 + 37,88) x 1,20 = 636,29m² - 54,00m² = 582,29m² x 0,06m = 34,94m³
Desconto do volume do piso tátil nas calçadas:
V = (1,33 + 1,49 + 5,31 + 8,34 + 5,59 + 5,61 + 47,29 + 47,29 + 44,11 + 44,16 + 0,75 + 1,16 + 0,65 + 4,12 + 6,20 + 43,62 + 43,69 + 37,91 + 57,62 + 19,84 + 24,58 + 24,63 + 5,33 + 9,61) x 0,20 x 0,02 = 490,23 x 0,20 x 0,02 = 1,96m³
Total: V = 34,94 - 1,96 = 32,98m³</t>
    </r>
  </si>
  <si>
    <r>
      <rPr>
        <b/>
        <sz val="10"/>
        <rFont val="Arial"/>
        <family val="2"/>
      </rPr>
      <t>&gt; Piso tátil direcional e/ou alerta, de concreto, na cor natural, para deficientes visuais, dimensões 20x20cm, aplicado com argamassa industrializada ac-ii</t>
    </r>
    <r>
      <rPr>
        <sz val="10"/>
        <rFont val="Arial"/>
        <family val="2"/>
      </rPr>
      <t xml:space="preserve">
Será a área referente ao desconto do piso tátil das calçadas, cujo somatório do comprimento foi calculado no item anterior:
A = 490,26 x 0,20 = 98,05m³</t>
    </r>
  </si>
  <si>
    <r>
      <rPr>
        <b/>
        <sz val="10"/>
        <rFont val="Arial"/>
        <family val="2"/>
      </rPr>
      <t>&gt; Pintura de meio-fio com tinta branca a base de cal</t>
    </r>
    <r>
      <rPr>
        <sz val="10"/>
        <rFont val="Arial"/>
        <family val="2"/>
      </rPr>
      <t xml:space="preserve">
A = 533,30 x (0,15 + 0,13) = 100,95m²</t>
    </r>
  </si>
  <si>
    <t>Rua Maria Livramento P. Lima (Trecho 01)</t>
  </si>
  <si>
    <r>
      <rPr>
        <b/>
        <sz val="10"/>
        <rFont val="Arial"/>
        <family val="2"/>
      </rPr>
      <t>&gt; Placa indicativa da obra em chapa de aço galvanizado:</t>
    </r>
    <r>
      <rPr>
        <sz val="10"/>
        <rFont val="Arial"/>
        <family val="2"/>
      </rPr>
      <t xml:space="preserve">
A = (4,00m x 2,00m) = 8,00m²</t>
    </r>
  </si>
  <si>
    <r>
      <rPr>
        <b/>
        <sz val="10"/>
        <rFont val="Arial"/>
        <family val="2"/>
      </rPr>
      <t>&gt; Concreto Fck = 15MPa, traço 1:3,4:3,5 (em massa seca de cimento/ areia média/ brita 1) - preparo mecânico com betoneira 400 L</t>
    </r>
    <r>
      <rPr>
        <sz val="10"/>
        <rFont val="Arial"/>
        <family val="2"/>
      </rPr>
      <t xml:space="preserve">
V = (7,50 x 1,20) x 4 = 36,00m² x 0,06m = 2,16m³
Desconto do volume do piso tátil nas rampas:
V = [(1,20 x 2 + 1,50 x 1) x 4] x 0,20 x 0,02 = 0,06m³
Total: V = 2,16 - 0,06 = 2,10m³</t>
    </r>
  </si>
  <si>
    <r>
      <rPr>
        <b/>
        <sz val="10"/>
        <rFont val="Arial"/>
        <family val="2"/>
      </rPr>
      <t>&gt; Lançamento com uso de baldes, adensamento e acabamento de concreto em estruturas</t>
    </r>
    <r>
      <rPr>
        <sz val="10"/>
        <rFont val="Arial"/>
        <family val="2"/>
      </rPr>
      <t xml:space="preserve">
V = (7,50 x 1,20) x 4 = 36,00m² x 0,06m = 2,16m³
Desconto do volume do piso tátil nas rampas:
V = [(1,20 x 2 + 1,50 x 1) x 4] x 0,20 x 0,02 = 0,06m³
Total: V = 2,16 - 0,06 = 2,10m³</t>
    </r>
  </si>
  <si>
    <r>
      <rPr>
        <b/>
        <sz val="10"/>
        <rFont val="Arial"/>
        <family val="2"/>
      </rPr>
      <t>&gt; Piso tátil direcional e/ou alerta, de concreto, na cor natural, para deficientes visuais, dimensões 20x20cm, aplicado com argamassa industrializada ac-ii</t>
    </r>
    <r>
      <rPr>
        <sz val="10"/>
        <rFont val="Arial"/>
        <family val="2"/>
      </rPr>
      <t xml:space="preserve">
Rampas: A = [(1,20 x 2 + 1,50 x 1) x 4] x 0,20 = 3,12m²
</t>
    </r>
  </si>
  <si>
    <r>
      <rPr>
        <b/>
        <sz val="10"/>
        <rFont val="Arial"/>
        <family val="2"/>
      </rPr>
      <t>&gt; Pintura de piso com tinta acrílica, aplicação manual, 2 demãos, incluso fundo preparador</t>
    </r>
    <r>
      <rPr>
        <sz val="10"/>
        <rFont val="Arial"/>
        <family val="2"/>
      </rPr>
      <t xml:space="preserve">
A = (7,50 x 1,20) x 4 = 36,00m²</t>
    </r>
  </si>
  <si>
    <t>&gt; Sinalização</t>
  </si>
  <si>
    <t>SINALIZAÇÃO</t>
  </si>
  <si>
    <t>Sinalização</t>
  </si>
  <si>
    <r>
      <rPr>
        <b/>
        <sz val="10"/>
        <rFont val="Arial"/>
        <family val="2"/>
      </rPr>
      <t>&gt; Placa esmaltada para identificação do nome da rua (45,00 x 20,00 cm):</t>
    </r>
    <r>
      <rPr>
        <sz val="10"/>
        <rFont val="Arial"/>
        <family val="2"/>
      </rPr>
      <t xml:space="preserve">
Q = 1 und</t>
    </r>
  </si>
  <si>
    <t>Rua Maria Livramento P. Lima (Trecho 02)</t>
  </si>
  <si>
    <t>Rua Fábio Barbosa Vaz (Trecho 01)</t>
  </si>
  <si>
    <r>
      <rPr>
        <b/>
        <sz val="10"/>
        <rFont val="Arial"/>
        <family val="2"/>
      </rPr>
      <t>&gt; Locação de pavimentação</t>
    </r>
    <r>
      <rPr>
        <sz val="10"/>
        <rFont val="Arial"/>
        <family val="2"/>
      </rPr>
      <t xml:space="preserve">
Estaqueamento (E0 à E6+9,92) : 129,92m</t>
    </r>
  </si>
  <si>
    <t>Trecho 01 - E0 à E1+10 (trapézio)</t>
  </si>
  <si>
    <t>Comprimento: 29,96m</t>
  </si>
  <si>
    <t>Largura inicial: 7,58m / largura final: 5,82m</t>
  </si>
  <si>
    <r>
      <t xml:space="preserve">A = (7,58 + 5,82) x 29,96 / 2 = </t>
    </r>
    <r>
      <rPr>
        <b/>
        <sz val="10"/>
        <rFont val="Arial"/>
        <family val="2"/>
      </rPr>
      <t>200,73m²</t>
    </r>
  </si>
  <si>
    <t>Trecho 02 - E1+10 à E3+8,21 (trapézio)</t>
  </si>
  <si>
    <t>Comprimento: 38,25m</t>
  </si>
  <si>
    <t>Largura inicial: 5,82m / largura final: 5,71m</t>
  </si>
  <si>
    <r>
      <t xml:space="preserve">A = (5,82  + 5,71) x 38,25 / 2 = </t>
    </r>
    <r>
      <rPr>
        <b/>
        <sz val="10"/>
        <rFont val="Arial"/>
        <family val="2"/>
      </rPr>
      <t>220,51m²</t>
    </r>
  </si>
  <si>
    <t>Trecho 03 - E3+8,21 à E5+2,42 (trapézio)</t>
  </si>
  <si>
    <t>Comprimento: 34,21m</t>
  </si>
  <si>
    <t>Largura inicial: 5,71m / largura final: 5,55m</t>
  </si>
  <si>
    <r>
      <t xml:space="preserve">A = (5,71 + 5,55) x 34,21 / 2 = </t>
    </r>
    <r>
      <rPr>
        <b/>
        <sz val="10"/>
        <rFont val="Arial"/>
        <family val="2"/>
      </rPr>
      <t>192,60m²</t>
    </r>
  </si>
  <si>
    <t>Trecho 04 - E5+2,42 à E5+4,74 (trapézio)</t>
  </si>
  <si>
    <t>Largura inicial: 5,55m / largura final: 5,90m</t>
  </si>
  <si>
    <t>Comprimento: 2,32m</t>
  </si>
  <si>
    <t>Comprimento: 7,79m</t>
  </si>
  <si>
    <t>Trecho 05 - E5+4,74 à E5+12,53 (retângulo)</t>
  </si>
  <si>
    <t>Largura: 5,90m</t>
  </si>
  <si>
    <r>
      <t xml:space="preserve">A = 7,79 x 5,90 = </t>
    </r>
    <r>
      <rPr>
        <b/>
        <sz val="10"/>
        <rFont val="Arial"/>
        <family val="2"/>
      </rPr>
      <t>45,96m²</t>
    </r>
  </si>
  <si>
    <t>Trecho 06 - E5+12,53 à E6+11,22 (trapézio)</t>
  </si>
  <si>
    <t>Largura inicial: 5,90m / largura final: 6,90m</t>
  </si>
  <si>
    <t>Comprimento: 18,69m</t>
  </si>
  <si>
    <r>
      <t xml:space="preserve">A = (5,90  + 6,90) x 18,69 / 2 = </t>
    </r>
    <r>
      <rPr>
        <b/>
        <sz val="10"/>
        <rFont val="Arial"/>
        <family val="2"/>
      </rPr>
      <t>119,62m²</t>
    </r>
  </si>
  <si>
    <r>
      <rPr>
        <b/>
        <sz val="10"/>
        <rFont val="Arial"/>
        <family val="2"/>
      </rPr>
      <t>&gt; Locação de pavimentação</t>
    </r>
    <r>
      <rPr>
        <sz val="10"/>
        <rFont val="Arial"/>
        <family val="2"/>
      </rPr>
      <t xml:space="preserve">
Estaqueamento (E0 à E6+11,22) : 131,22m</t>
    </r>
  </si>
  <si>
    <r>
      <rPr>
        <b/>
        <sz val="10"/>
        <rFont val="Arial"/>
        <family val="2"/>
      </rPr>
      <t>&gt; Assentamento de guia (meio-fio) em trecho reto, confeccionada em concreto pré-fabricado, dimensões 100x15x13x30 cm (comprimento x base inferior x base superior x altura), para vias urbanas (uso viário)</t>
    </r>
    <r>
      <rPr>
        <sz val="10"/>
        <rFont val="Arial"/>
        <family val="2"/>
      </rPr>
      <t xml:space="preserve">
Comprimento de meio-fio: C = 29,96 + 29,98 + 10,37 + 12,67 + 9,31 + 7,97 + 8,09 + 21,49 + 9,42 + 9,43 + 12,76 + 34,81 + 6,71 + 5,34 + 2,35 + 7,78 + 25,41 + 18,63 = 262,48m</t>
    </r>
  </si>
  <si>
    <r>
      <rPr>
        <b/>
        <sz val="10"/>
        <rFont val="Arial"/>
        <family val="2"/>
      </rPr>
      <t>&gt; Assentamento de guia (meio-fio) para cordão de travamento do pavimento, em pedra granítica</t>
    </r>
    <r>
      <rPr>
        <sz val="10"/>
        <rFont val="Arial"/>
        <family val="2"/>
      </rPr>
      <t xml:space="preserve">
Para travamento do início e fim do pavimento: C = 7,58 + 6,90 = 14,48m</t>
    </r>
  </si>
  <si>
    <r>
      <t xml:space="preserve">&gt; Execução de passeio (calçada) em concreto moldado in loco, feito em obra, acabamento convencional, não armado, espessura 6 cm
</t>
    </r>
    <r>
      <rPr>
        <sz val="10"/>
        <rFont val="Arial"/>
        <family val="2"/>
      </rPr>
      <t>Obs.: excluindo-se área de rampas, espessuras do meio-fio e volume do piso tátil
V = (29,96 + 29,98 + 10,37 + 12,67 + 9,31 + 7,97 + 8,09 + 21,49 + 9,42 + 9,43 + 12,76 + 34,81 + 6,71 + 5,34 + 2,35 + 7,78 + 25,41 + 18,63) x 1,20 = 314,98m² - 36,00m² = 278,98m² x 0,06m = 16,74m³
Desconto do volume do piso tátil nas calçadas:
V = (9,22 + 9,52 + 12,96 + 13,24 + 10,37 + 12,65 + 7,97 + 9,32 + 12,78 + 21,47 + 1,19 + 3,63 + 4,00 + 0,84 + 4,68 + 12,76 + 34,81 + 12,00 + 2,34 + 7,82 + 6,11 + 0,39 + 3,27 + 3,34 + 7,77 + 7,99) x 0,20 x 0,02 = 232,44 x 0,20 x 0,02 = 0,93m³
Total: V = 16,74 - 0,93 = 15,81m³</t>
    </r>
  </si>
  <si>
    <r>
      <rPr>
        <b/>
        <sz val="10"/>
        <rFont val="Arial"/>
        <family val="2"/>
      </rPr>
      <t>&gt; Piso tátil direcional e/ou alerta, de concreto, na cor natural, para deficientes visuais, dimensões 20x20cm, aplicado com argamassa industrializada ac-ii</t>
    </r>
    <r>
      <rPr>
        <sz val="10"/>
        <rFont val="Arial"/>
        <family val="2"/>
      </rPr>
      <t xml:space="preserve">
Será a área referente ao desconto do piso tátil das calçadas, cujo somatório do comprimento foi calculado no item anterior:
A = 232,44 x 0,20 = 46,49m²</t>
    </r>
  </si>
  <si>
    <r>
      <rPr>
        <b/>
        <sz val="10"/>
        <rFont val="Arial"/>
        <family val="2"/>
      </rPr>
      <t>&gt; Pintura de meio-fio com tinta branca a base de cal</t>
    </r>
    <r>
      <rPr>
        <sz val="10"/>
        <rFont val="Arial"/>
        <family val="2"/>
      </rPr>
      <t xml:space="preserve">
A = 262,48 x (0,15 + 0,13) = 73,49m²</t>
    </r>
  </si>
  <si>
    <t>Trecho 01 - E0 à E1+7,08 (trapézio)</t>
  </si>
  <si>
    <t>Comprimento: 27,08m</t>
  </si>
  <si>
    <t>Largura inicial: 7,33m / largura final: 6,17m</t>
  </si>
  <si>
    <t>Trecho 02 - E1+7,08 à E1+19,35 (trapézio)</t>
  </si>
  <si>
    <t>Comprimento: 12,27m</t>
  </si>
  <si>
    <t>Largura inicial: 6,17m / largura final: 5,47m</t>
  </si>
  <si>
    <r>
      <t xml:space="preserve">A = (7,33 + 6,17) x 27,08 / 2 = </t>
    </r>
    <r>
      <rPr>
        <b/>
        <sz val="10"/>
        <rFont val="Arial"/>
        <family val="2"/>
      </rPr>
      <t>182,79m²</t>
    </r>
  </si>
  <si>
    <r>
      <t xml:space="preserve">A = (7,33 + 6,17) x 12,27 / 2 = </t>
    </r>
    <r>
      <rPr>
        <b/>
        <sz val="10"/>
        <rFont val="Arial"/>
        <family val="2"/>
      </rPr>
      <t>71,41m²</t>
    </r>
  </si>
  <si>
    <t>Trecho 03 - E1+19,35 à E2+10,32 (trapézio)</t>
  </si>
  <si>
    <t>Comprimento: 10,97m</t>
  </si>
  <si>
    <t>Largura inicial: 5,47m / largura final: 6,01m</t>
  </si>
  <si>
    <r>
      <t xml:space="preserve">A = (5,47 + 6,01) x 10,97 / 2 = </t>
    </r>
    <r>
      <rPr>
        <b/>
        <sz val="10"/>
        <rFont val="Arial"/>
        <family val="2"/>
      </rPr>
      <t>62,97m²</t>
    </r>
  </si>
  <si>
    <t>Trecho 04 - E2+10,32 à E3+13,58 (trapézio)</t>
  </si>
  <si>
    <t>Comprimento: 23,26m</t>
  </si>
  <si>
    <t>Largura inicial: 6,01m / largura final: 5,60m</t>
  </si>
  <si>
    <t>Trecho 05 - E3+13,58 à E4+2,19 (trapézio)</t>
  </si>
  <si>
    <t>Comprimento: 8,61m</t>
  </si>
  <si>
    <t>Largura inicial: 5,60m / largura final: 5,07m</t>
  </si>
  <si>
    <t>Trecho 06 - E4+2,19 à E4+14,73 (trapézio)</t>
  </si>
  <si>
    <t>Comprimento: 12,54m</t>
  </si>
  <si>
    <t>Largura inicial: 5,07m / largura final: 5,00m</t>
  </si>
  <si>
    <r>
      <t xml:space="preserve">A = (6,01 + 5,60) x 23,26 / 2 = </t>
    </r>
    <r>
      <rPr>
        <b/>
        <sz val="10"/>
        <rFont val="Arial"/>
        <family val="2"/>
      </rPr>
      <t>135,02m²</t>
    </r>
  </si>
  <si>
    <r>
      <t xml:space="preserve">A = (5,60 + 5,07) x 8,61 / 2 = </t>
    </r>
    <r>
      <rPr>
        <b/>
        <sz val="10"/>
        <rFont val="Arial"/>
        <family val="2"/>
      </rPr>
      <t>45,93m²</t>
    </r>
  </si>
  <si>
    <r>
      <t xml:space="preserve">A = (5,07 + 5,00) x 12,54 / 2 = </t>
    </r>
    <r>
      <rPr>
        <b/>
        <sz val="10"/>
        <rFont val="Arial"/>
        <family val="2"/>
      </rPr>
      <t>63,14m²</t>
    </r>
  </si>
  <si>
    <r>
      <t xml:space="preserve">A = (5,55 + 5,90) x 2,32 / 2 = </t>
    </r>
    <r>
      <rPr>
        <b/>
        <sz val="10"/>
        <rFont val="Arial"/>
        <family val="2"/>
      </rPr>
      <t>13,28m²</t>
    </r>
  </si>
  <si>
    <r>
      <rPr>
        <b/>
        <sz val="10"/>
        <rFont val="Arial"/>
        <family val="2"/>
      </rPr>
      <t>&gt; Regularização e compactação de sub-leito até 20cm de espessura</t>
    </r>
    <r>
      <rPr>
        <sz val="10"/>
        <rFont val="Arial"/>
        <family val="2"/>
      </rPr>
      <t xml:space="preserve">
A = 200,73 + 220,51 + 192,60 + 13,28 + 45,96 + 119,62 = 792,70m²</t>
    </r>
  </si>
  <si>
    <r>
      <rPr>
        <b/>
        <sz val="10"/>
        <rFont val="Arial"/>
        <family val="2"/>
      </rPr>
      <t>&gt; Execução de pavimento em paralelepípedo inclusive colchão de areia rejuntado no traço 1:3 (Cimento e areia)</t>
    </r>
    <r>
      <rPr>
        <sz val="10"/>
        <rFont val="Arial"/>
        <family val="2"/>
      </rPr>
      <t xml:space="preserve">
A = 200,73 + 220,51 + 192,60 + 13,28 + 45,96 + 119,62 = 792,70m²</t>
    </r>
  </si>
  <si>
    <t>Trecho 07 - E4+14,73 à E5+8,51 (retângulo)</t>
  </si>
  <si>
    <t>Comprimento: 13,78m</t>
  </si>
  <si>
    <r>
      <t xml:space="preserve">A = 13,78 x 5,00 = </t>
    </r>
    <r>
      <rPr>
        <b/>
        <sz val="10"/>
        <rFont val="Arial"/>
        <family val="2"/>
      </rPr>
      <t>68,90m²</t>
    </r>
  </si>
  <si>
    <t>Boca de Rua</t>
  </si>
  <si>
    <t>Área indicada em planta, extraída do comando</t>
  </si>
  <si>
    <t>do AutoCad:</t>
  </si>
  <si>
    <r>
      <t xml:space="preserve">A = </t>
    </r>
    <r>
      <rPr>
        <b/>
        <sz val="10"/>
        <rFont val="Arial"/>
        <family val="2"/>
      </rPr>
      <t>29,86m²</t>
    </r>
  </si>
  <si>
    <r>
      <rPr>
        <b/>
        <sz val="10"/>
        <rFont val="Arial"/>
        <family val="2"/>
      </rPr>
      <t>&gt; Regularização e compactação de sub-leito até 20cm de espessura</t>
    </r>
    <r>
      <rPr>
        <sz val="10"/>
        <rFont val="Arial"/>
        <family val="2"/>
      </rPr>
      <t xml:space="preserve">
A = 182,79 + 71,41 + 62,97 + 135,02 + 45,93 + 63,14 + 68,90 + 29,86 = 660,02m²</t>
    </r>
  </si>
  <si>
    <r>
      <rPr>
        <b/>
        <sz val="10"/>
        <rFont val="Arial"/>
        <family val="2"/>
      </rPr>
      <t>&gt; Locação de pavimentação</t>
    </r>
    <r>
      <rPr>
        <sz val="10"/>
        <rFont val="Arial"/>
        <family val="2"/>
      </rPr>
      <t xml:space="preserve">
Estaqueamento (E0 à E5+8,51) : 108,51m</t>
    </r>
  </si>
  <si>
    <r>
      <rPr>
        <b/>
        <sz val="10"/>
        <rFont val="Arial"/>
        <family val="2"/>
      </rPr>
      <t>&gt; Assentamento de guia (meio-fio) em trecho reto, confeccionada em concreto pré-fabricado, dimensões 100x15x13x30 cm (comprimento x base inferior x base superior x altura), para vias urbanas (uso viário)</t>
    </r>
    <r>
      <rPr>
        <sz val="10"/>
        <rFont val="Arial"/>
        <family val="2"/>
      </rPr>
      <t xml:space="preserve">
Comprimento de meio-fio: C = 20,57 + 26,99 + 9,00 + 10,10 + 9,94 + 8,02 + 23,94 + 23,67 + 7,66 + 9,02 + 7,69 + 2,12 + 3,82 + 3,27 + 2,68 + 10,10 + 3,16 + 13,88 + 13,69 = 209,32m</t>
    </r>
  </si>
  <si>
    <r>
      <rPr>
        <b/>
        <sz val="10"/>
        <rFont val="Arial"/>
        <family val="2"/>
      </rPr>
      <t>&gt; Execução de pavimento em paralelepípedo inclusive colchão de areia rejuntado no traço 1:3 (Cimento e areia)</t>
    </r>
    <r>
      <rPr>
        <sz val="10"/>
        <rFont val="Arial"/>
        <family val="2"/>
      </rPr>
      <t xml:space="preserve">
A = 182,79 + 71,41 + 62,97 + 135,02 + 45,93 + 63,14 + 68,90 + 29,86 = 660,02m²</t>
    </r>
  </si>
  <si>
    <r>
      <rPr>
        <b/>
        <sz val="10"/>
        <rFont val="Arial"/>
        <family val="2"/>
      </rPr>
      <t>&gt; Assentamento de guia (meio-fio) para cordão de travamento do pavimento, em pedra granítica</t>
    </r>
    <r>
      <rPr>
        <sz val="10"/>
        <rFont val="Arial"/>
        <family val="2"/>
      </rPr>
      <t xml:space="preserve">
Para travamento do início e fim do pavimento: C = 7,33 + 5,74 + 5,00 = 18,07m</t>
    </r>
  </si>
  <si>
    <r>
      <rPr>
        <b/>
        <sz val="10"/>
        <rFont val="Arial"/>
        <family val="2"/>
      </rPr>
      <t>&gt; Alvenaria de blocos cerâmicos furados na horizontal de 9x19x19 cm (espessura 9 cm) e argamassa de assentamento com preparo manual (para contenção das calçadas)</t>
    </r>
    <r>
      <rPr>
        <sz val="10"/>
        <rFont val="Arial"/>
        <family val="2"/>
      </rPr>
      <t xml:space="preserve">
A = (1,20 + 1,20 + 26,96 + 10,09 + 8,00 + 23,95 + 7,66 + 8,67 + 3,73 + 1,20 + 7,69 + 10,06 + 1,20 + 3,34 + 13,92 + 13,65 + 1,20 + 1,20) x 0,20 = 144,92m x 0,20m = 28,98m²</t>
    </r>
  </si>
  <si>
    <r>
      <rPr>
        <b/>
        <sz val="10"/>
        <rFont val="Arial"/>
        <family val="2"/>
      </rPr>
      <t>&gt; Alvenaria de blocos cerâmicos furados na horizontal de 9x19x19 cm (espessura 9 cm) e argamassa de assentamento com preparo manual (para contenção das calçadas)</t>
    </r>
    <r>
      <rPr>
        <sz val="10"/>
        <rFont val="Arial"/>
        <family val="2"/>
      </rPr>
      <t xml:space="preserve">
A = (1,20 + 1,20 + 29,94 + 30,04 + 2,78 + 9,31 + 9,44 + 34,80 + 6,71 + 5,24 + 2,34 + 18,56 + 1,20 + 1,20) x 0,20 = 153,96m x 0,20m = 30,79m²</t>
    </r>
  </si>
  <si>
    <r>
      <t xml:space="preserve">&gt; Execução de passeio (calçada) em concreto moldado in loco, feito em obra, acabamento convencional, não armado, espessura 6 cm
</t>
    </r>
    <r>
      <rPr>
        <sz val="10"/>
        <rFont val="Arial"/>
        <family val="2"/>
      </rPr>
      <t>Obs.: excluindo-se área de rampas, espessuras do meio-fio e volume do piso tátil
V = (20,57 + 26,99 + 9,00 + 10,10 + 9,94 + 8,02 + 23,94 + 23,67 + 7,66 + 9,02 + 7,69 + 2,12 + 3,82 + 3,27 + 2,68 + 10,10 + 3,16 + 13,88 + 13,69) x 1,20 = 251,18m² - 36,00m² = 215,18m² x 0,06m = 12,91m³
Desconto do volume do piso tátil nas calçadas:
V = (5,51 + 5,99 + 7,09 + 13,97 + 9,01 + 10,05 + 10,09 + 8,00 + 23,95 + 23,75 + 7,66 + 9,00 + 7,67 + 1,38 + 3,64 + 3,72 + 1,33 + 10,07 + 3,11 + 3,74 + 3,54 + 2,63 + 2,66) x 0,20 x 0,02 = 177,56 x 0,20 x 0,02 = 0,71m³
Total: V = 12,91 - 0,71 = 12,20m³</t>
    </r>
  </si>
  <si>
    <r>
      <rPr>
        <b/>
        <sz val="10"/>
        <rFont val="Arial"/>
        <family val="2"/>
      </rPr>
      <t>&gt; Piso tátil direcional e/ou alerta, de concreto, na cor natural, para deficientes visuais, dimensões 20x20cm, aplicado com argamassa industrializada ac-ii</t>
    </r>
    <r>
      <rPr>
        <sz val="10"/>
        <rFont val="Arial"/>
        <family val="2"/>
      </rPr>
      <t xml:space="preserve">
Será a área referente ao desconto do piso tátil das calçadas, cujo somatório do comprimento foi calculado no item anterior:
A = 177,56 x 0,20 = 35,51m²</t>
    </r>
  </si>
  <si>
    <r>
      <rPr>
        <b/>
        <sz val="10"/>
        <rFont val="Arial"/>
        <family val="2"/>
      </rPr>
      <t>&gt; Pintura de meio-fio com tinta branca a base de cal</t>
    </r>
    <r>
      <rPr>
        <sz val="10"/>
        <rFont val="Arial"/>
        <family val="2"/>
      </rPr>
      <t xml:space="preserve">
A = 209,32 x (0,15 + 0,13) = 58,61m²</t>
    </r>
  </si>
  <si>
    <t>Largura inicial: 7,77m / largura final: 5,48m</t>
  </si>
  <si>
    <t>Trecho 01 - E0 à E0+10 (trapézio)</t>
  </si>
  <si>
    <t>Comprimento: 10,00m</t>
  </si>
  <si>
    <t>A = (7,77 + 5,48) x 10,00 / 2 = 66,25m²</t>
  </si>
  <si>
    <t>Trecho 02 - E0+10 à E1+7,78 (trapézio)</t>
  </si>
  <si>
    <t>Largura inicial: 5,48m / largura final: 5,43m</t>
  </si>
  <si>
    <t>Comprimento: 17,78m</t>
  </si>
  <si>
    <t>A = (5,48 + 5,43) x 17,78 / 2 = 96,99m²</t>
  </si>
  <si>
    <t>Trecho 03 - E1+7,78 à E2 (trapézio)</t>
  </si>
  <si>
    <t>Comprimento: 12,22m</t>
  </si>
  <si>
    <t>Largura inicial: 5,43m / largura final: 5,33m</t>
  </si>
  <si>
    <t>A = (5,43 + 5,33) x 12,22 / 2 = 65,74m²</t>
  </si>
  <si>
    <t>Trecho 04 - E2 à E3+4,41 (trapézio)</t>
  </si>
  <si>
    <t>Comprimento: 24,41m</t>
  </si>
  <si>
    <t>Largura inicial: 5,33m / largura final: 5,79m</t>
  </si>
  <si>
    <t>A = (5,33 + 5,79) x 24,41 / 2 = 135,72m²</t>
  </si>
  <si>
    <t>Trecho 05 - E3+4,41 à E3+15,39 (trapézio)</t>
  </si>
  <si>
    <t>Comprimento: 10,98m</t>
  </si>
  <si>
    <t>Largura inicial: 5,79m / largura final: 5,54m</t>
  </si>
  <si>
    <t>A = (5,79 + 5,54) x 10,98 / 2 = 62,20m²</t>
  </si>
  <si>
    <t>Trecho 06 - E3+15,39 à E4+7,64 (trapézio)</t>
  </si>
  <si>
    <t>Comprimento: 12,25m</t>
  </si>
  <si>
    <t>Largura inicial: 5,54m / largura final: 5,38m</t>
  </si>
  <si>
    <t>A = (5,54 + 5,38) x 12,25 / 2 = 66,89m²</t>
  </si>
  <si>
    <t>Trecho 07 - E4+7,64 à E5+1,56 (trapézio)</t>
  </si>
  <si>
    <t>Comprimento: 13,92m</t>
  </si>
  <si>
    <t>Largura inicial: 5,38m / largura final: 5,34m</t>
  </si>
  <si>
    <t>A = (5,38 + 5,34) x 13,92 / 2 = 74,61m²</t>
  </si>
  <si>
    <t>Largura inicial: 5,34m / largura final: 5,00m</t>
  </si>
  <si>
    <t>Trecho 08 - E5+1,56 à E5+8,19 (trapézio)</t>
  </si>
  <si>
    <t>Comprimento: 6,63m</t>
  </si>
  <si>
    <t>A = (5,34 + 5,00) x 6,63 / 2 = 34,28m²</t>
  </si>
  <si>
    <t>Largura inicial: 5,00m / largura final: 5,05m</t>
  </si>
  <si>
    <t>Trecho 09 - E5+8,19 à E5+11,78 (trapézio)</t>
  </si>
  <si>
    <t>Comprimento: 3,59m</t>
  </si>
  <si>
    <t>A = (5,00 + 5,05) x 3,59 / 2 = 18,04m²</t>
  </si>
  <si>
    <t>Trecho 10 - E5+11,78 à E6+9,92 (trapézio)</t>
  </si>
  <si>
    <t>Comprimento: 18,14m</t>
  </si>
  <si>
    <t>Largura inicial: 5,05m / largura final: 6,54m</t>
  </si>
  <si>
    <t>A = (5,05 + 6,54) x 18,14 / 2 = 105,12m²</t>
  </si>
  <si>
    <r>
      <rPr>
        <b/>
        <sz val="10"/>
        <rFont val="Arial"/>
        <family val="2"/>
      </rPr>
      <t>&gt; Regularização e compactação de sub-leito até 20cm de espessura</t>
    </r>
    <r>
      <rPr>
        <sz val="10"/>
        <rFont val="Arial"/>
        <family val="2"/>
      </rPr>
      <t xml:space="preserve">
A = 66,25 + 96,99 + 65,74 + 135,72 + 62,20 + 66,89 + 74,61 + 34,28 + 18,04 + 105,12 = 725,84m²</t>
    </r>
  </si>
  <si>
    <r>
      <rPr>
        <b/>
        <sz val="10"/>
        <rFont val="Arial"/>
        <family val="2"/>
      </rPr>
      <t>&gt; Execução de pavimento em paralelepípedo inclusive colchão de areia rejuntado no traço 1:3 (Cimento e areia)</t>
    </r>
    <r>
      <rPr>
        <sz val="10"/>
        <rFont val="Arial"/>
        <family val="2"/>
      </rPr>
      <t xml:space="preserve">
A = 66,25 + 96,99 + 65,74 + 135,72 + 62,20 + 66,89 + 74,61 + 34,28 + 18,04 + 105,12 = 725,84m²</t>
    </r>
  </si>
  <si>
    <r>
      <rPr>
        <b/>
        <sz val="10"/>
        <rFont val="Arial"/>
        <family val="2"/>
      </rPr>
      <t>&gt; Assentamento de guia (meio-fio) em trecho reto, confeccionada em concreto pré-fabricado, dimensões 100x15x13x30 cm (comprimento x base inferior x base superior x altura), para vias urbanas (uso viário)</t>
    </r>
    <r>
      <rPr>
        <sz val="10"/>
        <rFont val="Arial"/>
        <family val="2"/>
      </rPr>
      <t xml:space="preserve">
Comprimento de meio-fio: C = 9,92 + 10,22 + 17,76 + 18,38 + 11,62 + 11,79 + 47,53 + 12,60 + 12,22 + 11,07 + 23,03 + 13,04 + 3,16 + 6,64 + 11,05 + 21,69 + 18,23 = 259,95m</t>
    </r>
  </si>
  <si>
    <r>
      <rPr>
        <b/>
        <sz val="10"/>
        <rFont val="Arial"/>
        <family val="2"/>
      </rPr>
      <t>&gt; Assentamento de guia (meio-fio) para cordão de travamento do pavimento, em pedra granítica</t>
    </r>
    <r>
      <rPr>
        <sz val="10"/>
        <rFont val="Arial"/>
        <family val="2"/>
      </rPr>
      <t xml:space="preserve">
Para travamento do início e fim do pavimento: C = 7,77 + 6,54 = 14,31m</t>
    </r>
  </si>
  <si>
    <r>
      <rPr>
        <b/>
        <sz val="10"/>
        <rFont val="Arial"/>
        <family val="2"/>
      </rPr>
      <t>&gt; Alvenaria de blocos cerâmicos furados na horizontal de 9x19x19 cm (espessura 9 cm) e argamassa de assentamento com preparo manual (para contenção das calçadas)</t>
    </r>
    <r>
      <rPr>
        <sz val="10"/>
        <rFont val="Arial"/>
        <family val="2"/>
      </rPr>
      <t xml:space="preserve">
A = (47,48 + 11,07 + 3,19 + 21,65 + 18,20 + 1,20 + 1,20) x 0,20 = 103,99m x 0,20m = 20,80m²</t>
    </r>
  </si>
  <si>
    <r>
      <t xml:space="preserve">&gt; Execução de passeio (calçada) em concreto moldado in loco, feito em obra, acabamento convencional, não armado, espessura 6 cm
</t>
    </r>
    <r>
      <rPr>
        <sz val="10"/>
        <rFont val="Arial"/>
        <family val="2"/>
      </rPr>
      <t>Obs.: excluindo-se área de rampas, espessuras do meio-fio e volume do piso tátil
V = (9,84 x 1,20) / 2 + (10,15 x 1,20) / 2 + (17,76 + 18,38 + 11,62 + 11,79 + 47,53 + 12,60 + 12,22 + 11,07 + 23,03 + 13,04 + 3,16 + 6,64 + 11,05 + 21,69 + 18,23) x 1,20 = 299,77m² - 36,00m² = 263,88m² x 0,06m = 15,83m³
Desconto do volume do piso tátil nas calçadas:
V = (6,15 + 5,84 + 6,53 + 6,57 + 3,70 + 4,31 + 11,60 + 23,76 + 11,78 + 12,62 + 23,76 + 12,25 + 11,07 + 23,02 + 13,03 + 3,19 + 6,63 + 11,01 + 6,85 + 2,45 + 7,32 + 8,27) x 0,20 x 0,02 = 221,71 x 0,20 x 0,02 = 0,89m³
Total: V = 15,83 - 0,89 = 14,94m³</t>
    </r>
  </si>
  <si>
    <r>
      <rPr>
        <b/>
        <sz val="10"/>
        <rFont val="Arial"/>
        <family val="2"/>
      </rPr>
      <t>&gt; Piso tátil direcional e/ou alerta, de concreto, na cor natural, para deficientes visuais, dimensões 20x20cm, aplicado com argamassa industrializada ac-ii</t>
    </r>
    <r>
      <rPr>
        <sz val="10"/>
        <rFont val="Arial"/>
        <family val="2"/>
      </rPr>
      <t xml:space="preserve">
Será a área referente ao desconto do piso tátil das calçadas, cujo somatório do comprimento foi calculado no item anterior:
A = 221,71 x 0,20 = 44,34m²</t>
    </r>
  </si>
  <si>
    <r>
      <rPr>
        <b/>
        <sz val="10"/>
        <rFont val="Arial"/>
        <family val="2"/>
      </rPr>
      <t>&gt; Pintura de meio-fio com tinta branca a base de cal</t>
    </r>
    <r>
      <rPr>
        <sz val="10"/>
        <rFont val="Arial"/>
        <family val="2"/>
      </rPr>
      <t xml:space="preserve">
A = 259,95 x (0,15 + 0,13) = 72,79m²</t>
    </r>
  </si>
  <si>
    <t>1.0 &gt; Serviços Preliminares:</t>
  </si>
  <si>
    <t>2.0 &gt; Movimento de Terra:</t>
  </si>
  <si>
    <t>3.0 &gt; Pavimentação:</t>
  </si>
  <si>
    <t>4.0 &gt; Passeios (calçadas)</t>
  </si>
  <si>
    <t>5.0 &gt; Rampas de Acessibilidade</t>
  </si>
  <si>
    <t>6.0 &gt; Sinalização</t>
  </si>
  <si>
    <t>TOTAL GERAL .  .  .  .  .  . .  . R$</t>
  </si>
  <si>
    <t>Fornecimento e instalação de placa de obra com chapa galvanizada e estrutura de madeira</t>
  </si>
  <si>
    <t>Execução de linhas de referência em gabarito ou cavalete (locação de pavimentação)</t>
  </si>
  <si>
    <t>Piso podotátil de alerta ou direcional, de concreto, assentado sobre argamassa</t>
  </si>
  <si>
    <t>Composição 01: Assentamento de guia (meio-fio) para cordão de travamento do pavimento, em pedra granítica - m</t>
  </si>
  <si>
    <t>PLANILHA ORÇAMENTÁRIA GLOBAL</t>
  </si>
  <si>
    <r>
      <rPr>
        <b/>
        <sz val="10"/>
        <rFont val="Arial"/>
        <family val="2"/>
      </rPr>
      <t>&gt; Fornecimento e instalação de suporte de madeira para placas de sinalização, em solo, com h= de 2,0 m e seção de 7,5 x 7,5 cm</t>
    </r>
    <r>
      <rPr>
        <sz val="10"/>
        <rFont val="Arial"/>
        <family val="2"/>
      </rPr>
      <t xml:space="preserve">
Quantidade = 2 und</t>
    </r>
  </si>
  <si>
    <r>
      <rPr>
        <b/>
        <sz val="10"/>
        <rFont val="Arial"/>
        <family val="2"/>
      </rPr>
      <t>&gt; Placa de advertência em aço, lado de 0,60 m - película retrorrefletiva tipo I + SI, para sinalização vertical - fornecimento e implantação</t>
    </r>
    <r>
      <rPr>
        <sz val="10"/>
        <rFont val="Arial"/>
        <family val="2"/>
      </rPr>
      <t xml:space="preserve">
Quantidade = 2 und</t>
    </r>
  </si>
  <si>
    <t>&gt; Serviços Complementares</t>
  </si>
  <si>
    <t>Fornecimento e instalação de suporte de madeira para placas de sinalização, em solo, com h= de 2,0 m e seção de 7,5 x 7,5 cm</t>
  </si>
  <si>
    <t>Placa de advertência em aço, lado de 0,60 m - película retrorrefletiva tipo I + SI - fornecimento e implantação</t>
  </si>
  <si>
    <t>Serviços Complementares</t>
  </si>
  <si>
    <r>
      <rPr>
        <b/>
        <sz val="10"/>
        <rFont val="Arial"/>
        <family val="2"/>
      </rPr>
      <t>&gt; Fornecimento e instalação de suporte de madeira para placas de sinalização, em solo, com h= de 2,0 m e seção de 7,5 x 7,5 cm</t>
    </r>
    <r>
      <rPr>
        <sz val="10"/>
        <rFont val="Arial"/>
        <family val="2"/>
      </rPr>
      <t xml:space="preserve">
Quantidade = 1 und</t>
    </r>
  </si>
  <si>
    <r>
      <rPr>
        <b/>
        <sz val="10"/>
        <rFont val="Arial"/>
        <family val="2"/>
      </rPr>
      <t>&gt; Placa de advertência em aço, lado de 0,60 m - película retrorrefletiva tipo I + SI, para sinalização vertical - fornecimento e implantação</t>
    </r>
    <r>
      <rPr>
        <sz val="10"/>
        <rFont val="Arial"/>
        <family val="2"/>
      </rPr>
      <t xml:space="preserve">
Quantidade = 1 und</t>
    </r>
  </si>
  <si>
    <t>7.0 &gt; Serviços Complementares</t>
  </si>
  <si>
    <t>7.2</t>
  </si>
  <si>
    <t>Composição 02: Placa esmaltada para identificação de nome de rua, dimensões 45x20cm - unid</t>
  </si>
  <si>
    <t>Trecho 01 - E0 à E2+13,94 (retângulo)</t>
  </si>
  <si>
    <t>Comprimento: 53,94m</t>
  </si>
  <si>
    <t>Rua Fábio Barbosa Vaz (Trecho 02)</t>
  </si>
  <si>
    <t>Trecho 02 - 2+13,94 à E3+1,28</t>
  </si>
  <si>
    <t>Área determinada através do Cad, informada em</t>
  </si>
  <si>
    <t>planta:</t>
  </si>
  <si>
    <r>
      <t xml:space="preserve">A = 53,94 x 5,00 = </t>
    </r>
    <r>
      <rPr>
        <b/>
        <sz val="10"/>
        <rFont val="Arial"/>
        <family val="2"/>
      </rPr>
      <t>269,70m²</t>
    </r>
  </si>
  <si>
    <t>Trecho 03 - E3+1,28 à E6+8,16 (retângulo)</t>
  </si>
  <si>
    <t>Comprimento: 66,88m</t>
  </si>
  <si>
    <t>Demais áreas de pavimentação determinadas</t>
  </si>
  <si>
    <t>através de cad e indicadas em planta:</t>
  </si>
  <si>
    <r>
      <t xml:space="preserve">A1 = </t>
    </r>
    <r>
      <rPr>
        <b/>
        <sz val="10"/>
        <rFont val="Arial"/>
        <family val="2"/>
      </rPr>
      <t>36,58m²</t>
    </r>
  </si>
  <si>
    <t>A2 = 2,93m²</t>
  </si>
  <si>
    <t>A3 = 1,74m²</t>
  </si>
  <si>
    <t>A4 = 0,37m²</t>
  </si>
  <si>
    <t>A5 = 0,62m²</t>
  </si>
  <si>
    <r>
      <t xml:space="preserve">Atotal = 2,93 + 1,74 + 0,37 + 0,62 = </t>
    </r>
    <r>
      <rPr>
        <b/>
        <sz val="10"/>
        <rFont val="Arial"/>
        <family val="2"/>
      </rPr>
      <t>5,66m²</t>
    </r>
  </si>
  <si>
    <r>
      <t xml:space="preserve">A = 66,88 x 5,00 = </t>
    </r>
    <r>
      <rPr>
        <b/>
        <sz val="10"/>
        <rFont val="Arial"/>
        <family val="2"/>
      </rPr>
      <t>334,40m²</t>
    </r>
  </si>
  <si>
    <r>
      <rPr>
        <b/>
        <sz val="10"/>
        <rFont val="Arial"/>
        <family val="2"/>
      </rPr>
      <t>&gt; Locação de pavimentação</t>
    </r>
    <r>
      <rPr>
        <sz val="10"/>
        <rFont val="Arial"/>
        <family val="2"/>
      </rPr>
      <t xml:space="preserve">
Estaqueamento (E0 à E6+8,16) = 128,16m</t>
    </r>
  </si>
  <si>
    <r>
      <rPr>
        <b/>
        <sz val="10"/>
        <rFont val="Arial"/>
        <family val="2"/>
      </rPr>
      <t>&gt; Regularização e compactação de sub-leito até 20cm de espessura</t>
    </r>
    <r>
      <rPr>
        <sz val="10"/>
        <rFont val="Arial"/>
        <family val="2"/>
      </rPr>
      <t xml:space="preserve">
A = 269,70 + 36,58 + 334,40 + 5,66 = 646,34m²</t>
    </r>
  </si>
  <si>
    <r>
      <rPr>
        <b/>
        <sz val="10"/>
        <rFont val="Arial"/>
        <family val="2"/>
      </rPr>
      <t>&gt; Execução de pavimento em paralelepípedo inclusive colchão de areia rejuntado no traço 1:3 (Cimento e areia)</t>
    </r>
    <r>
      <rPr>
        <sz val="10"/>
        <rFont val="Arial"/>
        <family val="2"/>
      </rPr>
      <t xml:space="preserve">
A = 269,70 + 36,58 + 334,40 + 5,66 = 646,34m²</t>
    </r>
  </si>
  <si>
    <r>
      <rPr>
        <b/>
        <sz val="10"/>
        <rFont val="Arial"/>
        <family val="2"/>
      </rPr>
      <t>&gt; Assentamento de guia (meio-fio) para cordão de travamento do pavimento, em pedra granítica</t>
    </r>
    <r>
      <rPr>
        <sz val="10"/>
        <rFont val="Arial"/>
        <family val="2"/>
      </rPr>
      <t xml:space="preserve">
Para travamento do início e fim do pavimento: C = 6,86 + 8,04 = 14,90m</t>
    </r>
  </si>
  <si>
    <r>
      <rPr>
        <b/>
        <sz val="10"/>
        <rFont val="Arial"/>
        <family val="2"/>
      </rPr>
      <t>&gt; Alvenaria de blocos cerâmicos furados na horizontal de 9x19x19 cm (espessura 9 cm) e argamassa de assentamento com preparo manual (para contenção das calçadas)</t>
    </r>
    <r>
      <rPr>
        <sz val="10"/>
        <rFont val="Arial"/>
        <family val="2"/>
      </rPr>
      <t xml:space="preserve">
A = (0,72 + 2,53 + 13,29 + 9,52 + 17,97 + 17,71 + 6,13 + 1,24 + 8,90 + 66,13 + 72,26) x 0,20 = 216,40m x 0,20m = 43,28m²</t>
    </r>
  </si>
  <si>
    <r>
      <rPr>
        <b/>
        <sz val="10"/>
        <rFont val="Arial"/>
        <family val="2"/>
      </rPr>
      <t>&gt; Assentamento de guia (meio-fio) em trecho reto, confeccionada em concreto pré-fabricado, dimensões 100x15x13x30 cm (comprimento x base inferior x base superior x altura), para vias urbanas (uso viário)</t>
    </r>
    <r>
      <rPr>
        <sz val="10"/>
        <rFont val="Arial"/>
        <family val="2"/>
      </rPr>
      <t xml:space="preserve">
Comprimento de meio-fio: C = 2,48 + 2,62 + 5,14 + 13,42 + 13,59 + 9,57 + 9,78 + 17,75 + 17,91 + 6,25 + 1,21 + 6,79 + 6,19 + 2,23 + 2,22 + 4,56 + 64,93 + 65,86 + 2,18 + 2,53 = 257,21m</t>
    </r>
  </si>
  <si>
    <r>
      <rPr>
        <b/>
        <sz val="10"/>
        <rFont val="Arial"/>
        <family val="2"/>
      </rPr>
      <t>&gt; Piso tátil direcional e/ou alerta, de concreto, na cor natural, para deficientes visuais, dimensões 20x20cm, aplicado com argamassa industrializada ac-ii</t>
    </r>
    <r>
      <rPr>
        <sz val="10"/>
        <rFont val="Arial"/>
        <family val="2"/>
      </rPr>
      <t xml:space="preserve">
Será a área referente ao desconto do piso tátil das calçadas, cujo somatório do comprimento foi calculado no item anterior:
A = 205,27 x 0,20 = 41,05m²</t>
    </r>
  </si>
  <si>
    <r>
      <rPr>
        <b/>
        <sz val="10"/>
        <rFont val="Arial"/>
        <family val="2"/>
      </rPr>
      <t>&gt; Pintura de meio-fio com tinta branca a base de cal</t>
    </r>
    <r>
      <rPr>
        <sz val="10"/>
        <rFont val="Arial"/>
        <family val="2"/>
      </rPr>
      <t xml:space="preserve">
A = 257,21 x (0,15 + 0,13) = 72,02m²</t>
    </r>
  </si>
  <si>
    <r>
      <t xml:space="preserve">&gt; Execução de passeio (calçada) em concreto moldado in loco, feito em obra, acabamento convencional, não armado, espessura 6 cm
</t>
    </r>
    <r>
      <rPr>
        <sz val="10"/>
        <rFont val="Arial"/>
        <family val="2"/>
      </rPr>
      <t>Obs.: excluindo-se área de rampas, espessuras do meio-fio e volume do piso tátil
V = 5,14 x 1,20 / 2 + (0,72 + 1,20) x 2,48 / 2 + (2,62 + 13,42 + 13,59 + 9,57 + 9,78 + 17,75 + 17,91 + 6,25 + 6,79 + 1,21 + 6,19) x 1,20 + (1,20 x 1,20) / 2 + (1,20 x 1,20) / 2 + (4,56 + 64,93 + 65,86) x 1,20 + (1,20 x 1,20) / 2 + (1,20 x 1,20) / 2 = 296,86m² - 54,00m² = 242,72m² x 0,06m = 14,57m³
Desconto do volume do piso tátil nas calçadas:
V = (5,12 + 2,58 + 1,59 + 1,67 + 4,26 + 4,39 + 9,54 + 9,76 + 17,73 + 17,98 + 6,82 + 6,19 + 1,27 + 1,22 + 5,92 + 1,94 + 1,35 + 12,10 + 7,04 + 37,02 + 37,22 + 6,67 + 5,89) x 0,20 x 0,02 = 205,27 x 0,20 x 0,02 = 0,82m³
Total: V = 14,57 - 0,82 = 13,75m³</t>
    </r>
  </si>
  <si>
    <t>7.3</t>
  </si>
  <si>
    <r>
      <rPr>
        <b/>
        <sz val="10"/>
        <rFont val="Arial"/>
        <family val="2"/>
      </rPr>
      <t>&gt; Fornecimento e instalação de suporte de madeira para placas de identificação de rua, em solo, com h= de 2,0 m e seção de 7,5 x 7,5 cm</t>
    </r>
    <r>
      <rPr>
        <sz val="10"/>
        <rFont val="Arial"/>
        <family val="2"/>
      </rPr>
      <t xml:space="preserve">
Quantidade = 1 und</t>
    </r>
  </si>
  <si>
    <t>Fornecimento e instalação de suporte de madeira para placas de identificação de rua, em solo, com h= de 2,0 m e seção de 7,5 x 7,5 cm</t>
  </si>
  <si>
    <r>
      <rPr>
        <b/>
        <sz val="10"/>
        <rFont val="Arial"/>
        <family val="2"/>
      </rPr>
      <t>&gt; Fornecimento e instalação de suporte de madeira para placas de identificação de rua, em solo, com h= de 2,0 m e seção de 7,5 x 7,5 cm</t>
    </r>
    <r>
      <rPr>
        <sz val="10"/>
        <rFont val="Arial"/>
        <family val="2"/>
      </rPr>
      <t xml:space="preserve">
Q = 1 und</t>
    </r>
  </si>
  <si>
    <t>Rua José Vieira (Trecho 01)</t>
  </si>
  <si>
    <t>Comprimento: 10,15m</t>
  </si>
  <si>
    <t>Largura inicio: 8,00m / largura fim: 5,35m</t>
  </si>
  <si>
    <t>Trecho 01 - E0 à E0+10,15 (trapézio)</t>
  </si>
  <si>
    <r>
      <t xml:space="preserve">A = (8,00 + 5,35) x 10,15 / 2 = </t>
    </r>
    <r>
      <rPr>
        <b/>
        <sz val="10"/>
        <rFont val="Arial"/>
        <family val="2"/>
      </rPr>
      <t>67,75m²</t>
    </r>
  </si>
  <si>
    <t>Trecho 02 - E0+10,15 à E2+6,00 (retângulo)</t>
  </si>
  <si>
    <t>Comprimento: 35,85m</t>
  </si>
  <si>
    <t>Largura: 5,35m</t>
  </si>
  <si>
    <r>
      <t xml:space="preserve">A = 35,85 x 5,35 = </t>
    </r>
    <r>
      <rPr>
        <b/>
        <sz val="10"/>
        <rFont val="Arial"/>
        <family val="2"/>
      </rPr>
      <t>191,80m²</t>
    </r>
  </si>
  <si>
    <t>Trecho 03 - E2+6,00 à E2+16,12 (trapézio)</t>
  </si>
  <si>
    <t>Comprimento: 10,12m</t>
  </si>
  <si>
    <t>Largura inicio: 5,35m / largura fim: 8,00m</t>
  </si>
  <si>
    <r>
      <t xml:space="preserve">A = (5,35 + 8,00) x 10,12 / 2 = </t>
    </r>
    <r>
      <rPr>
        <b/>
        <sz val="10"/>
        <rFont val="Arial"/>
        <family val="2"/>
      </rPr>
      <t>67,55m²</t>
    </r>
  </si>
  <si>
    <r>
      <rPr>
        <b/>
        <sz val="10"/>
        <rFont val="Arial"/>
        <family val="2"/>
      </rPr>
      <t>&gt; Regularização e compactação de sub-leito até 20cm de espessura</t>
    </r>
    <r>
      <rPr>
        <sz val="10"/>
        <rFont val="Arial"/>
        <family val="2"/>
      </rPr>
      <t xml:space="preserve">
A = 67,75 + 191,80 + 67,55 = 327,10m²</t>
    </r>
  </si>
  <si>
    <r>
      <rPr>
        <b/>
        <sz val="10"/>
        <rFont val="Arial"/>
        <family val="2"/>
      </rPr>
      <t>&gt; Locação de pavimentação</t>
    </r>
    <r>
      <rPr>
        <sz val="10"/>
        <rFont val="Arial"/>
        <family val="2"/>
      </rPr>
      <t xml:space="preserve">
Estaqueamento (E0 à E2+16,12) = 56,12m</t>
    </r>
  </si>
  <si>
    <r>
      <rPr>
        <b/>
        <sz val="10"/>
        <rFont val="Arial"/>
        <family val="2"/>
      </rPr>
      <t>&gt; Assentamento de guia (meio-fio) em trecho reto, confeccionada em concreto pré-fabricado, dimensões 100x15x13x30 cm (comprimento x base inferior x base superior x altura), para vias urbanas (uso viário)</t>
    </r>
    <r>
      <rPr>
        <sz val="10"/>
        <rFont val="Arial"/>
        <family val="2"/>
      </rPr>
      <t xml:space="preserve">
Comprimento de meio-fio: C = 10,09 + 10,38 + 16,97 + 17,02 + 18,83 + 18,87 + 10,11 + 10,32 = 112,59m</t>
    </r>
  </si>
  <si>
    <r>
      <rPr>
        <b/>
        <sz val="10"/>
        <rFont val="Arial"/>
        <family val="2"/>
      </rPr>
      <t>&gt; Execução de pavimento em paralelepípedo inclusive colchão de areia rejuntado no traço 1:3 (Cimento e areia)</t>
    </r>
    <r>
      <rPr>
        <sz val="10"/>
        <rFont val="Arial"/>
        <family val="2"/>
      </rPr>
      <t xml:space="preserve">
A = 67,75 + 191,80 + 67,55 = 327,10m²</t>
    </r>
  </si>
  <si>
    <r>
      <t xml:space="preserve">&gt; Execução de passeio (calçada) em concreto moldado in loco, feito em obra, acabamento convencional, não armado, espessura 6 cm
</t>
    </r>
    <r>
      <rPr>
        <sz val="10"/>
        <rFont val="Arial"/>
        <family val="2"/>
      </rPr>
      <t>Obs.: excluindo-se área de rampas, espessuras do meio-fio e volume do piso tátil
V = 10,09 x 1,20 / 2 + 10,38 x 1,20 / 2 + (16,97 + 17,02 + 18,83 + 18,87) x 1,20 + 10,11 x 1,20 / 2 + 10,32 x 1,20 / 2 = 110,57m² - 18,00m² = 92,57m² x 0,06m = 5,55m³
Desconto do volume do piso tátil nas calçadas:
V = (5,10 + 5,33 + 17,03 + 24,20 + 7,28 + 4,00 + 4,11 + 5,01 + 5,15) x 0,20 x 0,02 = 77,21 x 0,20 x 0,02 = 0,31m³
Total: V = 5,55 - 0,31 = 5,24m³</t>
    </r>
  </si>
  <si>
    <r>
      <rPr>
        <b/>
        <sz val="10"/>
        <rFont val="Arial"/>
        <family val="2"/>
      </rPr>
      <t>&gt; Piso tátil direcional e/ou alerta, de concreto, na cor natural, para deficientes visuais, dimensões 20x20cm, aplicado com argamassa industrializada ac-ii</t>
    </r>
    <r>
      <rPr>
        <sz val="10"/>
        <rFont val="Arial"/>
        <family val="2"/>
      </rPr>
      <t xml:space="preserve">
Será a área referente ao desconto do piso tátil das calçadas, cujo somatório do comprimento foi calculado no item anterior:
A = 77,21 x 0,20 = 15,44m²</t>
    </r>
  </si>
  <si>
    <r>
      <rPr>
        <b/>
        <sz val="10"/>
        <rFont val="Arial"/>
        <family val="2"/>
      </rPr>
      <t>&gt; Concreto Fck = 15MPa, traço 1:3,4:3,5 (em massa seca de cimento/ areia média/ brita 1) - preparo mecânico com betoneira 400 L</t>
    </r>
    <r>
      <rPr>
        <sz val="10"/>
        <rFont val="Arial"/>
        <family val="2"/>
      </rPr>
      <t xml:space="preserve">
V = (7,50 x 1,20) x 2 = 18,00m² x 0,06m = 1,08m³
Desconto do volume do piso tátil nas rampas:
V = [(1,20 x 2 + 1,50 x 1) x 2] x 0,20 x 0,02 = 0,03m³
Total: V = 1,08 - 0,03 = 1,05m³</t>
    </r>
  </si>
  <si>
    <r>
      <rPr>
        <b/>
        <sz val="10"/>
        <rFont val="Arial"/>
        <family val="2"/>
      </rPr>
      <t>&gt; Lançamento com uso de baldes, adensamento e acabamento de concreto em estruturas</t>
    </r>
    <r>
      <rPr>
        <sz val="10"/>
        <rFont val="Arial"/>
        <family val="2"/>
      </rPr>
      <t xml:space="preserve">
V = (7,50 x 1,20) x 2 = 18,00m² x 0,06m = 1,08m³
Desconto do volume do piso tátil nas rampas:
V = [(1,20 x 2 + 1,50 x 1) x 2] x 0,20 x 0,02 = 0,03m³
Total: V = 1,08 - 0,03 = 1,05m³</t>
    </r>
  </si>
  <si>
    <r>
      <rPr>
        <b/>
        <sz val="10"/>
        <rFont val="Arial"/>
        <family val="2"/>
      </rPr>
      <t>&gt; Piso tátil direcional e/ou alerta, de concreto, na cor natural, para deficientes visuais, dimensões 20x20cm, aplicado com argamassa industrializada ac-ii</t>
    </r>
    <r>
      <rPr>
        <sz val="10"/>
        <rFont val="Arial"/>
        <family val="2"/>
      </rPr>
      <t xml:space="preserve">
Rampas: A = [(1,20 x 2 + 1,50 x 1) x 2] x 0,20 = 1,56m²
</t>
    </r>
  </si>
  <si>
    <r>
      <rPr>
        <b/>
        <sz val="10"/>
        <rFont val="Arial"/>
        <family val="2"/>
      </rPr>
      <t>&gt; Pintura de piso com tinta acrílica, aplicação manual, 2 demãos, incluso fundo preparador</t>
    </r>
    <r>
      <rPr>
        <sz val="10"/>
        <rFont val="Arial"/>
        <family val="2"/>
      </rPr>
      <t xml:space="preserve">
A = (7,50 x 1,20) x 2 = 18,00m²</t>
    </r>
  </si>
  <si>
    <r>
      <rPr>
        <b/>
        <sz val="10"/>
        <rFont val="Arial"/>
        <family val="2"/>
      </rPr>
      <t>&gt; Pintura de meio-fio com tinta branca a base de cal</t>
    </r>
    <r>
      <rPr>
        <sz val="10"/>
        <rFont val="Arial"/>
        <family val="2"/>
      </rPr>
      <t xml:space="preserve">
A = 112,59 x (0,15 + 0,13) = 31,53m²</t>
    </r>
  </si>
  <si>
    <t>Rua José Vieira (Trecho 02)</t>
  </si>
  <si>
    <t>Trecho 01 - E0 à E0+10,00 (trapézio)</t>
  </si>
  <si>
    <t>Largura inicio: 7,65m / largura fim: 5,46m</t>
  </si>
  <si>
    <r>
      <t xml:space="preserve">A = (7,65 + 5,46) x 10,00 / 2 = </t>
    </r>
    <r>
      <rPr>
        <b/>
        <sz val="10"/>
        <rFont val="Arial"/>
        <family val="2"/>
      </rPr>
      <t>65,55m²</t>
    </r>
  </si>
  <si>
    <t>Trecho 02 - E0+10,00 à E1+9,26 (trapézio)</t>
  </si>
  <si>
    <t>Comprimento: 19,26m</t>
  </si>
  <si>
    <t>Largura inicio: 5,46m / largura fim: 5,94m</t>
  </si>
  <si>
    <r>
      <t xml:space="preserve">A = (5,46 + 5,94) x 19,26 / 2 = </t>
    </r>
    <r>
      <rPr>
        <b/>
        <sz val="10"/>
        <rFont val="Arial"/>
        <family val="2"/>
      </rPr>
      <t>109,78m²</t>
    </r>
  </si>
  <si>
    <t>Largura inicio: 5,94m / largura fim: 5,92m</t>
  </si>
  <si>
    <t>Trecho 03 - E1+9,26 à E2+4,12 (trapézio)</t>
  </si>
  <si>
    <t>Comprimento: 14,86m</t>
  </si>
  <si>
    <r>
      <t xml:space="preserve">A = (5,94 + 5,92) x 14,86 / 2 = </t>
    </r>
    <r>
      <rPr>
        <b/>
        <sz val="10"/>
        <rFont val="Arial"/>
        <family val="2"/>
      </rPr>
      <t>88,12m²</t>
    </r>
  </si>
  <si>
    <t>Trecho 04 - E2+4,12 à E2+16,64 (trapézio)</t>
  </si>
  <si>
    <t>Comprimento: 12,52m</t>
  </si>
  <si>
    <t>Largura inicio: 5,92m / largura fim: 5,69m</t>
  </si>
  <si>
    <r>
      <t xml:space="preserve">A = (5,92+ 5,69) x 12,52 / 2 = </t>
    </r>
    <r>
      <rPr>
        <b/>
        <sz val="10"/>
        <rFont val="Arial"/>
        <family val="2"/>
      </rPr>
      <t>72,68m²</t>
    </r>
  </si>
  <si>
    <t>Largura inicio: 5,69m / largura fim: 5,57m</t>
  </si>
  <si>
    <t>Trecho 06 - E4+1,05 à E4+5,81 (retângulo)</t>
  </si>
  <si>
    <t>Trecho 05 - E2+16,64 à E4+1,05 (trapézio)</t>
  </si>
  <si>
    <t>Comprimento: 4,76m</t>
  </si>
  <si>
    <t>Largura inicio: 5,57m / largura fim: 6,88m</t>
  </si>
  <si>
    <r>
      <t xml:space="preserve">A = (5,69 + 5,57) x 24,41 / 2 = </t>
    </r>
    <r>
      <rPr>
        <b/>
        <sz val="10"/>
        <rFont val="Arial"/>
        <family val="2"/>
      </rPr>
      <t>137,43m²</t>
    </r>
  </si>
  <si>
    <r>
      <t xml:space="preserve">A = (5,57 + 6,88) x 4,76 / 2 = </t>
    </r>
    <r>
      <rPr>
        <b/>
        <sz val="10"/>
        <rFont val="Arial"/>
        <family val="2"/>
      </rPr>
      <t>29,63m²</t>
    </r>
  </si>
  <si>
    <t>Trecho 07 - E4+5,81 à E5+12,10 (trapézio)</t>
  </si>
  <si>
    <t>Comprimento: 26,29m</t>
  </si>
  <si>
    <t>Largura inicio: 6,88m / largura fim: 6,64m</t>
  </si>
  <si>
    <r>
      <t xml:space="preserve">A = (6,88 + 6,64) x 26,29 / 2 = </t>
    </r>
    <r>
      <rPr>
        <b/>
        <sz val="10"/>
        <rFont val="Arial"/>
        <family val="2"/>
      </rPr>
      <t>177,72m²</t>
    </r>
  </si>
  <si>
    <t>Áreas de curva de meio-fio indicadas em planta</t>
  </si>
  <si>
    <t>A1 = 0,47m²</t>
  </si>
  <si>
    <t>A2 = 0,48m²</t>
  </si>
  <si>
    <r>
      <t xml:space="preserve">Atotal = </t>
    </r>
    <r>
      <rPr>
        <b/>
        <sz val="10"/>
        <rFont val="Arial"/>
        <family val="2"/>
      </rPr>
      <t>0,95m²</t>
    </r>
  </si>
  <si>
    <r>
      <rPr>
        <b/>
        <sz val="10"/>
        <rFont val="Arial"/>
        <family val="2"/>
      </rPr>
      <t>&gt; Locação de pavimentação</t>
    </r>
    <r>
      <rPr>
        <sz val="10"/>
        <rFont val="Arial"/>
        <family val="2"/>
      </rPr>
      <t xml:space="preserve">
Estaqueamento (E0 à E5+12,10) = 112,10m</t>
    </r>
  </si>
  <si>
    <r>
      <rPr>
        <b/>
        <sz val="10"/>
        <rFont val="Arial"/>
        <family val="2"/>
      </rPr>
      <t>&gt; Assentamento de guia (meio-fio) em trecho reto, confeccionada em concreto pré-fabricado, dimensões 100x15x13x30 cm (comprimento x base inferior x base superior x altura), para vias urbanas (uso viário)</t>
    </r>
    <r>
      <rPr>
        <sz val="10"/>
        <rFont val="Arial"/>
        <family val="2"/>
      </rPr>
      <t xml:space="preserve">
Comprimento de meio-fio: C = 10,00 + 10,13 + 19,20 + 20,35 + 13,83 + 13,85 + 12,47 + 12,47 + 11,96 + 24,44 + 12,69 + 4,89 + 31,74 + 24,76 + 2,22 + 2,24 = 227,24m</t>
    </r>
  </si>
  <si>
    <r>
      <rPr>
        <b/>
        <sz val="10"/>
        <rFont val="Arial"/>
        <family val="2"/>
      </rPr>
      <t>&gt; Regularização e compactação de sub-leito até 20cm de espessura</t>
    </r>
    <r>
      <rPr>
        <sz val="10"/>
        <rFont val="Arial"/>
        <family val="2"/>
      </rPr>
      <t xml:space="preserve">
A = 65,55 + 109,78 + 88,12 + 72,68 + 137,43 + 29,63 + 177,72 + 0,95 = 681,86m²</t>
    </r>
  </si>
  <si>
    <r>
      <rPr>
        <b/>
        <sz val="10"/>
        <rFont val="Arial"/>
        <family val="2"/>
      </rPr>
      <t>&gt; Execução de pavimento em paralelepípedo inclusive colchão de areia rejuntado no traço 1:3 (Cimento e areia)</t>
    </r>
    <r>
      <rPr>
        <sz val="10"/>
        <rFont val="Arial"/>
        <family val="2"/>
      </rPr>
      <t xml:space="preserve">
A = 65,55 + 109,78 + 88,12 + 72,68 + 137,43 + 29,63 + 177,72 + 0,95 = 681,86m²</t>
    </r>
  </si>
  <si>
    <r>
      <rPr>
        <b/>
        <sz val="10"/>
        <rFont val="Arial"/>
        <family val="2"/>
      </rPr>
      <t>&gt; Assentamento de guia (meio-fio) para cordão de travamento do pavimento, em pedra granítica</t>
    </r>
    <r>
      <rPr>
        <sz val="10"/>
        <rFont val="Arial"/>
        <family val="2"/>
      </rPr>
      <t xml:space="preserve">
Para travamento do início e fim do pavimento: C = 6,64m</t>
    </r>
  </si>
  <si>
    <r>
      <t xml:space="preserve">&gt; Execução de passeio (calçada) em concreto moldado in loco, feito em obra, acabamento convencional, não armado, espessura 6 cm
</t>
    </r>
    <r>
      <rPr>
        <sz val="10"/>
        <rFont val="Arial"/>
        <family val="2"/>
      </rPr>
      <t>Obs.: excluindo-se área de rampas, espessuras do meio-fio e volume do piso tátil
V = 10,00 x 1,20 / 2 + 10,13 x 1,20 / 2 + (19,20 + 20,35 + 13,83 + 13,85 + 12,47 + 12,47 + 11,96 + 24,44 + 12,69 + 4,89 + 31,74 + 24,76) x 1,20 + 1,20 x 1,20 / 2 + 1,20 x 1,20 / 2 = 256,70m² - 36,00m² = 220,70m² x 0,06m = 13,24m³
Desconto do volume do piso tátil nas calçadas:
V = (4,98 + 6,70 + 11,70 + 12,83 + 13,83 + 13,85 + 12,47 + 12,47 + 11,96 + 24,33 + 12,69 + 4,89 + 16,63 + 11,05 + 6,22 + 6,27) x 0,20 x 0,02 = 182,87 x 0,20 x 0,02 = 0,73m³
Total: V = 13,24 - 0,73 = 12,51m³</t>
    </r>
  </si>
  <si>
    <r>
      <rPr>
        <b/>
        <sz val="10"/>
        <rFont val="Arial"/>
        <family val="2"/>
      </rPr>
      <t>&gt; Piso tátil direcional e/ou alerta, de concreto, na cor natural, para deficientes visuais, dimensões 20x20cm, aplicado com argamassa industrializada ac-ii</t>
    </r>
    <r>
      <rPr>
        <sz val="10"/>
        <rFont val="Arial"/>
        <family val="2"/>
      </rPr>
      <t xml:space="preserve">
Será a área referente ao desconto do piso tátil das calçadas, cujo somatório do comprimento foi calculado no item anterior:
A = 227,24 x 0,20 = 36,57m²</t>
    </r>
  </si>
  <si>
    <r>
      <rPr>
        <b/>
        <sz val="10"/>
        <rFont val="Arial"/>
        <family val="2"/>
      </rPr>
      <t>&gt; Pintura de meio-fio com tinta branca a base de cal</t>
    </r>
    <r>
      <rPr>
        <sz val="10"/>
        <rFont val="Arial"/>
        <family val="2"/>
      </rPr>
      <t xml:space="preserve">
A = 227,24 x (0,15 + 0,13) = 63,63m²</t>
    </r>
  </si>
  <si>
    <t>Rua José Vieira (Trecho 03)</t>
  </si>
  <si>
    <t>E0 à E3+3,93 (trapézio)</t>
  </si>
  <si>
    <t>Comprimento: 63,93m</t>
  </si>
  <si>
    <t>Largura inicio: 5,37m / largura fim: 5,26m</t>
  </si>
  <si>
    <r>
      <t xml:space="preserve">A = (5,37 + 5,26) x 63,93 / 2 = </t>
    </r>
    <r>
      <rPr>
        <b/>
        <sz val="10"/>
        <rFont val="Arial"/>
        <family val="2"/>
      </rPr>
      <t>339,79m²</t>
    </r>
  </si>
  <si>
    <t>A1 = 0,53m²</t>
  </si>
  <si>
    <t>A2 = 0,49m²</t>
  </si>
  <si>
    <t>A3 = 0,42m²</t>
  </si>
  <si>
    <t>A4 = 0,53m²</t>
  </si>
  <si>
    <r>
      <t xml:space="preserve">Atotal = </t>
    </r>
    <r>
      <rPr>
        <b/>
        <sz val="10"/>
        <rFont val="Arial"/>
        <family val="2"/>
      </rPr>
      <t>1,97m²</t>
    </r>
  </si>
  <si>
    <r>
      <rPr>
        <b/>
        <sz val="10"/>
        <rFont val="Arial"/>
        <family val="2"/>
      </rPr>
      <t>&gt; Regularização e compactação de sub-leito até 20cm de espessura</t>
    </r>
    <r>
      <rPr>
        <sz val="10"/>
        <rFont val="Arial"/>
        <family val="2"/>
      </rPr>
      <t xml:space="preserve">
A = 339,79 + 1,97 = 341,76m²</t>
    </r>
  </si>
  <si>
    <r>
      <rPr>
        <b/>
        <sz val="10"/>
        <rFont val="Arial"/>
        <family val="2"/>
      </rPr>
      <t>&gt; Execução de pavimento em paralelepípedo inclusive colchão de areia rejuntado no traço 1:3 (Cimento e areia)</t>
    </r>
    <r>
      <rPr>
        <sz val="10"/>
        <rFont val="Arial"/>
        <family val="2"/>
      </rPr>
      <t xml:space="preserve">
A = 339,79 + 1,97 = 341,76m²</t>
    </r>
  </si>
  <si>
    <r>
      <rPr>
        <b/>
        <sz val="10"/>
        <rFont val="Arial"/>
        <family val="2"/>
      </rPr>
      <t>&gt; Assentamento de guia (meio-fio) para cordão de travamento do pavimento, em pedra granítica</t>
    </r>
    <r>
      <rPr>
        <sz val="10"/>
        <rFont val="Arial"/>
        <family val="2"/>
      </rPr>
      <t xml:space="preserve">
Para travamento do início e fim do pavimento: C = 5,26m</t>
    </r>
  </si>
  <si>
    <r>
      <rPr>
        <b/>
        <sz val="10"/>
        <rFont val="Arial"/>
        <family val="2"/>
      </rPr>
      <t>&gt; Alvenaria de blocos cerâmicos furados na horizontal de 9x19x19 cm (espessura 9 cm) e argamassa de assentamento com preparo manual (para contenção das calçadas)</t>
    </r>
    <r>
      <rPr>
        <sz val="10"/>
        <rFont val="Arial"/>
        <family val="2"/>
      </rPr>
      <t xml:space="preserve">
A = (27,88 + 4,89 + 26,45 + 1,86) x 0,20 = 61,08m x 0,20m = 12,22m²</t>
    </r>
  </si>
  <si>
    <r>
      <rPr>
        <b/>
        <sz val="10"/>
        <rFont val="Arial"/>
        <family val="2"/>
      </rPr>
      <t>&gt; Alvenaria de blocos cerâmicos furados na horizontal de 9x19x19 cm (espessura 9 cm) e argamassa de assentamento com preparo manual (para contenção das calçadas)</t>
    </r>
    <r>
      <rPr>
        <sz val="10"/>
        <rFont val="Arial"/>
        <family val="2"/>
      </rPr>
      <t xml:space="preserve">
A = (1,67 + 1,22 + 8,35 + 1,12) x 0,20 = 12,36m x 0,20m = 2,47m²</t>
    </r>
  </si>
  <si>
    <r>
      <t xml:space="preserve">&gt; Execução de passeio (calçada) em concreto moldado in loco, feito em obra, acabamento convencional, não armado, espessura 6 cm
</t>
    </r>
    <r>
      <rPr>
        <sz val="10"/>
        <rFont val="Arial"/>
        <family val="2"/>
      </rPr>
      <t>Obs.: excluindo-se área de rampas, espessuras do meio-fio e volume do piso tátil
V = 1,20 x 1,20 / 2 + 1,20 x 1,20 / 2 + (23,16 + 32,40 + 37,45 + 28,88) x 1,20 + 1,20 x 1,20 / 2 + 1,20 x 1,20 / 2 = 149,15m² - 36,00m² = 113,15m² x 0,06m = 6,79m³
Desconto do volume do piso tátil nas calçadas:
V = (1,21 + 1,26 + 5,52 + 5,79 + 10,10 + 19,16 + 26,11 + 17,01 + 3,89 + 4,36 + 1,65 + 1,45 + 1,86) x 0,20 x 0,02 = 99,37 x 0,20 x 0,02 = 0,40m³
Total: V = 6,79 - 0,40 = 6,39m³</t>
    </r>
  </si>
  <si>
    <r>
      <rPr>
        <b/>
        <sz val="10"/>
        <rFont val="Arial"/>
        <family val="2"/>
      </rPr>
      <t>&gt; Assentamento de guia (meio-fio) em trecho reto, confeccionada em concreto pré-fabricado, dimensões 100x15x13x30 cm (comprimento x base inferior x base superior x altura), para vias urbanas (uso viário)</t>
    </r>
    <r>
      <rPr>
        <sz val="10"/>
        <rFont val="Arial"/>
        <family val="2"/>
      </rPr>
      <t xml:space="preserve">
Comprimento de meio-fio: C = 2,21 + 2,21 + 23,16 + 32,40 + 37,45 + 28,88 + 2,27 + 2,45 = 131,03m</t>
    </r>
  </si>
  <si>
    <r>
      <rPr>
        <b/>
        <sz val="10"/>
        <rFont val="Arial"/>
        <family val="2"/>
      </rPr>
      <t>&gt; Pintura de meio-fio com tinta branca a base de cal</t>
    </r>
    <r>
      <rPr>
        <sz val="10"/>
        <rFont val="Arial"/>
        <family val="2"/>
      </rPr>
      <t xml:space="preserve">
A = 131,03 x (0,15 + 0,13) = 36,69m²</t>
    </r>
  </si>
  <si>
    <t>Rua Genésio de Andrade (Trecho 01)</t>
  </si>
  <si>
    <t>Trecho 01 - E0 à E0+10,02 (trapézio)</t>
  </si>
  <si>
    <t>Comprimento: 10,02m</t>
  </si>
  <si>
    <t>Largura inicio: 8,00m / largura fim: 6,65m</t>
  </si>
  <si>
    <r>
      <t xml:space="preserve">A = (8,00 + 6,65) x 10,02 / 2 = </t>
    </r>
    <r>
      <rPr>
        <b/>
        <sz val="10"/>
        <rFont val="Arial"/>
        <family val="2"/>
      </rPr>
      <t>73,40m²</t>
    </r>
  </si>
  <si>
    <t>Trecho 02 - E0+10,02 à E5+18,65 (retângulo)</t>
  </si>
  <si>
    <t>Largura: 6,65m</t>
  </si>
  <si>
    <t>Comprimento: 108,63m</t>
  </si>
  <si>
    <r>
      <t xml:space="preserve">A = 108,63 x 6,65 = </t>
    </r>
    <r>
      <rPr>
        <b/>
        <sz val="10"/>
        <rFont val="Arial"/>
        <family val="2"/>
      </rPr>
      <t>722,39m²</t>
    </r>
  </si>
  <si>
    <t>Largura inicio: 6,65m / largura fim: 8,00m</t>
  </si>
  <si>
    <t>Trecho 03 - E5+18,65 à E6+8,63 (trapézio)</t>
  </si>
  <si>
    <t>Comprimento: 9,98m</t>
  </si>
  <si>
    <r>
      <t xml:space="preserve">A = (6,65 + 8,00) x 9,98 / 2 = </t>
    </r>
    <r>
      <rPr>
        <b/>
        <sz val="10"/>
        <rFont val="Arial"/>
        <family val="2"/>
      </rPr>
      <t>73,10m²</t>
    </r>
  </si>
  <si>
    <r>
      <rPr>
        <b/>
        <sz val="10"/>
        <rFont val="Arial"/>
        <family val="2"/>
      </rPr>
      <t>&gt; Regularização e compactação de sub-leito até 20cm de espessura</t>
    </r>
    <r>
      <rPr>
        <sz val="10"/>
        <rFont val="Arial"/>
        <family val="2"/>
      </rPr>
      <t xml:space="preserve">
A = 73,40 + 722,39 + 73,10 = 868,89m²</t>
    </r>
  </si>
  <si>
    <r>
      <rPr>
        <b/>
        <sz val="10"/>
        <rFont val="Arial"/>
        <family val="2"/>
      </rPr>
      <t>&gt; Locação de pavimentação</t>
    </r>
    <r>
      <rPr>
        <sz val="10"/>
        <rFont val="Arial"/>
        <family val="2"/>
      </rPr>
      <t xml:space="preserve">
Estaqueamento (E0 à E6+8,63) = 128,63m</t>
    </r>
  </si>
  <si>
    <r>
      <rPr>
        <b/>
        <sz val="10"/>
        <rFont val="Arial"/>
        <family val="2"/>
      </rPr>
      <t>&gt; Assentamento de guia (meio-fio) em trecho reto, confeccionada em concreto pré-fabricado, dimensões 100x15x13x30 cm (comprimento x base inferior x base superior x altura), para vias urbanas (uso viário)</t>
    </r>
    <r>
      <rPr>
        <sz val="10"/>
        <rFont val="Arial"/>
        <family val="2"/>
      </rPr>
      <t xml:space="preserve">
Comprimento de meio-fio: C = 10,09 + 108,64 + 128,51 + 10,12 = 257,36m</t>
    </r>
  </si>
  <si>
    <r>
      <rPr>
        <b/>
        <sz val="10"/>
        <rFont val="Arial"/>
        <family val="2"/>
      </rPr>
      <t>&gt; Execução de pavimento em paralelepípedo inclusive colchão de areia rejuntado no traço 1:3 (Cimento e areia)</t>
    </r>
    <r>
      <rPr>
        <sz val="10"/>
        <rFont val="Arial"/>
        <family val="2"/>
      </rPr>
      <t xml:space="preserve">
A = 73,40 + 722,39 + 73,10 = 868,89m²</t>
    </r>
  </si>
  <si>
    <r>
      <rPr>
        <b/>
        <sz val="10"/>
        <rFont val="Arial"/>
        <family val="2"/>
      </rPr>
      <t>&gt; Alvenaria de blocos cerâmicos furados na horizontal de 9x19x19 cm (espessura 9 cm) e argamassa de assentamento com preparo manual (para contenção das calçadas)</t>
    </r>
    <r>
      <rPr>
        <sz val="10"/>
        <rFont val="Arial"/>
        <family val="2"/>
      </rPr>
      <t xml:space="preserve">
A = (1,20 + 128,51) x 0,20 = 129,71m x 0,20m = 25,94m²</t>
    </r>
  </si>
  <si>
    <r>
      <t xml:space="preserve">&gt; Execução de passeio (calçada) em concreto moldado in loco, feito em obra, acabamento convencional, não armado, espessura 6 cm
</t>
    </r>
    <r>
      <rPr>
        <sz val="10"/>
        <rFont val="Arial"/>
        <family val="2"/>
      </rPr>
      <t>Obs.: excluindo-se área de rampas, espessuras do meio-fio e volume do piso tátil
V = 10,09 x 1,20 / 2 + (108,64 + 128,51) x 1,20 + 10,12 x 1,20 / 2 = 296,71m² - 36,00m² = 260,71m² x 0,06m = 15,64m³
Desconto do volume do piso tátil nas calçadas:
V = (5,00 + 21,61 + 11,56 + 2,18 + 0,69 + 1,56 + 0,82 + 35,21 + 29,99 + 0,65 + 2,79 + 0,62 + 25,60 + 44,42 + 0,90 + 1,97 + 0,76 + 11,86 + 2,39 + 9,29 + 4,97 + 0,89 + 2,23) x 0,20 x 0,02 = 217,96 x 0,20 x 0,02 = 0,87m³
Total: V = 15,64 - 0,87 = 14,77m³</t>
    </r>
  </si>
  <si>
    <r>
      <rPr>
        <b/>
        <sz val="10"/>
        <rFont val="Arial"/>
        <family val="2"/>
      </rPr>
      <t>&gt; Piso tátil direcional e/ou alerta, de concreto, na cor natural, para deficientes visuais, dimensões 20x20cm, aplicado com argamassa industrializada ac-ii</t>
    </r>
    <r>
      <rPr>
        <sz val="10"/>
        <rFont val="Arial"/>
        <family val="2"/>
      </rPr>
      <t xml:space="preserve">
Será a área referente ao desconto do piso tátil das calçadas, cujo somatório do comprimento foi calculado no item anterior:
A = 217,96 x 0,20 = 43,59m²</t>
    </r>
  </si>
  <si>
    <r>
      <rPr>
        <b/>
        <sz val="10"/>
        <rFont val="Arial"/>
        <family val="2"/>
      </rPr>
      <t>&gt; Pintura de meio-fio com tinta branca a base de cal</t>
    </r>
    <r>
      <rPr>
        <sz val="10"/>
        <rFont val="Arial"/>
        <family val="2"/>
      </rPr>
      <t xml:space="preserve">
A = 257,36 x (0,15 + 0,13) = 72,36m²</t>
    </r>
  </si>
  <si>
    <t>Rua Genésio de Andrade (Trecho 02)</t>
  </si>
  <si>
    <t>Largura inicio: 8,20m / largura fim: 5,50m</t>
  </si>
  <si>
    <r>
      <t xml:space="preserve">A = (8,20 + 5,50) x 10,00 / 2 = </t>
    </r>
    <r>
      <rPr>
        <b/>
        <sz val="10"/>
        <rFont val="Arial"/>
        <family val="2"/>
      </rPr>
      <t>68,50m²</t>
    </r>
  </si>
  <si>
    <t>Trecho 02 - E0+10,00 à E2+16,67 (trapézio)</t>
  </si>
  <si>
    <t>Comprimento: 46,67m</t>
  </si>
  <si>
    <t>Largura inicio: 5,50m / largura fim: 5,48m</t>
  </si>
  <si>
    <r>
      <t xml:space="preserve">A = (5,50 + 5,48) x 46,67 / 2 = </t>
    </r>
    <r>
      <rPr>
        <b/>
        <sz val="10"/>
        <rFont val="Arial"/>
        <family val="2"/>
      </rPr>
      <t>256,22m²</t>
    </r>
  </si>
  <si>
    <t>Trecho 03 - E2+16,67 à E3+13,24 (trapézio)</t>
  </si>
  <si>
    <t>Comprimento: 16,57m</t>
  </si>
  <si>
    <t>Largura inicio: 5,48m / largura fim: 5,43m</t>
  </si>
  <si>
    <t>Trecho 04 - E3+13,24 à E5+5,27 (trapézio)</t>
  </si>
  <si>
    <t>Comprimento: 32,03m</t>
  </si>
  <si>
    <t>Largura inicio: 5,43m / largura fim: 5,51m</t>
  </si>
  <si>
    <t>Trecho 05 - E5+5,27 à E5+15,35 (trapézio)</t>
  </si>
  <si>
    <t>Comprimento: 10,08m</t>
  </si>
  <si>
    <t>Largura inicio: 5,51m / largura fim: 8,24m</t>
  </si>
  <si>
    <r>
      <t xml:space="preserve">A = (5,48 + 5,43) x 16,57 / 2 = </t>
    </r>
    <r>
      <rPr>
        <b/>
        <sz val="10"/>
        <rFont val="Arial"/>
        <family val="2"/>
      </rPr>
      <t>90,39m²</t>
    </r>
  </si>
  <si>
    <r>
      <t xml:space="preserve">A = (5,43 + 5,51) x 32,03 / 2 = </t>
    </r>
    <r>
      <rPr>
        <b/>
        <sz val="10"/>
        <rFont val="Arial"/>
        <family val="2"/>
      </rPr>
      <t>175,20m²</t>
    </r>
  </si>
  <si>
    <r>
      <t xml:space="preserve">A = (5,51 + 8,24) x 10,08 / 2 = </t>
    </r>
    <r>
      <rPr>
        <b/>
        <sz val="10"/>
        <rFont val="Arial"/>
        <family val="2"/>
      </rPr>
      <t>69,30m²</t>
    </r>
  </si>
  <si>
    <r>
      <rPr>
        <b/>
        <sz val="10"/>
        <rFont val="Arial"/>
        <family val="2"/>
      </rPr>
      <t>&gt; Locação de pavimentação</t>
    </r>
    <r>
      <rPr>
        <sz val="10"/>
        <rFont val="Arial"/>
        <family val="2"/>
      </rPr>
      <t xml:space="preserve">
Estaqueamento (E0 à E5+15,35) = 115,35m</t>
    </r>
  </si>
  <si>
    <r>
      <rPr>
        <b/>
        <sz val="10"/>
        <rFont val="Arial"/>
        <family val="2"/>
      </rPr>
      <t>&gt; Regularização e compactação de sub-leito até 20cm de espessura</t>
    </r>
    <r>
      <rPr>
        <sz val="10"/>
        <rFont val="Arial"/>
        <family val="2"/>
      </rPr>
      <t xml:space="preserve">
A = 68,50 + 256,22 + 90,39 + 175,20 + 69,30 = 659,61m²</t>
    </r>
  </si>
  <si>
    <r>
      <rPr>
        <b/>
        <sz val="10"/>
        <rFont val="Arial"/>
        <family val="2"/>
      </rPr>
      <t>&gt; Assentamento de guia (meio-fio) em trecho reto, confeccionada em concreto pré-fabricado, dimensões 100x15x13x30 cm (comprimento x base inferior x base superior x altura), para vias urbanas (uso viário)</t>
    </r>
    <r>
      <rPr>
        <sz val="10"/>
        <rFont val="Arial"/>
        <family val="2"/>
      </rPr>
      <t xml:space="preserve">
Comprimento de meio-fio: C = 2,60 + 32,03 + 35,21 + 10,27 + 10,06 = 90,17m</t>
    </r>
  </si>
  <si>
    <r>
      <rPr>
        <b/>
        <sz val="10"/>
        <rFont val="Arial"/>
        <family val="2"/>
      </rPr>
      <t>&gt; Execução de pavimento em paralelepípedo inclusive colchão de areia rejuntado no traço 1:3 (Cimento e areia)</t>
    </r>
    <r>
      <rPr>
        <sz val="10"/>
        <rFont val="Arial"/>
        <family val="2"/>
      </rPr>
      <t xml:space="preserve">
A = 68,50 + 256,22 + 90,39 + 175,20 + 69,30 = 659,61m²</t>
    </r>
  </si>
  <si>
    <r>
      <t xml:space="preserve">&gt; Execução de passeio (calçada) em concreto moldado in loco, feito em obra, acabamento convencional, não armado, espessura 6 cm
</t>
    </r>
    <r>
      <rPr>
        <sz val="10"/>
        <rFont val="Arial"/>
        <family val="2"/>
      </rPr>
      <t>Obs.: excluindo-se área de rampas, espessuras do meio-fio e volume do piso tátil
V = 2,60 x 1,20 / 2 + (32,03 + 35,21) x 1,20 + 10,27 x 1,20 / 2 + 10,06 x 1,20 / 2 = 94,45m² - 18,00m² = 76,45m² x 0,06m = 4,59m³
Desconto do volume do piso tátil nas calçadas:
V = (5,00 + 5,00 + 32,99 + 33,01 + 6,13 + 8,19 + 13,72 + 10,51 + 14,01 + 13,96 + 4,98 + 5,05) x 0,20 x 0,02 = 152,55 x 0,20 x 0,02 = 0,61m³
Total: V = 4,59 - 0,61 = 3,98m³</t>
    </r>
  </si>
  <si>
    <r>
      <rPr>
        <b/>
        <sz val="10"/>
        <rFont val="Arial"/>
        <family val="2"/>
      </rPr>
      <t>&gt; Piso tátil direcional e/ou alerta, de concreto, na cor natural, para deficientes visuais, dimensões 20x20cm, aplicado com argamassa industrializada ac-ii</t>
    </r>
    <r>
      <rPr>
        <sz val="10"/>
        <rFont val="Arial"/>
        <family val="2"/>
      </rPr>
      <t xml:space="preserve">
Será a área referente ao desconto do piso tátil das calçadas, cujo somatório do comprimento foi calculado no item anterior:
A = 152,55 x 0,20 = 30,51m²</t>
    </r>
  </si>
  <si>
    <r>
      <rPr>
        <b/>
        <sz val="10"/>
        <rFont val="Arial"/>
        <family val="2"/>
      </rPr>
      <t>&gt; Pintura de meio-fio com tinta branca a base de cal</t>
    </r>
    <r>
      <rPr>
        <sz val="10"/>
        <rFont val="Arial"/>
        <family val="2"/>
      </rPr>
      <t xml:space="preserve">
A = 90,17 x (0,15 + 0,13) = 25,25m²</t>
    </r>
  </si>
  <si>
    <t>Travessa Cunha de Vasconcelos</t>
  </si>
  <si>
    <t>Largura inicio: 7,90m / largura fim: 5,22m</t>
  </si>
  <si>
    <r>
      <t xml:space="preserve">A = (7,90 + 5,22) x 10,00 / 2 = </t>
    </r>
    <r>
      <rPr>
        <b/>
        <sz val="10"/>
        <rFont val="Arial"/>
        <family val="2"/>
      </rPr>
      <t>65,60m²</t>
    </r>
  </si>
  <si>
    <t>Largura inicio: 5,22m / largura fim: 5,30m</t>
  </si>
  <si>
    <t>A1 = 0,49m²</t>
  </si>
  <si>
    <t>Trecho 02 - E0+10,00 à E2+18,31 (trapézio)</t>
  </si>
  <si>
    <t>Comprimento: 48,31m</t>
  </si>
  <si>
    <r>
      <t xml:space="preserve">A = (5,22 + 5,30) x 48,31 / 2 = </t>
    </r>
    <r>
      <rPr>
        <b/>
        <sz val="10"/>
        <rFont val="Arial"/>
        <family val="2"/>
      </rPr>
      <t>254,11m²</t>
    </r>
  </si>
  <si>
    <r>
      <t xml:space="preserve">Atotal = </t>
    </r>
    <r>
      <rPr>
        <b/>
        <sz val="10"/>
        <rFont val="Arial"/>
        <family val="2"/>
      </rPr>
      <t>0,97m²</t>
    </r>
  </si>
  <si>
    <r>
      <rPr>
        <b/>
        <sz val="10"/>
        <rFont val="Arial"/>
        <family val="2"/>
      </rPr>
      <t>&gt; Regularização e compactação de sub-leito até 20cm de espessura</t>
    </r>
    <r>
      <rPr>
        <sz val="10"/>
        <rFont val="Arial"/>
        <family val="2"/>
      </rPr>
      <t xml:space="preserve">
A = 65,60 + 254,11 + 0,97 = 320,68m²</t>
    </r>
  </si>
  <si>
    <r>
      <rPr>
        <b/>
        <sz val="10"/>
        <rFont val="Arial"/>
        <family val="2"/>
      </rPr>
      <t>&gt; Execução de pavimento em paralelepípedo inclusive colchão de areia rejuntado no traço 1:3 (Cimento e areia)</t>
    </r>
    <r>
      <rPr>
        <sz val="10"/>
        <rFont val="Arial"/>
        <family val="2"/>
      </rPr>
      <t xml:space="preserve">
A = 65,60 + 254,11 + 0,97 = 320,68m²</t>
    </r>
  </si>
  <si>
    <r>
      <rPr>
        <b/>
        <sz val="10"/>
        <rFont val="Arial"/>
        <family val="2"/>
      </rPr>
      <t>&gt; Locação de pavimentação</t>
    </r>
    <r>
      <rPr>
        <sz val="10"/>
        <rFont val="Arial"/>
        <family val="2"/>
      </rPr>
      <t xml:space="preserve">
Estaqueamento (E0 à E2+18,31) = 58,31m</t>
    </r>
  </si>
  <si>
    <r>
      <rPr>
        <b/>
        <sz val="10"/>
        <rFont val="Arial"/>
        <family val="2"/>
      </rPr>
      <t>&gt; Assentamento de guia (meio-fio) em trecho reto, confeccionada em concreto pré-fabricado, dimensões 100x15x13x30 cm (comprimento x base inferior x base superior x altura), para vias urbanas (uso viário)</t>
    </r>
    <r>
      <rPr>
        <sz val="10"/>
        <rFont val="Arial"/>
        <family val="2"/>
      </rPr>
      <t xml:space="preserve">
Comprimento de meio-fio: C = 10,09 + 10,13 + 46,74 + 46,86 + 2,21 + 2,19 = 118,22m</t>
    </r>
  </si>
  <si>
    <r>
      <t xml:space="preserve">&gt; Execução de passeio (calçada) em concreto moldado in loco, feito em obra, acabamento convencional, não armado, espessura 6 cm
</t>
    </r>
    <r>
      <rPr>
        <sz val="10"/>
        <rFont val="Arial"/>
        <family val="2"/>
      </rPr>
      <t>Obs.: excluindo-se áre de rampas, espessuras do meio-fio e volume do piso tátil
V = 10,09 x 1,20 / 2 + 10,13 x 1,20 / 2 + (46,74 + 46,86) x 1,20 + 1,20 x 1,20 / 2 + 1,20 x 1,20 / 2 = 125,89m² - 18,00m² = 107,89m² x 0,06m = 6,47m³
Desconto do volume do piso tátil nas calçadas:
V = (4,42 + 4,42 + 33,04 + 33,15 + 4,61 + 5,21 + 2,70 + 2,00 + 1,54 + 1,40) x 0,20 x 0,02 = 92,49 x 0,20 x 0,02 = 0,37m³
Total: V = 6,47 - 0,37 = 6,10m³</t>
    </r>
  </si>
  <si>
    <r>
      <rPr>
        <b/>
        <sz val="10"/>
        <rFont val="Arial"/>
        <family val="2"/>
      </rPr>
      <t>&gt; Piso tátil direcional e/ou alerta, de concreto, na cor natural, para deficientes visuais, dimensões 20x20cm, aplicado com argamassa industrializada ac-ii</t>
    </r>
    <r>
      <rPr>
        <sz val="10"/>
        <rFont val="Arial"/>
        <family val="2"/>
      </rPr>
      <t xml:space="preserve">
Será a área referente ao desconto do piso tátil das calçadas, cujo somatório do comprimento foi calculado no item anterior:
A = 92,49 x 0,20 = 18,50m²</t>
    </r>
  </si>
  <si>
    <r>
      <rPr>
        <b/>
        <sz val="10"/>
        <rFont val="Arial"/>
        <family val="2"/>
      </rPr>
      <t>&gt; Pintura de meio-fio com tinta branca a base de cal</t>
    </r>
    <r>
      <rPr>
        <sz val="10"/>
        <rFont val="Arial"/>
        <family val="2"/>
      </rPr>
      <t xml:space="preserve">
A = 118,22 x (0,15 + 0,13) = 33,10m²</t>
    </r>
  </si>
  <si>
    <t xml:space="preserve">Unitário com BDI 28,99% </t>
  </si>
  <si>
    <t>BDI: 28,99%</t>
  </si>
  <si>
    <r>
      <rPr>
        <b/>
        <sz val="10"/>
        <rFont val="Arial"/>
        <family val="2"/>
      </rPr>
      <t>&gt; Locação de pavimentação</t>
    </r>
    <r>
      <rPr>
        <sz val="10"/>
        <rFont val="Arial"/>
        <family val="2"/>
      </rPr>
      <t xml:space="preserve">
Estaqueamento (E0 à E3+3,93) = 63,93m</t>
    </r>
  </si>
  <si>
    <t>Ndeson</t>
  </si>
  <si>
    <t>5213464 SICRO Jan/25</t>
  </si>
  <si>
    <t>103689 SINAPI Fev/25</t>
  </si>
  <si>
    <t>105011 SINAPI Fev/25</t>
  </si>
  <si>
    <t>100576 SINAPI Fev/25</t>
  </si>
  <si>
    <t>94273 SINAPI Fev/25</t>
  </si>
  <si>
    <t>101169 SINAPI Fev/25</t>
  </si>
  <si>
    <t>103329 SINAPI Fev/25</t>
  </si>
  <si>
    <t>94990 SINAPI
Fev/25</t>
  </si>
  <si>
    <t>104658 SINAPI Fev/25</t>
  </si>
  <si>
    <t>94963 SINAPI
Fev/25</t>
  </si>
  <si>
    <t>103670 SINAPI
Fev/25</t>
  </si>
  <si>
    <t>104658 SINAPI - Fev/25</t>
  </si>
  <si>
    <t>102491 SINAPI
Fev/25</t>
  </si>
  <si>
    <t>103695 SINAPI Fev/25</t>
  </si>
  <si>
    <t>102498 SINAPI Fev/25</t>
  </si>
  <si>
    <t>Obs.: Data-base dos preços unitários - SINAPI PB: Fevereiro/2025, SICRO Janeiro/25 e DER-PB: Jan-Mar/2025</t>
  </si>
  <si>
    <t>04.910.02 DER/PB (Jan-Mar/25)</t>
  </si>
  <si>
    <t>Referência: SINAPI PB Fevereiro/25; DER PB Jan-Mar/25</t>
  </si>
  <si>
    <t>Obs: Encargos Sociais Desonerados de 91,01% (h) contidos nos insumos, conforme informa a tabela de referência citada.</t>
  </si>
  <si>
    <t>Encargos Sociais Desonerados de 91,01% (h)</t>
  </si>
  <si>
    <t>CÁLCULO DE BDI (com desoneração)</t>
  </si>
  <si>
    <t>PAVIMENTAÇÃO EM RUAS DO MUNICÍPIO DE MAMANGUAPE-PB</t>
  </si>
  <si>
    <t>Planilha de Demonstrativo de Leis Sociais</t>
  </si>
  <si>
    <t>CÁLCULO DEMONSTRATIVO DOS ENCARGOS SOCIAIS</t>
  </si>
  <si>
    <t>Base: MEMÓRIA DE CÁLCULO CEF / SINAPI</t>
  </si>
  <si>
    <t>DESONERADO</t>
  </si>
  <si>
    <t xml:space="preserve">CÓDIGO </t>
  </si>
  <si>
    <t xml:space="preserve">DESCRIÇÃO </t>
  </si>
  <si>
    <t>HORISTA</t>
  </si>
  <si>
    <t>MENSALISTA</t>
  </si>
  <si>
    <t xml:space="preserve">A </t>
  </si>
  <si>
    <t xml:space="preserve">GRUPO A </t>
  </si>
  <si>
    <t xml:space="preserve">A1 </t>
  </si>
  <si>
    <t xml:space="preserve">INSS </t>
  </si>
  <si>
    <t xml:space="preserve">A2 </t>
  </si>
  <si>
    <t xml:space="preserve">SESI </t>
  </si>
  <si>
    <t xml:space="preserve">A3 </t>
  </si>
  <si>
    <t xml:space="preserve">SENAI </t>
  </si>
  <si>
    <t xml:space="preserve">A4 </t>
  </si>
  <si>
    <t xml:space="preserve">INCRA </t>
  </si>
  <si>
    <t xml:space="preserve">A5 </t>
  </si>
  <si>
    <t xml:space="preserve">SEBRAE </t>
  </si>
  <si>
    <t xml:space="preserve">A6 </t>
  </si>
  <si>
    <t xml:space="preserve">Salário Educação </t>
  </si>
  <si>
    <t xml:space="preserve">A7 </t>
  </si>
  <si>
    <t xml:space="preserve">Seguro Contra Acidentes Trabalho </t>
  </si>
  <si>
    <t xml:space="preserve">A8 </t>
  </si>
  <si>
    <t xml:space="preserve">FGTS </t>
  </si>
  <si>
    <t xml:space="preserve">A9 </t>
  </si>
  <si>
    <t xml:space="preserve">SECONCI </t>
  </si>
  <si>
    <t xml:space="preserve">B </t>
  </si>
  <si>
    <t xml:space="preserve">GRUPO B </t>
  </si>
  <si>
    <t xml:space="preserve">B1 </t>
  </si>
  <si>
    <t xml:space="preserve">Repouso Semanal Remunerado </t>
  </si>
  <si>
    <t xml:space="preserve">B2 </t>
  </si>
  <si>
    <t xml:space="preserve">Feriados </t>
  </si>
  <si>
    <t xml:space="preserve">B3 </t>
  </si>
  <si>
    <t xml:space="preserve">Auxílio-Enfermidade </t>
  </si>
  <si>
    <t xml:space="preserve">B4 </t>
  </si>
  <si>
    <t xml:space="preserve">13º Salário </t>
  </si>
  <si>
    <t xml:space="preserve">B5 </t>
  </si>
  <si>
    <t xml:space="preserve">Licença Paternidade </t>
  </si>
  <si>
    <t xml:space="preserve">B6 </t>
  </si>
  <si>
    <t xml:space="preserve">Faltas Justificadas </t>
  </si>
  <si>
    <t xml:space="preserve">B7 </t>
  </si>
  <si>
    <t xml:space="preserve">Dias de Chuvas </t>
  </si>
  <si>
    <t xml:space="preserve">B8 </t>
  </si>
  <si>
    <t xml:space="preserve">Auxilio Acidente de Trabalho </t>
  </si>
  <si>
    <t xml:space="preserve">B9 </t>
  </si>
  <si>
    <t xml:space="preserve">Férias Gozadas </t>
  </si>
  <si>
    <t xml:space="preserve">B10 </t>
  </si>
  <si>
    <t xml:space="preserve">Salário Maternidade </t>
  </si>
  <si>
    <t xml:space="preserve">C </t>
  </si>
  <si>
    <t xml:space="preserve">GRUPO C </t>
  </si>
  <si>
    <t xml:space="preserve">C1 </t>
  </si>
  <si>
    <t xml:space="preserve">Aviso Prévio Indenizado </t>
  </si>
  <si>
    <t xml:space="preserve">C2 </t>
  </si>
  <si>
    <t xml:space="preserve">Aviso Prévio Trabalhado </t>
  </si>
  <si>
    <t xml:space="preserve">C3 </t>
  </si>
  <si>
    <t xml:space="preserve">Férias Indenizadas+1/3 </t>
  </si>
  <si>
    <t xml:space="preserve">C4 </t>
  </si>
  <si>
    <t xml:space="preserve">Depósito Rescisão Sem Justa Causa </t>
  </si>
  <si>
    <t xml:space="preserve">C5 </t>
  </si>
  <si>
    <t xml:space="preserve">Indenização Adicional </t>
  </si>
  <si>
    <t xml:space="preserve">D </t>
  </si>
  <si>
    <t xml:space="preserve">GRUPO D </t>
  </si>
  <si>
    <t xml:space="preserve">D1 </t>
  </si>
  <si>
    <t xml:space="preserve">Reincidência de A sobre B </t>
  </si>
  <si>
    <t xml:space="preserve">D2 </t>
  </si>
  <si>
    <t xml:space="preserve">Reincidência de A sobre Aviso Prévio Trabalhado + Reincidência de FGTS sobre Aviso Prévio Indenizado </t>
  </si>
  <si>
    <t>NÃO DESONERADO</t>
  </si>
  <si>
    <t>X</t>
  </si>
  <si>
    <t>Encargos Sociais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</si>
</sst>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4" formatCode="_-&quot;R$&quot;\ * #,##0.00_-;\-&quot;R$&quot;\ * #,##0.00_-;_-&quot;R$&quot;\ * &quot;-&quot;??_-;_-@_-"/>
    <numFmt numFmtId="43" formatCode="_-* #,##0.00_-;\-* #,##0.00_-;_-* &quot;-&quot;??_-;_-@_-"/>
    <numFmt numFmtId="164" formatCode="_(&quot;R$&quot;* #,##0.00_);_(&quot;R$&quot;* \(#,##0.00\);_(&quot;R$&quot;* &quot;-&quot;??_);_(@_)"/>
    <numFmt numFmtId="165" formatCode="_(* #,##0.00_);_(* \(#,##0.00\);_(* &quot;-&quot;??_);_(@_)"/>
    <numFmt numFmtId="166" formatCode="_-* #,##0.000_-;\-* #,##0.000_-;_-* &quot;-&quot;??_-;_-@_-"/>
    <numFmt numFmtId="167" formatCode="0.000"/>
    <numFmt numFmtId="168" formatCode="_(* #,##0.000000000_);_(* \(#,##0.000000000\);_(* &quot;-&quot;??_);_(@_)"/>
    <numFmt numFmtId="169" formatCode="0.00000"/>
    <numFmt numFmtId="170" formatCode="_(* #,##0.00000_);_(* \(#,##0.00000\);_(* &quot;-&quot;??_);_(@_)"/>
    <numFmt numFmtId="171" formatCode="0.000000"/>
    <numFmt numFmtId="172" formatCode="0.0000"/>
    <numFmt numFmtId="173" formatCode="_-* #,##0.0000_-;\-* #,##0.0000_-;_-* &quot;-&quot;??_-;_-@_-"/>
  </numFmts>
  <fonts count="106" x14ac:knownFonts="1">
    <font>
      <sz val="10"/>
      <name val="Arial"/>
    </font>
    <font>
      <sz val="11"/>
      <color theme="1"/>
      <name val="Calibri"/>
      <family val="2"/>
      <scheme val="minor"/>
    </font>
    <font>
      <sz val="11"/>
      <color theme="1"/>
      <name val="Calibri"/>
      <family val="2"/>
      <scheme val="minor"/>
    </font>
    <font>
      <sz val="10"/>
      <name val="Arial"/>
      <family val="2"/>
    </font>
    <font>
      <sz val="10"/>
      <name val="Times New Roman"/>
      <family val="1"/>
    </font>
    <font>
      <b/>
      <sz val="12"/>
      <name val="Times New Roman"/>
      <family val="1"/>
    </font>
    <font>
      <sz val="12"/>
      <name val="Times New Roman"/>
      <family val="1"/>
    </font>
    <font>
      <b/>
      <sz val="8"/>
      <name val="Arial"/>
      <family val="2"/>
    </font>
    <font>
      <u/>
      <sz val="10"/>
      <color indexed="12"/>
      <name val="Arial"/>
      <family val="2"/>
    </font>
    <font>
      <b/>
      <sz val="10"/>
      <name val="Arial"/>
      <family val="2"/>
    </font>
    <font>
      <b/>
      <sz val="12"/>
      <name val="Arial"/>
      <family val="2"/>
    </font>
    <font>
      <b/>
      <i/>
      <sz val="10"/>
      <name val="Arial"/>
      <family val="2"/>
    </font>
    <font>
      <b/>
      <sz val="9"/>
      <name val="Times New Roman"/>
      <family val="1"/>
    </font>
    <font>
      <sz val="9"/>
      <name val="Times New Roman"/>
      <family val="1"/>
    </font>
    <font>
      <sz val="12"/>
      <name val="Arial"/>
      <family val="2"/>
    </font>
    <font>
      <sz val="10"/>
      <name val="Arial"/>
      <family val="2"/>
    </font>
    <font>
      <b/>
      <sz val="6"/>
      <name val="Arial"/>
      <family val="2"/>
    </font>
    <font>
      <b/>
      <sz val="10"/>
      <name val="Times New Roman"/>
      <family val="1"/>
    </font>
    <font>
      <sz val="11"/>
      <color indexed="8"/>
      <name val="Calibri"/>
      <family val="2"/>
    </font>
    <font>
      <b/>
      <sz val="11"/>
      <name val="Times New Roman"/>
      <family val="1"/>
    </font>
    <font>
      <b/>
      <sz val="9"/>
      <name val="Arial"/>
      <family val="2"/>
    </font>
    <font>
      <sz val="9"/>
      <name val="Arial"/>
      <family val="2"/>
    </font>
    <font>
      <sz val="8"/>
      <name val="Arial"/>
      <family val="2"/>
    </font>
    <font>
      <i/>
      <sz val="12"/>
      <name val="Times New Roman"/>
      <family val="1"/>
    </font>
    <font>
      <sz val="10"/>
      <name val="Arial"/>
      <family val="2"/>
    </font>
    <font>
      <sz val="11"/>
      <color theme="1"/>
      <name val="Calibri"/>
      <family val="2"/>
      <scheme val="minor"/>
    </font>
    <font>
      <b/>
      <sz val="11"/>
      <color theme="0"/>
      <name val="Calibri"/>
      <family val="2"/>
      <scheme val="minor"/>
    </font>
    <font>
      <b/>
      <sz val="11"/>
      <color theme="1"/>
      <name val="Calibri"/>
      <family val="2"/>
      <scheme val="minor"/>
    </font>
    <font>
      <b/>
      <sz val="9"/>
      <color theme="1"/>
      <name val="Calibri"/>
      <family val="2"/>
      <scheme val="minor"/>
    </font>
    <font>
      <b/>
      <sz val="8"/>
      <color theme="1"/>
      <name val="Calibri"/>
      <family val="2"/>
      <scheme val="minor"/>
    </font>
    <font>
      <b/>
      <sz val="10"/>
      <color theme="1"/>
      <name val="Calibri"/>
      <family val="2"/>
      <scheme val="minor"/>
    </font>
    <font>
      <sz val="10"/>
      <color theme="1"/>
      <name val="Calibri"/>
      <family val="2"/>
      <scheme val="minor"/>
    </font>
    <font>
      <b/>
      <sz val="14"/>
      <color theme="0"/>
      <name val="Calibri"/>
      <family val="2"/>
      <scheme val="minor"/>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b/>
      <sz val="11"/>
      <color indexed="10"/>
      <name val="Calibri"/>
      <family val="2"/>
    </font>
    <font>
      <sz val="11"/>
      <color indexed="19"/>
      <name val="Calibri"/>
      <family val="2"/>
    </font>
    <font>
      <b/>
      <sz val="18"/>
      <color indexed="62"/>
      <name val="Cambria"/>
      <family val="2"/>
    </font>
    <font>
      <b/>
      <sz val="15"/>
      <color indexed="62"/>
      <name val="Calibri"/>
      <family val="2"/>
    </font>
    <font>
      <b/>
      <sz val="13"/>
      <color indexed="62"/>
      <name val="Calibri"/>
      <family val="2"/>
    </font>
    <font>
      <b/>
      <sz val="11"/>
      <color indexed="62"/>
      <name val="Calibri"/>
      <family val="2"/>
    </font>
    <font>
      <sz val="10"/>
      <name val="Arial"/>
      <family val="2"/>
    </font>
    <font>
      <sz val="8"/>
      <name val="Arial"/>
      <family val="2"/>
    </font>
    <font>
      <b/>
      <sz val="10"/>
      <color rgb="FF0070C0"/>
      <name val="Arial"/>
      <family val="2"/>
    </font>
    <font>
      <sz val="10"/>
      <color rgb="FFFF0000"/>
      <name val="Arial"/>
      <family val="2"/>
    </font>
    <font>
      <sz val="11"/>
      <name val="Times New Roman"/>
      <family val="1"/>
    </font>
    <font>
      <u/>
      <sz val="12"/>
      <name val="Times New Roman"/>
      <family val="1"/>
    </font>
    <font>
      <i/>
      <u/>
      <sz val="12"/>
      <name val="Times New Roman"/>
      <family val="1"/>
    </font>
    <font>
      <sz val="9"/>
      <color theme="1"/>
      <name val="Times New Roman"/>
      <family val="1"/>
    </font>
    <font>
      <sz val="11"/>
      <color rgb="FF000000"/>
      <name val="Times New Roman"/>
      <family val="1"/>
    </font>
    <font>
      <b/>
      <sz val="14"/>
      <color rgb="FF000000"/>
      <name val="Calibri"/>
      <family val="2"/>
    </font>
    <font>
      <b/>
      <sz val="11"/>
      <name val="Arial"/>
      <family val="2"/>
    </font>
    <font>
      <sz val="11"/>
      <name val="Arial"/>
      <family val="2"/>
    </font>
    <font>
      <b/>
      <sz val="14"/>
      <name val="Arial"/>
      <family val="2"/>
    </font>
    <font>
      <b/>
      <i/>
      <sz val="11"/>
      <name val="Arial"/>
      <family val="2"/>
    </font>
    <font>
      <sz val="10"/>
      <name val="Arial Narrow"/>
      <family val="2"/>
    </font>
    <font>
      <sz val="11"/>
      <name val="Arial Narrow"/>
      <family val="2"/>
    </font>
    <font>
      <b/>
      <sz val="12"/>
      <name val="Arial Narrow"/>
      <family val="2"/>
    </font>
    <font>
      <b/>
      <sz val="11"/>
      <name val="Arial Narrow"/>
      <family val="2"/>
    </font>
    <font>
      <b/>
      <sz val="10"/>
      <name val="Arial Narrow"/>
      <family val="2"/>
    </font>
    <font>
      <sz val="10"/>
      <color theme="1"/>
      <name val="Arial Narrow"/>
      <family val="2"/>
    </font>
    <font>
      <b/>
      <sz val="10"/>
      <color theme="1"/>
      <name val="Arial Narrow"/>
      <family val="2"/>
    </font>
    <font>
      <sz val="10"/>
      <color rgb="FF5A5A5A"/>
      <name val="Arial"/>
      <family val="2"/>
    </font>
    <font>
      <sz val="11"/>
      <color rgb="FFFF0000"/>
      <name val="Arial Narrow"/>
      <family val="2"/>
    </font>
    <font>
      <b/>
      <i/>
      <u/>
      <sz val="10"/>
      <name val="Arial"/>
      <family val="2"/>
    </font>
    <font>
      <sz val="11"/>
      <color indexed="10"/>
      <name val="Arial"/>
      <family val="2"/>
    </font>
    <font>
      <b/>
      <sz val="11"/>
      <color indexed="10"/>
      <name val="Arial"/>
      <family val="2"/>
    </font>
    <font>
      <sz val="10"/>
      <color indexed="10"/>
      <name val="Arial"/>
      <family val="2"/>
    </font>
    <font>
      <b/>
      <sz val="10"/>
      <color indexed="10"/>
      <name val="Arial"/>
      <family val="2"/>
    </font>
    <font>
      <b/>
      <sz val="11"/>
      <color indexed="18"/>
      <name val="Arial"/>
      <family val="2"/>
    </font>
    <font>
      <sz val="11"/>
      <color indexed="18"/>
      <name val="Arial"/>
      <family val="2"/>
    </font>
    <font>
      <b/>
      <sz val="9"/>
      <color indexed="81"/>
      <name val="Segoe UI"/>
      <family val="2"/>
    </font>
    <font>
      <sz val="9"/>
      <color indexed="81"/>
      <name val="Segoe UI"/>
      <family val="2"/>
    </font>
    <font>
      <sz val="10"/>
      <name val="Arial"/>
      <family val="1"/>
    </font>
    <font>
      <b/>
      <sz val="11"/>
      <name val="Arial"/>
      <family val="1"/>
    </font>
    <font>
      <b/>
      <sz val="10"/>
      <color rgb="FF000000"/>
      <name val="Arial"/>
      <family val="1"/>
    </font>
    <font>
      <b/>
      <sz val="10"/>
      <name val="Arial"/>
      <family val="1"/>
    </font>
    <font>
      <sz val="14"/>
      <name val="Arial"/>
      <family val="2"/>
    </font>
    <font>
      <b/>
      <sz val="16"/>
      <name val="Arial"/>
      <family val="2"/>
    </font>
    <font>
      <b/>
      <u/>
      <sz val="10"/>
      <name val="Arial"/>
      <family val="2"/>
    </font>
    <font>
      <sz val="8"/>
      <name val="Arial"/>
      <family val="2"/>
    </font>
    <font>
      <b/>
      <sz val="20"/>
      <color theme="1" tint="0.249977111117893"/>
      <name val="Calibri"/>
      <family val="2"/>
      <scheme val="minor"/>
    </font>
    <font>
      <b/>
      <sz val="14"/>
      <color theme="1" tint="0.249977111117893"/>
      <name val="Calibri"/>
      <family val="2"/>
      <scheme val="minor"/>
    </font>
    <font>
      <b/>
      <sz val="12"/>
      <color theme="1" tint="0.249977111117893"/>
      <name val="Calibri"/>
      <family val="2"/>
      <scheme val="minor"/>
    </font>
    <font>
      <b/>
      <sz val="14"/>
      <name val="Calibri"/>
      <family val="2"/>
      <scheme val="minor"/>
    </font>
    <font>
      <b/>
      <sz val="10"/>
      <color rgb="FFFFFFFF"/>
      <name val="Calibri"/>
      <family val="2"/>
      <scheme val="minor"/>
    </font>
    <font>
      <b/>
      <sz val="10"/>
      <color theme="0"/>
      <name val="Calibri"/>
      <family val="2"/>
      <scheme val="minor"/>
    </font>
    <font>
      <b/>
      <sz val="10"/>
      <color rgb="FF000000"/>
      <name val="Calibri"/>
      <family val="2"/>
      <scheme val="minor"/>
    </font>
    <font>
      <sz val="10"/>
      <color rgb="FF000000"/>
      <name val="Calibri"/>
      <family val="2"/>
      <scheme val="minor"/>
    </font>
    <font>
      <i/>
      <sz val="10"/>
      <color theme="1"/>
      <name val="Calibri"/>
      <family val="2"/>
      <scheme val="minor"/>
    </font>
    <font>
      <i/>
      <sz val="9"/>
      <color theme="1"/>
      <name val="Calibri"/>
      <family val="2"/>
      <scheme val="minor"/>
    </font>
    <font>
      <sz val="10"/>
      <color theme="0"/>
      <name val="Calibri"/>
      <family val="2"/>
      <scheme val="minor"/>
    </font>
  </fonts>
  <fills count="55">
    <fill>
      <patternFill patternType="none"/>
    </fill>
    <fill>
      <patternFill patternType="gray125"/>
    </fill>
    <fill>
      <patternFill patternType="solid">
        <fgColor indexed="22"/>
        <bgColor indexed="64"/>
      </patternFill>
    </fill>
    <fill>
      <patternFill patternType="solid">
        <fgColor theme="1"/>
        <bgColor indexed="64"/>
      </patternFill>
    </fill>
    <fill>
      <patternFill patternType="solid">
        <fgColor theme="0"/>
        <bgColor indexed="64"/>
      </patternFill>
    </fill>
    <fill>
      <patternFill patternType="solid">
        <fgColor theme="8" tint="0.59999389629810485"/>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26"/>
      </patternFill>
    </fill>
    <fill>
      <patternFill patternType="solid">
        <fgColor indexed="11"/>
      </patternFill>
    </fill>
    <fill>
      <patternFill patternType="solid">
        <fgColor indexed="51"/>
      </patternFill>
    </fill>
    <fill>
      <patternFill patternType="solid">
        <fgColor indexed="4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53"/>
      </patternFill>
    </fill>
    <fill>
      <patternFill patternType="solid">
        <fgColor indexed="62"/>
      </patternFill>
    </fill>
    <fill>
      <patternFill patternType="solid">
        <fgColor indexed="10"/>
      </patternFill>
    </fill>
    <fill>
      <patternFill patternType="solid">
        <fgColor indexed="57"/>
      </patternFill>
    </fill>
    <fill>
      <patternFill patternType="solid">
        <fgColor indexed="22"/>
      </patternFill>
    </fill>
    <fill>
      <patternFill patternType="solid">
        <fgColor indexed="9"/>
      </patternFill>
    </fill>
    <fill>
      <patternFill patternType="solid">
        <fgColor indexed="55"/>
      </patternFill>
    </fill>
    <fill>
      <patternFill patternType="solid">
        <fgColor indexed="56"/>
      </patternFill>
    </fill>
    <fill>
      <patternFill patternType="solid">
        <fgColor indexed="54"/>
      </patternFill>
    </fill>
    <fill>
      <patternFill patternType="solid">
        <fgColor theme="9" tint="0.59999389629810485"/>
        <bgColor indexed="64"/>
      </patternFill>
    </fill>
    <fill>
      <patternFill patternType="solid">
        <fgColor rgb="FFFFFFFF"/>
        <bgColor indexed="64"/>
      </patternFill>
    </fill>
    <fill>
      <patternFill patternType="solid">
        <fgColor theme="4" tint="0.39997558519241921"/>
        <bgColor indexed="64"/>
      </patternFill>
    </fill>
    <fill>
      <patternFill patternType="solid">
        <fgColor rgb="FFFFFFFF"/>
        <bgColor rgb="FF000000"/>
      </patternFill>
    </fill>
    <fill>
      <patternFill patternType="solid">
        <fgColor theme="0" tint="-0.249977111117893"/>
        <bgColor indexed="64"/>
      </patternFill>
    </fill>
    <fill>
      <patternFill patternType="solid">
        <fgColor indexed="43"/>
        <bgColor indexed="64"/>
      </patternFill>
    </fill>
    <fill>
      <patternFill patternType="solid">
        <fgColor indexed="9"/>
        <bgColor indexed="64"/>
      </patternFill>
    </fill>
    <fill>
      <patternFill patternType="solid">
        <fgColor indexed="53"/>
        <bgColor indexed="64"/>
      </patternFill>
    </fill>
    <fill>
      <patternFill patternType="solid">
        <fgColor rgb="FFFF5050"/>
        <bgColor indexed="64"/>
      </patternFill>
    </fill>
    <fill>
      <patternFill patternType="solid">
        <fgColor theme="6" tint="0.59999389629810485"/>
        <bgColor indexed="64"/>
      </patternFill>
    </fill>
    <fill>
      <patternFill patternType="solid">
        <fgColor theme="4" tint="0.59999389629810485"/>
        <bgColor indexed="64"/>
      </patternFill>
    </fill>
    <fill>
      <patternFill patternType="solid">
        <fgColor rgb="FFFFC000"/>
        <bgColor indexed="64"/>
      </patternFill>
    </fill>
    <fill>
      <patternFill patternType="solid">
        <fgColor rgb="FFFFFF00"/>
        <bgColor indexed="64"/>
      </patternFill>
    </fill>
    <fill>
      <patternFill patternType="solid">
        <fgColor indexed="26"/>
        <bgColor indexed="64"/>
      </patternFill>
    </fill>
    <fill>
      <patternFill patternType="solid">
        <fgColor rgb="FFFFFFFF"/>
      </patternFill>
    </fill>
    <fill>
      <patternFill patternType="solid">
        <fgColor rgb="FFFFFF99"/>
        <bgColor indexed="64"/>
      </patternFill>
    </fill>
    <fill>
      <patternFill patternType="solid">
        <fgColor rgb="FFFFFFCC"/>
        <bgColor indexed="64"/>
      </patternFill>
    </fill>
    <fill>
      <patternFill patternType="solid">
        <fgColor indexed="42"/>
        <bgColor indexed="55"/>
      </patternFill>
    </fill>
    <fill>
      <patternFill patternType="solid">
        <fgColor indexed="27"/>
        <bgColor indexed="41"/>
      </patternFill>
    </fill>
    <fill>
      <patternFill patternType="solid">
        <fgColor indexed="47"/>
        <bgColor indexed="22"/>
      </patternFill>
    </fill>
    <fill>
      <patternFill patternType="solid">
        <fgColor indexed="43"/>
        <bgColor indexed="26"/>
      </patternFill>
    </fill>
    <fill>
      <patternFill patternType="solid">
        <fgColor theme="1" tint="0.34998626667073579"/>
        <bgColor indexed="64"/>
      </patternFill>
    </fill>
  </fills>
  <borders count="18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double">
        <color indexed="64"/>
      </top>
      <bottom style="double">
        <color indexed="64"/>
      </bottom>
      <diagonal/>
    </border>
    <border>
      <left style="thin">
        <color indexed="64"/>
      </left>
      <right/>
      <top style="thin">
        <color indexed="64"/>
      </top>
      <bottom style="thin">
        <color indexed="64"/>
      </bottom>
      <diagonal/>
    </border>
    <border>
      <left style="dashed">
        <color indexed="64"/>
      </left>
      <right style="thin">
        <color indexed="64"/>
      </right>
      <top style="double">
        <color indexed="64"/>
      </top>
      <bottom style="double">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medium">
        <color indexed="8"/>
      </left>
      <right/>
      <top/>
      <bottom/>
      <diagonal/>
    </border>
    <border>
      <left/>
      <right style="medium">
        <color indexed="8"/>
      </right>
      <top/>
      <bottom/>
      <diagonal/>
    </border>
    <border>
      <left/>
      <right/>
      <top style="medium">
        <color indexed="8"/>
      </top>
      <bottom/>
      <diagonal/>
    </border>
    <border>
      <left style="medium">
        <color indexed="8"/>
      </left>
      <right/>
      <top style="medium">
        <color indexed="8"/>
      </top>
      <bottom/>
      <diagonal/>
    </border>
    <border>
      <left/>
      <right style="medium">
        <color indexed="8"/>
      </right>
      <top style="medium">
        <color indexed="8"/>
      </top>
      <bottom/>
      <diagonal/>
    </border>
    <border>
      <left/>
      <right/>
      <top/>
      <bottom style="medium">
        <color indexed="8"/>
      </bottom>
      <diagonal/>
    </border>
    <border>
      <left style="medium">
        <color indexed="8"/>
      </left>
      <right/>
      <top/>
      <bottom style="medium">
        <color indexed="8"/>
      </bottom>
      <diagonal/>
    </border>
    <border>
      <left/>
      <right style="medium">
        <color indexed="8"/>
      </right>
      <top/>
      <bottom style="medium">
        <color indexed="8"/>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10"/>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style="thin">
        <color indexed="62"/>
      </top>
      <bottom style="double">
        <color indexed="62"/>
      </bottom>
      <diagonal/>
    </border>
    <border>
      <left/>
      <right/>
      <top/>
      <bottom style="double">
        <color indexed="64"/>
      </bottom>
      <diagonal/>
    </border>
    <border>
      <left/>
      <right style="dashed">
        <color indexed="64"/>
      </right>
      <top style="thin">
        <color indexed="64"/>
      </top>
      <bottom style="thin">
        <color indexed="64"/>
      </bottom>
      <diagonal/>
    </border>
    <border>
      <left style="hair">
        <color indexed="64"/>
      </left>
      <right/>
      <top/>
      <bottom style="hair">
        <color indexed="64"/>
      </bottom>
      <diagonal/>
    </border>
    <border>
      <left style="hair">
        <color indexed="64"/>
      </left>
      <right/>
      <top style="hair">
        <color indexed="64"/>
      </top>
      <bottom style="hair">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right style="hair">
        <color indexed="62"/>
      </right>
      <top style="hair">
        <color indexed="62"/>
      </top>
      <bottom style="hair">
        <color indexed="62"/>
      </bottom>
      <diagonal/>
    </border>
    <border>
      <left style="hair">
        <color indexed="62"/>
      </left>
      <right style="hair">
        <color indexed="62"/>
      </right>
      <top style="hair">
        <color indexed="62"/>
      </top>
      <bottom style="hair">
        <color indexed="62"/>
      </bottom>
      <diagonal/>
    </border>
    <border>
      <left style="hair">
        <color indexed="64"/>
      </left>
      <right style="hair">
        <color indexed="64"/>
      </right>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hair">
        <color indexed="64"/>
      </right>
      <top/>
      <bottom style="medium">
        <color indexed="64"/>
      </bottom>
      <diagonal/>
    </border>
    <border>
      <left style="hair">
        <color indexed="64"/>
      </left>
      <right style="thin">
        <color indexed="64"/>
      </right>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right style="double">
        <color indexed="64"/>
      </right>
      <top/>
      <bottom style="double">
        <color indexed="64"/>
      </bottom>
      <diagonal/>
    </border>
    <border>
      <left style="double">
        <color indexed="64"/>
      </left>
      <right style="double">
        <color indexed="64"/>
      </right>
      <top style="double">
        <color indexed="64"/>
      </top>
      <bottom style="hair">
        <color indexed="64"/>
      </bottom>
      <diagonal/>
    </border>
    <border>
      <left style="double">
        <color indexed="64"/>
      </left>
      <right style="double">
        <color indexed="64"/>
      </right>
      <top style="hair">
        <color indexed="64"/>
      </top>
      <bottom style="double">
        <color indexed="64"/>
      </bottom>
      <diagonal/>
    </border>
    <border>
      <left style="double">
        <color indexed="64"/>
      </left>
      <right style="double">
        <color indexed="64"/>
      </right>
      <top style="double">
        <color indexed="64"/>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style="double">
        <color indexed="64"/>
      </right>
      <top/>
      <bottom style="hair">
        <color indexed="64"/>
      </bottom>
      <diagonal/>
    </border>
    <border>
      <left style="double">
        <color indexed="64"/>
      </left>
      <right style="double">
        <color indexed="64"/>
      </right>
      <top style="hair">
        <color indexed="64"/>
      </top>
      <bottom style="hair">
        <color indexed="64"/>
      </bottom>
      <diagonal/>
    </border>
    <border>
      <left style="double">
        <color indexed="64"/>
      </left>
      <right style="double">
        <color indexed="64"/>
      </right>
      <top style="hair">
        <color indexed="64"/>
      </top>
      <bottom/>
      <diagonal/>
    </border>
    <border>
      <left style="double">
        <color indexed="64"/>
      </left>
      <right/>
      <top/>
      <bottom style="double">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bottom style="hair">
        <color indexed="64"/>
      </bottom>
      <diagonal/>
    </border>
    <border>
      <left style="medium">
        <color indexed="64"/>
      </left>
      <right/>
      <top style="medium">
        <color indexed="64"/>
      </top>
      <bottom style="thin">
        <color rgb="FFCCCCCC"/>
      </bottom>
      <diagonal/>
    </border>
    <border>
      <left/>
      <right style="thin">
        <color rgb="FFCCCCCC"/>
      </right>
      <top style="medium">
        <color indexed="64"/>
      </top>
      <bottom style="thin">
        <color rgb="FFCCCCCC"/>
      </bottom>
      <diagonal/>
    </border>
    <border>
      <left style="thin">
        <color rgb="FFCCCCCC"/>
      </left>
      <right/>
      <top style="medium">
        <color indexed="64"/>
      </top>
      <bottom style="thin">
        <color rgb="FFCCCCCC"/>
      </bottom>
      <diagonal/>
    </border>
    <border>
      <left style="thin">
        <color rgb="FFCCCCCC"/>
      </left>
      <right style="medium">
        <color indexed="64"/>
      </right>
      <top style="medium">
        <color indexed="64"/>
      </top>
      <bottom style="thin">
        <color rgb="FFCCCCCC"/>
      </bottom>
      <diagonal/>
    </border>
    <border>
      <left style="medium">
        <color indexed="64"/>
      </left>
      <right/>
      <top style="thin">
        <color rgb="FFCCCCCC"/>
      </top>
      <bottom style="thin">
        <color rgb="FFCCCCCC"/>
      </bottom>
      <diagonal/>
    </border>
    <border>
      <left/>
      <right style="thin">
        <color rgb="FFCCCCCC"/>
      </right>
      <top style="thin">
        <color rgb="FFCCCCCC"/>
      </top>
      <bottom style="thin">
        <color rgb="FFCCCCCC"/>
      </bottom>
      <diagonal/>
    </border>
    <border>
      <left style="thin">
        <color rgb="FFCCCCCC"/>
      </left>
      <right/>
      <top style="thin">
        <color rgb="FFCCCCCC"/>
      </top>
      <bottom style="thin">
        <color rgb="FFCCCCCC"/>
      </bottom>
      <diagonal/>
    </border>
    <border>
      <left style="thin">
        <color rgb="FFCCCCCC"/>
      </left>
      <right style="medium">
        <color indexed="64"/>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medium">
        <color indexed="64"/>
      </left>
      <right/>
      <top style="thin">
        <color rgb="FFCCCCCC"/>
      </top>
      <bottom/>
      <diagonal/>
    </border>
    <border>
      <left/>
      <right/>
      <top style="thin">
        <color rgb="FFCCCCCC"/>
      </top>
      <bottom/>
      <diagonal/>
    </border>
    <border>
      <left/>
      <right style="medium">
        <color indexed="64"/>
      </right>
      <top style="thin">
        <color rgb="FFCCCCCC"/>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right style="hair">
        <color indexed="62"/>
      </right>
      <top style="hair">
        <color indexed="62"/>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hair">
        <color indexed="64"/>
      </right>
      <top/>
      <bottom style="medium">
        <color indexed="64"/>
      </bottom>
      <diagonal/>
    </border>
    <border>
      <left style="hair">
        <color indexed="64"/>
      </left>
      <right style="medium">
        <color indexed="64"/>
      </right>
      <top/>
      <bottom style="medium">
        <color indexed="64"/>
      </bottom>
      <diagonal/>
    </border>
    <border>
      <left/>
      <right style="medium">
        <color indexed="64"/>
      </right>
      <top style="medium">
        <color indexed="8"/>
      </top>
      <bottom style="medium">
        <color indexed="8"/>
      </bottom>
      <diagonal/>
    </border>
    <border>
      <left/>
      <right style="medium">
        <color indexed="64"/>
      </right>
      <top style="medium">
        <color indexed="64"/>
      </top>
      <bottom style="medium">
        <color indexed="64"/>
      </bottom>
      <diagonal/>
    </border>
    <border>
      <left style="hair">
        <color indexed="8"/>
      </left>
      <right/>
      <top style="medium">
        <color indexed="8"/>
      </top>
      <bottom style="thin">
        <color indexed="64"/>
      </bottom>
      <diagonal/>
    </border>
    <border>
      <left style="thin">
        <color indexed="8"/>
      </left>
      <right style="thin">
        <color indexed="8"/>
      </right>
      <top style="medium">
        <color indexed="8"/>
      </top>
      <bottom style="thin">
        <color indexed="64"/>
      </bottom>
      <diagonal/>
    </border>
    <border>
      <left style="thin">
        <color indexed="8"/>
      </left>
      <right style="thin">
        <color indexed="64"/>
      </right>
      <top style="medium">
        <color indexed="8"/>
      </top>
      <bottom style="thin">
        <color indexed="64"/>
      </bottom>
      <diagonal/>
    </border>
    <border>
      <left style="thin">
        <color indexed="8"/>
      </left>
      <right style="thin">
        <color indexed="8"/>
      </right>
      <top/>
      <bottom style="thin">
        <color indexed="64"/>
      </bottom>
      <diagonal/>
    </border>
    <border>
      <left style="thin">
        <color indexed="8"/>
      </left>
      <right style="thin">
        <color indexed="64"/>
      </right>
      <top/>
      <bottom style="thin">
        <color indexed="64"/>
      </bottom>
      <diagonal/>
    </border>
    <border>
      <left/>
      <right style="thin">
        <color indexed="8"/>
      </right>
      <top/>
      <bottom style="hair">
        <color indexed="8"/>
      </bottom>
      <diagonal/>
    </border>
    <border>
      <left style="thin">
        <color indexed="8"/>
      </left>
      <right style="thin">
        <color indexed="8"/>
      </right>
      <top/>
      <bottom style="hair">
        <color indexed="8"/>
      </bottom>
      <diagonal/>
    </border>
    <border>
      <left style="thin">
        <color indexed="8"/>
      </left>
      <right style="thin">
        <color indexed="8"/>
      </right>
      <top style="thin">
        <color indexed="64"/>
      </top>
      <bottom/>
      <diagonal/>
    </border>
    <border>
      <left/>
      <right style="thin">
        <color indexed="8"/>
      </right>
      <top style="thin">
        <color indexed="64"/>
      </top>
      <bottom/>
      <diagonal/>
    </border>
    <border>
      <left/>
      <right style="thin">
        <color indexed="8"/>
      </right>
      <top/>
      <bottom/>
      <diagonal/>
    </border>
    <border>
      <left/>
      <right style="thin">
        <color indexed="8"/>
      </right>
      <top style="hair">
        <color indexed="8"/>
      </top>
      <bottom style="hair">
        <color indexed="8"/>
      </bottom>
      <diagonal/>
    </border>
    <border>
      <left style="thin">
        <color indexed="8"/>
      </left>
      <right style="thin">
        <color indexed="8"/>
      </right>
      <top style="hair">
        <color indexed="8"/>
      </top>
      <bottom style="hair">
        <color indexed="8"/>
      </bottom>
      <diagonal/>
    </border>
    <border>
      <left style="thin">
        <color indexed="8"/>
      </left>
      <right style="thin">
        <color indexed="8"/>
      </right>
      <top/>
      <bottom/>
      <diagonal/>
    </border>
    <border>
      <left style="thin">
        <color indexed="8"/>
      </left>
      <right/>
      <top/>
      <bottom/>
      <diagonal/>
    </border>
    <border>
      <left style="thin">
        <color indexed="8"/>
      </left>
      <right style="thin">
        <color indexed="64"/>
      </right>
      <top/>
      <bottom/>
      <diagonal/>
    </border>
    <border>
      <left style="thin">
        <color indexed="8"/>
      </left>
      <right/>
      <top/>
      <bottom style="thin">
        <color indexed="64"/>
      </bottom>
      <diagonal/>
    </border>
    <border>
      <left/>
      <right style="thin">
        <color indexed="8"/>
      </right>
      <top/>
      <bottom style="thin">
        <color indexed="64"/>
      </bottom>
      <diagonal/>
    </border>
    <border>
      <left style="thin">
        <color indexed="64"/>
      </left>
      <right style="thin">
        <color indexed="8"/>
      </right>
      <top/>
      <bottom style="thin">
        <color indexed="64"/>
      </bottom>
      <diagonal/>
    </border>
    <border>
      <left/>
      <right style="thin">
        <color indexed="8"/>
      </right>
      <top style="hair">
        <color indexed="8"/>
      </top>
      <bottom style="thin">
        <color indexed="64"/>
      </bottom>
      <diagonal/>
    </border>
    <border>
      <left style="thin">
        <color indexed="8"/>
      </left>
      <right/>
      <top style="hair">
        <color indexed="8"/>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style="thin">
        <color indexed="64"/>
      </top>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hair">
        <color indexed="64"/>
      </right>
      <top style="thin">
        <color indexed="64"/>
      </top>
      <bottom/>
      <diagonal/>
    </border>
    <border>
      <left style="hair">
        <color indexed="64"/>
      </left>
      <right style="medium">
        <color indexed="64"/>
      </right>
      <top style="thin">
        <color indexed="64"/>
      </top>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style="thin">
        <color theme="1" tint="0.34998626667073579"/>
      </left>
      <right style="thin">
        <color theme="0"/>
      </right>
      <top style="thin">
        <color theme="1" tint="0.34998626667073579"/>
      </top>
      <bottom style="thin">
        <color theme="0"/>
      </bottom>
      <diagonal/>
    </border>
    <border>
      <left style="thin">
        <color theme="0"/>
      </left>
      <right style="thin">
        <color theme="0"/>
      </right>
      <top style="thin">
        <color theme="1" tint="0.34998626667073579"/>
      </top>
      <bottom style="thin">
        <color theme="0"/>
      </bottom>
      <diagonal/>
    </border>
    <border>
      <left style="thin">
        <color theme="0"/>
      </left>
      <right style="thin">
        <color theme="1" tint="0.34998626667073579"/>
      </right>
      <top style="thin">
        <color theme="1" tint="0.34998626667073579"/>
      </top>
      <bottom style="thin">
        <color theme="0"/>
      </bottom>
      <diagonal/>
    </border>
    <border>
      <left style="thin">
        <color theme="0"/>
      </left>
      <right style="thin">
        <color theme="0"/>
      </right>
      <top style="thin">
        <color theme="0"/>
      </top>
      <bottom/>
      <diagonal/>
    </border>
    <border>
      <left style="thin">
        <color theme="0"/>
      </left>
      <right/>
      <top style="thin">
        <color theme="0"/>
      </top>
      <bottom/>
      <diagonal/>
    </border>
    <border>
      <left style="thin">
        <color theme="1" tint="0.34998626667073579"/>
      </left>
      <right style="thin">
        <color theme="0"/>
      </right>
      <top style="thin">
        <color theme="0"/>
      </top>
      <bottom/>
      <diagonal/>
    </border>
    <border>
      <left style="thin">
        <color theme="0"/>
      </left>
      <right style="thin">
        <color theme="1" tint="0.34998626667073579"/>
      </right>
      <top style="thin">
        <color theme="0"/>
      </top>
      <bottom/>
      <diagonal/>
    </border>
    <border>
      <left style="thin">
        <color theme="0" tint="-0.24994659260841701"/>
      </left>
      <right style="thin">
        <color theme="0"/>
      </right>
      <top style="thin">
        <color theme="0" tint="-0.24994659260841701"/>
      </top>
      <bottom style="thin">
        <color theme="0"/>
      </bottom>
      <diagonal/>
    </border>
    <border>
      <left style="thin">
        <color theme="0"/>
      </left>
      <right style="thin">
        <color theme="0"/>
      </right>
      <top style="thin">
        <color theme="0" tint="-0.24994659260841701"/>
      </top>
      <bottom style="thin">
        <color theme="0"/>
      </bottom>
      <diagonal/>
    </border>
    <border>
      <left style="thin">
        <color theme="0"/>
      </left>
      <right style="thin">
        <color theme="0"/>
      </right>
      <top/>
      <bottom style="thin">
        <color theme="0"/>
      </bottom>
      <diagonal/>
    </border>
    <border>
      <left style="thin">
        <color theme="0"/>
      </left>
      <right style="thin">
        <color theme="0" tint="-0.24994659260841701"/>
      </right>
      <top/>
      <bottom style="thin">
        <color theme="0"/>
      </bottom>
      <diagonal/>
    </border>
    <border>
      <left style="thin">
        <color theme="0" tint="-0.24994659260841701"/>
      </left>
      <right style="thin">
        <color theme="0" tint="-0.24994659260841701"/>
      </right>
      <top/>
      <bottom/>
      <diagonal/>
    </border>
    <border>
      <left style="thin">
        <color theme="0" tint="-0.24994659260841701"/>
      </left>
      <right style="thin">
        <color theme="0" tint="-0.24994659260841701"/>
      </right>
      <top/>
      <bottom style="thin">
        <color theme="0" tint="-0.24994659260841701"/>
      </bottom>
      <diagonal/>
    </border>
    <border>
      <left style="thin">
        <color theme="0"/>
      </left>
      <right style="thin">
        <color theme="0" tint="-0.24994659260841701"/>
      </right>
      <top style="thin">
        <color theme="0"/>
      </top>
      <bottom style="thin">
        <color theme="0"/>
      </bottom>
      <diagonal/>
    </border>
    <border>
      <left style="thin">
        <color theme="0" tint="-0.24994659260841701"/>
      </left>
      <right style="thin">
        <color theme="0" tint="-0.24994659260841701"/>
      </right>
      <top style="thin">
        <color theme="0" tint="-0.24994659260841701"/>
      </top>
      <bottom/>
      <diagonal/>
    </border>
    <border>
      <left style="thin">
        <color theme="0" tint="-0.24994659260841701"/>
      </left>
      <right style="thin">
        <color theme="0"/>
      </right>
      <top style="thin">
        <color theme="0" tint="-0.24994659260841701"/>
      </top>
      <bottom style="thin">
        <color theme="0" tint="-0.24994659260841701"/>
      </bottom>
      <diagonal/>
    </border>
    <border>
      <left style="thin">
        <color theme="0"/>
      </left>
      <right style="thin">
        <color theme="0"/>
      </right>
      <top style="thin">
        <color theme="0" tint="-0.24994659260841701"/>
      </top>
      <bottom style="thin">
        <color theme="0" tint="-0.24994659260841701"/>
      </bottom>
      <diagonal/>
    </border>
    <border>
      <left style="thin">
        <color theme="0"/>
      </left>
      <right style="thin">
        <color theme="0" tint="-0.24994659260841701"/>
      </right>
      <top style="thin">
        <color theme="0" tint="-0.24994659260841701"/>
      </top>
      <bottom style="thin">
        <color theme="0" tint="-0.24994659260841701"/>
      </bottom>
      <diagonal/>
    </border>
    <border>
      <left style="thin">
        <color theme="0" tint="-0.24994659260841701"/>
      </left>
      <right/>
      <top/>
      <bottom/>
      <diagonal/>
    </border>
  </borders>
  <cellStyleXfs count="110">
    <xf numFmtId="0" fontId="0" fillId="0" borderId="0"/>
    <xf numFmtId="0" fontId="8" fillId="0" borderId="0" applyNumberFormat="0" applyFill="0" applyBorder="0" applyAlignment="0" applyProtection="0">
      <alignment vertical="top"/>
      <protection locked="0"/>
    </xf>
    <xf numFmtId="164" fontId="3" fillId="0" borderId="0" applyFont="0" applyFill="0" applyBorder="0" applyAlignment="0" applyProtection="0"/>
    <xf numFmtId="44" fontId="24" fillId="0" borderId="0" applyFont="0" applyFill="0" applyBorder="0" applyAlignment="0" applyProtection="0"/>
    <xf numFmtId="0" fontId="25" fillId="0" borderId="0"/>
    <xf numFmtId="9" fontId="3" fillId="0" borderId="0" applyFont="0" applyFill="0" applyBorder="0" applyAlignment="0" applyProtection="0"/>
    <xf numFmtId="43" fontId="24" fillId="0" borderId="0" applyFont="0" applyFill="0" applyBorder="0" applyAlignment="0" applyProtection="0"/>
    <xf numFmtId="165" fontId="18" fillId="0" borderId="0" applyFont="0" applyFill="0" applyBorder="0" applyAlignment="0" applyProtection="0"/>
    <xf numFmtId="43" fontId="18" fillId="0" borderId="0" applyFont="0" applyFill="0" applyBorder="0" applyAlignment="0" applyProtection="0"/>
    <xf numFmtId="0" fontId="15" fillId="0" borderId="0"/>
    <xf numFmtId="164" fontId="15" fillId="0" borderId="0" applyFont="0" applyFill="0" applyBorder="0" applyAlignment="0" applyProtection="0"/>
    <xf numFmtId="165" fontId="15" fillId="0" borderId="0" applyFont="0" applyFill="0" applyBorder="0" applyAlignment="0" applyProtection="0"/>
    <xf numFmtId="0" fontId="3" fillId="0" borderId="0"/>
    <xf numFmtId="44" fontId="3" fillId="0" borderId="0" applyFont="0" applyFill="0" applyBorder="0" applyAlignment="0" applyProtection="0"/>
    <xf numFmtId="0" fontId="2" fillId="0" borderId="0"/>
    <xf numFmtId="43" fontId="3" fillId="0" borderId="0" applyFont="0" applyFill="0" applyBorder="0" applyAlignment="0" applyProtection="0"/>
    <xf numFmtId="0" fontId="3" fillId="0" borderId="0"/>
    <xf numFmtId="164" fontId="3" fillId="0" borderId="0" applyFont="0" applyFill="0" applyBorder="0" applyAlignment="0" applyProtection="0"/>
    <xf numFmtId="165" fontId="3" fillId="0" borderId="0" applyFont="0" applyFill="0" applyBorder="0" applyAlignment="0" applyProtection="0"/>
    <xf numFmtId="0" fontId="1" fillId="0" borderId="0"/>
    <xf numFmtId="0" fontId="1" fillId="0" borderId="0"/>
    <xf numFmtId="0" fontId="1" fillId="0" borderId="0"/>
    <xf numFmtId="0" fontId="3" fillId="0" borderId="0"/>
    <xf numFmtId="164" fontId="3" fillId="0" borderId="0" applyFont="0" applyFill="0" applyBorder="0" applyAlignment="0" applyProtection="0"/>
    <xf numFmtId="0" fontId="1" fillId="0" borderId="0"/>
    <xf numFmtId="9" fontId="3" fillId="0" borderId="0" applyFont="0" applyFill="0" applyBorder="0" applyAlignment="0" applyProtection="0"/>
    <xf numFmtId="0" fontId="1" fillId="0" borderId="0"/>
    <xf numFmtId="0" fontId="18" fillId="8" borderId="0" applyNumberFormat="0" applyBorder="0" applyAlignment="0" applyProtection="0"/>
    <xf numFmtId="0" fontId="18" fillId="9" borderId="0" applyNumberFormat="0" applyBorder="0" applyAlignment="0" applyProtection="0"/>
    <xf numFmtId="0" fontId="18" fillId="10" borderId="0" applyNumberFormat="0" applyBorder="0" applyAlignment="0" applyProtection="0"/>
    <xf numFmtId="0" fontId="18" fillId="11" borderId="0" applyNumberFormat="0" applyBorder="0" applyAlignment="0" applyProtection="0"/>
    <xf numFmtId="0" fontId="18" fillId="12" borderId="0" applyNumberFormat="0" applyBorder="0" applyAlignment="0" applyProtection="0"/>
    <xf numFmtId="0" fontId="18" fillId="13" borderId="0" applyNumberFormat="0" applyBorder="0" applyAlignment="0" applyProtection="0"/>
    <xf numFmtId="0" fontId="18" fillId="14" borderId="0" applyNumberFormat="0" applyBorder="0" applyAlignment="0" applyProtection="0"/>
    <xf numFmtId="0" fontId="18" fillId="15" borderId="0" applyNumberFormat="0" applyBorder="0" applyAlignment="0" applyProtection="0"/>
    <xf numFmtId="0" fontId="18" fillId="16" borderId="0" applyNumberFormat="0" applyBorder="0" applyAlignment="0" applyProtection="0"/>
    <xf numFmtId="0" fontId="18" fillId="13" borderId="0" applyNumberFormat="0" applyBorder="0" applyAlignment="0" applyProtection="0"/>
    <xf numFmtId="0" fontId="18" fillId="12" borderId="0" applyNumberFormat="0" applyBorder="0" applyAlignment="0" applyProtection="0"/>
    <xf numFmtId="0" fontId="18" fillId="16" borderId="0" applyNumberFormat="0" applyBorder="0" applyAlignment="0" applyProtection="0"/>
    <xf numFmtId="0" fontId="18" fillId="14" borderId="0" applyNumberFormat="0" applyBorder="0" applyAlignment="0" applyProtection="0"/>
    <xf numFmtId="0" fontId="18" fillId="15" borderId="0" applyNumberFormat="0" applyBorder="0" applyAlignment="0" applyProtection="0"/>
    <xf numFmtId="0" fontId="18" fillId="17" borderId="0" applyNumberFormat="0" applyBorder="0" applyAlignment="0" applyProtection="0"/>
    <xf numFmtId="0" fontId="18" fillId="11" borderId="0" applyNumberFormat="0" applyBorder="0" applyAlignment="0" applyProtection="0"/>
    <xf numFmtId="0" fontId="18" fillId="14" borderId="0" applyNumberFormat="0" applyBorder="0" applyAlignment="0" applyProtection="0"/>
    <xf numFmtId="0" fontId="18" fillId="18" borderId="0" applyNumberFormat="0" applyBorder="0" applyAlignment="0" applyProtection="0"/>
    <xf numFmtId="0" fontId="18" fillId="12" borderId="0" applyNumberFormat="0" applyBorder="0" applyAlignment="0" applyProtection="0"/>
    <xf numFmtId="0" fontId="18" fillId="15" borderId="0" applyNumberFormat="0" applyBorder="0" applyAlignment="0" applyProtection="0"/>
    <xf numFmtId="0" fontId="18" fillId="19" borderId="0" applyNumberFormat="0" applyBorder="0" applyAlignment="0" applyProtection="0"/>
    <xf numFmtId="0" fontId="18" fillId="9" borderId="0" applyNumberFormat="0" applyBorder="0" applyAlignment="0" applyProtection="0"/>
    <xf numFmtId="0" fontId="18" fillId="12" borderId="0" applyNumberFormat="0" applyBorder="0" applyAlignment="0" applyProtection="0"/>
    <xf numFmtId="0" fontId="18" fillId="16" borderId="0" applyNumberFormat="0" applyBorder="0" applyAlignment="0" applyProtection="0"/>
    <xf numFmtId="0" fontId="33" fillId="20" borderId="0" applyNumberFormat="0" applyBorder="0" applyAlignment="0" applyProtection="0"/>
    <xf numFmtId="0" fontId="33" fillId="15" borderId="0" applyNumberFormat="0" applyBorder="0" applyAlignment="0" applyProtection="0"/>
    <xf numFmtId="0" fontId="33" fillId="17" borderId="0" applyNumberFormat="0" applyBorder="0" applyAlignment="0" applyProtection="0"/>
    <xf numFmtId="0" fontId="33" fillId="21" borderId="0" applyNumberFormat="0" applyBorder="0" applyAlignment="0" applyProtection="0"/>
    <xf numFmtId="0" fontId="33" fillId="22" borderId="0" applyNumberFormat="0" applyBorder="0" applyAlignment="0" applyProtection="0"/>
    <xf numFmtId="0" fontId="33" fillId="23" borderId="0" applyNumberFormat="0" applyBorder="0" applyAlignment="0" applyProtection="0"/>
    <xf numFmtId="0" fontId="33" fillId="12" borderId="0" applyNumberFormat="0" applyBorder="0" applyAlignment="0" applyProtection="0"/>
    <xf numFmtId="0" fontId="33" fillId="24" borderId="0" applyNumberFormat="0" applyBorder="0" applyAlignment="0" applyProtection="0"/>
    <xf numFmtId="0" fontId="33" fillId="18" borderId="0" applyNumberFormat="0" applyBorder="0" applyAlignment="0" applyProtection="0"/>
    <xf numFmtId="0" fontId="33" fillId="9" borderId="0" applyNumberFormat="0" applyBorder="0" applyAlignment="0" applyProtection="0"/>
    <xf numFmtId="0" fontId="33" fillId="12" borderId="0" applyNumberFormat="0" applyBorder="0" applyAlignment="0" applyProtection="0"/>
    <xf numFmtId="0" fontId="33" fillId="15" borderId="0" applyNumberFormat="0" applyBorder="0" applyAlignment="0" applyProtection="0"/>
    <xf numFmtId="0" fontId="33" fillId="25" borderId="0" applyNumberFormat="0" applyBorder="0" applyAlignment="0" applyProtection="0"/>
    <xf numFmtId="0" fontId="33" fillId="26" borderId="0" applyNumberFormat="0" applyBorder="0" applyAlignment="0" applyProtection="0"/>
    <xf numFmtId="0" fontId="33" fillId="27" borderId="0" applyNumberFormat="0" applyBorder="0" applyAlignment="0" applyProtection="0"/>
    <xf numFmtId="0" fontId="33" fillId="21" borderId="0" applyNumberFormat="0" applyBorder="0" applyAlignment="0" applyProtection="0"/>
    <xf numFmtId="0" fontId="33" fillId="22" borderId="0" applyNumberFormat="0" applyBorder="0" applyAlignment="0" applyProtection="0"/>
    <xf numFmtId="0" fontId="33" fillId="24" borderId="0" applyNumberFormat="0" applyBorder="0" applyAlignment="0" applyProtection="0"/>
    <xf numFmtId="0" fontId="34" fillId="9" borderId="0" applyNumberFormat="0" applyBorder="0" applyAlignment="0" applyProtection="0"/>
    <xf numFmtId="0" fontId="38" fillId="12" borderId="0" applyNumberFormat="0" applyBorder="0" applyAlignment="0" applyProtection="0"/>
    <xf numFmtId="0" fontId="35" fillId="28" borderId="42" applyNumberFormat="0" applyAlignment="0" applyProtection="0"/>
    <xf numFmtId="0" fontId="49" fillId="29" borderId="42" applyNumberFormat="0" applyAlignment="0" applyProtection="0"/>
    <xf numFmtId="0" fontId="36" fillId="30" borderId="43" applyNumberFormat="0" applyAlignment="0" applyProtection="0"/>
    <xf numFmtId="0" fontId="48" fillId="0" borderId="44" applyNumberFormat="0" applyFill="0" applyAlignment="0" applyProtection="0"/>
    <xf numFmtId="0" fontId="36" fillId="30" borderId="43" applyNumberFormat="0" applyAlignment="0" applyProtection="0"/>
    <xf numFmtId="0" fontId="33" fillId="31" borderId="0" applyNumberFormat="0" applyBorder="0" applyAlignment="0" applyProtection="0"/>
    <xf numFmtId="0" fontId="33" fillId="24" borderId="0" applyNumberFormat="0" applyBorder="0" applyAlignment="0" applyProtection="0"/>
    <xf numFmtId="0" fontId="33" fillId="18" borderId="0" applyNumberFormat="0" applyBorder="0" applyAlignment="0" applyProtection="0"/>
    <xf numFmtId="0" fontId="33" fillId="32" borderId="0" applyNumberFormat="0" applyBorder="0" applyAlignment="0" applyProtection="0"/>
    <xf numFmtId="0" fontId="33" fillId="22" borderId="0" applyNumberFormat="0" applyBorder="0" applyAlignment="0" applyProtection="0"/>
    <xf numFmtId="0" fontId="33" fillId="26" borderId="0" applyNumberFormat="0" applyBorder="0" applyAlignment="0" applyProtection="0"/>
    <xf numFmtId="0" fontId="42" fillId="19" borderId="42" applyNumberFormat="0" applyAlignment="0" applyProtection="0"/>
    <xf numFmtId="0" fontId="37" fillId="0" borderId="0" applyNumberFormat="0" applyFill="0" applyBorder="0" applyAlignment="0" applyProtection="0"/>
    <xf numFmtId="0" fontId="38" fillId="10" borderId="0" applyNumberFormat="0" applyBorder="0" applyAlignment="0" applyProtection="0"/>
    <xf numFmtId="0" fontId="39" fillId="0" borderId="45" applyNumberFormat="0" applyFill="0" applyAlignment="0" applyProtection="0"/>
    <xf numFmtId="0" fontId="40" fillId="0" borderId="46" applyNumberFormat="0" applyFill="0" applyAlignment="0" applyProtection="0"/>
    <xf numFmtId="0" fontId="41" fillId="0" borderId="47" applyNumberFormat="0" applyFill="0" applyAlignment="0" applyProtection="0"/>
    <xf numFmtId="0" fontId="41" fillId="0" borderId="0" applyNumberFormat="0" applyFill="0" applyBorder="0" applyAlignment="0" applyProtection="0"/>
    <xf numFmtId="0" fontId="34" fillId="11" borderId="0" applyNumberFormat="0" applyBorder="0" applyAlignment="0" applyProtection="0"/>
    <xf numFmtId="0" fontId="42" fillId="13" borderId="42" applyNumberFormat="0" applyAlignment="0" applyProtection="0"/>
    <xf numFmtId="0" fontId="43" fillId="0" borderId="48" applyNumberFormat="0" applyFill="0" applyAlignment="0" applyProtection="0"/>
    <xf numFmtId="0" fontId="50" fillId="19" borderId="0" applyNumberFormat="0" applyBorder="0" applyAlignment="0" applyProtection="0"/>
    <xf numFmtId="0" fontId="44" fillId="19" borderId="0" applyNumberFormat="0" applyBorder="0" applyAlignment="0" applyProtection="0"/>
    <xf numFmtId="0" fontId="3" fillId="16" borderId="49" applyNumberFormat="0" applyFont="0" applyAlignment="0" applyProtection="0"/>
    <xf numFmtId="0" fontId="18" fillId="16" borderId="49" applyNumberFormat="0" applyFont="0" applyAlignment="0" applyProtection="0"/>
    <xf numFmtId="0" fontId="45" fillId="28" borderId="50" applyNumberFormat="0" applyAlignment="0" applyProtection="0"/>
    <xf numFmtId="0" fontId="45" fillId="29" borderId="50" applyNumberFormat="0" applyAlignment="0" applyProtection="0"/>
    <xf numFmtId="0" fontId="48" fillId="0" borderId="0" applyNumberFormat="0" applyFill="0" applyBorder="0" applyAlignment="0" applyProtection="0"/>
    <xf numFmtId="0" fontId="37" fillId="0" borderId="0" applyNumberFormat="0" applyFill="0" applyBorder="0" applyAlignment="0" applyProtection="0"/>
    <xf numFmtId="0" fontId="46" fillId="0" borderId="0" applyNumberFormat="0" applyFill="0" applyBorder="0" applyAlignment="0" applyProtection="0"/>
    <xf numFmtId="0" fontId="51" fillId="0" borderId="0" applyNumberFormat="0" applyFill="0" applyBorder="0" applyAlignment="0" applyProtection="0"/>
    <xf numFmtId="0" fontId="52" fillId="0" borderId="51" applyNumberFormat="0" applyFill="0" applyAlignment="0" applyProtection="0"/>
    <xf numFmtId="0" fontId="53" fillId="0" borderId="52" applyNumberFormat="0" applyFill="0" applyAlignment="0" applyProtection="0"/>
    <xf numFmtId="0" fontId="54" fillId="0" borderId="53" applyNumberFormat="0" applyFill="0" applyAlignment="0" applyProtection="0"/>
    <xf numFmtId="0" fontId="54" fillId="0" borderId="0" applyNumberFormat="0" applyFill="0" applyBorder="0" applyAlignment="0" applyProtection="0"/>
    <xf numFmtId="0" fontId="47" fillId="0" borderId="54" applyNumberFormat="0" applyFill="0" applyAlignment="0" applyProtection="0"/>
    <xf numFmtId="0" fontId="48" fillId="0" borderId="0" applyNumberFormat="0" applyFill="0" applyBorder="0" applyAlignment="0" applyProtection="0"/>
    <xf numFmtId="43" fontId="55" fillId="0" borderId="0" applyFont="0" applyFill="0" applyBorder="0" applyAlignment="0" applyProtection="0"/>
    <xf numFmtId="0" fontId="3" fillId="0" borderId="0"/>
  </cellStyleXfs>
  <cellXfs count="888">
    <xf numFmtId="0" fontId="0" fillId="0" borderId="0" xfId="0"/>
    <xf numFmtId="49" fontId="0" fillId="0" borderId="0" xfId="0" applyNumberFormat="1" applyAlignment="1">
      <alignment horizontal="center"/>
    </xf>
    <xf numFmtId="0" fontId="10" fillId="0" borderId="0" xfId="0" applyFont="1" applyAlignment="1">
      <alignment horizontal="center" vertical="center"/>
    </xf>
    <xf numFmtId="4" fontId="4" fillId="0" borderId="1" xfId="0" applyNumberFormat="1" applyFont="1" applyBorder="1" applyAlignment="1">
      <alignment horizontal="center" vertical="center"/>
    </xf>
    <xf numFmtId="49" fontId="12" fillId="0" borderId="1" xfId="0" applyNumberFormat="1" applyFont="1" applyBorder="1" applyAlignment="1">
      <alignment horizontal="center"/>
    </xf>
    <xf numFmtId="49" fontId="13" fillId="0" borderId="1" xfId="0" applyNumberFormat="1" applyFont="1" applyBorder="1" applyAlignment="1">
      <alignment horizontal="center"/>
    </xf>
    <xf numFmtId="0" fontId="13" fillId="0" borderId="1" xfId="0" applyFont="1" applyBorder="1" applyAlignment="1">
      <alignment horizontal="left" wrapText="1"/>
    </xf>
    <xf numFmtId="0" fontId="13" fillId="0" borderId="1" xfId="0" applyFont="1" applyBorder="1" applyAlignment="1">
      <alignment horizontal="center"/>
    </xf>
    <xf numFmtId="49" fontId="12" fillId="2" borderId="2" xfId="0" applyNumberFormat="1" applyFont="1" applyFill="1" applyBorder="1" applyAlignment="1">
      <alignment horizontal="center" vertical="center"/>
    </xf>
    <xf numFmtId="0" fontId="12" fillId="2" borderId="2" xfId="0" applyFont="1" applyFill="1" applyBorder="1" applyAlignment="1">
      <alignment horizontal="center" vertical="center"/>
    </xf>
    <xf numFmtId="0" fontId="12" fillId="2" borderId="2" xfId="0" applyFont="1" applyFill="1" applyBorder="1" applyAlignment="1">
      <alignment horizontal="center" vertical="center" wrapText="1"/>
    </xf>
    <xf numFmtId="49" fontId="12" fillId="0" borderId="3" xfId="0" applyNumberFormat="1" applyFont="1" applyBorder="1" applyAlignment="1">
      <alignment horizontal="center"/>
    </xf>
    <xf numFmtId="49" fontId="13" fillId="0" borderId="0" xfId="0" applyNumberFormat="1" applyFont="1" applyAlignment="1">
      <alignment horizontal="left"/>
    </xf>
    <xf numFmtId="49" fontId="5" fillId="0" borderId="0" xfId="0" applyNumberFormat="1" applyFont="1" applyAlignment="1">
      <alignment horizontal="center"/>
    </xf>
    <xf numFmtId="0" fontId="5" fillId="0" borderId="0" xfId="0" applyFont="1" applyAlignment="1">
      <alignment horizontal="left"/>
    </xf>
    <xf numFmtId="0" fontId="5" fillId="0" borderId="0" xfId="0" applyFont="1"/>
    <xf numFmtId="4" fontId="5" fillId="0" borderId="0" xfId="0" applyNumberFormat="1" applyFont="1" applyAlignment="1">
      <alignment horizontal="right"/>
    </xf>
    <xf numFmtId="0" fontId="14" fillId="0" borderId="0" xfId="0" applyFont="1"/>
    <xf numFmtId="49" fontId="6" fillId="0" borderId="0" xfId="0" applyNumberFormat="1" applyFont="1" applyAlignment="1">
      <alignment horizontal="center"/>
    </xf>
    <xf numFmtId="0" fontId="6" fillId="0" borderId="0" xfId="0" applyFont="1" applyAlignment="1">
      <alignment horizontal="left"/>
    </xf>
    <xf numFmtId="0" fontId="6" fillId="0" borderId="0" xfId="0" applyFont="1" applyAlignment="1">
      <alignment horizontal="center"/>
    </xf>
    <xf numFmtId="4" fontId="6" fillId="0" borderId="0" xfId="0" applyNumberFormat="1" applyFont="1" applyAlignment="1">
      <alignment horizontal="right"/>
    </xf>
    <xf numFmtId="49" fontId="6" fillId="0" borderId="0" xfId="0" applyNumberFormat="1" applyFont="1" applyAlignment="1">
      <alignment horizontal="left"/>
    </xf>
    <xf numFmtId="49" fontId="6" fillId="0" borderId="0" xfId="0" applyNumberFormat="1" applyFont="1" applyAlignment="1">
      <alignment vertical="center"/>
    </xf>
    <xf numFmtId="49" fontId="6" fillId="0" borderId="0" xfId="0" applyNumberFormat="1" applyFont="1" applyAlignment="1">
      <alignment horizontal="center" vertical="top"/>
    </xf>
    <xf numFmtId="49" fontId="6" fillId="0" borderId="0" xfId="0" applyNumberFormat="1" applyFont="1" applyAlignment="1">
      <alignment horizontal="right"/>
    </xf>
    <xf numFmtId="4" fontId="6" fillId="0" borderId="0" xfId="0" applyNumberFormat="1" applyFont="1" applyAlignment="1">
      <alignment horizontal="left"/>
    </xf>
    <xf numFmtId="4" fontId="0" fillId="0" borderId="0" xfId="0" applyNumberFormat="1"/>
    <xf numFmtId="0" fontId="16" fillId="0" borderId="0" xfId="0" applyFont="1" applyAlignment="1">
      <alignment horizontal="left"/>
    </xf>
    <xf numFmtId="0" fontId="13" fillId="0" borderId="3" xfId="0" applyFont="1" applyBorder="1" applyAlignment="1">
      <alignment horizontal="left"/>
    </xf>
    <xf numFmtId="2" fontId="6" fillId="0" borderId="0" xfId="0" applyNumberFormat="1" applyFont="1" applyAlignment="1">
      <alignment horizontal="left"/>
    </xf>
    <xf numFmtId="4" fontId="5" fillId="0" borderId="0" xfId="0" applyNumberFormat="1" applyFont="1" applyAlignment="1">
      <alignment horizontal="left"/>
    </xf>
    <xf numFmtId="0" fontId="7" fillId="0" borderId="0" xfId="0" applyFont="1"/>
    <xf numFmtId="0" fontId="7" fillId="0" borderId="0" xfId="0" applyFont="1" applyAlignment="1">
      <alignment horizontal="right"/>
    </xf>
    <xf numFmtId="49" fontId="13" fillId="0" borderId="7" xfId="0" applyNumberFormat="1" applyFont="1" applyBorder="1" applyAlignment="1">
      <alignment horizontal="center"/>
    </xf>
    <xf numFmtId="0" fontId="13" fillId="0" borderId="7" xfId="0" applyFont="1" applyBorder="1" applyAlignment="1">
      <alignment horizontal="left" wrapText="1"/>
    </xf>
    <xf numFmtId="0" fontId="13" fillId="0" borderId="7" xfId="0" applyFont="1" applyBorder="1" applyAlignment="1">
      <alignment horizontal="center"/>
    </xf>
    <xf numFmtId="4" fontId="13" fillId="0" borderId="7" xfId="0" applyNumberFormat="1" applyFont="1" applyBorder="1" applyAlignment="1">
      <alignment horizontal="right"/>
    </xf>
    <xf numFmtId="0" fontId="0" fillId="0" borderId="8" xfId="0" applyBorder="1"/>
    <xf numFmtId="0" fontId="0" fillId="0" borderId="9" xfId="0" applyBorder="1"/>
    <xf numFmtId="0" fontId="0" fillId="0" borderId="10" xfId="0" applyBorder="1"/>
    <xf numFmtId="0" fontId="0" fillId="0" borderId="11" xfId="0" applyBorder="1"/>
    <xf numFmtId="0" fontId="27" fillId="0" borderId="9" xfId="0" applyFont="1" applyBorder="1"/>
    <xf numFmtId="0" fontId="28" fillId="0" borderId="12" xfId="0" applyFont="1" applyBorder="1"/>
    <xf numFmtId="0" fontId="28" fillId="0" borderId="13" xfId="0" applyFont="1" applyBorder="1"/>
    <xf numFmtId="4" fontId="28" fillId="0" borderId="13" xfId="0" applyNumberFormat="1" applyFont="1" applyBorder="1"/>
    <xf numFmtId="4" fontId="29" fillId="0" borderId="10" xfId="0" applyNumberFormat="1" applyFont="1" applyBorder="1"/>
    <xf numFmtId="4" fontId="29" fillId="0" borderId="11" xfId="0" applyNumberFormat="1" applyFont="1" applyBorder="1"/>
    <xf numFmtId="0" fontId="0" fillId="0" borderId="0" xfId="0" applyAlignment="1">
      <alignment horizontal="left"/>
    </xf>
    <xf numFmtId="4" fontId="30" fillId="6" borderId="1" xfId="0" applyNumberFormat="1" applyFont="1" applyFill="1" applyBorder="1"/>
    <xf numFmtId="0" fontId="0" fillId="4" borderId="0" xfId="0" applyFill="1"/>
    <xf numFmtId="4" fontId="30" fillId="0" borderId="1" xfId="0" applyNumberFormat="1" applyFont="1" applyBorder="1"/>
    <xf numFmtId="4" fontId="31" fillId="4" borderId="0" xfId="0" applyNumberFormat="1" applyFont="1" applyFill="1"/>
    <xf numFmtId="0" fontId="9" fillId="0" borderId="0" xfId="0" applyFont="1"/>
    <xf numFmtId="0" fontId="14" fillId="0" borderId="0" xfId="0" applyFont="1" applyAlignment="1">
      <alignment wrapText="1"/>
    </xf>
    <xf numFmtId="0" fontId="0" fillId="0" borderId="0" xfId="0" applyAlignment="1">
      <alignment horizontal="center" wrapText="1"/>
    </xf>
    <xf numFmtId="0" fontId="22" fillId="0" borderId="14" xfId="0" applyFont="1" applyBorder="1"/>
    <xf numFmtId="0" fontId="0" fillId="0" borderId="16" xfId="0" applyBorder="1"/>
    <xf numFmtId="0" fontId="7" fillId="0" borderId="18" xfId="0" applyFont="1" applyBorder="1"/>
    <xf numFmtId="0" fontId="7" fillId="0" borderId="19" xfId="0" applyFont="1" applyBorder="1"/>
    <xf numFmtId="0" fontId="7" fillId="0" borderId="20" xfId="0" applyFont="1" applyBorder="1"/>
    <xf numFmtId="0" fontId="20" fillId="0" borderId="19" xfId="0" applyFont="1" applyBorder="1"/>
    <xf numFmtId="49" fontId="20" fillId="0" borderId="19" xfId="0" applyNumberFormat="1" applyFont="1" applyBorder="1"/>
    <xf numFmtId="0" fontId="20" fillId="0" borderId="20" xfId="0" applyFont="1" applyBorder="1"/>
    <xf numFmtId="0" fontId="22" fillId="0" borderId="0" xfId="0" applyFont="1"/>
    <xf numFmtId="0" fontId="7" fillId="0" borderId="17" xfId="0" applyFont="1" applyBorder="1" applyAlignment="1">
      <alignment horizontal="center" vertical="center"/>
    </xf>
    <xf numFmtId="0" fontId="7" fillId="0" borderId="18" xfId="0" applyFont="1" applyBorder="1" applyAlignment="1">
      <alignment horizontal="center" vertical="center"/>
    </xf>
    <xf numFmtId="4" fontId="22" fillId="0" borderId="1" xfId="0" applyNumberFormat="1" applyFont="1" applyBorder="1" applyAlignment="1">
      <alignment horizontal="right"/>
    </xf>
    <xf numFmtId="4" fontId="22" fillId="0" borderId="3" xfId="0" applyNumberFormat="1" applyFont="1" applyBorder="1" applyAlignment="1">
      <alignment horizontal="right"/>
    </xf>
    <xf numFmtId="2" fontId="0" fillId="0" borderId="0" xfId="0" applyNumberFormat="1"/>
    <xf numFmtId="0" fontId="21" fillId="0" borderId="1" xfId="0" applyFont="1" applyBorder="1" applyAlignment="1">
      <alignment horizontal="left"/>
    </xf>
    <xf numFmtId="0" fontId="0" fillId="0" borderId="3" xfId="0" applyBorder="1" applyAlignment="1">
      <alignment horizontal="right"/>
    </xf>
    <xf numFmtId="0" fontId="0" fillId="0" borderId="1" xfId="0" applyBorder="1" applyAlignment="1">
      <alignment horizontal="center"/>
    </xf>
    <xf numFmtId="0" fontId="0" fillId="0" borderId="3" xfId="0" applyBorder="1" applyAlignment="1">
      <alignment horizontal="center"/>
    </xf>
    <xf numFmtId="0" fontId="16" fillId="0" borderId="1" xfId="0" applyFont="1" applyBorder="1" applyAlignment="1">
      <alignment horizontal="left"/>
    </xf>
    <xf numFmtId="0" fontId="21" fillId="0" borderId="0" xfId="0" applyFont="1" applyAlignment="1">
      <alignment horizontal="left"/>
    </xf>
    <xf numFmtId="0" fontId="0" fillId="0" borderId="0" xfId="0" applyAlignment="1">
      <alignment horizontal="center"/>
    </xf>
    <xf numFmtId="4" fontId="0" fillId="0" borderId="0" xfId="0" applyNumberFormat="1" applyAlignment="1">
      <alignment horizontal="center"/>
    </xf>
    <xf numFmtId="49" fontId="23" fillId="0" borderId="0" xfId="0" applyNumberFormat="1" applyFont="1" applyAlignment="1">
      <alignment horizontal="left"/>
    </xf>
    <xf numFmtId="4" fontId="23" fillId="0" borderId="0" xfId="0" applyNumberFormat="1" applyFont="1" applyAlignment="1">
      <alignment horizontal="left"/>
    </xf>
    <xf numFmtId="0" fontId="9" fillId="0" borderId="0" xfId="0" applyFont="1" applyAlignment="1">
      <alignment vertical="top" wrapText="1"/>
    </xf>
    <xf numFmtId="0" fontId="0" fillId="0" borderId="0" xfId="0" applyAlignment="1">
      <alignment vertical="top" wrapText="1"/>
    </xf>
    <xf numFmtId="0" fontId="0" fillId="0" borderId="34" xfId="0" applyBorder="1" applyAlignment="1">
      <alignment vertical="top" wrapText="1"/>
    </xf>
    <xf numFmtId="0" fontId="0" fillId="0" borderId="33" xfId="0" applyBorder="1" applyAlignment="1">
      <alignment vertical="top" wrapText="1"/>
    </xf>
    <xf numFmtId="0" fontId="0" fillId="0" borderId="31" xfId="0" applyBorder="1" applyAlignment="1">
      <alignment vertical="top" wrapText="1"/>
    </xf>
    <xf numFmtId="0" fontId="0" fillId="0" borderId="37" xfId="0" applyBorder="1" applyAlignment="1">
      <alignment vertical="top" wrapText="1"/>
    </xf>
    <xf numFmtId="0" fontId="0" fillId="0" borderId="36" xfId="0" applyBorder="1" applyAlignment="1">
      <alignment vertical="top" wrapText="1"/>
    </xf>
    <xf numFmtId="0" fontId="0" fillId="0" borderId="39" xfId="0" applyBorder="1" applyAlignment="1">
      <alignment vertical="top" wrapText="1"/>
    </xf>
    <xf numFmtId="0" fontId="0" fillId="0" borderId="40" xfId="0" applyBorder="1" applyAlignment="1">
      <alignment vertical="top" wrapText="1"/>
    </xf>
    <xf numFmtId="0" fontId="9" fillId="0" borderId="0" xfId="0" applyFont="1" applyAlignment="1">
      <alignment horizontal="center" vertical="top" wrapText="1"/>
    </xf>
    <xf numFmtId="0" fontId="0" fillId="0" borderId="0" xfId="0" applyAlignment="1">
      <alignment horizontal="center" vertical="top" wrapText="1"/>
    </xf>
    <xf numFmtId="0" fontId="0" fillId="0" borderId="33" xfId="0" applyBorder="1" applyAlignment="1">
      <alignment horizontal="center" vertical="top" wrapText="1"/>
    </xf>
    <xf numFmtId="0" fontId="0" fillId="0" borderId="35" xfId="0" applyBorder="1" applyAlignment="1">
      <alignment horizontal="center" vertical="top" wrapText="1"/>
    </xf>
    <xf numFmtId="0" fontId="8" fillId="0" borderId="0" xfId="1" quotePrefix="1" applyNumberFormat="1" applyAlignment="1" applyProtection="1">
      <alignment horizontal="center" vertical="top" wrapText="1"/>
    </xf>
    <xf numFmtId="0" fontId="0" fillId="0" borderId="32" xfId="0" applyBorder="1" applyAlignment="1">
      <alignment horizontal="center" vertical="top" wrapText="1"/>
    </xf>
    <xf numFmtId="0" fontId="0" fillId="0" borderId="36" xfId="0" applyBorder="1" applyAlignment="1">
      <alignment horizontal="center" vertical="top" wrapText="1"/>
    </xf>
    <xf numFmtId="0" fontId="8" fillId="0" borderId="36" xfId="1" quotePrefix="1" applyNumberFormat="1" applyBorder="1" applyAlignment="1" applyProtection="1">
      <alignment horizontal="center" vertical="top" wrapText="1"/>
    </xf>
    <xf numFmtId="0" fontId="0" fillId="0" borderId="38" xfId="0" applyBorder="1" applyAlignment="1">
      <alignment horizontal="center" vertical="top" wrapText="1"/>
    </xf>
    <xf numFmtId="0" fontId="0" fillId="0" borderId="40" xfId="0" applyBorder="1" applyAlignment="1">
      <alignment horizontal="center" vertical="top" wrapText="1"/>
    </xf>
    <xf numFmtId="0" fontId="0" fillId="0" borderId="41" xfId="0" applyBorder="1" applyAlignment="1">
      <alignment horizontal="center" vertical="top" wrapText="1"/>
    </xf>
    <xf numFmtId="4" fontId="13" fillId="0" borderId="0" xfId="0" applyNumberFormat="1" applyFont="1"/>
    <xf numFmtId="4" fontId="13" fillId="0" borderId="1" xfId="2" applyNumberFormat="1" applyFont="1" applyBorder="1" applyAlignment="1">
      <alignment horizontal="right"/>
    </xf>
    <xf numFmtId="4" fontId="13" fillId="0" borderId="1" xfId="0" applyNumberFormat="1" applyFont="1" applyBorder="1" applyAlignment="1">
      <alignment horizontal="right"/>
    </xf>
    <xf numFmtId="0" fontId="3" fillId="0" borderId="0" xfId="0" applyFont="1"/>
    <xf numFmtId="0" fontId="22" fillId="0" borderId="3" xfId="0" applyFont="1" applyBorder="1" applyAlignment="1">
      <alignment horizontal="left"/>
    </xf>
    <xf numFmtId="0" fontId="22" fillId="0" borderId="6" xfId="0" applyFont="1" applyBorder="1" applyAlignment="1">
      <alignment horizontal="left"/>
    </xf>
    <xf numFmtId="4" fontId="22" fillId="0" borderId="0" xfId="0" applyNumberFormat="1" applyFont="1" applyAlignment="1">
      <alignment horizontal="right"/>
    </xf>
    <xf numFmtId="0" fontId="22" fillId="0" borderId="1" xfId="0" applyFont="1" applyBorder="1" applyAlignment="1">
      <alignment horizontal="center"/>
    </xf>
    <xf numFmtId="49" fontId="13" fillId="0" borderId="6" xfId="0" applyNumberFormat="1" applyFont="1" applyBorder="1" applyAlignment="1">
      <alignment horizontal="center"/>
    </xf>
    <xf numFmtId="49" fontId="17" fillId="0" borderId="0" xfId="0" applyNumberFormat="1" applyFont="1" applyAlignment="1">
      <alignment horizontal="center"/>
    </xf>
    <xf numFmtId="49" fontId="4" fillId="0" borderId="3" xfId="0" applyNumberFormat="1" applyFont="1" applyBorder="1" applyAlignment="1">
      <alignment vertical="center"/>
    </xf>
    <xf numFmtId="49" fontId="4" fillId="0" borderId="5" xfId="0" applyNumberFormat="1" applyFont="1" applyBorder="1" applyAlignment="1">
      <alignment vertical="center"/>
    </xf>
    <xf numFmtId="49" fontId="4" fillId="0" borderId="6" xfId="0" applyNumberFormat="1" applyFont="1" applyBorder="1" applyAlignment="1">
      <alignment vertical="center"/>
    </xf>
    <xf numFmtId="43" fontId="0" fillId="0" borderId="0" xfId="108" applyFont="1"/>
    <xf numFmtId="43" fontId="0" fillId="0" borderId="0" xfId="0" applyNumberFormat="1"/>
    <xf numFmtId="0" fontId="17" fillId="0" borderId="0" xfId="0" applyFont="1" applyAlignment="1">
      <alignment horizontal="left" vertical="center" wrapText="1"/>
    </xf>
    <xf numFmtId="0" fontId="0" fillId="0" borderId="55" xfId="0" applyBorder="1"/>
    <xf numFmtId="49" fontId="0" fillId="0" borderId="55" xfId="0" applyNumberFormat="1" applyBorder="1" applyAlignment="1">
      <alignment horizontal="center"/>
    </xf>
    <xf numFmtId="49" fontId="13" fillId="0" borderId="0" xfId="0" applyNumberFormat="1" applyFont="1" applyAlignment="1">
      <alignment horizontal="center"/>
    </xf>
    <xf numFmtId="49" fontId="13" fillId="0" borderId="55" xfId="0" applyNumberFormat="1" applyFont="1" applyBorder="1" applyAlignment="1">
      <alignment horizontal="center"/>
    </xf>
    <xf numFmtId="0" fontId="12" fillId="0" borderId="0" xfId="0" applyFont="1" applyAlignment="1">
      <alignment horizontal="left" vertical="center" wrapText="1"/>
    </xf>
    <xf numFmtId="0" fontId="12" fillId="0" borderId="0" xfId="0" applyFont="1"/>
    <xf numFmtId="0" fontId="13" fillId="0" borderId="0" xfId="0" applyFont="1"/>
    <xf numFmtId="0" fontId="13" fillId="0" borderId="0" xfId="0" applyFont="1" applyAlignment="1">
      <alignment horizontal="center"/>
    </xf>
    <xf numFmtId="0" fontId="13" fillId="0" borderId="6" xfId="0" applyFont="1" applyBorder="1" applyAlignment="1">
      <alignment horizontal="center"/>
    </xf>
    <xf numFmtId="49" fontId="13" fillId="0" borderId="1" xfId="0" applyNumberFormat="1" applyFont="1" applyBorder="1" applyAlignment="1">
      <alignment horizontal="center" wrapText="1"/>
    </xf>
    <xf numFmtId="49" fontId="13" fillId="0" borderId="5" xfId="0" applyNumberFormat="1" applyFont="1" applyBorder="1" applyAlignment="1">
      <alignment vertical="center"/>
    </xf>
    <xf numFmtId="0" fontId="28" fillId="0" borderId="12" xfId="0" applyFont="1" applyBorder="1" applyAlignment="1">
      <alignment horizontal="center" vertical="center"/>
    </xf>
    <xf numFmtId="49" fontId="28" fillId="0" borderId="13" xfId="0" applyNumberFormat="1" applyFont="1" applyBorder="1" applyAlignment="1">
      <alignment horizontal="center" vertical="center"/>
    </xf>
    <xf numFmtId="4" fontId="29" fillId="5" borderId="11" xfId="0" applyNumberFormat="1" applyFont="1" applyFill="1" applyBorder="1" applyAlignment="1">
      <alignment horizontal="center" vertical="center"/>
    </xf>
    <xf numFmtId="4" fontId="28" fillId="0" borderId="13" xfId="0" applyNumberFormat="1" applyFont="1" applyBorder="1" applyAlignment="1">
      <alignment horizontal="center" vertical="center"/>
    </xf>
    <xf numFmtId="4" fontId="29" fillId="33" borderId="11" xfId="0" applyNumberFormat="1" applyFont="1" applyFill="1" applyBorder="1" applyAlignment="1">
      <alignment horizontal="center" vertical="center"/>
    </xf>
    <xf numFmtId="0" fontId="12" fillId="0" borderId="3" xfId="0" applyFont="1" applyBorder="1"/>
    <xf numFmtId="0" fontId="12" fillId="0" borderId="5" xfId="0" applyFont="1" applyBorder="1"/>
    <xf numFmtId="0" fontId="12" fillId="0" borderId="6" xfId="0" applyFont="1" applyBorder="1"/>
    <xf numFmtId="49" fontId="11" fillId="2" borderId="1" xfId="0" applyNumberFormat="1" applyFont="1" applyFill="1" applyBorder="1" applyAlignment="1">
      <alignment horizontal="center" vertical="center"/>
    </xf>
    <xf numFmtId="4" fontId="12" fillId="0" borderId="1" xfId="0" applyNumberFormat="1" applyFont="1" applyBorder="1" applyAlignment="1">
      <alignment horizontal="right"/>
    </xf>
    <xf numFmtId="0" fontId="11" fillId="2" borderId="3" xfId="0" applyFont="1" applyFill="1" applyBorder="1" applyAlignment="1">
      <alignment vertical="center"/>
    </xf>
    <xf numFmtId="0" fontId="11" fillId="2" borderId="5" xfId="0" applyFont="1" applyFill="1" applyBorder="1" applyAlignment="1">
      <alignment vertical="center"/>
    </xf>
    <xf numFmtId="0" fontId="11" fillId="2" borderId="56" xfId="0" applyFont="1" applyFill="1" applyBorder="1" applyAlignment="1">
      <alignment vertical="center"/>
    </xf>
    <xf numFmtId="49" fontId="11" fillId="2" borderId="5" xfId="0" applyNumberFormat="1" applyFont="1" applyFill="1" applyBorder="1" applyAlignment="1">
      <alignment horizontal="center" vertical="center"/>
    </xf>
    <xf numFmtId="4" fontId="13" fillId="0" borderId="1" xfId="0" applyNumberFormat="1" applyFont="1" applyBorder="1"/>
    <xf numFmtId="4" fontId="14" fillId="0" borderId="0" xfId="0" applyNumberFormat="1" applyFont="1"/>
    <xf numFmtId="0" fontId="32" fillId="3" borderId="0" xfId="0" applyFont="1" applyFill="1" applyAlignment="1">
      <alignment wrapText="1"/>
    </xf>
    <xf numFmtId="43" fontId="14" fillId="0" borderId="0" xfId="108" applyFont="1"/>
    <xf numFmtId="0" fontId="26" fillId="3" borderId="1" xfId="0" applyFont="1" applyFill="1" applyBorder="1" applyAlignment="1">
      <alignment horizontal="center" vertical="center"/>
    </xf>
    <xf numFmtId="0" fontId="26" fillId="3" borderId="6" xfId="0" applyFont="1" applyFill="1" applyBorder="1" applyAlignment="1">
      <alignment horizontal="center" vertical="center"/>
    </xf>
    <xf numFmtId="0" fontId="6" fillId="0" borderId="0" xfId="0" applyFont="1"/>
    <xf numFmtId="0" fontId="9" fillId="0" borderId="0" xfId="0" applyFont="1" applyAlignment="1">
      <alignment horizontal="right"/>
    </xf>
    <xf numFmtId="2" fontId="57" fillId="0" borderId="0" xfId="5" applyNumberFormat="1" applyFont="1" applyFill="1" applyAlignment="1"/>
    <xf numFmtId="166" fontId="0" fillId="0" borderId="0" xfId="0" applyNumberFormat="1"/>
    <xf numFmtId="4" fontId="12" fillId="2" borderId="4" xfId="0" applyNumberFormat="1" applyFont="1" applyFill="1" applyBorder="1" applyAlignment="1">
      <alignment horizontal="center" vertical="center"/>
    </xf>
    <xf numFmtId="0" fontId="32" fillId="3" borderId="0" xfId="0" applyFont="1" applyFill="1" applyAlignment="1">
      <alignment horizontal="center" vertical="center" wrapText="1"/>
    </xf>
    <xf numFmtId="0" fontId="21" fillId="0" borderId="6" xfId="0" applyFont="1" applyBorder="1" applyAlignment="1">
      <alignment horizontal="center"/>
    </xf>
    <xf numFmtId="164" fontId="58" fillId="0" borderId="14" xfId="2" applyFont="1" applyBorder="1" applyAlignment="1">
      <alignment horizontal="center" vertical="center"/>
    </xf>
    <xf numFmtId="44" fontId="0" fillId="0" borderId="0" xfId="0" applyNumberFormat="1"/>
    <xf numFmtId="49" fontId="21" fillId="0" borderId="6" xfId="0" applyNumberFormat="1" applyFont="1" applyBorder="1" applyAlignment="1">
      <alignment horizontal="center" wrapText="1"/>
    </xf>
    <xf numFmtId="0" fontId="10" fillId="0" borderId="0" xfId="0" applyFont="1"/>
    <xf numFmtId="49" fontId="59" fillId="0" borderId="0" xfId="0" applyNumberFormat="1" applyFont="1" applyAlignment="1">
      <alignment horizontal="left"/>
    </xf>
    <xf numFmtId="49" fontId="60" fillId="0" borderId="0" xfId="0" applyNumberFormat="1" applyFont="1" applyAlignment="1">
      <alignment horizontal="left"/>
    </xf>
    <xf numFmtId="49" fontId="61" fillId="0" borderId="0" xfId="0" applyNumberFormat="1" applyFont="1" applyAlignment="1">
      <alignment horizontal="left"/>
    </xf>
    <xf numFmtId="2" fontId="5" fillId="0" borderId="0" xfId="0" applyNumberFormat="1" applyFont="1" applyAlignment="1">
      <alignment horizontal="left"/>
    </xf>
    <xf numFmtId="0" fontId="0" fillId="0" borderId="57" xfId="0" applyBorder="1"/>
    <xf numFmtId="4" fontId="29" fillId="5" borderId="58" xfId="0" applyNumberFormat="1" applyFont="1" applyFill="1" applyBorder="1" applyAlignment="1">
      <alignment horizontal="center" vertical="center"/>
    </xf>
    <xf numFmtId="4" fontId="29" fillId="0" borderId="58" xfId="0" applyNumberFormat="1" applyFont="1" applyBorder="1"/>
    <xf numFmtId="4" fontId="12" fillId="2" borderId="1" xfId="0" applyNumberFormat="1" applyFont="1" applyFill="1" applyBorder="1" applyAlignment="1">
      <alignment horizontal="right"/>
    </xf>
    <xf numFmtId="4" fontId="13" fillId="0" borderId="1" xfId="0" applyNumberFormat="1" applyFont="1" applyBorder="1" applyAlignment="1">
      <alignment horizontal="left" wrapText="1"/>
    </xf>
    <xf numFmtId="49" fontId="21" fillId="0" borderId="1" xfId="0" applyNumberFormat="1" applyFont="1" applyBorder="1" applyAlignment="1">
      <alignment horizontal="center" wrapText="1"/>
    </xf>
    <xf numFmtId="4" fontId="6" fillId="0" borderId="0" xfId="0" applyNumberFormat="1" applyFont="1"/>
    <xf numFmtId="49" fontId="6" fillId="0" borderId="0" xfId="12" applyNumberFormat="1" applyFont="1" applyAlignment="1">
      <alignment horizontal="right"/>
    </xf>
    <xf numFmtId="49" fontId="23" fillId="0" borderId="0" xfId="12" applyNumberFormat="1" applyFont="1" applyAlignment="1">
      <alignment horizontal="left"/>
    </xf>
    <xf numFmtId="4" fontId="6" fillId="0" borderId="0" xfId="12" applyNumberFormat="1" applyFont="1" applyAlignment="1">
      <alignment horizontal="left"/>
    </xf>
    <xf numFmtId="4" fontId="23" fillId="0" borderId="0" xfId="12" applyNumberFormat="1" applyFont="1" applyAlignment="1">
      <alignment horizontal="left"/>
    </xf>
    <xf numFmtId="4" fontId="6" fillId="0" borderId="0" xfId="12" applyNumberFormat="1" applyFont="1" applyAlignment="1">
      <alignment horizontal="right"/>
    </xf>
    <xf numFmtId="0" fontId="14" fillId="0" borderId="0" xfId="12" applyFont="1"/>
    <xf numFmtId="0" fontId="3" fillId="0" borderId="0" xfId="12"/>
    <xf numFmtId="49" fontId="13" fillId="0" borderId="1" xfId="12" applyNumberFormat="1" applyFont="1" applyBorder="1" applyAlignment="1">
      <alignment horizontal="center"/>
    </xf>
    <xf numFmtId="0" fontId="13" fillId="0" borderId="1" xfId="12" applyFont="1" applyBorder="1" applyAlignment="1">
      <alignment horizontal="left" wrapText="1"/>
    </xf>
    <xf numFmtId="0" fontId="13" fillId="0" borderId="0" xfId="12" applyFont="1" applyAlignment="1">
      <alignment horizontal="center"/>
    </xf>
    <xf numFmtId="0" fontId="13" fillId="0" borderId="6" xfId="12" applyFont="1" applyBorder="1" applyAlignment="1">
      <alignment horizontal="center"/>
    </xf>
    <xf numFmtId="0" fontId="13" fillId="0" borderId="3" xfId="12" applyFont="1" applyBorder="1" applyAlignment="1">
      <alignment horizontal="left" wrapText="1"/>
    </xf>
    <xf numFmtId="0" fontId="62" fillId="0" borderId="1" xfId="12" applyFont="1" applyBorder="1" applyAlignment="1">
      <alignment horizontal="center"/>
    </xf>
    <xf numFmtId="0" fontId="62" fillId="0" borderId="1" xfId="12" applyFont="1" applyBorder="1" applyAlignment="1">
      <alignment horizontal="left" wrapText="1"/>
    </xf>
    <xf numFmtId="0" fontId="13" fillId="0" borderId="1" xfId="12" applyFont="1" applyBorder="1" applyAlignment="1">
      <alignment horizontal="center"/>
    </xf>
    <xf numFmtId="0" fontId="19" fillId="35" borderId="1" xfId="0" applyFont="1" applyFill="1" applyBorder="1" applyAlignment="1">
      <alignment horizontal="center" vertical="center" wrapText="1"/>
    </xf>
    <xf numFmtId="0" fontId="63" fillId="34" borderId="1" xfId="0" applyFont="1" applyFill="1" applyBorder="1" applyAlignment="1">
      <alignment vertical="center" wrapText="1"/>
    </xf>
    <xf numFmtId="0" fontId="63" fillId="34" borderId="1" xfId="0" applyFont="1" applyFill="1" applyBorder="1" applyAlignment="1">
      <alignment horizontal="center" vertical="center" wrapText="1"/>
    </xf>
    <xf numFmtId="2" fontId="63" fillId="34" borderId="1" xfId="0" applyNumberFormat="1" applyFont="1" applyFill="1" applyBorder="1" applyAlignment="1">
      <alignment horizontal="center" vertical="center" wrapText="1"/>
    </xf>
    <xf numFmtId="0" fontId="3" fillId="36" borderId="0" xfId="109" applyFill="1"/>
    <xf numFmtId="0" fontId="3" fillId="0" borderId="0" xfId="109"/>
    <xf numFmtId="0" fontId="64" fillId="36" borderId="0" xfId="109" applyFont="1" applyFill="1" applyAlignment="1">
      <alignment wrapText="1"/>
    </xf>
    <xf numFmtId="0" fontId="63" fillId="34" borderId="7" xfId="0" applyFont="1" applyFill="1" applyBorder="1" applyAlignment="1">
      <alignment horizontal="center" vertical="center" wrapText="1"/>
    </xf>
    <xf numFmtId="0" fontId="63" fillId="34" borderId="7" xfId="0" applyFont="1" applyFill="1" applyBorder="1" applyAlignment="1">
      <alignment vertical="center" wrapText="1"/>
    </xf>
    <xf numFmtId="2" fontId="63" fillId="34" borderId="7" xfId="0" applyNumberFormat="1" applyFont="1" applyFill="1" applyBorder="1" applyAlignment="1">
      <alignment horizontal="center" vertical="center" wrapText="1"/>
    </xf>
    <xf numFmtId="43" fontId="19" fillId="37" borderId="59" xfId="108" applyFont="1" applyFill="1" applyBorder="1" applyAlignment="1">
      <alignment vertical="center"/>
    </xf>
    <xf numFmtId="167" fontId="14" fillId="0" borderId="0" xfId="0" applyNumberFormat="1" applyFont="1"/>
    <xf numFmtId="0" fontId="12" fillId="0" borderId="5" xfId="0" applyFont="1" applyBorder="1" applyAlignment="1">
      <alignment wrapText="1"/>
    </xf>
    <xf numFmtId="0" fontId="13" fillId="0" borderId="1" xfId="0" applyFont="1" applyBorder="1" applyAlignment="1">
      <alignment horizontal="left" vertical="top" wrapText="1"/>
    </xf>
    <xf numFmtId="0" fontId="12" fillId="0" borderId="5" xfId="0" applyFont="1" applyBorder="1" applyAlignment="1">
      <alignment vertical="top" wrapText="1"/>
    </xf>
    <xf numFmtId="0" fontId="13" fillId="0" borderId="3" xfId="0" applyFont="1" applyBorder="1" applyAlignment="1">
      <alignment horizontal="left" vertical="top" wrapText="1"/>
    </xf>
    <xf numFmtId="4" fontId="13" fillId="0" borderId="1" xfId="0" applyNumberFormat="1" applyFont="1" applyBorder="1" applyAlignment="1">
      <alignment horizontal="left" vertical="top" wrapText="1"/>
    </xf>
    <xf numFmtId="0" fontId="13" fillId="0" borderId="7" xfId="0" applyFont="1" applyBorder="1" applyAlignment="1">
      <alignment horizontal="left" vertical="top" wrapText="1"/>
    </xf>
    <xf numFmtId="0" fontId="66" fillId="0" borderId="0" xfId="0" applyFont="1"/>
    <xf numFmtId="43" fontId="65" fillId="0" borderId="0" xfId="108" applyFont="1"/>
    <xf numFmtId="43" fontId="66" fillId="0" borderId="0" xfId="108" applyFont="1"/>
    <xf numFmtId="0" fontId="66" fillId="0" borderId="0" xfId="0" applyFont="1" applyAlignment="1">
      <alignment horizontal="center" wrapText="1"/>
    </xf>
    <xf numFmtId="9" fontId="66" fillId="0" borderId="0" xfId="0" applyNumberFormat="1" applyFont="1" applyAlignment="1">
      <alignment horizontal="left"/>
    </xf>
    <xf numFmtId="0" fontId="65" fillId="0" borderId="0" xfId="0" applyFont="1" applyAlignment="1">
      <alignment horizontal="right"/>
    </xf>
    <xf numFmtId="10" fontId="65" fillId="0" borderId="0" xfId="0" applyNumberFormat="1" applyFont="1" applyAlignment="1">
      <alignment horizontal="left"/>
    </xf>
    <xf numFmtId="2" fontId="9" fillId="39" borderId="17" xfId="0" applyNumberFormat="1" applyFont="1" applyFill="1" applyBorder="1" applyAlignment="1">
      <alignment vertical="top" wrapText="1"/>
    </xf>
    <xf numFmtId="0" fontId="9" fillId="39" borderId="17" xfId="0" applyFont="1" applyFill="1" applyBorder="1" applyAlignment="1">
      <alignment horizontal="center"/>
    </xf>
    <xf numFmtId="43" fontId="9" fillId="39" borderId="17" xfId="108" applyFont="1" applyFill="1" applyBorder="1" applyAlignment="1">
      <alignment horizontal="right"/>
    </xf>
    <xf numFmtId="4" fontId="9" fillId="39" borderId="17" xfId="108" applyNumberFormat="1" applyFont="1" applyFill="1" applyBorder="1" applyAlignment="1">
      <alignment horizontal="right"/>
    </xf>
    <xf numFmtId="2" fontId="9" fillId="39" borderId="17" xfId="108" applyNumberFormat="1" applyFont="1" applyFill="1" applyBorder="1" applyAlignment="1">
      <alignment horizontal="right"/>
    </xf>
    <xf numFmtId="49" fontId="9" fillId="39" borderId="17" xfId="108" applyNumberFormat="1" applyFont="1" applyFill="1" applyBorder="1" applyAlignment="1">
      <alignment horizontal="right"/>
    </xf>
    <xf numFmtId="0" fontId="66" fillId="39" borderId="64" xfId="0" applyFont="1" applyFill="1" applyBorder="1"/>
    <xf numFmtId="0" fontId="66" fillId="39" borderId="0" xfId="0" applyFont="1" applyFill="1"/>
    <xf numFmtId="168" fontId="66" fillId="39" borderId="0" xfId="0" applyNumberFormat="1" applyFont="1" applyFill="1"/>
    <xf numFmtId="0" fontId="3" fillId="0" borderId="1" xfId="0" applyFont="1" applyBorder="1" applyAlignment="1">
      <alignment vertical="top" wrapText="1"/>
    </xf>
    <xf numFmtId="2" fontId="0" fillId="0" borderId="1" xfId="0" applyNumberFormat="1" applyBorder="1" applyAlignment="1">
      <alignment horizontal="center"/>
    </xf>
    <xf numFmtId="4" fontId="3" fillId="0" borderId="1" xfId="108" applyNumberFormat="1" applyFont="1" applyBorder="1" applyAlignment="1">
      <alignment horizontal="right"/>
    </xf>
    <xf numFmtId="4" fontId="3" fillId="0" borderId="1" xfId="108" applyNumberFormat="1" applyFont="1" applyFill="1" applyBorder="1" applyAlignment="1">
      <alignment horizontal="right"/>
    </xf>
    <xf numFmtId="4" fontId="3" fillId="0" borderId="1" xfId="108" applyNumberFormat="1" applyFont="1" applyFill="1" applyBorder="1" applyAlignment="1">
      <alignment horizontal="center"/>
    </xf>
    <xf numFmtId="0" fontId="66" fillId="0" borderId="64" xfId="0" applyFont="1" applyBorder="1" applyAlignment="1">
      <alignment vertical="center"/>
    </xf>
    <xf numFmtId="4" fontId="66" fillId="0" borderId="0" xfId="0" applyNumberFormat="1" applyFont="1" applyAlignment="1">
      <alignment vertical="center"/>
    </xf>
    <xf numFmtId="2" fontId="66" fillId="0" borderId="0" xfId="0" applyNumberFormat="1" applyFont="1" applyAlignment="1">
      <alignment vertical="center"/>
    </xf>
    <xf numFmtId="0" fontId="66" fillId="0" borderId="0" xfId="0" applyFont="1" applyAlignment="1">
      <alignment vertical="center"/>
    </xf>
    <xf numFmtId="0" fontId="66" fillId="0" borderId="65" xfId="0" applyFont="1" applyBorder="1" applyAlignment="1">
      <alignment vertical="center"/>
    </xf>
    <xf numFmtId="0" fontId="0" fillId="0" borderId="1" xfId="0" applyBorder="1" applyAlignment="1">
      <alignment horizontal="center" vertical="top" wrapText="1"/>
    </xf>
    <xf numFmtId="0" fontId="66" fillId="0" borderId="64" xfId="0" applyFont="1" applyBorder="1"/>
    <xf numFmtId="2" fontId="66" fillId="0" borderId="0" xfId="0" applyNumberFormat="1" applyFont="1"/>
    <xf numFmtId="4" fontId="9" fillId="0" borderId="1" xfId="108" applyNumberFormat="1" applyFont="1" applyBorder="1" applyAlignment="1">
      <alignment horizontal="right"/>
    </xf>
    <xf numFmtId="4" fontId="3" fillId="0" borderId="17" xfId="108" applyNumberFormat="1" applyFont="1" applyBorder="1" applyAlignment="1">
      <alignment horizontal="right"/>
    </xf>
    <xf numFmtId="4" fontId="9" fillId="0" borderId="17" xfId="108" applyNumberFormat="1" applyFont="1" applyBorder="1" applyAlignment="1">
      <alignment horizontal="right"/>
    </xf>
    <xf numFmtId="2" fontId="3" fillId="0" borderId="1" xfId="0" applyNumberFormat="1" applyFont="1" applyBorder="1" applyAlignment="1">
      <alignment horizontal="center"/>
    </xf>
    <xf numFmtId="2" fontId="3" fillId="39" borderId="17" xfId="0" applyNumberFormat="1" applyFont="1" applyFill="1" applyBorder="1" applyAlignment="1">
      <alignment vertical="top" wrapText="1"/>
    </xf>
    <xf numFmtId="49" fontId="9" fillId="0" borderId="1" xfId="0" applyNumberFormat="1" applyFont="1" applyBorder="1" applyAlignment="1">
      <alignment horizontal="center" wrapText="1"/>
    </xf>
    <xf numFmtId="4" fontId="9" fillId="0" borderId="17" xfId="108" applyNumberFormat="1" applyFont="1" applyFill="1" applyBorder="1" applyAlignment="1">
      <alignment horizontal="right"/>
    </xf>
    <xf numFmtId="49" fontId="9" fillId="0" borderId="17" xfId="108" applyNumberFormat="1" applyFont="1" applyFill="1" applyBorder="1" applyAlignment="1">
      <alignment horizontal="right"/>
    </xf>
    <xf numFmtId="0" fontId="0" fillId="0" borderId="1" xfId="0" applyBorder="1" applyAlignment="1">
      <alignment horizontal="center" vertical="top"/>
    </xf>
    <xf numFmtId="2" fontId="9" fillId="39" borderId="1" xfId="0" applyNumberFormat="1" applyFont="1" applyFill="1" applyBorder="1" applyAlignment="1">
      <alignment vertical="top" wrapText="1"/>
    </xf>
    <xf numFmtId="43" fontId="9" fillId="39" borderId="1" xfId="108" applyFont="1" applyFill="1" applyBorder="1" applyAlignment="1">
      <alignment horizontal="right"/>
    </xf>
    <xf numFmtId="2" fontId="9" fillId="39" borderId="1" xfId="108" applyNumberFormat="1" applyFont="1" applyFill="1" applyBorder="1" applyAlignment="1">
      <alignment horizontal="right"/>
    </xf>
    <xf numFmtId="4" fontId="9" fillId="39" borderId="1" xfId="108" applyNumberFormat="1" applyFont="1" applyFill="1" applyBorder="1" applyAlignment="1">
      <alignment horizontal="right"/>
    </xf>
    <xf numFmtId="49" fontId="9" fillId="39" borderId="1" xfId="108" applyNumberFormat="1" applyFont="1" applyFill="1" applyBorder="1" applyAlignment="1">
      <alignment horizontal="right"/>
    </xf>
    <xf numFmtId="49" fontId="3" fillId="0" borderId="1" xfId="108" applyNumberFormat="1" applyFont="1" applyFill="1" applyBorder="1" applyAlignment="1">
      <alignment horizontal="center"/>
    </xf>
    <xf numFmtId="49" fontId="3" fillId="0" borderId="1" xfId="108" applyNumberFormat="1" applyFont="1" applyBorder="1" applyAlignment="1">
      <alignment horizontal="center" wrapText="1"/>
    </xf>
    <xf numFmtId="165" fontId="66" fillId="0" borderId="0" xfId="0" applyNumberFormat="1" applyFont="1"/>
    <xf numFmtId="2" fontId="9" fillId="39" borderId="1" xfId="0" applyNumberFormat="1" applyFont="1" applyFill="1" applyBorder="1" applyAlignment="1">
      <alignment vertical="top"/>
    </xf>
    <xf numFmtId="0" fontId="0" fillId="0" borderId="66" xfId="0" applyBorder="1" applyAlignment="1">
      <alignment vertical="center" wrapText="1"/>
    </xf>
    <xf numFmtId="0" fontId="0" fillId="0" borderId="66" xfId="0" applyBorder="1" applyAlignment="1">
      <alignment horizontal="center"/>
    </xf>
    <xf numFmtId="43" fontId="3" fillId="0" borderId="66" xfId="108" applyFont="1" applyBorder="1" applyAlignment="1">
      <alignment horizontal="right"/>
    </xf>
    <xf numFmtId="4" fontId="3" fillId="0" borderId="66" xfId="108" applyNumberFormat="1" applyFont="1" applyBorder="1" applyAlignment="1">
      <alignment horizontal="right"/>
    </xf>
    <xf numFmtId="0" fontId="66" fillId="40" borderId="64" xfId="0" applyFont="1" applyFill="1" applyBorder="1"/>
    <xf numFmtId="0" fontId="66" fillId="40" borderId="0" xfId="0" applyFont="1" applyFill="1"/>
    <xf numFmtId="165" fontId="66" fillId="40" borderId="0" xfId="0" applyNumberFormat="1" applyFont="1" applyFill="1"/>
    <xf numFmtId="0" fontId="66" fillId="0" borderId="0" xfId="0" applyFont="1" applyAlignment="1">
      <alignment horizontal="right"/>
    </xf>
    <xf numFmtId="0" fontId="3" fillId="0" borderId="0" xfId="0" applyFont="1" applyAlignment="1">
      <alignment horizontal="left"/>
    </xf>
    <xf numFmtId="0" fontId="65" fillId="0" borderId="0" xfId="0" applyFont="1"/>
    <xf numFmtId="4" fontId="65" fillId="0" borderId="0" xfId="0" applyNumberFormat="1" applyFont="1"/>
    <xf numFmtId="165" fontId="65" fillId="0" borderId="0" xfId="0" applyNumberFormat="1" applyFont="1"/>
    <xf numFmtId="4" fontId="3" fillId="0" borderId="1" xfId="0" applyNumberFormat="1" applyFont="1" applyBorder="1" applyAlignment="1">
      <alignment vertical="top" wrapText="1"/>
    </xf>
    <xf numFmtId="0" fontId="9" fillId="38" borderId="61" xfId="0" applyFont="1" applyFill="1" applyBorder="1" applyAlignment="1">
      <alignment vertical="center"/>
    </xf>
    <xf numFmtId="0" fontId="10" fillId="38" borderId="61" xfId="0" applyFont="1" applyFill="1" applyBorder="1" applyAlignment="1">
      <alignment vertical="center"/>
    </xf>
    <xf numFmtId="4" fontId="10" fillId="38" borderId="61" xfId="0" applyNumberFormat="1" applyFont="1" applyFill="1" applyBorder="1" applyAlignment="1">
      <alignment vertical="center"/>
    </xf>
    <xf numFmtId="0" fontId="3" fillId="39" borderId="17" xfId="0" applyFont="1" applyFill="1" applyBorder="1" applyAlignment="1">
      <alignment horizontal="center"/>
    </xf>
    <xf numFmtId="43" fontId="3" fillId="39" borderId="17" xfId="108" applyFont="1" applyFill="1" applyBorder="1" applyAlignment="1">
      <alignment horizontal="right"/>
    </xf>
    <xf numFmtId="2" fontId="3" fillId="39" borderId="17" xfId="108" applyNumberFormat="1" applyFont="1" applyFill="1" applyBorder="1" applyAlignment="1">
      <alignment horizontal="right"/>
    </xf>
    <xf numFmtId="4" fontId="3" fillId="39" borderId="17" xfId="108" applyNumberFormat="1" applyFont="1" applyFill="1" applyBorder="1" applyAlignment="1">
      <alignment horizontal="right"/>
    </xf>
    <xf numFmtId="49" fontId="3" fillId="39" borderId="17" xfId="108" applyNumberFormat="1" applyFont="1" applyFill="1" applyBorder="1" applyAlignment="1">
      <alignment horizontal="center"/>
    </xf>
    <xf numFmtId="4" fontId="66" fillId="40" borderId="0" xfId="0" applyNumberFormat="1" applyFont="1" applyFill="1"/>
    <xf numFmtId="49" fontId="3" fillId="0" borderId="1" xfId="108" applyNumberFormat="1" applyFont="1" applyFill="1" applyBorder="1" applyAlignment="1">
      <alignment horizontal="center" wrapText="1"/>
    </xf>
    <xf numFmtId="0" fontId="9" fillId="39" borderId="17" xfId="0" applyFont="1" applyFill="1" applyBorder="1" applyAlignment="1">
      <alignment horizontal="center" vertical="top"/>
    </xf>
    <xf numFmtId="0" fontId="3" fillId="0" borderId="1" xfId="0" applyFont="1" applyBorder="1" applyAlignment="1">
      <alignment horizontal="center" vertical="top"/>
    </xf>
    <xf numFmtId="4" fontId="9" fillId="0" borderId="1" xfId="0" applyNumberFormat="1" applyFont="1" applyBorder="1" applyAlignment="1">
      <alignment horizontal="center"/>
    </xf>
    <xf numFmtId="0" fontId="9" fillId="39" borderId="1" xfId="0" applyFont="1" applyFill="1" applyBorder="1" applyAlignment="1">
      <alignment horizontal="center" vertical="top"/>
    </xf>
    <xf numFmtId="0" fontId="3" fillId="0" borderId="72" xfId="0" applyFont="1" applyBorder="1" applyAlignment="1">
      <alignment horizontal="center"/>
    </xf>
    <xf numFmtId="4" fontId="3" fillId="0" borderId="73" xfId="108" applyNumberFormat="1" applyFont="1" applyBorder="1" applyAlignment="1">
      <alignment horizontal="right"/>
    </xf>
    <xf numFmtId="4" fontId="10" fillId="38" borderId="67" xfId="108" applyNumberFormat="1" applyFont="1" applyFill="1" applyBorder="1" applyAlignment="1">
      <alignment horizontal="right" vertical="center"/>
    </xf>
    <xf numFmtId="0" fontId="3" fillId="39" borderId="17" xfId="0" applyFont="1" applyFill="1" applyBorder="1" applyAlignment="1">
      <alignment horizontal="center" vertical="top"/>
    </xf>
    <xf numFmtId="165" fontId="66" fillId="0" borderId="0" xfId="18" applyFont="1" applyBorder="1"/>
    <xf numFmtId="165" fontId="66" fillId="0" borderId="0" xfId="18" applyFont="1"/>
    <xf numFmtId="0" fontId="66" fillId="0" borderId="0" xfId="0" applyFont="1" applyAlignment="1">
      <alignment horizontal="center"/>
    </xf>
    <xf numFmtId="0" fontId="66" fillId="0" borderId="19" xfId="0" applyFont="1" applyBorder="1"/>
    <xf numFmtId="0" fontId="68" fillId="0" borderId="19" xfId="0" applyFont="1" applyBorder="1"/>
    <xf numFmtId="0" fontId="65" fillId="0" borderId="1" xfId="0" applyFont="1" applyBorder="1" applyAlignment="1">
      <alignment horizontal="center" vertical="center"/>
    </xf>
    <xf numFmtId="0" fontId="65" fillId="0" borderId="1" xfId="0" applyFont="1" applyBorder="1" applyAlignment="1">
      <alignment horizontal="center" vertical="center" wrapText="1"/>
    </xf>
    <xf numFmtId="0" fontId="66" fillId="0" borderId="1" xfId="0" applyFont="1" applyBorder="1" applyAlignment="1">
      <alignment wrapText="1"/>
    </xf>
    <xf numFmtId="0" fontId="66" fillId="0" borderId="1" xfId="0" applyFont="1" applyBorder="1" applyAlignment="1">
      <alignment horizontal="center"/>
    </xf>
    <xf numFmtId="169" fontId="66" fillId="0" borderId="1" xfId="0" applyNumberFormat="1" applyFont="1" applyBorder="1" applyAlignment="1">
      <alignment horizontal="center"/>
    </xf>
    <xf numFmtId="2" fontId="66" fillId="0" borderId="1" xfId="0" applyNumberFormat="1" applyFont="1" applyBorder="1" applyAlignment="1">
      <alignment horizontal="center"/>
    </xf>
    <xf numFmtId="49" fontId="66" fillId="0" borderId="1" xfId="0" applyNumberFormat="1" applyFont="1" applyBorder="1" applyAlignment="1">
      <alignment horizontal="center" wrapText="1"/>
    </xf>
    <xf numFmtId="165" fontId="66" fillId="0" borderId="1" xfId="18" applyFont="1" applyBorder="1" applyAlignment="1"/>
    <xf numFmtId="0" fontId="66" fillId="0" borderId="1" xfId="0" applyFont="1" applyBorder="1" applyAlignment="1">
      <alignment vertical="top" wrapText="1"/>
    </xf>
    <xf numFmtId="0" fontId="66" fillId="0" borderId="14" xfId="0" applyFont="1" applyBorder="1" applyAlignment="1">
      <alignment horizontal="center"/>
    </xf>
    <xf numFmtId="0" fontId="66" fillId="0" borderId="0" xfId="0" applyFont="1" applyAlignment="1">
      <alignment wrapText="1"/>
    </xf>
    <xf numFmtId="169" fontId="66" fillId="0" borderId="0" xfId="0" applyNumberFormat="1" applyFont="1" applyAlignment="1">
      <alignment horizontal="center"/>
    </xf>
    <xf numFmtId="49" fontId="66" fillId="0" borderId="1" xfId="0" applyNumberFormat="1" applyFont="1" applyBorder="1" applyAlignment="1">
      <alignment horizontal="center"/>
    </xf>
    <xf numFmtId="0" fontId="66" fillId="0" borderId="1" xfId="0" applyFont="1" applyBorder="1"/>
    <xf numFmtId="0" fontId="68" fillId="0" borderId="1" xfId="0" applyFont="1" applyBorder="1" applyAlignment="1">
      <alignment horizontal="left"/>
    </xf>
    <xf numFmtId="49" fontId="68" fillId="0" borderId="1" xfId="0" applyNumberFormat="1" applyFont="1" applyBorder="1" applyAlignment="1">
      <alignment horizontal="center"/>
    </xf>
    <xf numFmtId="165" fontId="68" fillId="0" borderId="1" xfId="18" applyFont="1" applyBorder="1" applyAlignment="1"/>
    <xf numFmtId="170" fontId="66" fillId="0" borderId="0" xfId="18" applyNumberFormat="1" applyFont="1" applyBorder="1"/>
    <xf numFmtId="0" fontId="65" fillId="0" borderId="1" xfId="0" applyFont="1" applyBorder="1" applyAlignment="1">
      <alignment horizontal="center"/>
    </xf>
    <xf numFmtId="165" fontId="65" fillId="0" borderId="1" xfId="18" applyFont="1" applyBorder="1" applyAlignment="1"/>
    <xf numFmtId="171" fontId="66" fillId="0" borderId="1" xfId="0" applyNumberFormat="1" applyFont="1" applyBorder="1" applyAlignment="1">
      <alignment horizontal="center"/>
    </xf>
    <xf numFmtId="0" fontId="68" fillId="0" borderId="0" xfId="0" applyFont="1"/>
    <xf numFmtId="0" fontId="66" fillId="0" borderId="1" xfId="0" applyFont="1" applyBorder="1" applyAlignment="1">
      <alignment horizontal="center" vertical="top"/>
    </xf>
    <xf numFmtId="0" fontId="3" fillId="0" borderId="0" xfId="0" applyFont="1" applyAlignment="1">
      <alignment horizontal="right"/>
    </xf>
    <xf numFmtId="1" fontId="3" fillId="0" borderId="1" xfId="108" applyNumberFormat="1" applyFont="1" applyFill="1" applyBorder="1" applyAlignment="1">
      <alignment horizontal="center"/>
    </xf>
    <xf numFmtId="43" fontId="66" fillId="39" borderId="64" xfId="0" applyNumberFormat="1" applyFont="1" applyFill="1" applyBorder="1"/>
    <xf numFmtId="2" fontId="66" fillId="0" borderId="64" xfId="0" applyNumberFormat="1" applyFont="1" applyBorder="1" applyAlignment="1">
      <alignment vertical="center"/>
    </xf>
    <xf numFmtId="2" fontId="66" fillId="0" borderId="64" xfId="0" applyNumberFormat="1" applyFont="1" applyBorder="1"/>
    <xf numFmtId="2" fontId="66" fillId="39" borderId="64" xfId="0" applyNumberFormat="1" applyFont="1" applyFill="1" applyBorder="1"/>
    <xf numFmtId="0" fontId="3" fillId="41" borderId="1" xfId="0" applyFont="1" applyFill="1" applyBorder="1" applyAlignment="1">
      <alignment horizontal="center" vertical="top"/>
    </xf>
    <xf numFmtId="0" fontId="3" fillId="33" borderId="1" xfId="0" applyFont="1" applyFill="1" applyBorder="1" applyAlignment="1">
      <alignment horizontal="center" vertical="top"/>
    </xf>
    <xf numFmtId="4" fontId="3" fillId="0" borderId="1" xfId="108" applyNumberFormat="1" applyFont="1" applyFill="1" applyBorder="1" applyAlignment="1">
      <alignment horizontal="center" wrapText="1"/>
    </xf>
    <xf numFmtId="1" fontId="3" fillId="0" borderId="1" xfId="108" applyNumberFormat="1" applyFont="1" applyFill="1" applyBorder="1" applyAlignment="1">
      <alignment horizontal="center" wrapText="1"/>
    </xf>
    <xf numFmtId="0" fontId="0" fillId="0" borderId="74" xfId="0" applyBorder="1" applyAlignment="1">
      <alignment horizontal="center" vertical="top"/>
    </xf>
    <xf numFmtId="0" fontId="0" fillId="0" borderId="22" xfId="0" applyBorder="1" applyAlignment="1">
      <alignment horizontal="center" vertical="top" wrapText="1"/>
    </xf>
    <xf numFmtId="2" fontId="0" fillId="0" borderId="22" xfId="0" applyNumberFormat="1" applyBorder="1" applyAlignment="1">
      <alignment horizontal="center"/>
    </xf>
    <xf numFmtId="4" fontId="3" fillId="0" borderId="22" xfId="108" applyNumberFormat="1" applyFont="1" applyBorder="1" applyAlignment="1">
      <alignment horizontal="right"/>
    </xf>
    <xf numFmtId="49" fontId="9" fillId="0" borderId="22" xfId="0" applyNumberFormat="1" applyFont="1" applyBorder="1" applyAlignment="1">
      <alignment horizontal="center" wrapText="1"/>
    </xf>
    <xf numFmtId="4" fontId="9" fillId="0" borderId="75" xfId="0" applyNumberFormat="1" applyFont="1" applyBorder="1" applyAlignment="1">
      <alignment horizontal="center"/>
    </xf>
    <xf numFmtId="4" fontId="14" fillId="38" borderId="67" xfId="0" applyNumberFormat="1" applyFont="1" applyFill="1" applyBorder="1" applyAlignment="1">
      <alignment horizontal="center" vertical="center"/>
    </xf>
    <xf numFmtId="4" fontId="10" fillId="38" borderId="76" xfId="108" applyNumberFormat="1" applyFont="1" applyFill="1" applyBorder="1" applyAlignment="1">
      <alignment horizontal="right" vertical="center"/>
    </xf>
    <xf numFmtId="0" fontId="3" fillId="0" borderId="77" xfId="0" applyFont="1" applyBorder="1" applyAlignment="1">
      <alignment horizontal="center"/>
    </xf>
    <xf numFmtId="0" fontId="0" fillId="0" borderId="78" xfId="0" applyBorder="1" applyAlignment="1">
      <alignment vertical="center" wrapText="1"/>
    </xf>
    <xf numFmtId="0" fontId="0" fillId="0" borderId="78" xfId="0" applyBorder="1" applyAlignment="1">
      <alignment horizontal="center"/>
    </xf>
    <xf numFmtId="43" fontId="3" fillId="0" borderId="78" xfId="108" applyFont="1" applyBorder="1" applyAlignment="1">
      <alignment horizontal="right"/>
    </xf>
    <xf numFmtId="4" fontId="3" fillId="0" borderId="78" xfId="108" applyNumberFormat="1" applyFont="1" applyBorder="1" applyAlignment="1">
      <alignment horizontal="right"/>
    </xf>
    <xf numFmtId="4" fontId="3" fillId="0" borderId="78" xfId="108" applyNumberFormat="1" applyFont="1" applyBorder="1" applyAlignment="1">
      <alignment horizontal="right" wrapText="1"/>
    </xf>
    <xf numFmtId="4" fontId="3" fillId="0" borderId="79" xfId="108" applyNumberFormat="1" applyFont="1" applyBorder="1" applyAlignment="1">
      <alignment horizontal="right"/>
    </xf>
    <xf numFmtId="0" fontId="0" fillId="0" borderId="7" xfId="0" applyBorder="1" applyAlignment="1">
      <alignment horizontal="center" vertical="top"/>
    </xf>
    <xf numFmtId="2" fontId="0" fillId="0" borderId="7" xfId="0" applyNumberFormat="1" applyBorder="1" applyAlignment="1">
      <alignment horizontal="center"/>
    </xf>
    <xf numFmtId="4" fontId="3" fillId="0" borderId="7" xfId="108" applyNumberFormat="1" applyFont="1" applyBorder="1" applyAlignment="1">
      <alignment horizontal="right"/>
    </xf>
    <xf numFmtId="49" fontId="9" fillId="0" borderId="7" xfId="0" applyNumberFormat="1" applyFont="1" applyBorder="1" applyAlignment="1">
      <alignment horizontal="center" wrapText="1"/>
    </xf>
    <xf numFmtId="4" fontId="9" fillId="0" borderId="7" xfId="0" applyNumberFormat="1" applyFont="1" applyBorder="1" applyAlignment="1">
      <alignment horizontal="center"/>
    </xf>
    <xf numFmtId="4" fontId="66" fillId="0" borderId="0" xfId="0" applyNumberFormat="1" applyFont="1"/>
    <xf numFmtId="0" fontId="69" fillId="0" borderId="0" xfId="0" applyFont="1" applyAlignment="1">
      <alignment vertical="center"/>
    </xf>
    <xf numFmtId="0" fontId="69" fillId="0" borderId="0" xfId="0" applyFont="1" applyAlignment="1">
      <alignment horizontal="center" vertical="center"/>
    </xf>
    <xf numFmtId="0" fontId="69" fillId="0" borderId="0" xfId="0" applyFont="1" applyAlignment="1">
      <alignment vertical="center" wrapText="1"/>
    </xf>
    <xf numFmtId="4" fontId="69" fillId="0" borderId="0" xfId="0" applyNumberFormat="1" applyFont="1" applyAlignment="1">
      <alignment horizontal="center" vertical="center"/>
    </xf>
    <xf numFmtId="2" fontId="69" fillId="0" borderId="0" xfId="0" applyNumberFormat="1" applyFont="1" applyAlignment="1">
      <alignment horizontal="center" vertical="center"/>
    </xf>
    <xf numFmtId="0" fontId="70" fillId="0" borderId="0" xfId="0" applyFont="1" applyAlignment="1">
      <alignment horizontal="left" vertical="center"/>
    </xf>
    <xf numFmtId="0" fontId="69" fillId="0" borderId="0" xfId="0" applyFont="1" applyAlignment="1">
      <alignment horizontal="left" vertical="center"/>
    </xf>
    <xf numFmtId="2" fontId="69" fillId="0" borderId="0" xfId="0" applyNumberFormat="1" applyFont="1" applyAlignment="1">
      <alignment vertical="center"/>
    </xf>
    <xf numFmtId="0" fontId="70" fillId="4" borderId="0" xfId="0" applyFont="1" applyFill="1" applyAlignment="1">
      <alignment horizontal="left" vertical="center"/>
    </xf>
    <xf numFmtId="0" fontId="70" fillId="39" borderId="83" xfId="0" applyFont="1" applyFill="1" applyBorder="1" applyAlignment="1">
      <alignment vertical="center"/>
    </xf>
    <xf numFmtId="4" fontId="72" fillId="39" borderId="0" xfId="0" applyNumberFormat="1" applyFont="1" applyFill="1" applyAlignment="1">
      <alignment vertical="center" wrapText="1"/>
    </xf>
    <xf numFmtId="4" fontId="70" fillId="0" borderId="0" xfId="0" applyNumberFormat="1" applyFont="1" applyAlignment="1">
      <alignment horizontal="right" vertical="center"/>
    </xf>
    <xf numFmtId="17" fontId="70" fillId="39" borderId="84" xfId="0" applyNumberFormat="1" applyFont="1" applyFill="1" applyBorder="1" applyAlignment="1">
      <alignment horizontal="left" vertical="center"/>
    </xf>
    <xf numFmtId="0" fontId="73" fillId="39" borderId="0" xfId="0" applyFont="1" applyFill="1" applyAlignment="1">
      <alignment horizontal="center" vertical="center"/>
    </xf>
    <xf numFmtId="0" fontId="72" fillId="39" borderId="0" xfId="0" applyFont="1" applyFill="1" applyAlignment="1">
      <alignment vertical="center" wrapText="1"/>
    </xf>
    <xf numFmtId="4" fontId="70" fillId="39" borderId="55" xfId="5" applyNumberFormat="1" applyFont="1" applyFill="1" applyBorder="1" applyAlignment="1">
      <alignment horizontal="right" vertical="center"/>
    </xf>
    <xf numFmtId="10" fontId="70" fillId="39" borderId="85" xfId="5" applyNumberFormat="1" applyFont="1" applyFill="1" applyBorder="1" applyAlignment="1">
      <alignment horizontal="left" vertical="center"/>
    </xf>
    <xf numFmtId="0" fontId="73" fillId="0" borderId="0" xfId="0" applyFont="1" applyAlignment="1">
      <alignment horizontal="center" vertical="center"/>
    </xf>
    <xf numFmtId="0" fontId="73" fillId="43" borderId="88" xfId="0" applyFont="1" applyFill="1" applyBorder="1" applyAlignment="1">
      <alignment horizontal="center" vertical="center"/>
    </xf>
    <xf numFmtId="0" fontId="73" fillId="43" borderId="88" xfId="0" applyFont="1" applyFill="1" applyBorder="1" applyAlignment="1">
      <alignment horizontal="left" vertical="center" wrapText="1"/>
    </xf>
    <xf numFmtId="4" fontId="73" fillId="43" borderId="88" xfId="108" applyNumberFormat="1" applyFont="1" applyFill="1" applyBorder="1" applyAlignment="1">
      <alignment horizontal="center" vertical="center"/>
    </xf>
    <xf numFmtId="43" fontId="73" fillId="43" borderId="88" xfId="108" applyFont="1" applyFill="1" applyBorder="1" applyAlignment="1">
      <alignment horizontal="center" vertical="center"/>
    </xf>
    <xf numFmtId="0" fontId="74" fillId="0" borderId="0" xfId="0" applyFont="1" applyAlignment="1">
      <alignment vertical="center"/>
    </xf>
    <xf numFmtId="0" fontId="74" fillId="0" borderId="92" xfId="0" applyFont="1" applyBorder="1" applyAlignment="1">
      <alignment horizontal="center" vertical="center"/>
    </xf>
    <xf numFmtId="0" fontId="74" fillId="0" borderId="92" xfId="0" applyFont="1" applyBorder="1" applyAlignment="1">
      <alignment vertical="center"/>
    </xf>
    <xf numFmtId="4" fontId="74" fillId="0" borderId="92" xfId="0" applyNumberFormat="1" applyFont="1" applyBorder="1" applyAlignment="1">
      <alignment horizontal="center" vertical="center"/>
    </xf>
    <xf numFmtId="0" fontId="74" fillId="0" borderId="0" xfId="0" applyFont="1" applyAlignment="1">
      <alignment horizontal="center" vertical="center"/>
    </xf>
    <xf numFmtId="0" fontId="74" fillId="0" borderId="0" xfId="0" applyFont="1" applyAlignment="1">
      <alignment horizontal="left" vertical="center"/>
    </xf>
    <xf numFmtId="0" fontId="74" fillId="0" borderId="93" xfId="0" applyFont="1" applyBorder="1" applyAlignment="1">
      <alignment horizontal="center" vertical="center"/>
    </xf>
    <xf numFmtId="0" fontId="75" fillId="0" borderId="93" xfId="0" applyFont="1" applyBorder="1" applyAlignment="1">
      <alignment horizontal="left" vertical="center" wrapText="1"/>
    </xf>
    <xf numFmtId="4" fontId="74" fillId="0" borderId="93" xfId="6" applyNumberFormat="1" applyFont="1" applyBorder="1" applyAlignment="1">
      <alignment horizontal="center" vertical="center"/>
    </xf>
    <xf numFmtId="2" fontId="74" fillId="0" borderId="93" xfId="6" applyNumberFormat="1" applyFont="1" applyBorder="1" applyAlignment="1">
      <alignment horizontal="center" vertical="center"/>
    </xf>
    <xf numFmtId="0" fontId="69" fillId="0" borderId="92" xfId="0" applyFont="1" applyBorder="1" applyAlignment="1">
      <alignment horizontal="center" vertical="center"/>
    </xf>
    <xf numFmtId="0" fontId="69" fillId="0" borderId="92" xfId="0" applyFont="1" applyBorder="1" applyAlignment="1">
      <alignment vertical="center" wrapText="1"/>
    </xf>
    <xf numFmtId="4" fontId="69" fillId="0" borderId="92" xfId="0" applyNumberFormat="1" applyFont="1" applyBorder="1" applyAlignment="1">
      <alignment horizontal="center" vertical="center"/>
    </xf>
    <xf numFmtId="2" fontId="69" fillId="4" borderId="0" xfId="0" applyNumberFormat="1" applyFont="1" applyFill="1" applyAlignment="1">
      <alignment horizontal="center" vertical="center"/>
    </xf>
    <xf numFmtId="0" fontId="69" fillId="4" borderId="0" xfId="0" applyFont="1" applyFill="1" applyAlignment="1">
      <alignment horizontal="center" vertical="center"/>
    </xf>
    <xf numFmtId="0" fontId="69" fillId="0" borderId="94" xfId="0" applyFont="1" applyBorder="1" applyAlignment="1">
      <alignment horizontal="center" vertical="center"/>
    </xf>
    <xf numFmtId="0" fontId="73" fillId="0" borderId="94" xfId="0" applyFont="1" applyBorder="1" applyAlignment="1">
      <alignment horizontal="left" vertical="center" wrapText="1"/>
    </xf>
    <xf numFmtId="4" fontId="69" fillId="0" borderId="94" xfId="108" applyNumberFormat="1" applyFont="1" applyBorder="1" applyAlignment="1">
      <alignment horizontal="center" vertical="center"/>
    </xf>
    <xf numFmtId="2" fontId="69" fillId="0" borderId="94" xfId="108" applyNumberFormat="1" applyFont="1" applyBorder="1" applyAlignment="1">
      <alignment horizontal="center" vertical="center"/>
    </xf>
    <xf numFmtId="0" fontId="70" fillId="44" borderId="0" xfId="0" applyFont="1" applyFill="1" applyAlignment="1">
      <alignment horizontal="left" vertical="center"/>
    </xf>
    <xf numFmtId="0" fontId="73" fillId="0" borderId="0" xfId="0" applyFont="1" applyAlignment="1">
      <alignment horizontal="left" vertical="center" wrapText="1"/>
    </xf>
    <xf numFmtId="2" fontId="69" fillId="0" borderId="0" xfId="108" applyNumberFormat="1" applyFont="1" applyBorder="1" applyAlignment="1">
      <alignment horizontal="center" vertical="center"/>
    </xf>
    <xf numFmtId="4" fontId="69" fillId="43" borderId="88" xfId="0" applyNumberFormat="1" applyFont="1" applyFill="1" applyBorder="1" applyAlignment="1">
      <alignment horizontal="center" vertical="center"/>
    </xf>
    <xf numFmtId="0" fontId="69" fillId="43" borderId="88" xfId="0" applyFont="1" applyFill="1" applyBorder="1" applyAlignment="1">
      <alignment horizontal="center" vertical="center"/>
    </xf>
    <xf numFmtId="0" fontId="69" fillId="4" borderId="0" xfId="0" applyFont="1" applyFill="1" applyAlignment="1">
      <alignment horizontal="left" vertical="center"/>
    </xf>
    <xf numFmtId="0" fontId="69" fillId="0" borderId="93" xfId="0" applyFont="1" applyBorder="1" applyAlignment="1">
      <alignment horizontal="center" vertical="center"/>
    </xf>
    <xf numFmtId="0" fontId="69" fillId="0" borderId="93" xfId="0" applyFont="1" applyBorder="1" applyAlignment="1">
      <alignment horizontal="left" vertical="center" wrapText="1"/>
    </xf>
    <xf numFmtId="4" fontId="69" fillId="0" borderId="93" xfId="0" applyNumberFormat="1" applyFont="1" applyBorder="1" applyAlignment="1">
      <alignment horizontal="center" vertical="center"/>
    </xf>
    <xf numFmtId="0" fontId="73" fillId="0" borderId="93" xfId="0" applyFont="1" applyBorder="1" applyAlignment="1">
      <alignment horizontal="left" vertical="center" wrapText="1"/>
    </xf>
    <xf numFmtId="4" fontId="69" fillId="0" borderId="87" xfId="108" applyNumberFormat="1" applyFont="1" applyBorder="1" applyAlignment="1">
      <alignment horizontal="center" vertical="center"/>
    </xf>
    <xf numFmtId="2" fontId="69" fillId="0" borderId="93" xfId="108" applyNumberFormat="1" applyFont="1" applyBorder="1" applyAlignment="1">
      <alignment horizontal="center" vertical="center"/>
    </xf>
    <xf numFmtId="0" fontId="69" fillId="0" borderId="0" xfId="0" applyFont="1" applyAlignment="1">
      <alignment horizontal="left" vertical="center" wrapText="1"/>
    </xf>
    <xf numFmtId="0" fontId="73" fillId="4" borderId="0" xfId="0" applyFont="1" applyFill="1" applyAlignment="1">
      <alignment horizontal="center" vertical="center"/>
    </xf>
    <xf numFmtId="0" fontId="73" fillId="0" borderId="0" xfId="0" applyFont="1" applyAlignment="1">
      <alignment horizontal="left" vertical="center"/>
    </xf>
    <xf numFmtId="0" fontId="69" fillId="4" borderId="92" xfId="0" applyFont="1" applyFill="1" applyBorder="1" applyAlignment="1">
      <alignment horizontal="center" vertical="center"/>
    </xf>
    <xf numFmtId="0" fontId="69" fillId="4" borderId="92" xfId="0" applyFont="1" applyFill="1" applyBorder="1" applyAlignment="1">
      <alignment horizontal="left" vertical="center" wrapText="1"/>
    </xf>
    <xf numFmtId="4" fontId="69" fillId="4" borderId="92" xfId="0" applyNumberFormat="1" applyFont="1" applyFill="1" applyBorder="1" applyAlignment="1">
      <alignment horizontal="center" vertical="center"/>
    </xf>
    <xf numFmtId="0" fontId="70" fillId="4" borderId="0" xfId="0" applyFont="1" applyFill="1" applyAlignment="1">
      <alignment horizontal="left" vertical="center" wrapText="1"/>
    </xf>
    <xf numFmtId="0" fontId="69" fillId="4" borderId="93" xfId="0" applyFont="1" applyFill="1" applyBorder="1" applyAlignment="1">
      <alignment horizontal="center" vertical="center"/>
    </xf>
    <xf numFmtId="0" fontId="73" fillId="4" borderId="93" xfId="0" applyFont="1" applyFill="1" applyBorder="1" applyAlignment="1">
      <alignment horizontal="left" vertical="center" wrapText="1"/>
    </xf>
    <xf numFmtId="4" fontId="69" fillId="4" borderId="93" xfId="108" applyNumberFormat="1" applyFont="1" applyFill="1" applyBorder="1" applyAlignment="1">
      <alignment horizontal="center" vertical="center"/>
    </xf>
    <xf numFmtId="2" fontId="69" fillId="4" borderId="93" xfId="108" applyNumberFormat="1" applyFont="1" applyFill="1" applyBorder="1" applyAlignment="1">
      <alignment horizontal="center" vertical="center"/>
    </xf>
    <xf numFmtId="0" fontId="72" fillId="4" borderId="0" xfId="0" applyFont="1" applyFill="1" applyAlignment="1">
      <alignment horizontal="left" vertical="center" wrapText="1"/>
    </xf>
    <xf numFmtId="4" fontId="69" fillId="4" borderId="93" xfId="0" applyNumberFormat="1" applyFont="1" applyFill="1" applyBorder="1" applyAlignment="1">
      <alignment horizontal="center" vertical="center"/>
    </xf>
    <xf numFmtId="0" fontId="76" fillId="0" borderId="0" xfId="0" applyFont="1"/>
    <xf numFmtId="4" fontId="69" fillId="4" borderId="93" xfId="6" applyNumberFormat="1" applyFont="1" applyFill="1" applyBorder="1" applyAlignment="1">
      <alignment horizontal="center" vertical="center"/>
    </xf>
    <xf numFmtId="2" fontId="69" fillId="4" borderId="93" xfId="6" applyNumberFormat="1" applyFont="1" applyFill="1" applyBorder="1" applyAlignment="1">
      <alignment horizontal="center" vertical="center"/>
    </xf>
    <xf numFmtId="0" fontId="77" fillId="45" borderId="0" xfId="0" applyFont="1" applyFill="1" applyAlignment="1">
      <alignment horizontal="left" vertical="center"/>
    </xf>
    <xf numFmtId="0" fontId="74" fillId="4" borderId="93" xfId="0" applyFont="1" applyFill="1" applyBorder="1" applyAlignment="1">
      <alignment horizontal="center" vertical="center"/>
    </xf>
    <xf numFmtId="0" fontId="69" fillId="4" borderId="94" xfId="0" applyFont="1" applyFill="1" applyBorder="1" applyAlignment="1">
      <alignment horizontal="center" vertical="center"/>
    </xf>
    <xf numFmtId="4" fontId="69" fillId="0" borderId="94" xfId="108" applyNumberFormat="1" applyFont="1" applyFill="1" applyBorder="1" applyAlignment="1">
      <alignment horizontal="center" vertical="center"/>
    </xf>
    <xf numFmtId="2" fontId="69" fillId="4" borderId="94" xfId="108" applyNumberFormat="1" applyFont="1" applyFill="1" applyBorder="1" applyAlignment="1">
      <alignment horizontal="center" vertical="center"/>
    </xf>
    <xf numFmtId="0" fontId="69" fillId="4" borderId="0" xfId="0" applyFont="1" applyFill="1" applyAlignment="1">
      <alignment vertical="center"/>
    </xf>
    <xf numFmtId="0" fontId="69" fillId="0" borderId="92" xfId="0" applyFont="1" applyBorder="1" applyAlignment="1">
      <alignment horizontal="left" vertical="center" wrapText="1"/>
    </xf>
    <xf numFmtId="0" fontId="73" fillId="4" borderId="93" xfId="0" applyFont="1" applyFill="1" applyBorder="1" applyAlignment="1">
      <alignment horizontal="left" wrapText="1"/>
    </xf>
    <xf numFmtId="4" fontId="69" fillId="0" borderId="93" xfId="108" applyNumberFormat="1" applyFont="1" applyBorder="1" applyAlignment="1">
      <alignment horizontal="center" vertical="center"/>
    </xf>
    <xf numFmtId="0" fontId="69" fillId="4" borderId="93" xfId="0" applyFont="1" applyFill="1" applyBorder="1" applyAlignment="1">
      <alignment horizontal="left" vertical="center" wrapText="1"/>
    </xf>
    <xf numFmtId="0" fontId="69" fillId="4" borderId="87" xfId="0" applyFont="1" applyFill="1" applyBorder="1" applyAlignment="1">
      <alignment horizontal="center" vertical="center"/>
    </xf>
    <xf numFmtId="0" fontId="73" fillId="4" borderId="87" xfId="0" applyFont="1" applyFill="1" applyBorder="1" applyAlignment="1">
      <alignment horizontal="left" vertical="center" wrapText="1"/>
    </xf>
    <xf numFmtId="0" fontId="69" fillId="4" borderId="95" xfId="0" applyFont="1" applyFill="1" applyBorder="1" applyAlignment="1">
      <alignment horizontal="center" vertical="center"/>
    </xf>
    <xf numFmtId="0" fontId="73" fillId="4" borderId="55" xfId="0" applyFont="1" applyFill="1" applyBorder="1" applyAlignment="1">
      <alignment horizontal="left" vertical="center" wrapText="1"/>
    </xf>
    <xf numFmtId="4" fontId="69" fillId="4" borderId="55" xfId="0" applyNumberFormat="1" applyFont="1" applyFill="1" applyBorder="1" applyAlignment="1">
      <alignment horizontal="center" vertical="center"/>
    </xf>
    <xf numFmtId="0" fontId="69" fillId="4" borderId="85" xfId="0" applyFont="1" applyFill="1" applyBorder="1" applyAlignment="1">
      <alignment horizontal="center" vertical="center"/>
    </xf>
    <xf numFmtId="0" fontId="73" fillId="4" borderId="0" xfId="0" applyFont="1" applyFill="1" applyAlignment="1">
      <alignment horizontal="left" vertical="center" wrapText="1"/>
    </xf>
    <xf numFmtId="4" fontId="69" fillId="4" borderId="0" xfId="0" applyNumberFormat="1" applyFont="1" applyFill="1" applyAlignment="1">
      <alignment horizontal="center" vertical="center"/>
    </xf>
    <xf numFmtId="4" fontId="69" fillId="4" borderId="87" xfId="108" applyNumberFormat="1" applyFont="1" applyFill="1" applyBorder="1" applyAlignment="1">
      <alignment horizontal="center" vertical="center"/>
    </xf>
    <xf numFmtId="2" fontId="69" fillId="4" borderId="87" xfId="108" applyNumberFormat="1" applyFont="1" applyFill="1" applyBorder="1" applyAlignment="1">
      <alignment horizontal="center" vertical="center"/>
    </xf>
    <xf numFmtId="4" fontId="69" fillId="4" borderId="87" xfId="6" applyNumberFormat="1" applyFont="1" applyFill="1" applyBorder="1" applyAlignment="1">
      <alignment horizontal="center" vertical="center"/>
    </xf>
    <xf numFmtId="2" fontId="69" fillId="4" borderId="87" xfId="6" applyNumberFormat="1" applyFont="1" applyFill="1" applyBorder="1" applyAlignment="1">
      <alignment horizontal="center" vertical="center"/>
    </xf>
    <xf numFmtId="4" fontId="69" fillId="0" borderId="94" xfId="0" applyNumberFormat="1" applyFont="1" applyBorder="1" applyAlignment="1">
      <alignment horizontal="center" vertical="center"/>
    </xf>
    <xf numFmtId="4" fontId="69" fillId="4" borderId="92" xfId="6" applyNumberFormat="1" applyFont="1" applyFill="1" applyBorder="1" applyAlignment="1">
      <alignment horizontal="center" vertical="center"/>
    </xf>
    <xf numFmtId="0" fontId="74" fillId="0" borderId="93" xfId="0" applyFont="1" applyBorder="1" applyAlignment="1">
      <alignment horizontal="left" vertical="center" wrapText="1"/>
    </xf>
    <xf numFmtId="0" fontId="73" fillId="0" borderId="92" xfId="0" applyFont="1" applyBorder="1" applyAlignment="1">
      <alignment horizontal="left" vertical="center" wrapText="1"/>
    </xf>
    <xf numFmtId="0" fontId="65" fillId="0" borderId="0" xfId="0" applyFont="1" applyAlignment="1">
      <alignment horizontal="center"/>
    </xf>
    <xf numFmtId="0" fontId="9" fillId="0" borderId="0" xfId="0" applyFont="1" applyAlignment="1">
      <alignment horizontal="center"/>
    </xf>
    <xf numFmtId="0" fontId="65" fillId="0" borderId="0" xfId="0" applyFont="1" applyAlignment="1">
      <alignment horizontal="left"/>
    </xf>
    <xf numFmtId="165" fontId="3" fillId="0" borderId="0" xfId="18" applyFont="1" applyBorder="1" applyAlignment="1">
      <alignment horizontal="left"/>
    </xf>
    <xf numFmtId="0" fontId="9" fillId="0" borderId="0" xfId="0" applyFont="1" applyAlignment="1">
      <alignment horizontal="left"/>
    </xf>
    <xf numFmtId="0" fontId="78" fillId="0" borderId="0" xfId="0" applyFont="1" applyAlignment="1">
      <alignment vertical="top"/>
    </xf>
    <xf numFmtId="0" fontId="3" fillId="0" borderId="0" xfId="0" applyFont="1" applyAlignment="1">
      <alignment vertical="top"/>
    </xf>
    <xf numFmtId="165" fontId="3" fillId="0" borderId="0" xfId="18" applyFont="1"/>
    <xf numFmtId="165" fontId="9" fillId="0" borderId="0" xfId="18" applyFont="1"/>
    <xf numFmtId="0" fontId="3" fillId="0" borderId="0" xfId="0" applyFont="1" applyAlignment="1">
      <alignment horizontal="left" vertical="top" wrapText="1"/>
    </xf>
    <xf numFmtId="4" fontId="9" fillId="0" borderId="0" xfId="0" applyNumberFormat="1" applyFont="1"/>
    <xf numFmtId="0" fontId="66" fillId="0" borderId="0" xfId="0" applyFont="1" applyAlignment="1">
      <alignment horizontal="right" vertical="top"/>
    </xf>
    <xf numFmtId="165" fontId="66" fillId="0" borderId="0" xfId="18" applyFont="1" applyBorder="1" applyAlignment="1">
      <alignment vertical="top"/>
    </xf>
    <xf numFmtId="0" fontId="66" fillId="0" borderId="0" xfId="0" applyFont="1" applyAlignment="1">
      <alignment vertical="top"/>
    </xf>
    <xf numFmtId="165" fontId="66" fillId="0" borderId="0" xfId="18" applyFont="1" applyBorder="1" applyAlignment="1">
      <alignment horizontal="right"/>
    </xf>
    <xf numFmtId="0" fontId="78" fillId="0" borderId="0" xfId="0" applyFont="1" applyAlignment="1">
      <alignment horizontal="left" vertical="top"/>
    </xf>
    <xf numFmtId="165" fontId="3" fillId="0" borderId="0" xfId="18" applyFont="1" applyBorder="1" applyAlignment="1">
      <alignment vertical="top"/>
    </xf>
    <xf numFmtId="165" fontId="3" fillId="0" borderId="0" xfId="18" applyFont="1" applyBorder="1" applyAlignment="1">
      <alignment horizontal="right"/>
    </xf>
    <xf numFmtId="165" fontId="9" fillId="0" borderId="0" xfId="18" applyFont="1" applyBorder="1" applyAlignment="1">
      <alignment horizontal="right"/>
    </xf>
    <xf numFmtId="0" fontId="79" fillId="0" borderId="0" xfId="0" applyFont="1" applyAlignment="1">
      <alignment vertical="top"/>
    </xf>
    <xf numFmtId="165" fontId="79" fillId="0" borderId="0" xfId="18" applyFont="1"/>
    <xf numFmtId="165" fontId="80" fillId="0" borderId="0" xfId="18" applyFont="1" applyBorder="1" applyAlignment="1">
      <alignment horizontal="right"/>
    </xf>
    <xf numFmtId="0" fontId="81" fillId="0" borderId="0" xfId="0" applyFont="1" applyAlignment="1">
      <alignment vertical="top"/>
    </xf>
    <xf numFmtId="165" fontId="81" fillId="0" borderId="0" xfId="18" applyFont="1"/>
    <xf numFmtId="165" fontId="82" fillId="0" borderId="0" xfId="18" applyFont="1" applyAlignment="1">
      <alignment horizontal="right"/>
    </xf>
    <xf numFmtId="165" fontId="9" fillId="0" borderId="0" xfId="18" applyFont="1" applyBorder="1"/>
    <xf numFmtId="43" fontId="3" fillId="0" borderId="0" xfId="0" applyNumberFormat="1" applyFont="1"/>
    <xf numFmtId="2" fontId="3" fillId="0" borderId="0" xfId="0" applyNumberFormat="1" applyFont="1"/>
    <xf numFmtId="0" fontId="9" fillId="46" borderId="11" xfId="0" applyFont="1" applyFill="1" applyBorder="1" applyAlignment="1">
      <alignment horizontal="center"/>
    </xf>
    <xf numFmtId="0" fontId="9" fillId="46" borderId="13" xfId="0" applyFont="1" applyFill="1" applyBorder="1" applyAlignment="1">
      <alignment horizontal="center"/>
    </xf>
    <xf numFmtId="0" fontId="9" fillId="39" borderId="12" xfId="0" applyFont="1" applyFill="1" applyBorder="1" applyAlignment="1">
      <alignment horizontal="center"/>
    </xf>
    <xf numFmtId="0" fontId="9" fillId="39" borderId="11" xfId="0" applyFont="1" applyFill="1" applyBorder="1"/>
    <xf numFmtId="0" fontId="9" fillId="39" borderId="11" xfId="0" applyFont="1" applyFill="1" applyBorder="1" applyAlignment="1">
      <alignment horizontal="center"/>
    </xf>
    <xf numFmtId="165" fontId="9" fillId="39" borderId="11" xfId="18" applyFont="1" applyFill="1" applyBorder="1" applyAlignment="1">
      <alignment horizontal="right"/>
    </xf>
    <xf numFmtId="165" fontId="9" fillId="39" borderId="13" xfId="18" applyFont="1" applyFill="1" applyBorder="1" applyAlignment="1">
      <alignment horizontal="right"/>
    </xf>
    <xf numFmtId="0" fontId="3" fillId="0" borderId="12" xfId="0" applyFont="1" applyBorder="1" applyAlignment="1">
      <alignment horizontal="center" vertical="top"/>
    </xf>
    <xf numFmtId="0" fontId="3" fillId="0" borderId="11" xfId="0" applyFont="1" applyBorder="1" applyAlignment="1">
      <alignment wrapText="1"/>
    </xf>
    <xf numFmtId="0" fontId="3" fillId="0" borderId="11" xfId="0" applyFont="1" applyBorder="1" applyAlignment="1">
      <alignment horizontal="center"/>
    </xf>
    <xf numFmtId="165" fontId="3" fillId="0" borderId="11" xfId="18" applyFont="1" applyBorder="1" applyAlignment="1">
      <alignment horizontal="right"/>
    </xf>
    <xf numFmtId="165" fontId="3" fillId="0" borderId="11" xfId="18" applyFont="1" applyFill="1" applyBorder="1" applyAlignment="1"/>
    <xf numFmtId="165" fontId="3" fillId="0" borderId="13" xfId="18" applyFont="1" applyBorder="1" applyAlignment="1">
      <alignment horizontal="right"/>
    </xf>
    <xf numFmtId="165" fontId="3" fillId="0" borderId="0" xfId="18" applyFont="1" applyBorder="1" applyAlignment="1">
      <alignment horizontal="right" vertical="center"/>
    </xf>
    <xf numFmtId="172" fontId="79" fillId="0" borderId="0" xfId="0" applyNumberFormat="1" applyFont="1"/>
    <xf numFmtId="165" fontId="66" fillId="0" borderId="65" xfId="18" applyFont="1" applyFill="1" applyBorder="1" applyAlignment="1">
      <alignment vertical="center"/>
    </xf>
    <xf numFmtId="168" fontId="66" fillId="0" borderId="0" xfId="0" applyNumberFormat="1" applyFont="1"/>
    <xf numFmtId="165" fontId="79" fillId="0" borderId="0" xfId="0" applyNumberFormat="1" applyFont="1"/>
    <xf numFmtId="0" fontId="3" fillId="0" borderId="12" xfId="0" applyFont="1" applyBorder="1" applyAlignment="1">
      <alignment horizontal="center" vertical="center"/>
    </xf>
    <xf numFmtId="0" fontId="3" fillId="0" borderId="11" xfId="0" applyFont="1" applyBorder="1" applyAlignment="1">
      <alignment horizontal="center" vertical="center"/>
    </xf>
    <xf numFmtId="0" fontId="0" fillId="0" borderId="11" xfId="0" applyBorder="1" applyAlignment="1">
      <alignment horizontal="center"/>
    </xf>
    <xf numFmtId="0" fontId="9" fillId="0" borderId="11" xfId="0" applyFont="1" applyBorder="1" applyAlignment="1">
      <alignment horizontal="center"/>
    </xf>
    <xf numFmtId="0" fontId="9" fillId="0" borderId="13" xfId="0" applyFont="1" applyBorder="1" applyAlignment="1">
      <alignment horizontal="center"/>
    </xf>
    <xf numFmtId="0" fontId="79" fillId="0" borderId="0" xfId="0" applyFont="1"/>
    <xf numFmtId="0" fontId="3" fillId="0" borderId="12" xfId="0" applyFont="1" applyBorder="1" applyAlignment="1">
      <alignment horizontal="center"/>
    </xf>
    <xf numFmtId="0" fontId="3" fillId="0" borderId="11" xfId="0" applyFont="1" applyBorder="1"/>
    <xf numFmtId="165" fontId="3" fillId="0" borderId="11" xfId="18" applyFont="1" applyBorder="1" applyAlignment="1"/>
    <xf numFmtId="165" fontId="3" fillId="39" borderId="11" xfId="18" applyFont="1" applyFill="1" applyBorder="1" applyAlignment="1"/>
    <xf numFmtId="165" fontId="0" fillId="0" borderId="11" xfId="0" applyNumberFormat="1" applyBorder="1" applyAlignment="1">
      <alignment horizontal="center"/>
    </xf>
    <xf numFmtId="0" fontId="3" fillId="0" borderId="11" xfId="0" applyFont="1" applyBorder="1" applyAlignment="1">
      <alignment vertical="center" wrapText="1"/>
    </xf>
    <xf numFmtId="0" fontId="66" fillId="0" borderId="21" xfId="0" applyFont="1" applyBorder="1" applyAlignment="1">
      <alignment horizontal="left" vertical="center"/>
    </xf>
    <xf numFmtId="0" fontId="66" fillId="0" borderId="22" xfId="0" applyFont="1" applyBorder="1" applyAlignment="1">
      <alignment vertical="center"/>
    </xf>
    <xf numFmtId="0" fontId="66" fillId="0" borderId="23" xfId="0" applyFont="1" applyBorder="1" applyAlignment="1">
      <alignment vertical="center"/>
    </xf>
    <xf numFmtId="165" fontId="79" fillId="0" borderId="26" xfId="18" applyFont="1" applyBorder="1" applyAlignment="1">
      <alignment horizontal="left" vertical="center"/>
    </xf>
    <xf numFmtId="0" fontId="66" fillId="0" borderId="27" xfId="0" applyFont="1" applyBorder="1" applyAlignment="1">
      <alignment vertical="center"/>
    </xf>
    <xf numFmtId="0" fontId="66" fillId="0" borderId="28" xfId="0" applyFont="1" applyBorder="1" applyAlignment="1">
      <alignment vertical="center"/>
    </xf>
    <xf numFmtId="0" fontId="9" fillId="39" borderId="12" xfId="0" applyFont="1" applyFill="1" applyBorder="1" applyAlignment="1">
      <alignment horizontal="center" vertical="top"/>
    </xf>
    <xf numFmtId="0" fontId="9" fillId="39" borderId="11" xfId="0" applyFont="1" applyFill="1" applyBorder="1" applyAlignment="1">
      <alignment vertical="top"/>
    </xf>
    <xf numFmtId="165" fontId="9" fillId="39" borderId="11" xfId="18" applyFont="1" applyFill="1" applyBorder="1" applyAlignment="1"/>
    <xf numFmtId="4" fontId="83" fillId="0" borderId="26" xfId="0" applyNumberFormat="1" applyFont="1" applyBorder="1" applyAlignment="1">
      <alignment horizontal="left"/>
    </xf>
    <xf numFmtId="0" fontId="65" fillId="0" borderId="27" xfId="0" applyFont="1" applyBorder="1"/>
    <xf numFmtId="0" fontId="65" fillId="0" borderId="28" xfId="0" applyFont="1" applyBorder="1"/>
    <xf numFmtId="0" fontId="3" fillId="0" borderId="11" xfId="0" applyFont="1" applyBorder="1" applyAlignment="1">
      <alignment vertical="top" wrapText="1"/>
    </xf>
    <xf numFmtId="165" fontId="3" fillId="0" borderId="97" xfId="18" applyFont="1" applyBorder="1" applyAlignment="1">
      <alignment horizontal="right"/>
    </xf>
    <xf numFmtId="0" fontId="84" fillId="0" borderId="21" xfId="0" applyFont="1" applyBorder="1"/>
    <xf numFmtId="0" fontId="66" fillId="0" borderId="22" xfId="0" applyFont="1" applyBorder="1"/>
    <xf numFmtId="0" fontId="66" fillId="0" borderId="23" xfId="0" applyFont="1" applyBorder="1"/>
    <xf numFmtId="0" fontId="0" fillId="0" borderId="12" xfId="0" applyBorder="1" applyAlignment="1">
      <alignment horizontal="center"/>
    </xf>
    <xf numFmtId="165" fontId="3" fillId="0" borderId="11" xfId="18" applyFont="1" applyBorder="1"/>
    <xf numFmtId="0" fontId="84" fillId="0" borderId="24" xfId="0" applyFont="1" applyBorder="1"/>
    <xf numFmtId="0" fontId="66" fillId="0" borderId="25" xfId="0" applyFont="1" applyBorder="1"/>
    <xf numFmtId="4" fontId="66" fillId="0" borderId="0" xfId="0" applyNumberFormat="1" applyFont="1" applyAlignment="1">
      <alignment horizontal="center"/>
    </xf>
    <xf numFmtId="165" fontId="0" fillId="0" borderId="0" xfId="0" applyNumberFormat="1"/>
    <xf numFmtId="165" fontId="3" fillId="0" borderId="0" xfId="0" applyNumberFormat="1" applyFont="1"/>
    <xf numFmtId="165" fontId="3" fillId="0" borderId="11" xfId="0" applyNumberFormat="1" applyFont="1" applyBorder="1" applyAlignment="1">
      <alignment horizontal="center"/>
    </xf>
    <xf numFmtId="0" fontId="66" fillId="0" borderId="14" xfId="0" applyFont="1" applyBorder="1" applyAlignment="1">
      <alignment horizontal="center" vertical="top"/>
    </xf>
    <xf numFmtId="0" fontId="66" fillId="0" borderId="0" xfId="0" applyFont="1" applyAlignment="1">
      <alignment vertical="top" wrapText="1"/>
    </xf>
    <xf numFmtId="0" fontId="66" fillId="0" borderId="1" xfId="0" applyFont="1" applyBorder="1" applyAlignment="1">
      <alignment vertical="top"/>
    </xf>
    <xf numFmtId="0" fontId="9" fillId="0" borderId="17" xfId="0" applyFont="1" applyBorder="1" applyAlignment="1">
      <alignment horizontal="center" vertical="top"/>
    </xf>
    <xf numFmtId="0" fontId="9" fillId="0" borderId="1" xfId="0" applyFont="1" applyBorder="1" applyAlignment="1">
      <alignment horizontal="center" vertical="top"/>
    </xf>
    <xf numFmtId="0" fontId="65" fillId="0" borderId="0" xfId="0" applyFont="1" applyAlignment="1">
      <alignment horizontal="left" wrapText="1"/>
    </xf>
    <xf numFmtId="0" fontId="87" fillId="0" borderId="0" xfId="0" applyFont="1"/>
    <xf numFmtId="0" fontId="88" fillId="47" borderId="99" xfId="0" applyFont="1" applyFill="1" applyBorder="1" applyAlignment="1">
      <alignment horizontal="center" vertical="center" wrapText="1"/>
    </xf>
    <xf numFmtId="0" fontId="88" fillId="47" borderId="100" xfId="0" applyFont="1" applyFill="1" applyBorder="1" applyAlignment="1">
      <alignment horizontal="center" vertical="center" wrapText="1"/>
    </xf>
    <xf numFmtId="0" fontId="88" fillId="47" borderId="101" xfId="0" applyFont="1" applyFill="1" applyBorder="1" applyAlignment="1">
      <alignment horizontal="center" vertical="center" wrapText="1"/>
    </xf>
    <xf numFmtId="0" fontId="90" fillId="47" borderId="0" xfId="0" applyFont="1" applyFill="1" applyAlignment="1">
      <alignment horizontal="left" vertical="top" wrapText="1"/>
    </xf>
    <xf numFmtId="0" fontId="0" fillId="0" borderId="0" xfId="0" applyAlignment="1">
      <alignment vertical="center"/>
    </xf>
    <xf numFmtId="0" fontId="90" fillId="47" borderId="0" xfId="0" applyFont="1" applyFill="1" applyAlignment="1">
      <alignment vertical="top" wrapText="1"/>
    </xf>
    <xf numFmtId="0" fontId="87" fillId="47" borderId="26" xfId="0" applyFont="1" applyFill="1" applyBorder="1" applyAlignment="1">
      <alignment horizontal="center" vertical="center" wrapText="1"/>
    </xf>
    <xf numFmtId="0" fontId="87" fillId="47" borderId="27" xfId="0" applyFont="1" applyFill="1" applyBorder="1" applyAlignment="1">
      <alignment horizontal="center" vertical="center" wrapText="1"/>
    </xf>
    <xf numFmtId="0" fontId="90" fillId="47" borderId="27" xfId="0" applyFont="1" applyFill="1" applyBorder="1" applyAlignment="1">
      <alignment vertical="center" wrapText="1"/>
    </xf>
    <xf numFmtId="0" fontId="90" fillId="47" borderId="0" xfId="0" applyFont="1" applyFill="1" applyAlignment="1">
      <alignment horizontal="right" vertical="top" wrapText="1"/>
    </xf>
    <xf numFmtId="0" fontId="87" fillId="47" borderId="0" xfId="0" applyFont="1" applyFill="1" applyAlignment="1">
      <alignment horizontal="left" vertical="top" wrapText="1"/>
    </xf>
    <xf numFmtId="164" fontId="0" fillId="0" borderId="0" xfId="2" applyFont="1"/>
    <xf numFmtId="0" fontId="89" fillId="48" borderId="103" xfId="0" applyFont="1" applyFill="1" applyBorder="1" applyAlignment="1">
      <alignment horizontal="left" vertical="center" wrapText="1"/>
    </xf>
    <xf numFmtId="0" fontId="89" fillId="48" borderId="104" xfId="0" applyFont="1" applyFill="1" applyBorder="1" applyAlignment="1">
      <alignment vertical="center" wrapText="1"/>
    </xf>
    <xf numFmtId="4" fontId="89" fillId="48" borderId="104" xfId="108" applyNumberFormat="1" applyFont="1" applyFill="1" applyBorder="1" applyAlignment="1">
      <alignment horizontal="center" vertical="center" wrapText="1"/>
    </xf>
    <xf numFmtId="0" fontId="89" fillId="48" borderId="106" xfId="0" applyFont="1" applyFill="1" applyBorder="1" applyAlignment="1">
      <alignment horizontal="left" vertical="center" wrapText="1"/>
    </xf>
    <xf numFmtId="0" fontId="89" fillId="48" borderId="106" xfId="0" applyFont="1" applyFill="1" applyBorder="1" applyAlignment="1">
      <alignment vertical="center" wrapText="1"/>
    </xf>
    <xf numFmtId="164" fontId="89" fillId="48" borderId="105" xfId="2" applyFont="1" applyFill="1" applyBorder="1" applyAlignment="1">
      <alignment horizontal="right" vertical="center" wrapText="1"/>
    </xf>
    <xf numFmtId="4" fontId="66" fillId="39" borderId="0" xfId="0" applyNumberFormat="1" applyFont="1" applyFill="1"/>
    <xf numFmtId="165" fontId="9" fillId="49" borderId="1" xfId="18" applyFont="1" applyFill="1" applyBorder="1" applyAlignment="1">
      <alignment horizontal="right"/>
    </xf>
    <xf numFmtId="49" fontId="9" fillId="0" borderId="17" xfId="108" applyNumberFormat="1" applyFont="1" applyFill="1" applyBorder="1" applyAlignment="1">
      <alignment horizontal="right" wrapText="1"/>
    </xf>
    <xf numFmtId="49" fontId="3" fillId="39" borderId="17" xfId="108" applyNumberFormat="1" applyFont="1" applyFill="1" applyBorder="1" applyAlignment="1">
      <alignment horizontal="center" wrapText="1"/>
    </xf>
    <xf numFmtId="0" fontId="9" fillId="49" borderId="63" xfId="0" applyFont="1" applyFill="1" applyBorder="1" applyAlignment="1">
      <alignment horizontal="center" vertical="center" wrapText="1"/>
    </xf>
    <xf numFmtId="0" fontId="0" fillId="49" borderId="68" xfId="0" applyFill="1" applyBorder="1" applyAlignment="1">
      <alignment horizontal="center" vertical="center"/>
    </xf>
    <xf numFmtId="0" fontId="67" fillId="49" borderId="27" xfId="0" applyFont="1" applyFill="1" applyBorder="1" applyAlignment="1">
      <alignment horizontal="center" vertical="center"/>
    </xf>
    <xf numFmtId="0" fontId="0" fillId="49" borderId="27" xfId="0" applyFill="1" applyBorder="1" applyAlignment="1">
      <alignment horizontal="center" vertical="center"/>
    </xf>
    <xf numFmtId="0" fontId="0" fillId="49" borderId="27" xfId="0" applyFill="1" applyBorder="1" applyAlignment="1">
      <alignment horizontal="center" vertical="center" wrapText="1"/>
    </xf>
    <xf numFmtId="0" fontId="9" fillId="49" borderId="27" xfId="0" applyFont="1" applyFill="1" applyBorder="1" applyAlignment="1">
      <alignment horizontal="center" vertical="center" wrapText="1"/>
    </xf>
    <xf numFmtId="0" fontId="9" fillId="49" borderId="69" xfId="0" applyFont="1" applyFill="1" applyBorder="1" applyAlignment="1">
      <alignment horizontal="center" vertical="center" wrapText="1"/>
    </xf>
    <xf numFmtId="4" fontId="10" fillId="49" borderId="61" xfId="0" applyNumberFormat="1" applyFont="1" applyFill="1" applyBorder="1" applyAlignment="1">
      <alignment vertical="center"/>
    </xf>
    <xf numFmtId="0" fontId="9" fillId="49" borderId="61" xfId="0" applyFont="1" applyFill="1" applyBorder="1" applyAlignment="1">
      <alignment vertical="center"/>
    </xf>
    <xf numFmtId="0" fontId="10" fillId="49" borderId="61" xfId="0" applyFont="1" applyFill="1" applyBorder="1" applyAlignment="1">
      <alignment vertical="center"/>
    </xf>
    <xf numFmtId="4" fontId="10" fillId="49" borderId="62" xfId="108" applyNumberFormat="1" applyFont="1" applyFill="1" applyBorder="1" applyAlignment="1">
      <alignment horizontal="right" vertical="center"/>
    </xf>
    <xf numFmtId="4" fontId="14" fillId="49" borderId="62" xfId="0" applyNumberFormat="1" applyFont="1" applyFill="1" applyBorder="1" applyAlignment="1">
      <alignment horizontal="center" vertical="center"/>
    </xf>
    <xf numFmtId="4" fontId="10" fillId="49" borderId="67" xfId="108" applyNumberFormat="1" applyFont="1" applyFill="1" applyBorder="1" applyAlignment="1">
      <alignment horizontal="right" vertical="center"/>
    </xf>
    <xf numFmtId="4" fontId="14" fillId="49" borderId="67" xfId="0" applyNumberFormat="1" applyFont="1" applyFill="1" applyBorder="1" applyAlignment="1">
      <alignment horizontal="center" vertical="center"/>
    </xf>
    <xf numFmtId="4" fontId="10" fillId="49" borderId="76" xfId="108" applyNumberFormat="1" applyFont="1" applyFill="1" applyBorder="1" applyAlignment="1">
      <alignment horizontal="right" vertical="center"/>
    </xf>
    <xf numFmtId="4" fontId="67" fillId="49" borderId="61" xfId="0" applyNumberFormat="1" applyFont="1" applyFill="1" applyBorder="1" applyAlignment="1">
      <alignment vertical="center"/>
    </xf>
    <xf numFmtId="0" fontId="67" fillId="49" borderId="61" xfId="0" applyFont="1" applyFill="1" applyBorder="1" applyAlignment="1">
      <alignment vertical="center"/>
    </xf>
    <xf numFmtId="4" fontId="67" fillId="49" borderId="67" xfId="108" applyNumberFormat="1" applyFont="1" applyFill="1" applyBorder="1" applyAlignment="1">
      <alignment horizontal="right" vertical="center"/>
    </xf>
    <xf numFmtId="4" fontId="91" fillId="49" borderId="67" xfId="0" applyNumberFormat="1" applyFont="1" applyFill="1" applyBorder="1" applyAlignment="1">
      <alignment horizontal="center" vertical="center"/>
    </xf>
    <xf numFmtId="4" fontId="67" fillId="49" borderId="76" xfId="108" applyNumberFormat="1" applyFont="1" applyFill="1" applyBorder="1" applyAlignment="1">
      <alignment horizontal="right" vertical="center"/>
    </xf>
    <xf numFmtId="0" fontId="9" fillId="49" borderId="115" xfId="0" applyFont="1" applyFill="1" applyBorder="1" applyAlignment="1">
      <alignment horizontal="center" vertical="center" wrapText="1"/>
    </xf>
    <xf numFmtId="0" fontId="21" fillId="0" borderId="0" xfId="0" applyFont="1"/>
    <xf numFmtId="43" fontId="21" fillId="0" borderId="0" xfId="108" applyFont="1"/>
    <xf numFmtId="0" fontId="21" fillId="0" borderId="0" xfId="0" applyFont="1" applyAlignment="1">
      <alignment horizontal="right"/>
    </xf>
    <xf numFmtId="0" fontId="20" fillId="0" borderId="0" xfId="0" applyFont="1"/>
    <xf numFmtId="43" fontId="65" fillId="0" borderId="0" xfId="108" applyFont="1" applyFill="1"/>
    <xf numFmtId="43" fontId="66" fillId="0" borderId="0" xfId="108" applyFont="1" applyFill="1"/>
    <xf numFmtId="0" fontId="10" fillId="49" borderId="70" xfId="0" applyFont="1" applyFill="1" applyBorder="1" applyAlignment="1">
      <alignment vertical="top"/>
    </xf>
    <xf numFmtId="0" fontId="10" fillId="49" borderId="61" xfId="0" applyFont="1" applyFill="1" applyBorder="1" applyAlignment="1">
      <alignment vertical="top"/>
    </xf>
    <xf numFmtId="0" fontId="10" fillId="49" borderId="71" xfId="0" applyFont="1" applyFill="1" applyBorder="1" applyAlignment="1">
      <alignment vertical="top"/>
    </xf>
    <xf numFmtId="0" fontId="66" fillId="40" borderId="116" xfId="0" applyFont="1" applyFill="1" applyBorder="1"/>
    <xf numFmtId="0" fontId="3" fillId="0" borderId="0" xfId="0" applyFont="1" applyAlignment="1">
      <alignment horizontal="center"/>
    </xf>
    <xf numFmtId="0" fontId="0" fillId="0" borderId="0" xfId="0" applyAlignment="1">
      <alignment vertical="center" wrapText="1"/>
    </xf>
    <xf numFmtId="43" fontId="3" fillId="0" borderId="0" xfId="108" applyFont="1" applyBorder="1" applyAlignment="1">
      <alignment horizontal="right"/>
    </xf>
    <xf numFmtId="4" fontId="3" fillId="0" borderId="0" xfId="108" applyNumberFormat="1" applyFont="1" applyBorder="1" applyAlignment="1">
      <alignment horizontal="right"/>
    </xf>
    <xf numFmtId="0" fontId="9" fillId="0" borderId="117" xfId="0" applyFont="1" applyBorder="1" applyAlignment="1">
      <alignment horizontal="center" vertical="top"/>
    </xf>
    <xf numFmtId="4" fontId="9" fillId="39" borderId="118" xfId="108" applyNumberFormat="1" applyFont="1" applyFill="1" applyBorder="1" applyAlignment="1">
      <alignment horizontal="right"/>
    </xf>
    <xf numFmtId="0" fontId="3" fillId="0" borderId="117" xfId="0" applyFont="1" applyBorder="1" applyAlignment="1">
      <alignment horizontal="center" vertical="top"/>
    </xf>
    <xf numFmtId="4" fontId="3" fillId="0" borderId="119" xfId="108" applyNumberFormat="1" applyFont="1" applyFill="1" applyBorder="1" applyAlignment="1">
      <alignment horizontal="right"/>
    </xf>
    <xf numFmtId="0" fontId="3" fillId="0" borderId="120" xfId="0" applyFont="1" applyBorder="1" applyAlignment="1">
      <alignment horizontal="center" vertical="top"/>
    </xf>
    <xf numFmtId="0" fontId="0" fillId="0" borderId="120" xfId="0" applyBorder="1" applyAlignment="1">
      <alignment horizontal="center" vertical="top"/>
    </xf>
    <xf numFmtId="4" fontId="9" fillId="0" borderId="119" xfId="0" applyNumberFormat="1" applyFont="1" applyBorder="1" applyAlignment="1">
      <alignment horizontal="center"/>
    </xf>
    <xf numFmtId="0" fontId="9" fillId="0" borderId="120" xfId="0" applyFont="1" applyBorder="1" applyAlignment="1">
      <alignment horizontal="center" vertical="top"/>
    </xf>
    <xf numFmtId="4" fontId="9" fillId="39" borderId="119" xfId="108" applyNumberFormat="1" applyFont="1" applyFill="1" applyBorder="1" applyAlignment="1">
      <alignment horizontal="right"/>
    </xf>
    <xf numFmtId="0" fontId="3" fillId="0" borderId="121" xfId="0" applyFont="1" applyBorder="1" applyAlignment="1">
      <alignment horizontal="center"/>
    </xf>
    <xf numFmtId="4" fontId="3" fillId="0" borderId="122" xfId="108" applyNumberFormat="1" applyFont="1" applyBorder="1" applyAlignment="1">
      <alignment horizontal="right"/>
    </xf>
    <xf numFmtId="0" fontId="9" fillId="50" borderId="125" xfId="0" applyFont="1" applyFill="1" applyBorder="1" applyAlignment="1">
      <alignment vertical="center"/>
    </xf>
    <xf numFmtId="0" fontId="9" fillId="50" borderId="126" xfId="0" applyFont="1" applyFill="1" applyBorder="1" applyAlignment="1">
      <alignment horizontal="center"/>
    </xf>
    <xf numFmtId="0" fontId="9" fillId="50" borderId="127" xfId="0" applyFont="1" applyFill="1" applyBorder="1" applyAlignment="1">
      <alignment horizontal="center"/>
    </xf>
    <xf numFmtId="0" fontId="9" fillId="50" borderId="128" xfId="0" applyFont="1" applyFill="1" applyBorder="1" applyAlignment="1">
      <alignment horizontal="center"/>
    </xf>
    <xf numFmtId="0" fontId="9" fillId="50" borderId="129" xfId="0" applyFont="1" applyFill="1" applyBorder="1" applyAlignment="1">
      <alignment horizontal="center"/>
    </xf>
    <xf numFmtId="0" fontId="0" fillId="51" borderId="130" xfId="0" applyFill="1" applyBorder="1"/>
    <xf numFmtId="39" fontId="0" fillId="52" borderId="131" xfId="18" applyNumberFormat="1" applyFont="1" applyFill="1" applyBorder="1" applyAlignment="1" applyProtection="1">
      <alignment horizontal="center"/>
    </xf>
    <xf numFmtId="2" fontId="0" fillId="53" borderId="132" xfId="0" applyNumberFormat="1" applyFill="1" applyBorder="1" applyAlignment="1">
      <alignment horizontal="center"/>
    </xf>
    <xf numFmtId="2" fontId="0" fillId="53" borderId="133" xfId="0" applyNumberFormat="1" applyFill="1" applyBorder="1" applyAlignment="1">
      <alignment horizontal="center"/>
    </xf>
    <xf numFmtId="2" fontId="0" fillId="53" borderId="134" xfId="0" applyNumberFormat="1" applyFill="1" applyBorder="1" applyAlignment="1">
      <alignment horizontal="center"/>
    </xf>
    <xf numFmtId="0" fontId="0" fillId="51" borderId="135" xfId="0" applyFill="1" applyBorder="1"/>
    <xf numFmtId="39" fontId="0" fillId="52" borderId="136" xfId="18" applyNumberFormat="1" applyFont="1" applyFill="1" applyBorder="1" applyAlignment="1" applyProtection="1">
      <alignment horizontal="center"/>
    </xf>
    <xf numFmtId="2" fontId="0" fillId="53" borderId="137" xfId="0" applyNumberFormat="1" applyFill="1" applyBorder="1" applyAlignment="1">
      <alignment horizontal="center"/>
    </xf>
    <xf numFmtId="2" fontId="0" fillId="53" borderId="138" xfId="0" applyNumberFormat="1" applyFill="1" applyBorder="1" applyAlignment="1">
      <alignment horizontal="center"/>
    </xf>
    <xf numFmtId="2" fontId="0" fillId="53" borderId="15" xfId="0" applyNumberFormat="1" applyFill="1" applyBorder="1" applyAlignment="1">
      <alignment horizontal="center"/>
    </xf>
    <xf numFmtId="2" fontId="0" fillId="53" borderId="139" xfId="0" applyNumberFormat="1" applyFill="1" applyBorder="1" applyAlignment="1">
      <alignment horizontal="center"/>
    </xf>
    <xf numFmtId="2" fontId="0" fillId="53" borderId="128" xfId="0" applyNumberFormat="1" applyFill="1" applyBorder="1" applyAlignment="1">
      <alignment horizontal="center"/>
    </xf>
    <xf numFmtId="2" fontId="0" fillId="53" borderId="140" xfId="0" applyNumberFormat="1" applyFill="1" applyBorder="1" applyAlignment="1">
      <alignment horizontal="center"/>
    </xf>
    <xf numFmtId="2" fontId="0" fillId="53" borderId="17" xfId="0" applyNumberFormat="1" applyFill="1" applyBorder="1" applyAlignment="1">
      <alignment horizontal="center"/>
    </xf>
    <xf numFmtId="2" fontId="0" fillId="53" borderId="141" xfId="0" applyNumberFormat="1" applyFill="1" applyBorder="1" applyAlignment="1">
      <alignment horizontal="center"/>
    </xf>
    <xf numFmtId="2" fontId="0" fillId="53" borderId="129" xfId="0" applyNumberFormat="1" applyFill="1" applyBorder="1" applyAlignment="1">
      <alignment horizontal="center"/>
    </xf>
    <xf numFmtId="2" fontId="0" fillId="53" borderId="142" xfId="0" applyNumberFormat="1" applyFill="1" applyBorder="1" applyAlignment="1">
      <alignment horizontal="center"/>
    </xf>
    <xf numFmtId="0" fontId="0" fillId="51" borderId="143" xfId="0" applyFill="1" applyBorder="1"/>
    <xf numFmtId="39" fontId="0" fillId="52" borderId="144" xfId="18" applyNumberFormat="1" applyFont="1" applyFill="1" applyBorder="1" applyAlignment="1" applyProtection="1">
      <alignment horizontal="center"/>
    </xf>
    <xf numFmtId="0" fontId="9" fillId="0" borderId="145" xfId="0" applyFont="1" applyBorder="1" applyAlignment="1">
      <alignment horizontal="center"/>
    </xf>
    <xf numFmtId="0" fontId="9" fillId="0" borderId="67" xfId="0" applyFont="1" applyBorder="1" applyAlignment="1">
      <alignment horizontal="center"/>
    </xf>
    <xf numFmtId="0" fontId="9" fillId="0" borderId="76" xfId="0" applyFont="1" applyBorder="1" applyAlignment="1">
      <alignment horizontal="center"/>
    </xf>
    <xf numFmtId="165" fontId="3" fillId="38" borderId="149" xfId="18" applyFill="1" applyBorder="1" applyAlignment="1">
      <alignment horizontal="center"/>
    </xf>
    <xf numFmtId="165" fontId="3" fillId="38" borderId="153" xfId="18" applyFill="1" applyBorder="1" applyAlignment="1">
      <alignment horizontal="center"/>
    </xf>
    <xf numFmtId="0" fontId="92" fillId="0" borderId="0" xfId="0" applyFont="1" applyAlignment="1">
      <alignment horizontal="right"/>
    </xf>
    <xf numFmtId="10" fontId="92" fillId="0" borderId="0" xfId="18" applyNumberFormat="1" applyFont="1" applyFill="1" applyBorder="1" applyAlignment="1" applyProtection="1"/>
    <xf numFmtId="165" fontId="92" fillId="0" borderId="0" xfId="18" applyFont="1" applyFill="1" applyBorder="1" applyAlignment="1" applyProtection="1"/>
    <xf numFmtId="0" fontId="0" fillId="0" borderId="29" xfId="0" applyBorder="1"/>
    <xf numFmtId="0" fontId="0" fillId="0" borderId="154" xfId="0" applyBorder="1"/>
    <xf numFmtId="0" fontId="0" fillId="0" borderId="30" xfId="0" applyBorder="1"/>
    <xf numFmtId="0" fontId="0" fillId="0" borderId="14" xfId="0" applyBorder="1"/>
    <xf numFmtId="165" fontId="3" fillId="38" borderId="158" xfId="18" applyFill="1" applyBorder="1" applyAlignment="1">
      <alignment horizontal="center"/>
    </xf>
    <xf numFmtId="0" fontId="0" fillId="0" borderId="18" xfId="0" applyBorder="1"/>
    <xf numFmtId="0" fontId="0" fillId="0" borderId="19" xfId="0" applyBorder="1"/>
    <xf numFmtId="0" fontId="0" fillId="0" borderId="20" xfId="0" applyBorder="1"/>
    <xf numFmtId="0" fontId="93" fillId="0" borderId="0" xfId="0" applyFont="1"/>
    <xf numFmtId="10" fontId="3" fillId="0" borderId="0" xfId="0" applyNumberFormat="1" applyFont="1"/>
    <xf numFmtId="173" fontId="3" fillId="0" borderId="0" xfId="108" applyNumberFormat="1" applyFont="1"/>
    <xf numFmtId="173" fontId="3" fillId="0" borderId="0" xfId="0" applyNumberFormat="1" applyFont="1"/>
    <xf numFmtId="165" fontId="22" fillId="0" borderId="0" xfId="18" applyFont="1"/>
    <xf numFmtId="2" fontId="9" fillId="0" borderId="0" xfId="0" applyNumberFormat="1" applyFont="1" applyAlignment="1">
      <alignment wrapText="1"/>
    </xf>
    <xf numFmtId="43" fontId="9" fillId="0" borderId="0" xfId="0" applyNumberFormat="1" applyFont="1" applyAlignment="1">
      <alignment wrapText="1"/>
    </xf>
    <xf numFmtId="43" fontId="9" fillId="0" borderId="0" xfId="0" applyNumberFormat="1" applyFont="1" applyAlignment="1">
      <alignment horizontal="right"/>
    </xf>
    <xf numFmtId="43" fontId="9" fillId="0" borderId="0" xfId="0" applyNumberFormat="1" applyFont="1" applyAlignment="1">
      <alignment horizontal="left"/>
    </xf>
    <xf numFmtId="2" fontId="9" fillId="0" borderId="0" xfId="0" applyNumberFormat="1" applyFont="1" applyAlignment="1">
      <alignment horizontal="left"/>
    </xf>
    <xf numFmtId="0" fontId="66" fillId="0" borderId="0" xfId="0" applyFont="1" applyAlignment="1">
      <alignment horizontal="left"/>
    </xf>
    <xf numFmtId="0" fontId="9" fillId="0" borderId="0" xfId="0" applyFont="1" applyAlignment="1">
      <alignment wrapText="1"/>
    </xf>
    <xf numFmtId="43" fontId="9" fillId="0" borderId="0" xfId="0" applyNumberFormat="1" applyFont="1" applyAlignment="1">
      <alignment horizontal="left" wrapText="1"/>
    </xf>
    <xf numFmtId="2" fontId="3" fillId="0" borderId="0" xfId="0" applyNumberFormat="1" applyFont="1" applyAlignment="1">
      <alignment horizontal="right"/>
    </xf>
    <xf numFmtId="2" fontId="9" fillId="0" borderId="0" xfId="0" applyNumberFormat="1" applyFont="1" applyAlignment="1">
      <alignment horizontal="right"/>
    </xf>
    <xf numFmtId="43" fontId="9" fillId="0" borderId="0" xfId="0" applyNumberFormat="1" applyFont="1" applyAlignment="1">
      <alignment horizontal="right" wrapText="1"/>
    </xf>
    <xf numFmtId="43" fontId="3" fillId="0" borderId="0" xfId="0" applyNumberFormat="1" applyFont="1" applyAlignment="1">
      <alignment horizontal="left"/>
    </xf>
    <xf numFmtId="4" fontId="3" fillId="0" borderId="11" xfId="0" applyNumberFormat="1" applyFont="1" applyBorder="1" applyAlignment="1">
      <alignment horizontal="center"/>
    </xf>
    <xf numFmtId="0" fontId="0" fillId="0" borderId="159" xfId="0" applyBorder="1" applyAlignment="1">
      <alignment horizontal="center" vertical="top"/>
    </xf>
    <xf numFmtId="4" fontId="9" fillId="0" borderId="160" xfId="0" applyNumberFormat="1" applyFont="1" applyBorder="1" applyAlignment="1">
      <alignment horizontal="center"/>
    </xf>
    <xf numFmtId="0" fontId="9" fillId="39" borderId="117" xfId="0" applyFont="1" applyFill="1" applyBorder="1" applyAlignment="1">
      <alignment horizontal="center" vertical="top"/>
    </xf>
    <xf numFmtId="0" fontId="3" fillId="39" borderId="117" xfId="0" applyFont="1" applyFill="1" applyBorder="1" applyAlignment="1">
      <alignment horizontal="center" vertical="top"/>
    </xf>
    <xf numFmtId="4" fontId="3" fillId="39" borderId="118" xfId="108" applyNumberFormat="1" applyFont="1" applyFill="1" applyBorder="1" applyAlignment="1">
      <alignment horizontal="right"/>
    </xf>
    <xf numFmtId="0" fontId="9" fillId="39" borderId="120" xfId="0" applyFont="1" applyFill="1" applyBorder="1" applyAlignment="1">
      <alignment horizontal="center" vertical="top"/>
    </xf>
    <xf numFmtId="0" fontId="3" fillId="0" borderId="161" xfId="0" applyFont="1" applyBorder="1" applyAlignment="1">
      <alignment horizontal="center"/>
    </xf>
    <xf numFmtId="4" fontId="3" fillId="0" borderId="162" xfId="108" applyNumberFormat="1" applyFont="1" applyBorder="1" applyAlignment="1">
      <alignment horizontal="right"/>
    </xf>
    <xf numFmtId="0" fontId="0" fillId="0" borderId="21" xfId="0" applyBorder="1" applyAlignment="1">
      <alignment horizontal="center" vertical="top"/>
    </xf>
    <xf numFmtId="4" fontId="9" fillId="0" borderId="23" xfId="0" applyNumberFormat="1" applyFont="1" applyBorder="1" applyAlignment="1">
      <alignment horizontal="center"/>
    </xf>
    <xf numFmtId="2" fontId="3" fillId="0" borderId="11" xfId="0" applyNumberFormat="1" applyFont="1" applyBorder="1" applyAlignment="1">
      <alignment wrapText="1"/>
    </xf>
    <xf numFmtId="4" fontId="3" fillId="0" borderId="11" xfId="0" applyNumberFormat="1" applyFont="1" applyBorder="1" applyAlignment="1">
      <alignment vertical="top" wrapText="1"/>
    </xf>
    <xf numFmtId="165" fontId="21" fillId="0" borderId="0" xfId="0" applyNumberFormat="1" applyFont="1"/>
    <xf numFmtId="167" fontId="66" fillId="0" borderId="0" xfId="0" applyNumberFormat="1" applyFont="1"/>
    <xf numFmtId="0" fontId="9" fillId="0" borderId="0" xfId="0" applyFont="1" applyAlignment="1">
      <alignment horizontal="right" vertical="top"/>
    </xf>
    <xf numFmtId="0" fontId="84" fillId="0" borderId="0" xfId="0" applyFont="1"/>
    <xf numFmtId="165" fontId="3" fillId="0" borderId="0" xfId="18" applyFont="1" applyBorder="1" applyAlignment="1"/>
    <xf numFmtId="43" fontId="66" fillId="0" borderId="0" xfId="0" applyNumberFormat="1" applyFont="1"/>
    <xf numFmtId="0" fontId="3" fillId="0" borderId="0" xfId="16"/>
    <xf numFmtId="0" fontId="95" fillId="0" borderId="0" xfId="16" applyFont="1" applyAlignment="1">
      <alignment vertical="center"/>
    </xf>
    <xf numFmtId="43" fontId="98" fillId="0" borderId="0" xfId="6" applyFont="1" applyBorder="1" applyAlignment="1"/>
    <xf numFmtId="0" fontId="3" fillId="0" borderId="163" xfId="16" applyBorder="1"/>
    <xf numFmtId="0" fontId="3" fillId="0" borderId="164" xfId="16" applyBorder="1"/>
    <xf numFmtId="0" fontId="99" fillId="0" borderId="168" xfId="16" applyFont="1" applyBorder="1" applyAlignment="1">
      <alignment horizontal="left" vertical="center"/>
    </xf>
    <xf numFmtId="0" fontId="99" fillId="0" borderId="169" xfId="16" applyFont="1" applyBorder="1" applyAlignment="1">
      <alignment horizontal="center" vertical="center"/>
    </xf>
    <xf numFmtId="10" fontId="100" fillId="54" borderId="170" xfId="16" applyNumberFormat="1" applyFont="1" applyFill="1" applyBorder="1" applyAlignment="1">
      <alignment horizontal="center" vertical="center"/>
    </xf>
    <xf numFmtId="10" fontId="100" fillId="54" borderId="168" xfId="16" applyNumberFormat="1" applyFont="1" applyFill="1" applyBorder="1" applyAlignment="1">
      <alignment horizontal="center" vertical="center"/>
    </xf>
    <xf numFmtId="10" fontId="100" fillId="54" borderId="171" xfId="16" applyNumberFormat="1" applyFont="1" applyFill="1" applyBorder="1" applyAlignment="1">
      <alignment horizontal="center" vertical="center"/>
    </xf>
    <xf numFmtId="0" fontId="101" fillId="6" borderId="172" xfId="16" applyFont="1" applyFill="1" applyBorder="1" applyAlignment="1">
      <alignment horizontal="center" vertical="center"/>
    </xf>
    <xf numFmtId="0" fontId="101" fillId="6" borderId="173" xfId="16" applyFont="1" applyFill="1" applyBorder="1" applyAlignment="1">
      <alignment horizontal="left" vertical="center"/>
    </xf>
    <xf numFmtId="10" fontId="101" fillId="6" borderId="174" xfId="16" applyNumberFormat="1" applyFont="1" applyFill="1" applyBorder="1" applyAlignment="1">
      <alignment horizontal="center" vertical="center"/>
    </xf>
    <xf numFmtId="10" fontId="101" fillId="6" borderId="175" xfId="16" applyNumberFormat="1" applyFont="1" applyFill="1" applyBorder="1" applyAlignment="1">
      <alignment horizontal="center" vertical="center"/>
    </xf>
    <xf numFmtId="0" fontId="102" fillId="0" borderId="176" xfId="16" applyFont="1" applyBorder="1" applyAlignment="1">
      <alignment horizontal="center" vertical="center"/>
    </xf>
    <xf numFmtId="0" fontId="102" fillId="0" borderId="176" xfId="16" applyFont="1" applyBorder="1" applyAlignment="1">
      <alignment horizontal="left" vertical="center"/>
    </xf>
    <xf numFmtId="10" fontId="102" fillId="0" borderId="176" xfId="16" applyNumberFormat="1" applyFont="1" applyBorder="1" applyAlignment="1">
      <alignment horizontal="center" vertical="center"/>
    </xf>
    <xf numFmtId="0" fontId="102" fillId="0" borderId="177" xfId="16" applyFont="1" applyBorder="1" applyAlignment="1">
      <alignment horizontal="center" vertical="center"/>
    </xf>
    <xf numFmtId="0" fontId="102" fillId="0" borderId="177" xfId="16" applyFont="1" applyBorder="1" applyAlignment="1">
      <alignment horizontal="left" vertical="center"/>
    </xf>
    <xf numFmtId="10" fontId="102" fillId="0" borderId="177" xfId="16" applyNumberFormat="1" applyFont="1" applyBorder="1" applyAlignment="1">
      <alignment horizontal="center" vertical="center"/>
    </xf>
    <xf numFmtId="0" fontId="103" fillId="0" borderId="0" xfId="16" applyFont="1"/>
    <xf numFmtId="10" fontId="101" fillId="6" borderId="163" xfId="16" applyNumberFormat="1" applyFont="1" applyFill="1" applyBorder="1" applyAlignment="1">
      <alignment horizontal="center" vertical="center"/>
    </xf>
    <xf numFmtId="10" fontId="101" fillId="6" borderId="178" xfId="16" applyNumberFormat="1" applyFont="1" applyFill="1" applyBorder="1" applyAlignment="1">
      <alignment horizontal="center" vertical="center"/>
    </xf>
    <xf numFmtId="0" fontId="102" fillId="0" borderId="179" xfId="16" applyFont="1" applyBorder="1" applyAlignment="1">
      <alignment horizontal="center" vertical="center"/>
    </xf>
    <xf numFmtId="0" fontId="102" fillId="0" borderId="179" xfId="16" applyFont="1" applyBorder="1" applyAlignment="1">
      <alignment horizontal="left" vertical="center"/>
    </xf>
    <xf numFmtId="10" fontId="102" fillId="0" borderId="179" xfId="16" applyNumberFormat="1" applyFont="1" applyBorder="1" applyAlignment="1">
      <alignment horizontal="center" vertical="center"/>
    </xf>
    <xf numFmtId="0" fontId="101" fillId="6" borderId="180" xfId="16" applyFont="1" applyFill="1" applyBorder="1" applyAlignment="1">
      <alignment horizontal="center" vertical="center"/>
    </xf>
    <xf numFmtId="0" fontId="101" fillId="6" borderId="181" xfId="16" applyFont="1" applyFill="1" applyBorder="1" applyAlignment="1">
      <alignment horizontal="left" vertical="center"/>
    </xf>
    <xf numFmtId="10" fontId="101" fillId="6" borderId="181" xfId="16" applyNumberFormat="1" applyFont="1" applyFill="1" applyBorder="1" applyAlignment="1">
      <alignment horizontal="center" vertical="center"/>
    </xf>
    <xf numFmtId="10" fontId="101" fillId="6" borderId="182" xfId="16" applyNumberFormat="1" applyFont="1" applyFill="1" applyBorder="1" applyAlignment="1">
      <alignment horizontal="center" vertical="center"/>
    </xf>
    <xf numFmtId="0" fontId="102" fillId="49" borderId="176" xfId="16" applyFont="1" applyFill="1" applyBorder="1" applyAlignment="1">
      <alignment horizontal="center" vertical="center"/>
    </xf>
    <xf numFmtId="0" fontId="102" fillId="49" borderId="176" xfId="16" applyFont="1" applyFill="1" applyBorder="1" applyAlignment="1">
      <alignment horizontal="left" vertical="center"/>
    </xf>
    <xf numFmtId="10" fontId="101" fillId="49" borderId="176" xfId="16" applyNumberFormat="1" applyFont="1" applyFill="1" applyBorder="1" applyAlignment="1">
      <alignment horizontal="center" vertical="center"/>
    </xf>
    <xf numFmtId="0" fontId="104" fillId="0" borderId="183" xfId="16" applyFont="1" applyBorder="1" applyAlignment="1">
      <alignment vertical="center"/>
    </xf>
    <xf numFmtId="0" fontId="104" fillId="0" borderId="0" xfId="16" applyFont="1" applyAlignment="1">
      <alignment vertical="center"/>
    </xf>
    <xf numFmtId="0" fontId="102" fillId="49" borderId="176" xfId="16" applyFont="1" applyFill="1" applyBorder="1" applyAlignment="1">
      <alignment horizontal="justify" vertical="center"/>
    </xf>
    <xf numFmtId="0" fontId="105" fillId="54" borderId="177" xfId="16" applyFont="1" applyFill="1" applyBorder="1" applyAlignment="1">
      <alignment vertical="center"/>
    </xf>
    <xf numFmtId="0" fontId="100" fillId="54" borderId="177" xfId="16" applyFont="1" applyFill="1" applyBorder="1" applyAlignment="1">
      <alignment horizontal="left" vertical="center"/>
    </xf>
    <xf numFmtId="10" fontId="26" fillId="54" borderId="177" xfId="16" applyNumberFormat="1" applyFont="1" applyFill="1" applyBorder="1" applyAlignment="1">
      <alignment horizontal="center" vertical="center"/>
    </xf>
    <xf numFmtId="0" fontId="15" fillId="0" borderId="0" xfId="9"/>
    <xf numFmtId="10" fontId="3" fillId="0" borderId="0" xfId="16" applyNumberFormat="1"/>
    <xf numFmtId="10" fontId="3" fillId="0" borderId="0" xfId="5" applyNumberFormat="1"/>
    <xf numFmtId="0" fontId="9" fillId="2" borderId="0" xfId="0" applyFont="1" applyFill="1" applyAlignment="1">
      <alignment horizontal="center" vertical="center"/>
    </xf>
    <xf numFmtId="0" fontId="17" fillId="0" borderId="0" xfId="0" applyFont="1" applyAlignment="1">
      <alignment horizontal="left" vertical="center"/>
    </xf>
    <xf numFmtId="0" fontId="17" fillId="0" borderId="55" xfId="0" applyFont="1" applyBorder="1" applyAlignment="1">
      <alignment horizontal="center" vertical="center" wrapText="1"/>
    </xf>
    <xf numFmtId="49" fontId="11" fillId="2" borderId="0" xfId="0" applyNumberFormat="1" applyFont="1" applyFill="1" applyAlignment="1">
      <alignment horizontal="center" vertical="center"/>
    </xf>
    <xf numFmtId="0" fontId="11" fillId="2" borderId="0" xfId="0" applyFont="1" applyFill="1" applyAlignment="1">
      <alignment horizontal="center" vertical="center"/>
    </xf>
    <xf numFmtId="4" fontId="6" fillId="0" borderId="0" xfId="0" applyNumberFormat="1" applyFont="1" applyAlignment="1">
      <alignment horizontal="left" vertical="top" wrapText="1"/>
    </xf>
    <xf numFmtId="0" fontId="17" fillId="37" borderId="60" xfId="0" applyFont="1" applyFill="1" applyBorder="1" applyAlignment="1">
      <alignment horizontal="right" vertical="center"/>
    </xf>
    <xf numFmtId="0" fontId="17" fillId="37" borderId="61" xfId="0" applyFont="1" applyFill="1" applyBorder="1" applyAlignment="1">
      <alignment horizontal="right" vertical="center"/>
    </xf>
    <xf numFmtId="0" fontId="64" fillId="36" borderId="19" xfId="109" applyFont="1" applyFill="1" applyBorder="1" applyAlignment="1">
      <alignment horizontal="center" vertical="center" wrapText="1"/>
    </xf>
    <xf numFmtId="0" fontId="19" fillId="35" borderId="1" xfId="0" applyFont="1" applyFill="1" applyBorder="1" applyAlignment="1">
      <alignment horizontal="center" vertical="center" wrapText="1"/>
    </xf>
    <xf numFmtId="0" fontId="63" fillId="34" borderId="1" xfId="0" applyFont="1" applyFill="1" applyBorder="1" applyAlignment="1">
      <alignment horizontal="center" vertical="center" wrapText="1"/>
    </xf>
    <xf numFmtId="0" fontId="3" fillId="0" borderId="0" xfId="0" applyFont="1" applyAlignment="1">
      <alignment horizontal="left" vertical="top" wrapText="1"/>
    </xf>
    <xf numFmtId="0" fontId="93" fillId="0" borderId="0" xfId="0" applyFont="1" applyAlignment="1">
      <alignment horizontal="left" vertical="top"/>
    </xf>
    <xf numFmtId="0" fontId="93" fillId="0" borderId="0" xfId="0" applyFont="1" applyAlignment="1">
      <alignment horizontal="left"/>
    </xf>
    <xf numFmtId="0" fontId="3" fillId="0" borderId="0" xfId="0" applyFont="1" applyAlignment="1">
      <alignment horizontal="left" wrapText="1"/>
    </xf>
    <xf numFmtId="0" fontId="9" fillId="0" borderId="0" xfId="0" applyFont="1" applyAlignment="1">
      <alignment horizontal="left" wrapText="1"/>
    </xf>
    <xf numFmtId="0" fontId="3" fillId="0" borderId="0" xfId="0" applyFont="1" applyAlignment="1">
      <alignment horizontal="left" vertical="center" wrapText="1"/>
    </xf>
    <xf numFmtId="0" fontId="9" fillId="49" borderId="1" xfId="0" applyFont="1" applyFill="1" applyBorder="1" applyAlignment="1">
      <alignment horizontal="center"/>
    </xf>
    <xf numFmtId="0" fontId="0" fillId="49" borderId="1" xfId="0" applyFill="1" applyBorder="1" applyAlignment="1">
      <alignment horizontal="center"/>
    </xf>
    <xf numFmtId="0" fontId="65" fillId="49" borderId="0" xfId="0" applyFont="1" applyFill="1" applyAlignment="1">
      <alignment horizontal="center"/>
    </xf>
    <xf numFmtId="0" fontId="9" fillId="46" borderId="8" xfId="0" applyFont="1" applyFill="1" applyBorder="1" applyAlignment="1">
      <alignment horizontal="center" vertical="center"/>
    </xf>
    <xf numFmtId="0" fontId="0" fillId="46" borderId="12" xfId="0" applyFill="1" applyBorder="1" applyAlignment="1">
      <alignment horizontal="center" vertical="center"/>
    </xf>
    <xf numFmtId="0" fontId="9" fillId="46" borderId="96" xfId="0" applyFont="1" applyFill="1" applyBorder="1" applyAlignment="1">
      <alignment horizontal="center" vertical="center"/>
    </xf>
    <xf numFmtId="0" fontId="0" fillId="46" borderId="11" xfId="0" applyFill="1" applyBorder="1" applyAlignment="1">
      <alignment horizontal="center" vertical="center"/>
    </xf>
    <xf numFmtId="0" fontId="0" fillId="46" borderId="9" xfId="0" applyFill="1" applyBorder="1" applyAlignment="1">
      <alignment horizontal="center" vertical="center"/>
    </xf>
    <xf numFmtId="0" fontId="65" fillId="0" borderId="0" xfId="0" applyFont="1" applyAlignment="1">
      <alignment horizontal="left"/>
    </xf>
    <xf numFmtId="165" fontId="3" fillId="0" borderId="0" xfId="18" applyFont="1" applyBorder="1" applyAlignment="1">
      <alignment horizontal="left"/>
    </xf>
    <xf numFmtId="0" fontId="9" fillId="49" borderId="0" xfId="0" applyFont="1" applyFill="1" applyAlignment="1">
      <alignment horizontal="center"/>
    </xf>
    <xf numFmtId="0" fontId="78" fillId="0" borderId="0" xfId="0" applyFont="1" applyAlignment="1">
      <alignment horizontal="left" vertical="top"/>
    </xf>
    <xf numFmtId="0" fontId="78" fillId="0" borderId="0" xfId="0" applyFont="1" applyAlignment="1">
      <alignment horizontal="left"/>
    </xf>
    <xf numFmtId="0" fontId="65" fillId="0" borderId="0" xfId="0" applyFont="1" applyAlignment="1">
      <alignment horizontal="right"/>
    </xf>
    <xf numFmtId="0" fontId="65" fillId="0" borderId="0" xfId="0" applyFont="1" applyAlignment="1">
      <alignment horizontal="center"/>
    </xf>
    <xf numFmtId="4" fontId="65" fillId="0" borderId="0" xfId="0" applyNumberFormat="1" applyFont="1" applyAlignment="1">
      <alignment horizontal="left"/>
    </xf>
    <xf numFmtId="0" fontId="10" fillId="49" borderId="60" xfId="0" applyFont="1" applyFill="1" applyBorder="1" applyAlignment="1">
      <alignment horizontal="center" vertical="center"/>
    </xf>
    <xf numFmtId="0" fontId="10" fillId="49" borderId="61" xfId="0" applyFont="1" applyFill="1" applyBorder="1" applyAlignment="1">
      <alignment horizontal="center" vertical="center"/>
    </xf>
    <xf numFmtId="0" fontId="10" fillId="49" borderId="71" xfId="0" applyFont="1" applyFill="1" applyBorder="1" applyAlignment="1">
      <alignment horizontal="center" vertical="center"/>
    </xf>
    <xf numFmtId="0" fontId="9" fillId="49" borderId="7" xfId="0" applyFont="1" applyFill="1" applyBorder="1" applyAlignment="1">
      <alignment horizontal="center" vertical="center" wrapText="1"/>
    </xf>
    <xf numFmtId="0" fontId="9" fillId="49" borderId="62" xfId="0" applyFont="1" applyFill="1" applyBorder="1" applyAlignment="1">
      <alignment horizontal="center" vertical="center" wrapText="1"/>
    </xf>
    <xf numFmtId="0" fontId="9" fillId="49" borderId="5" xfId="0" applyFont="1" applyFill="1" applyBorder="1" applyAlignment="1">
      <alignment horizontal="center" vertical="center"/>
    </xf>
    <xf numFmtId="0" fontId="9" fillId="49" borderId="6" xfId="0" applyFont="1" applyFill="1" applyBorder="1" applyAlignment="1">
      <alignment horizontal="center" vertical="center"/>
    </xf>
    <xf numFmtId="0" fontId="65" fillId="0" borderId="0" xfId="0" applyFont="1" applyAlignment="1">
      <alignment horizontal="center" vertical="center"/>
    </xf>
    <xf numFmtId="0" fontId="66" fillId="0" borderId="0" xfId="0" applyFont="1" applyAlignment="1">
      <alignment horizontal="center" wrapText="1"/>
    </xf>
    <xf numFmtId="0" fontId="9" fillId="49" borderId="7" xfId="0" applyFont="1" applyFill="1" applyBorder="1" applyAlignment="1">
      <alignment horizontal="center" vertical="center"/>
    </xf>
    <xf numFmtId="0" fontId="0" fillId="49" borderId="62" xfId="0" applyFill="1" applyBorder="1" applyAlignment="1">
      <alignment horizontal="center" vertical="center"/>
    </xf>
    <xf numFmtId="0" fontId="0" fillId="49" borderId="62" xfId="0" applyFill="1" applyBorder="1" applyAlignment="1">
      <alignment horizontal="center" vertical="center" wrapText="1"/>
    </xf>
    <xf numFmtId="0" fontId="65" fillId="0" borderId="0" xfId="0" applyFont="1" applyAlignment="1">
      <alignment horizontal="left" wrapText="1"/>
    </xf>
    <xf numFmtId="0" fontId="65" fillId="0" borderId="0" xfId="0" applyFont="1" applyAlignment="1">
      <alignment horizontal="center" vertical="center" wrapText="1"/>
    </xf>
    <xf numFmtId="0" fontId="0" fillId="0" borderId="150" xfId="0" applyBorder="1" applyAlignment="1">
      <alignment horizontal="left"/>
    </xf>
    <xf numFmtId="0" fontId="0" fillId="0" borderId="151" xfId="0" applyBorder="1" applyAlignment="1">
      <alignment horizontal="left"/>
    </xf>
    <xf numFmtId="0" fontId="0" fillId="0" borderId="152" xfId="0" applyBorder="1" applyAlignment="1">
      <alignment horizontal="left"/>
    </xf>
    <xf numFmtId="0" fontId="0" fillId="0" borderId="155" xfId="0" applyBorder="1" applyAlignment="1">
      <alignment horizontal="left"/>
    </xf>
    <xf numFmtId="0" fontId="0" fillId="0" borderId="156" xfId="0" applyBorder="1" applyAlignment="1">
      <alignment horizontal="left"/>
    </xf>
    <xf numFmtId="0" fontId="0" fillId="0" borderId="157" xfId="0" applyBorder="1" applyAlignment="1">
      <alignment horizontal="left"/>
    </xf>
    <xf numFmtId="0" fontId="0" fillId="52" borderId="0" xfId="0" applyFill="1" applyAlignment="1">
      <alignment vertical="center" wrapText="1"/>
    </xf>
    <xf numFmtId="0" fontId="0" fillId="0" borderId="146" xfId="0" applyBorder="1" applyAlignment="1">
      <alignment horizontal="left"/>
    </xf>
    <xf numFmtId="0" fontId="0" fillId="0" borderId="147" xfId="0" applyBorder="1" applyAlignment="1">
      <alignment horizontal="left"/>
    </xf>
    <xf numFmtId="0" fontId="0" fillId="0" borderId="148" xfId="0" applyBorder="1" applyAlignment="1">
      <alignment horizontal="left"/>
    </xf>
    <xf numFmtId="0" fontId="67" fillId="0" borderId="3" xfId="0" applyFont="1" applyBorder="1" applyAlignment="1">
      <alignment horizontal="center" vertical="center"/>
    </xf>
    <xf numFmtId="0" fontId="67" fillId="0" borderId="5" xfId="0" applyFont="1" applyBorder="1" applyAlignment="1">
      <alignment horizontal="center" vertical="center"/>
    </xf>
    <xf numFmtId="0" fontId="67" fillId="0" borderId="6" xfId="0" applyFont="1" applyBorder="1" applyAlignment="1">
      <alignment horizontal="center" vertical="center"/>
    </xf>
    <xf numFmtId="0" fontId="9" fillId="0" borderId="60" xfId="0" applyFont="1" applyBorder="1" applyAlignment="1">
      <alignment horizontal="center" vertical="center" wrapText="1"/>
    </xf>
    <xf numFmtId="0" fontId="9" fillId="0" borderId="61" xfId="0" applyFont="1" applyBorder="1" applyAlignment="1">
      <alignment horizontal="center" vertical="center" wrapText="1"/>
    </xf>
    <xf numFmtId="0" fontId="9" fillId="0" borderId="124" xfId="0" applyFont="1" applyBorder="1" applyAlignment="1">
      <alignment horizontal="center" vertical="center" wrapText="1"/>
    </xf>
    <xf numFmtId="2" fontId="0" fillId="38" borderId="1" xfId="0" applyNumberFormat="1" applyFill="1" applyBorder="1" applyAlignment="1">
      <alignment horizontal="center"/>
    </xf>
    <xf numFmtId="2" fontId="0" fillId="38" borderId="17" xfId="0" applyNumberFormat="1" applyFill="1" applyBorder="1" applyAlignment="1">
      <alignment horizontal="center"/>
    </xf>
    <xf numFmtId="0" fontId="9" fillId="52" borderId="0" xfId="0" applyFont="1" applyFill="1" applyAlignment="1">
      <alignment horizontal="center"/>
    </xf>
    <xf numFmtId="0" fontId="9" fillId="0" borderId="60" xfId="0" applyFont="1" applyBorder="1" applyAlignment="1">
      <alignment horizontal="center"/>
    </xf>
    <xf numFmtId="0" fontId="9" fillId="0" borderId="61" xfId="0" applyFont="1" applyBorder="1" applyAlignment="1">
      <alignment horizontal="center"/>
    </xf>
    <xf numFmtId="0" fontId="9" fillId="0" borderId="124" xfId="0" applyFont="1" applyBorder="1" applyAlignment="1">
      <alignment horizontal="center"/>
    </xf>
    <xf numFmtId="0" fontId="0" fillId="52" borderId="0" xfId="0" applyFill="1"/>
    <xf numFmtId="0" fontId="67" fillId="0" borderId="39" xfId="0" applyFont="1" applyBorder="1" applyAlignment="1">
      <alignment horizontal="center" vertical="center" wrapText="1"/>
    </xf>
    <xf numFmtId="0" fontId="67" fillId="0" borderId="123" xfId="0" applyFont="1" applyBorder="1" applyAlignment="1">
      <alignment horizontal="center" vertical="center" wrapText="1"/>
    </xf>
    <xf numFmtId="0" fontId="0" fillId="0" borderId="0" xfId="0" applyAlignment="1">
      <alignment horizontal="center"/>
    </xf>
    <xf numFmtId="0" fontId="65" fillId="0" borderId="0" xfId="0" applyFont="1" applyAlignment="1">
      <alignment horizontal="center" wrapText="1"/>
    </xf>
    <xf numFmtId="0" fontId="10" fillId="0" borderId="0" xfId="0" applyFont="1" applyAlignment="1">
      <alignment horizontal="center" wrapText="1"/>
    </xf>
    <xf numFmtId="0" fontId="88" fillId="47" borderId="98" xfId="0" applyFont="1" applyFill="1" applyBorder="1" applyAlignment="1">
      <alignment horizontal="center" vertical="center" wrapText="1"/>
    </xf>
    <xf numFmtId="0" fontId="88" fillId="47" borderId="99" xfId="0" applyFont="1" applyFill="1" applyBorder="1" applyAlignment="1">
      <alignment horizontal="center" vertical="center" wrapText="1"/>
    </xf>
    <xf numFmtId="0" fontId="89" fillId="48" borderId="102" xfId="0" applyFont="1" applyFill="1" applyBorder="1" applyAlignment="1">
      <alignment horizontal="left" vertical="center" wrapText="1"/>
    </xf>
    <xf numFmtId="0" fontId="89" fillId="48" borderId="103" xfId="0" applyFont="1" applyFill="1" applyBorder="1" applyAlignment="1">
      <alignment horizontal="left" vertical="center" wrapText="1"/>
    </xf>
    <xf numFmtId="4" fontId="65" fillId="0" borderId="108" xfId="0" applyNumberFormat="1" applyFont="1" applyBorder="1" applyAlignment="1">
      <alignment horizontal="center" vertical="center"/>
    </xf>
    <xf numFmtId="4" fontId="65" fillId="0" borderId="27" xfId="0" applyNumberFormat="1" applyFont="1" applyBorder="1" applyAlignment="1">
      <alignment horizontal="center" vertical="center"/>
    </xf>
    <xf numFmtId="164" fontId="88" fillId="47" borderId="109" xfId="2" applyFont="1" applyFill="1" applyBorder="1" applyAlignment="1">
      <alignment horizontal="center" vertical="center" wrapText="1"/>
    </xf>
    <xf numFmtId="164" fontId="88" fillId="47" borderId="28" xfId="2" applyFont="1" applyFill="1" applyBorder="1" applyAlignment="1">
      <alignment horizontal="center" vertical="center" wrapText="1"/>
    </xf>
    <xf numFmtId="0" fontId="90" fillId="47" borderId="0" xfId="0" applyFont="1" applyFill="1" applyAlignment="1">
      <alignment horizontal="right" vertical="top" wrapText="1"/>
    </xf>
    <xf numFmtId="0" fontId="0" fillId="0" borderId="107" xfId="0" applyBorder="1" applyAlignment="1">
      <alignment horizontal="center" vertical="center"/>
    </xf>
    <xf numFmtId="0" fontId="0" fillId="0" borderId="108" xfId="0" applyBorder="1" applyAlignment="1">
      <alignment horizontal="center" vertical="center"/>
    </xf>
    <xf numFmtId="0" fontId="90" fillId="47" borderId="108" xfId="0" applyFont="1" applyFill="1" applyBorder="1" applyAlignment="1">
      <alignment horizontal="center" vertical="center" wrapText="1"/>
    </xf>
    <xf numFmtId="0" fontId="90" fillId="47" borderId="27" xfId="0" applyFont="1" applyFill="1" applyBorder="1" applyAlignment="1">
      <alignment horizontal="center" vertical="center" wrapText="1"/>
    </xf>
    <xf numFmtId="4" fontId="65" fillId="0" borderId="108" xfId="0" applyNumberFormat="1" applyFont="1" applyBorder="1" applyAlignment="1">
      <alignment horizontal="center" vertical="center" wrapText="1"/>
    </xf>
    <xf numFmtId="4" fontId="65" fillId="0" borderId="27" xfId="0" applyNumberFormat="1" applyFont="1" applyBorder="1" applyAlignment="1">
      <alignment horizontal="center" vertical="center" wrapText="1"/>
    </xf>
    <xf numFmtId="0" fontId="87" fillId="47" borderId="0" xfId="9" applyFont="1" applyFill="1" applyAlignment="1">
      <alignment horizontal="center" vertical="top" wrapText="1"/>
    </xf>
    <xf numFmtId="0" fontId="15" fillId="0" borderId="0" xfId="9"/>
    <xf numFmtId="0" fontId="95" fillId="0" borderId="0" xfId="16" applyFont="1" applyAlignment="1">
      <alignment horizontal="center" vertical="center"/>
    </xf>
    <xf numFmtId="43" fontId="96" fillId="0" borderId="0" xfId="6" applyFont="1" applyBorder="1" applyAlignment="1">
      <alignment horizontal="center" vertical="center"/>
    </xf>
    <xf numFmtId="43" fontId="97" fillId="0" borderId="0" xfId="6" applyFont="1" applyBorder="1" applyAlignment="1">
      <alignment horizontal="center"/>
    </xf>
    <xf numFmtId="0" fontId="26" fillId="54" borderId="165" xfId="16" applyFont="1" applyFill="1" applyBorder="1" applyAlignment="1">
      <alignment horizontal="center"/>
    </xf>
    <xf numFmtId="0" fontId="26" fillId="54" borderId="166" xfId="16" applyFont="1" applyFill="1" applyBorder="1" applyAlignment="1">
      <alignment horizontal="center"/>
    </xf>
    <xf numFmtId="0" fontId="26" fillId="54" borderId="167" xfId="16" applyFont="1" applyFill="1" applyBorder="1" applyAlignment="1">
      <alignment horizontal="center"/>
    </xf>
    <xf numFmtId="165" fontId="82" fillId="0" borderId="0" xfId="18" applyFont="1" applyBorder="1" applyAlignment="1">
      <alignment horizontal="left"/>
    </xf>
    <xf numFmtId="0" fontId="3" fillId="0" borderId="0" xfId="0" applyFont="1" applyAlignment="1">
      <alignment horizontal="left"/>
    </xf>
    <xf numFmtId="0" fontId="10" fillId="49" borderId="70" xfId="0" applyFont="1" applyFill="1" applyBorder="1" applyAlignment="1">
      <alignment horizontal="center" vertical="center"/>
    </xf>
    <xf numFmtId="0" fontId="67" fillId="49" borderId="60" xfId="0" applyFont="1" applyFill="1" applyBorder="1" applyAlignment="1">
      <alignment horizontal="center" vertical="center"/>
    </xf>
    <xf numFmtId="0" fontId="67" fillId="49" borderId="61" xfId="0" applyFont="1" applyFill="1" applyBorder="1" applyAlignment="1">
      <alignment horizontal="center" vertical="center"/>
    </xf>
    <xf numFmtId="0" fontId="10" fillId="49" borderId="70" xfId="0" applyFont="1" applyFill="1" applyBorder="1" applyAlignment="1">
      <alignment horizontal="left" vertical="top"/>
    </xf>
    <xf numFmtId="0" fontId="10" fillId="49" borderId="61" xfId="0" applyFont="1" applyFill="1" applyBorder="1" applyAlignment="1">
      <alignment horizontal="left" vertical="top"/>
    </xf>
    <xf numFmtId="0" fontId="10" fillId="49" borderId="71" xfId="0" applyFont="1" applyFill="1" applyBorder="1" applyAlignment="1">
      <alignment horizontal="left" vertical="top"/>
    </xf>
    <xf numFmtId="0" fontId="10" fillId="38" borderId="70" xfId="0" applyFont="1" applyFill="1" applyBorder="1" applyAlignment="1">
      <alignment horizontal="left" vertical="center"/>
    </xf>
    <xf numFmtId="0" fontId="10" fillId="38" borderId="61" xfId="0" applyFont="1" applyFill="1" applyBorder="1" applyAlignment="1">
      <alignment horizontal="left" vertical="center"/>
    </xf>
    <xf numFmtId="0" fontId="10" fillId="38" borderId="71" xfId="0" applyFont="1" applyFill="1" applyBorder="1" applyAlignment="1">
      <alignment horizontal="left" vertical="center"/>
    </xf>
    <xf numFmtId="0" fontId="10" fillId="38" borderId="60" xfId="0" applyFont="1" applyFill="1" applyBorder="1" applyAlignment="1">
      <alignment horizontal="center" vertical="center"/>
    </xf>
    <xf numFmtId="0" fontId="10" fillId="38" borderId="61" xfId="0" applyFont="1" applyFill="1" applyBorder="1" applyAlignment="1">
      <alignment horizontal="center" vertical="center"/>
    </xf>
    <xf numFmtId="0" fontId="10" fillId="49" borderId="70" xfId="0" applyFont="1" applyFill="1" applyBorder="1" applyAlignment="1">
      <alignment horizontal="left" vertical="center"/>
    </xf>
    <xf numFmtId="0" fontId="10" fillId="49" borderId="61" xfId="0" applyFont="1" applyFill="1" applyBorder="1" applyAlignment="1">
      <alignment horizontal="left" vertical="center"/>
    </xf>
    <xf numFmtId="0" fontId="10" fillId="49" borderId="71" xfId="0" applyFont="1" applyFill="1" applyBorder="1" applyAlignment="1">
      <alignment horizontal="left" vertical="center"/>
    </xf>
    <xf numFmtId="0" fontId="67" fillId="49" borderId="71" xfId="0" applyFont="1" applyFill="1" applyBorder="1" applyAlignment="1">
      <alignment horizontal="center" vertical="center"/>
    </xf>
    <xf numFmtId="0" fontId="10" fillId="49" borderId="60" xfId="0" applyFont="1" applyFill="1" applyBorder="1" applyAlignment="1">
      <alignment horizontal="left" vertical="center"/>
    </xf>
    <xf numFmtId="0" fontId="10" fillId="49" borderId="124" xfId="0" applyFont="1" applyFill="1" applyBorder="1" applyAlignment="1">
      <alignment horizontal="left" vertical="center"/>
    </xf>
    <xf numFmtId="0" fontId="10" fillId="38" borderId="60" xfId="0" applyFont="1" applyFill="1" applyBorder="1" applyAlignment="1">
      <alignment horizontal="left" vertical="center"/>
    </xf>
    <xf numFmtId="0" fontId="10" fillId="38" borderId="124" xfId="0" applyFont="1" applyFill="1" applyBorder="1" applyAlignment="1">
      <alignment horizontal="left" vertical="center"/>
    </xf>
    <xf numFmtId="0" fontId="9" fillId="49" borderId="111" xfId="0" applyFont="1" applyFill="1" applyBorder="1" applyAlignment="1">
      <alignment horizontal="center" vertical="center" wrapText="1"/>
    </xf>
    <xf numFmtId="0" fontId="9" fillId="49" borderId="112" xfId="0" applyFont="1" applyFill="1" applyBorder="1" applyAlignment="1">
      <alignment horizontal="center" vertical="center"/>
    </xf>
    <xf numFmtId="0" fontId="9" fillId="49" borderId="113" xfId="0" applyFont="1" applyFill="1" applyBorder="1" applyAlignment="1">
      <alignment horizontal="center" vertical="center"/>
    </xf>
    <xf numFmtId="0" fontId="9" fillId="49" borderId="110" xfId="0" applyFont="1" applyFill="1" applyBorder="1" applyAlignment="1">
      <alignment horizontal="center" vertical="center"/>
    </xf>
    <xf numFmtId="0" fontId="0" fillId="49" borderId="114" xfId="0" applyFill="1" applyBorder="1" applyAlignment="1">
      <alignment horizontal="center" vertical="center"/>
    </xf>
    <xf numFmtId="0" fontId="9" fillId="49" borderId="111" xfId="0" applyFont="1" applyFill="1" applyBorder="1" applyAlignment="1">
      <alignment horizontal="center" vertical="center"/>
    </xf>
    <xf numFmtId="0" fontId="21" fillId="0" borderId="0" xfId="0" applyFont="1" applyAlignment="1">
      <alignment horizontal="left"/>
    </xf>
    <xf numFmtId="0" fontId="73" fillId="42" borderId="89" xfId="0" applyFont="1" applyFill="1" applyBorder="1" applyAlignment="1">
      <alignment horizontal="center" vertical="center"/>
    </xf>
    <xf numFmtId="0" fontId="73" fillId="42" borderId="90" xfId="0" applyFont="1" applyFill="1" applyBorder="1" applyAlignment="1">
      <alignment horizontal="center" vertical="center"/>
    </xf>
    <xf numFmtId="0" fontId="73" fillId="42" borderId="91" xfId="0" applyFont="1" applyFill="1" applyBorder="1" applyAlignment="1">
      <alignment horizontal="center" vertical="center"/>
    </xf>
    <xf numFmtId="0" fontId="69" fillId="0" borderId="80" xfId="0" applyFont="1" applyBorder="1" applyAlignment="1">
      <alignment horizontal="center" vertical="center"/>
    </xf>
    <xf numFmtId="0" fontId="69" fillId="0" borderId="81" xfId="0" applyFont="1" applyBorder="1" applyAlignment="1">
      <alignment horizontal="center" vertical="center"/>
    </xf>
    <xf numFmtId="0" fontId="69" fillId="0" borderId="82" xfId="0" applyFont="1" applyBorder="1" applyAlignment="1">
      <alignment horizontal="center" vertical="center"/>
    </xf>
    <xf numFmtId="0" fontId="69" fillId="0" borderId="83" xfId="0" applyFont="1" applyBorder="1" applyAlignment="1">
      <alignment horizontal="center" vertical="center"/>
    </xf>
    <xf numFmtId="0" fontId="69" fillId="0" borderId="0" xfId="0" applyFont="1" applyAlignment="1">
      <alignment horizontal="center" vertical="center"/>
    </xf>
    <xf numFmtId="0" fontId="69" fillId="0" borderId="84" xfId="0" applyFont="1" applyBorder="1" applyAlignment="1">
      <alignment horizontal="center" vertical="center"/>
    </xf>
    <xf numFmtId="0" fontId="71" fillId="39" borderId="83" xfId="0" applyFont="1" applyFill="1" applyBorder="1" applyAlignment="1">
      <alignment horizontal="center" vertical="center"/>
    </xf>
    <xf numFmtId="0" fontId="71" fillId="39" borderId="0" xfId="0" applyFont="1" applyFill="1" applyAlignment="1">
      <alignment horizontal="center" vertical="center"/>
    </xf>
    <xf numFmtId="0" fontId="71" fillId="39" borderId="84" xfId="0" applyFont="1" applyFill="1" applyBorder="1" applyAlignment="1">
      <alignment horizontal="center" vertical="center"/>
    </xf>
    <xf numFmtId="0" fontId="70" fillId="39" borderId="83" xfId="0" applyFont="1" applyFill="1" applyBorder="1" applyAlignment="1">
      <alignment horizontal="left" vertical="center"/>
    </xf>
    <xf numFmtId="0" fontId="70" fillId="4" borderId="0" xfId="0" applyFont="1" applyFill="1" applyAlignment="1">
      <alignment horizontal="left" vertical="center"/>
    </xf>
    <xf numFmtId="0" fontId="70" fillId="39" borderId="84" xfId="0" applyFont="1" applyFill="1" applyBorder="1" applyAlignment="1">
      <alignment horizontal="left" vertical="center"/>
    </xf>
    <xf numFmtId="0" fontId="71" fillId="42" borderId="86" xfId="0" applyFont="1" applyFill="1" applyBorder="1" applyAlignment="1">
      <alignment horizontal="center" vertical="center"/>
    </xf>
    <xf numFmtId="0" fontId="71" fillId="42" borderId="87" xfId="0" applyFont="1" applyFill="1" applyBorder="1" applyAlignment="1">
      <alignment horizontal="center" vertical="center"/>
    </xf>
    <xf numFmtId="0" fontId="69" fillId="0" borderId="88" xfId="0" applyFont="1" applyBorder="1" applyAlignment="1">
      <alignment horizontal="center" vertical="center"/>
    </xf>
    <xf numFmtId="0" fontId="30" fillId="0" borderId="1" xfId="0" applyFont="1" applyBorder="1" applyAlignment="1">
      <alignment horizontal="right"/>
    </xf>
    <xf numFmtId="0" fontId="27" fillId="0" borderId="0" xfId="0" applyFont="1" applyAlignment="1">
      <alignment horizontal="center"/>
    </xf>
    <xf numFmtId="0" fontId="32" fillId="3" borderId="0" xfId="0" applyFont="1" applyFill="1" applyAlignment="1">
      <alignment horizontal="center"/>
    </xf>
    <xf numFmtId="0" fontId="30" fillId="6" borderId="17" xfId="0" applyFont="1" applyFill="1" applyBorder="1" applyAlignment="1">
      <alignment horizontal="right"/>
    </xf>
    <xf numFmtId="0" fontId="30" fillId="6" borderId="1" xfId="0" applyFont="1" applyFill="1" applyBorder="1" applyAlignment="1">
      <alignment horizontal="right"/>
    </xf>
    <xf numFmtId="0" fontId="32" fillId="3" borderId="0" xfId="0" applyFont="1" applyFill="1" applyAlignment="1">
      <alignment horizontal="center" vertical="center" wrapText="1"/>
    </xf>
    <xf numFmtId="0" fontId="0" fillId="0" borderId="3" xfId="0" applyBorder="1" applyAlignment="1">
      <alignment horizontal="left"/>
    </xf>
    <xf numFmtId="0" fontId="0" fillId="0" borderId="6" xfId="0" applyBorder="1" applyAlignment="1">
      <alignment horizontal="left"/>
    </xf>
    <xf numFmtId="4" fontId="0" fillId="0" borderId="3" xfId="0" applyNumberFormat="1" applyBorder="1" applyAlignment="1">
      <alignment horizontal="right"/>
    </xf>
    <xf numFmtId="4" fontId="0" fillId="0" borderId="6" xfId="0" applyNumberFormat="1" applyBorder="1" applyAlignment="1">
      <alignment horizontal="right"/>
    </xf>
    <xf numFmtId="0" fontId="22" fillId="7" borderId="3" xfId="0" applyFont="1" applyFill="1" applyBorder="1" applyAlignment="1">
      <alignment horizontal="left"/>
    </xf>
    <xf numFmtId="0" fontId="22" fillId="7" borderId="6" xfId="0" applyFont="1" applyFill="1" applyBorder="1" applyAlignment="1">
      <alignment horizontal="left"/>
    </xf>
    <xf numFmtId="4" fontId="22" fillId="0" borderId="3" xfId="0" applyNumberFormat="1" applyFont="1" applyBorder="1" applyAlignment="1">
      <alignment horizontal="right"/>
    </xf>
    <xf numFmtId="4" fontId="22" fillId="0" borderId="6" xfId="0" applyNumberFormat="1" applyFont="1" applyBorder="1" applyAlignment="1">
      <alignment horizontal="right"/>
    </xf>
    <xf numFmtId="0" fontId="22" fillId="0" borderId="1" xfId="0" applyFont="1" applyBorder="1" applyAlignment="1">
      <alignment horizontal="left"/>
    </xf>
    <xf numFmtId="4" fontId="22" fillId="0" borderId="3" xfId="0" applyNumberFormat="1" applyFont="1" applyBorder="1" applyAlignment="1">
      <alignment horizontal="right" wrapText="1"/>
    </xf>
    <xf numFmtId="4" fontId="22" fillId="0" borderId="6" xfId="0" applyNumberFormat="1" applyFont="1" applyBorder="1" applyAlignment="1">
      <alignment horizontal="right" wrapText="1"/>
    </xf>
    <xf numFmtId="49" fontId="22" fillId="0" borderId="1" xfId="0" applyNumberFormat="1" applyFont="1" applyBorder="1" applyAlignment="1">
      <alignment horizontal="left"/>
    </xf>
    <xf numFmtId="0" fontId="14" fillId="0" borderId="0" xfId="0" applyFont="1" applyAlignment="1">
      <alignment horizontal="left" wrapText="1"/>
    </xf>
    <xf numFmtId="0" fontId="22" fillId="0" borderId="14" xfId="0" applyFont="1" applyBorder="1" applyAlignment="1">
      <alignment horizontal="left"/>
    </xf>
    <xf numFmtId="0" fontId="22" fillId="0" borderId="0" xfId="0" applyFont="1" applyAlignment="1">
      <alignment horizontal="left"/>
    </xf>
    <xf numFmtId="0" fontId="22" fillId="0" borderId="16" xfId="0" applyFont="1" applyBorder="1" applyAlignment="1">
      <alignment horizontal="left"/>
    </xf>
    <xf numFmtId="0" fontId="7" fillId="0" borderId="18" xfId="0" applyFont="1" applyBorder="1" applyAlignment="1">
      <alignment horizontal="left"/>
    </xf>
    <xf numFmtId="0" fontId="7" fillId="0" borderId="19" xfId="0" applyFont="1" applyBorder="1" applyAlignment="1">
      <alignment horizontal="left"/>
    </xf>
    <xf numFmtId="0" fontId="7" fillId="0" borderId="20" xfId="0" applyFont="1" applyBorder="1" applyAlignment="1">
      <alignment horizontal="left"/>
    </xf>
    <xf numFmtId="0" fontId="7" fillId="0" borderId="7" xfId="0" applyFont="1" applyBorder="1" applyAlignment="1">
      <alignment horizontal="center" vertical="center"/>
    </xf>
    <xf numFmtId="0" fontId="7" fillId="0" borderId="17" xfId="0" applyFont="1" applyBorder="1" applyAlignment="1">
      <alignment horizontal="center" vertical="center"/>
    </xf>
    <xf numFmtId="0" fontId="7" fillId="0" borderId="29" xfId="0" applyFont="1" applyBorder="1" applyAlignment="1">
      <alignment horizontal="center" vertical="center"/>
    </xf>
    <xf numFmtId="0" fontId="7" fillId="0" borderId="30" xfId="0" applyFont="1" applyBorder="1" applyAlignment="1">
      <alignment horizontal="center" vertical="center"/>
    </xf>
    <xf numFmtId="0" fontId="7" fillId="0" borderId="18" xfId="0" applyFont="1" applyBorder="1" applyAlignment="1">
      <alignment horizontal="center" vertical="center"/>
    </xf>
    <xf numFmtId="0" fontId="7" fillId="0" borderId="20" xfId="0" applyFont="1" applyBorder="1" applyAlignment="1">
      <alignment horizontal="center" vertical="center"/>
    </xf>
    <xf numFmtId="0" fontId="7" fillId="0" borderId="3" xfId="0" applyFont="1" applyBorder="1" applyAlignment="1">
      <alignment horizontal="center" vertical="center"/>
    </xf>
    <xf numFmtId="0" fontId="7" fillId="0" borderId="5" xfId="0" applyFont="1" applyBorder="1" applyAlignment="1">
      <alignment horizontal="center" vertical="center"/>
    </xf>
    <xf numFmtId="0" fontId="7" fillId="0" borderId="6" xfId="0" applyFont="1" applyBorder="1" applyAlignment="1">
      <alignment horizontal="center" vertical="center"/>
    </xf>
  </cellXfs>
  <cellStyles count="110">
    <cellStyle name="20% - Accent1" xfId="27" xr:uid="{00000000-0005-0000-0000-000000000000}"/>
    <cellStyle name="20% - Accent2" xfId="28" xr:uid="{00000000-0005-0000-0000-000001000000}"/>
    <cellStyle name="20% - Accent3" xfId="29" xr:uid="{00000000-0005-0000-0000-000002000000}"/>
    <cellStyle name="20% - Accent4" xfId="30" xr:uid="{00000000-0005-0000-0000-000003000000}"/>
    <cellStyle name="20% - Accent5" xfId="31" xr:uid="{00000000-0005-0000-0000-000004000000}"/>
    <cellStyle name="20% - Accent6" xfId="32" xr:uid="{00000000-0005-0000-0000-000005000000}"/>
    <cellStyle name="20% - Ênfase1 2" xfId="33" xr:uid="{00000000-0005-0000-0000-000006000000}"/>
    <cellStyle name="20% - Ênfase2 2" xfId="34" xr:uid="{00000000-0005-0000-0000-000007000000}"/>
    <cellStyle name="20% - Ênfase3 2" xfId="35" xr:uid="{00000000-0005-0000-0000-000008000000}"/>
    <cellStyle name="20% - Ênfase4 2" xfId="36" xr:uid="{00000000-0005-0000-0000-000009000000}"/>
    <cellStyle name="20% - Ênfase5 2" xfId="37" xr:uid="{00000000-0005-0000-0000-00000A000000}"/>
    <cellStyle name="20% - Ênfase6 2" xfId="38" xr:uid="{00000000-0005-0000-0000-00000B000000}"/>
    <cellStyle name="40% - Accent1" xfId="39" xr:uid="{00000000-0005-0000-0000-00000C000000}"/>
    <cellStyle name="40% - Accent2" xfId="40" xr:uid="{00000000-0005-0000-0000-00000D000000}"/>
    <cellStyle name="40% - Accent3" xfId="41" xr:uid="{00000000-0005-0000-0000-00000E000000}"/>
    <cellStyle name="40% - Accent4" xfId="42" xr:uid="{00000000-0005-0000-0000-00000F000000}"/>
    <cellStyle name="40% - Accent5" xfId="43" xr:uid="{00000000-0005-0000-0000-000010000000}"/>
    <cellStyle name="40% - Accent6" xfId="44" xr:uid="{00000000-0005-0000-0000-000011000000}"/>
    <cellStyle name="40% - Ênfase1 2" xfId="45" xr:uid="{00000000-0005-0000-0000-000012000000}"/>
    <cellStyle name="40% - Ênfase2 2" xfId="46" xr:uid="{00000000-0005-0000-0000-000013000000}"/>
    <cellStyle name="40% - Ênfase3 2" xfId="47" xr:uid="{00000000-0005-0000-0000-000014000000}"/>
    <cellStyle name="40% - Ênfase4 2" xfId="48" xr:uid="{00000000-0005-0000-0000-000015000000}"/>
    <cellStyle name="40% - Ênfase5 2" xfId="49" xr:uid="{00000000-0005-0000-0000-000016000000}"/>
    <cellStyle name="40% - Ênfase6 2" xfId="50" xr:uid="{00000000-0005-0000-0000-000017000000}"/>
    <cellStyle name="60% - Accent1" xfId="51" xr:uid="{00000000-0005-0000-0000-000018000000}"/>
    <cellStyle name="60% - Accent2" xfId="52" xr:uid="{00000000-0005-0000-0000-000019000000}"/>
    <cellStyle name="60% - Accent3" xfId="53" xr:uid="{00000000-0005-0000-0000-00001A000000}"/>
    <cellStyle name="60% - Accent4" xfId="54" xr:uid="{00000000-0005-0000-0000-00001B000000}"/>
    <cellStyle name="60% - Accent5" xfId="55" xr:uid="{00000000-0005-0000-0000-00001C000000}"/>
    <cellStyle name="60% - Accent6" xfId="56" xr:uid="{00000000-0005-0000-0000-00001D000000}"/>
    <cellStyle name="60% - Ênfase1 2" xfId="57" xr:uid="{00000000-0005-0000-0000-00001E000000}"/>
    <cellStyle name="60% - Ênfase2 2" xfId="58" xr:uid="{00000000-0005-0000-0000-00001F000000}"/>
    <cellStyle name="60% - Ênfase3 2" xfId="59" xr:uid="{00000000-0005-0000-0000-000020000000}"/>
    <cellStyle name="60% - Ênfase4 2" xfId="60" xr:uid="{00000000-0005-0000-0000-000021000000}"/>
    <cellStyle name="60% - Ênfase5 2" xfId="61" xr:uid="{00000000-0005-0000-0000-000022000000}"/>
    <cellStyle name="60% - Ênfase6 2" xfId="62" xr:uid="{00000000-0005-0000-0000-000023000000}"/>
    <cellStyle name="Accent1" xfId="63" xr:uid="{00000000-0005-0000-0000-000024000000}"/>
    <cellStyle name="Accent2" xfId="64" xr:uid="{00000000-0005-0000-0000-000025000000}"/>
    <cellStyle name="Accent3" xfId="65" xr:uid="{00000000-0005-0000-0000-000026000000}"/>
    <cellStyle name="Accent4" xfId="66" xr:uid="{00000000-0005-0000-0000-000027000000}"/>
    <cellStyle name="Accent5" xfId="67" xr:uid="{00000000-0005-0000-0000-000028000000}"/>
    <cellStyle name="Accent6" xfId="68" xr:uid="{00000000-0005-0000-0000-000029000000}"/>
    <cellStyle name="Bad" xfId="69" xr:uid="{00000000-0005-0000-0000-00002A000000}"/>
    <cellStyle name="Bom 2" xfId="70" xr:uid="{00000000-0005-0000-0000-00002B000000}"/>
    <cellStyle name="Calculation" xfId="71" xr:uid="{00000000-0005-0000-0000-00002C000000}"/>
    <cellStyle name="Cálculo 2" xfId="72" xr:uid="{00000000-0005-0000-0000-00002D000000}"/>
    <cellStyle name="Célula de Verificação 2" xfId="73" xr:uid="{00000000-0005-0000-0000-00002E000000}"/>
    <cellStyle name="Célula Vinculada 2" xfId="74" xr:uid="{00000000-0005-0000-0000-00002F000000}"/>
    <cellStyle name="Check Cell" xfId="75" xr:uid="{00000000-0005-0000-0000-000030000000}"/>
    <cellStyle name="Ênfase1 2" xfId="76" xr:uid="{00000000-0005-0000-0000-000031000000}"/>
    <cellStyle name="Ênfase2 2" xfId="77" xr:uid="{00000000-0005-0000-0000-000032000000}"/>
    <cellStyle name="Ênfase3 2" xfId="78" xr:uid="{00000000-0005-0000-0000-000033000000}"/>
    <cellStyle name="Ênfase4 2" xfId="79" xr:uid="{00000000-0005-0000-0000-000034000000}"/>
    <cellStyle name="Ênfase5 2" xfId="80" xr:uid="{00000000-0005-0000-0000-000035000000}"/>
    <cellStyle name="Ênfase6 2" xfId="81" xr:uid="{00000000-0005-0000-0000-000036000000}"/>
    <cellStyle name="Entrada 2" xfId="82" xr:uid="{00000000-0005-0000-0000-000037000000}"/>
    <cellStyle name="Explanatory Text" xfId="83" xr:uid="{00000000-0005-0000-0000-000038000000}"/>
    <cellStyle name="Good" xfId="84" xr:uid="{00000000-0005-0000-0000-000039000000}"/>
    <cellStyle name="Heading 1" xfId="85" xr:uid="{00000000-0005-0000-0000-00003A000000}"/>
    <cellStyle name="Heading 2" xfId="86" xr:uid="{00000000-0005-0000-0000-00003B000000}"/>
    <cellStyle name="Heading 3" xfId="87" xr:uid="{00000000-0005-0000-0000-00003C000000}"/>
    <cellStyle name="Heading 4" xfId="88" xr:uid="{00000000-0005-0000-0000-00003D000000}"/>
    <cellStyle name="Hiperlink" xfId="1" builtinId="8"/>
    <cellStyle name="Incorreto 2" xfId="89" xr:uid="{00000000-0005-0000-0000-00003F000000}"/>
    <cellStyle name="Input" xfId="90" xr:uid="{00000000-0005-0000-0000-000040000000}"/>
    <cellStyle name="Linked Cell" xfId="91" xr:uid="{00000000-0005-0000-0000-000041000000}"/>
    <cellStyle name="Moeda" xfId="2" builtinId="4"/>
    <cellStyle name="Moeda 2" xfId="3" xr:uid="{00000000-0005-0000-0000-000043000000}"/>
    <cellStyle name="Moeda 2 2" xfId="13" xr:uid="{00000000-0005-0000-0000-000044000000}"/>
    <cellStyle name="Moeda 3" xfId="10" xr:uid="{00000000-0005-0000-0000-000045000000}"/>
    <cellStyle name="Moeda 3 2" xfId="17" xr:uid="{00000000-0005-0000-0000-000046000000}"/>
    <cellStyle name="Moeda 4" xfId="23" xr:uid="{00000000-0005-0000-0000-000047000000}"/>
    <cellStyle name="Neutra 2" xfId="92" xr:uid="{00000000-0005-0000-0000-000048000000}"/>
    <cellStyle name="Neutral" xfId="93" xr:uid="{00000000-0005-0000-0000-000049000000}"/>
    <cellStyle name="Normal" xfId="0" builtinId="0"/>
    <cellStyle name="Normal 12 2" xfId="109" xr:uid="{EBFA2FA5-52F3-4189-92DA-15145463E21E}"/>
    <cellStyle name="Normal 2" xfId="9" xr:uid="{00000000-0005-0000-0000-00004B000000}"/>
    <cellStyle name="Normal 2 2" xfId="16" xr:uid="{00000000-0005-0000-0000-00004C000000}"/>
    <cellStyle name="Normal 3" xfId="4" xr:uid="{00000000-0005-0000-0000-00004D000000}"/>
    <cellStyle name="Normal 3 2" xfId="14" xr:uid="{00000000-0005-0000-0000-00004E000000}"/>
    <cellStyle name="Normal 3 2 2" xfId="26" xr:uid="{00000000-0005-0000-0000-00004F000000}"/>
    <cellStyle name="Normal 3 2 3" xfId="20" xr:uid="{00000000-0005-0000-0000-000050000000}"/>
    <cellStyle name="Normal 3 3" xfId="24" xr:uid="{00000000-0005-0000-0000-000051000000}"/>
    <cellStyle name="Normal 3 4" xfId="19" xr:uid="{00000000-0005-0000-0000-000052000000}"/>
    <cellStyle name="Normal 4" xfId="12" xr:uid="{00000000-0005-0000-0000-000053000000}"/>
    <cellStyle name="Normal 5" xfId="22" xr:uid="{00000000-0005-0000-0000-000054000000}"/>
    <cellStyle name="Normal 6" xfId="21" xr:uid="{00000000-0005-0000-0000-000055000000}"/>
    <cellStyle name="Nota 2" xfId="94" xr:uid="{00000000-0005-0000-0000-000056000000}"/>
    <cellStyle name="Note" xfId="95" xr:uid="{00000000-0005-0000-0000-000057000000}"/>
    <cellStyle name="Output" xfId="96" xr:uid="{00000000-0005-0000-0000-000058000000}"/>
    <cellStyle name="Porcentagem" xfId="5" builtinId="5"/>
    <cellStyle name="Porcentagem 2" xfId="25" xr:uid="{00000000-0005-0000-0000-00005A000000}"/>
    <cellStyle name="Saída 2" xfId="97" xr:uid="{00000000-0005-0000-0000-00005B000000}"/>
    <cellStyle name="Texto de Aviso 2" xfId="98" xr:uid="{00000000-0005-0000-0000-00005C000000}"/>
    <cellStyle name="Texto Explicativo 2" xfId="99" xr:uid="{00000000-0005-0000-0000-00005D000000}"/>
    <cellStyle name="Title" xfId="100" xr:uid="{00000000-0005-0000-0000-00005E000000}"/>
    <cellStyle name="Título 1 2" xfId="102" xr:uid="{00000000-0005-0000-0000-00005F000000}"/>
    <cellStyle name="Título 2 2" xfId="103" xr:uid="{00000000-0005-0000-0000-000060000000}"/>
    <cellStyle name="Título 3 2" xfId="104" xr:uid="{00000000-0005-0000-0000-000061000000}"/>
    <cellStyle name="Título 4 2" xfId="105" xr:uid="{00000000-0005-0000-0000-000062000000}"/>
    <cellStyle name="Título 5" xfId="101" xr:uid="{00000000-0005-0000-0000-000063000000}"/>
    <cellStyle name="Total 2" xfId="106" xr:uid="{00000000-0005-0000-0000-000064000000}"/>
    <cellStyle name="Vírgula" xfId="108" builtinId="3"/>
    <cellStyle name="Vírgula 2" xfId="6" xr:uid="{00000000-0005-0000-0000-000065000000}"/>
    <cellStyle name="Vírgula 2 2" xfId="15" xr:uid="{00000000-0005-0000-0000-000066000000}"/>
    <cellStyle name="Vírgula 3" xfId="11" xr:uid="{00000000-0005-0000-0000-000067000000}"/>
    <cellStyle name="Vírgula 3 2" xfId="18" xr:uid="{00000000-0005-0000-0000-000068000000}"/>
    <cellStyle name="Vírgula 4" xfId="7" xr:uid="{00000000-0005-0000-0000-000069000000}"/>
    <cellStyle name="Vírgula 4 2" xfId="8" xr:uid="{00000000-0005-0000-0000-00006A000000}"/>
    <cellStyle name="Warning Text" xfId="107" xr:uid="{00000000-0005-0000-0000-00006B000000}"/>
  </cellStyles>
  <dxfs count="0"/>
  <tableStyles count="0" defaultTableStyle="TableStyleMedium2" defaultPivotStyle="PivotStyleLight16"/>
  <colors>
    <mruColors>
      <color rgb="FFFF5050"/>
      <color rgb="FFFF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4.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externalLink" Target="externalLinks/externalLink2.xml"/><Relationship Id="rId40" Type="http://schemas.openxmlformats.org/officeDocument/2006/relationships/externalLink" Target="externalLinks/externalLink5.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sharedStrings" Target="sharedStrings.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externalLink" Target="externalLinks/externalLink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3.jpeg"/></Relationships>
</file>

<file path=xl/drawings/_rels/drawing8.xml.rels><?xml version="1.0" encoding="UTF-8" standalone="yes"?>
<Relationships xmlns="http://schemas.openxmlformats.org/package/2006/relationships"><Relationship Id="rId1" Type="http://schemas.openxmlformats.org/officeDocument/2006/relationships/image" Target="../media/image4.png"/></Relationships>
</file>

<file path=xl/drawings/_rels/drawing9.xml.rels><?xml version="1.0" encoding="UTF-8" standalone="yes"?>
<Relationships xmlns="http://schemas.openxmlformats.org/package/2006/relationships"><Relationship Id="rId2" Type="http://schemas.openxmlformats.org/officeDocument/2006/relationships/image" Target="../media/image6.jpeg"/><Relationship Id="rId1" Type="http://schemas.openxmlformats.org/officeDocument/2006/relationships/image" Target="../media/image5.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7.jpeg"/></Relationships>
</file>

<file path=xl/drawings/_rels/vmlDrawing11.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xdr:from>
      <xdr:col>3</xdr:col>
      <xdr:colOff>104775</xdr:colOff>
      <xdr:row>1</xdr:row>
      <xdr:rowOff>95250</xdr:rowOff>
    </xdr:from>
    <xdr:to>
      <xdr:col>7</xdr:col>
      <xdr:colOff>293373</xdr:colOff>
      <xdr:row>4</xdr:row>
      <xdr:rowOff>82456</xdr:rowOff>
    </xdr:to>
    <xdr:sp macro="" textlink="">
      <xdr:nvSpPr>
        <xdr:cNvPr id="6" name="Text Box 5">
          <a:extLst>
            <a:ext uri="{FF2B5EF4-FFF2-40B4-BE49-F238E27FC236}">
              <a16:creationId xmlns:a16="http://schemas.microsoft.com/office/drawing/2014/main" id="{00000000-0008-0000-0000-000006000000}"/>
            </a:ext>
          </a:extLst>
        </xdr:cNvPr>
        <xdr:cNvSpPr txBox="1">
          <a:spLocks noChangeArrowheads="1"/>
        </xdr:cNvSpPr>
      </xdr:nvSpPr>
      <xdr:spPr bwMode="auto">
        <a:xfrm>
          <a:off x="1885950" y="257175"/>
          <a:ext cx="5617848" cy="472981"/>
        </a:xfrm>
        <a:prstGeom prst="rect">
          <a:avLst/>
        </a:prstGeom>
        <a:noFill/>
        <a:ln>
          <a:noFill/>
        </a:ln>
      </xdr:spPr>
      <xdr:txBody>
        <a:bodyPr vertOverflow="clip" wrap="square" lIns="27432" tIns="22860" rIns="27432" bIns="0" anchor="t" upright="1"/>
        <a:lstStyle/>
        <a:p>
          <a:pPr algn="ctr" rtl="0">
            <a:defRPr sz="1000"/>
          </a:pPr>
          <a:r>
            <a:rPr lang="pt-BR" sz="1100" b="1" i="0" u="none" strike="noStrike" baseline="0">
              <a:solidFill>
                <a:srgbClr val="000000"/>
              </a:solidFill>
              <a:latin typeface="Arial Black" panose="020B0A04020102020204" pitchFamily="34" charset="0"/>
              <a:cs typeface="Arial"/>
            </a:rPr>
            <a:t>PREFEITURA MUNICIPAL</a:t>
          </a:r>
        </a:p>
        <a:p>
          <a:pPr algn="ctr" rtl="0">
            <a:defRPr sz="1000"/>
          </a:pPr>
          <a:r>
            <a:rPr lang="pt-BR" sz="1100" b="1" i="0" baseline="0">
              <a:latin typeface="Arial Black" pitchFamily="34" charset="0"/>
              <a:ea typeface="+mn-ea"/>
              <a:cs typeface="+mn-cs"/>
            </a:rPr>
            <a:t>DE MAMANGUAPE - PB</a:t>
          </a:r>
          <a:endParaRPr lang="pt-BR" sz="1100" b="1" i="0" u="none" strike="noStrike" baseline="0">
            <a:solidFill>
              <a:srgbClr val="000000"/>
            </a:solidFill>
            <a:latin typeface="Arial Black" pitchFamily="34" charset="0"/>
            <a:cs typeface="Arial"/>
          </a:endParaRPr>
        </a:p>
      </xdr:txBody>
    </xdr:sp>
    <xdr:clientData/>
  </xdr:twoCellAnchor>
  <xdr:twoCellAnchor editAs="oneCell">
    <xdr:from>
      <xdr:col>1</xdr:col>
      <xdr:colOff>330797</xdr:colOff>
      <xdr:row>0</xdr:row>
      <xdr:rowOff>123265</xdr:rowOff>
    </xdr:from>
    <xdr:to>
      <xdr:col>2</xdr:col>
      <xdr:colOff>336560</xdr:colOff>
      <xdr:row>4</xdr:row>
      <xdr:rowOff>76787</xdr:rowOff>
    </xdr:to>
    <xdr:pic>
      <xdr:nvPicPr>
        <xdr:cNvPr id="3" name="Imagem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72757" y="123265"/>
          <a:ext cx="630603" cy="62408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719667</xdr:colOff>
      <xdr:row>1</xdr:row>
      <xdr:rowOff>31750</xdr:rowOff>
    </xdr:from>
    <xdr:to>
      <xdr:col>9</xdr:col>
      <xdr:colOff>166109</xdr:colOff>
      <xdr:row>5</xdr:row>
      <xdr:rowOff>42768</xdr:rowOff>
    </xdr:to>
    <xdr:sp macro="" textlink="">
      <xdr:nvSpPr>
        <xdr:cNvPr id="7" name="Text Box 5">
          <a:extLst>
            <a:ext uri="{FF2B5EF4-FFF2-40B4-BE49-F238E27FC236}">
              <a16:creationId xmlns:a16="http://schemas.microsoft.com/office/drawing/2014/main" id="{00000000-0008-0000-0100-000007000000}"/>
            </a:ext>
          </a:extLst>
        </xdr:cNvPr>
        <xdr:cNvSpPr txBox="1">
          <a:spLocks noChangeArrowheads="1"/>
        </xdr:cNvSpPr>
      </xdr:nvSpPr>
      <xdr:spPr bwMode="auto">
        <a:xfrm>
          <a:off x="1153584" y="190500"/>
          <a:ext cx="5605942" cy="646018"/>
        </a:xfrm>
        <a:prstGeom prst="rect">
          <a:avLst/>
        </a:prstGeom>
        <a:noFill/>
        <a:ln>
          <a:noFill/>
        </a:ln>
      </xdr:spPr>
      <xdr:txBody>
        <a:bodyPr vertOverflow="clip" wrap="square" lIns="27432" tIns="22860" rIns="27432" bIns="0" anchor="t" upright="1"/>
        <a:lstStyle/>
        <a:p>
          <a:pPr algn="ctr" rtl="0">
            <a:defRPr sz="1000"/>
          </a:pPr>
          <a:r>
            <a:rPr lang="pt-BR" sz="1100" b="1" i="0" u="none" strike="noStrike" baseline="0">
              <a:solidFill>
                <a:srgbClr val="000000"/>
              </a:solidFill>
              <a:latin typeface="Arial Black" panose="020B0A04020102020204" pitchFamily="34" charset="0"/>
              <a:cs typeface="Arial"/>
            </a:rPr>
            <a:t>PREFEITURA MUNICIPAL</a:t>
          </a:r>
        </a:p>
        <a:p>
          <a:pPr algn="ctr" rtl="0">
            <a:defRPr sz="1000"/>
          </a:pPr>
          <a:r>
            <a:rPr lang="pt-BR" sz="1100" b="1" i="0" baseline="0">
              <a:latin typeface="Arial Black" pitchFamily="34" charset="0"/>
              <a:ea typeface="+mn-ea"/>
              <a:cs typeface="+mn-cs"/>
            </a:rPr>
            <a:t>DE MAMANGUAPE - PB</a:t>
          </a:r>
          <a:endParaRPr lang="pt-BR" sz="1100" b="1" i="0" u="none" strike="noStrike" baseline="0">
            <a:solidFill>
              <a:srgbClr val="000000"/>
            </a:solidFill>
            <a:latin typeface="Arial Black" pitchFamily="34" charset="0"/>
            <a:cs typeface="Arial"/>
          </a:endParaRPr>
        </a:p>
      </xdr:txBody>
    </xdr:sp>
    <xdr:clientData/>
  </xdr:twoCellAnchor>
  <xdr:twoCellAnchor editAs="oneCell">
    <xdr:from>
      <xdr:col>1</xdr:col>
      <xdr:colOff>116541</xdr:colOff>
      <xdr:row>0</xdr:row>
      <xdr:rowOff>134471</xdr:rowOff>
    </xdr:from>
    <xdr:to>
      <xdr:col>1</xdr:col>
      <xdr:colOff>749833</xdr:colOff>
      <xdr:row>4</xdr:row>
      <xdr:rowOff>85304</xdr:rowOff>
    </xdr:to>
    <xdr:pic>
      <xdr:nvPicPr>
        <xdr:cNvPr id="3" name="Imagem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55812" y="134471"/>
          <a:ext cx="633292" cy="63215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719667</xdr:colOff>
      <xdr:row>1</xdr:row>
      <xdr:rowOff>31750</xdr:rowOff>
    </xdr:from>
    <xdr:to>
      <xdr:col>9</xdr:col>
      <xdr:colOff>166109</xdr:colOff>
      <xdr:row>5</xdr:row>
      <xdr:rowOff>42768</xdr:rowOff>
    </xdr:to>
    <xdr:sp macro="" textlink="">
      <xdr:nvSpPr>
        <xdr:cNvPr id="2" name="Text Box 5">
          <a:extLst>
            <a:ext uri="{FF2B5EF4-FFF2-40B4-BE49-F238E27FC236}">
              <a16:creationId xmlns:a16="http://schemas.microsoft.com/office/drawing/2014/main" id="{00000000-0008-0000-0200-000002000000}"/>
            </a:ext>
          </a:extLst>
        </xdr:cNvPr>
        <xdr:cNvSpPr txBox="1">
          <a:spLocks noChangeArrowheads="1"/>
        </xdr:cNvSpPr>
      </xdr:nvSpPr>
      <xdr:spPr bwMode="auto">
        <a:xfrm>
          <a:off x="1161627" y="199390"/>
          <a:ext cx="6273962" cy="681578"/>
        </a:xfrm>
        <a:prstGeom prst="rect">
          <a:avLst/>
        </a:prstGeom>
        <a:noFill/>
        <a:ln>
          <a:noFill/>
        </a:ln>
      </xdr:spPr>
      <xdr:txBody>
        <a:bodyPr vertOverflow="clip" wrap="square" lIns="27432" tIns="22860" rIns="27432" bIns="0" anchor="t" upright="1"/>
        <a:lstStyle/>
        <a:p>
          <a:pPr algn="ctr" rtl="0">
            <a:defRPr sz="1000"/>
          </a:pPr>
          <a:r>
            <a:rPr lang="pt-BR" sz="1100" b="1" i="0" u="none" strike="noStrike" baseline="0">
              <a:solidFill>
                <a:srgbClr val="000000"/>
              </a:solidFill>
              <a:latin typeface="Arial Black" panose="020B0A04020102020204" pitchFamily="34" charset="0"/>
              <a:cs typeface="Arial"/>
            </a:rPr>
            <a:t>PREFEITURA MUNICIPAL</a:t>
          </a:r>
        </a:p>
        <a:p>
          <a:pPr algn="ctr" rtl="0">
            <a:defRPr sz="1000"/>
          </a:pPr>
          <a:r>
            <a:rPr lang="pt-BR" sz="1100" b="1" i="0" baseline="0">
              <a:latin typeface="Arial Black" pitchFamily="34" charset="0"/>
              <a:ea typeface="+mn-ea"/>
              <a:cs typeface="+mn-cs"/>
            </a:rPr>
            <a:t>DE MAMANGUAPE - PB</a:t>
          </a:r>
          <a:endParaRPr lang="pt-BR" sz="1100" b="1" i="0" u="none" strike="noStrike" baseline="0">
            <a:solidFill>
              <a:srgbClr val="000000"/>
            </a:solidFill>
            <a:latin typeface="Arial Black" pitchFamily="34" charset="0"/>
            <a:cs typeface="Arial"/>
          </a:endParaRPr>
        </a:p>
      </xdr:txBody>
    </xdr:sp>
    <xdr:clientData/>
  </xdr:twoCellAnchor>
  <xdr:twoCellAnchor editAs="oneCell">
    <xdr:from>
      <xdr:col>1</xdr:col>
      <xdr:colOff>116541</xdr:colOff>
      <xdr:row>0</xdr:row>
      <xdr:rowOff>134471</xdr:rowOff>
    </xdr:from>
    <xdr:to>
      <xdr:col>1</xdr:col>
      <xdr:colOff>749833</xdr:colOff>
      <xdr:row>4</xdr:row>
      <xdr:rowOff>85304</xdr:rowOff>
    </xdr:to>
    <xdr:pic>
      <xdr:nvPicPr>
        <xdr:cNvPr id="3" name="Imagem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58501" y="134471"/>
          <a:ext cx="633292" cy="621393"/>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956422</xdr:colOff>
      <xdr:row>1</xdr:row>
      <xdr:rowOff>166968</xdr:rowOff>
    </xdr:from>
    <xdr:to>
      <xdr:col>4</xdr:col>
      <xdr:colOff>493059</xdr:colOff>
      <xdr:row>4</xdr:row>
      <xdr:rowOff>154173</xdr:rowOff>
    </xdr:to>
    <xdr:sp macro="" textlink="">
      <xdr:nvSpPr>
        <xdr:cNvPr id="6" name="Text Box 5">
          <a:extLst>
            <a:ext uri="{FF2B5EF4-FFF2-40B4-BE49-F238E27FC236}">
              <a16:creationId xmlns:a16="http://schemas.microsoft.com/office/drawing/2014/main" id="{00000000-0008-0000-0300-000006000000}"/>
            </a:ext>
          </a:extLst>
        </xdr:cNvPr>
        <xdr:cNvSpPr txBox="1">
          <a:spLocks noChangeArrowheads="1"/>
        </xdr:cNvSpPr>
      </xdr:nvSpPr>
      <xdr:spPr bwMode="auto">
        <a:xfrm>
          <a:off x="2148728" y="337297"/>
          <a:ext cx="2477060" cy="498194"/>
        </a:xfrm>
        <a:prstGeom prst="rect">
          <a:avLst/>
        </a:prstGeom>
        <a:noFill/>
        <a:ln>
          <a:noFill/>
        </a:ln>
      </xdr:spPr>
      <xdr:txBody>
        <a:bodyPr vertOverflow="clip" wrap="square" lIns="27432" tIns="22860" rIns="27432" bIns="0" anchor="t" upright="1"/>
        <a:lstStyle/>
        <a:p>
          <a:pPr algn="ctr" rtl="0">
            <a:defRPr sz="1000"/>
          </a:pPr>
          <a:r>
            <a:rPr lang="pt-BR" sz="1100" b="1" i="0" u="none" strike="noStrike" baseline="0">
              <a:solidFill>
                <a:srgbClr val="000000"/>
              </a:solidFill>
              <a:latin typeface="Arial Black" panose="020B0A04020102020204" pitchFamily="34" charset="0"/>
              <a:cs typeface="Arial"/>
            </a:rPr>
            <a:t>PREFEITURA MUNICIPAL</a:t>
          </a:r>
        </a:p>
        <a:p>
          <a:pPr algn="ctr" rtl="0">
            <a:defRPr sz="1000"/>
          </a:pPr>
          <a:r>
            <a:rPr lang="pt-BR" sz="1100" b="1" i="0" baseline="0">
              <a:latin typeface="Arial Black" pitchFamily="34" charset="0"/>
              <a:ea typeface="+mn-ea"/>
              <a:cs typeface="+mn-cs"/>
            </a:rPr>
            <a:t>DE MAMANGUAPE - PB</a:t>
          </a:r>
          <a:endParaRPr lang="pt-BR" sz="1100" b="1" i="0" u="none" strike="noStrike" baseline="0">
            <a:solidFill>
              <a:srgbClr val="000000"/>
            </a:solidFill>
            <a:latin typeface="Arial Black" pitchFamily="34" charset="0"/>
            <a:cs typeface="Arial"/>
          </a:endParaRPr>
        </a:p>
      </xdr:txBody>
    </xdr:sp>
    <xdr:clientData/>
  </xdr:twoCellAnchor>
  <xdr:twoCellAnchor editAs="oneCell">
    <xdr:from>
      <xdr:col>1</xdr:col>
      <xdr:colOff>322728</xdr:colOff>
      <xdr:row>1</xdr:row>
      <xdr:rowOff>35860</xdr:rowOff>
    </xdr:from>
    <xdr:to>
      <xdr:col>1</xdr:col>
      <xdr:colOff>953331</xdr:colOff>
      <xdr:row>4</xdr:row>
      <xdr:rowOff>157021</xdr:rowOff>
    </xdr:to>
    <xdr:pic>
      <xdr:nvPicPr>
        <xdr:cNvPr id="7" name="Imagem 6">
          <a:extLst>
            <a:ext uri="{FF2B5EF4-FFF2-40B4-BE49-F238E27FC236}">
              <a16:creationId xmlns:a16="http://schemas.microsoft.com/office/drawing/2014/main" id="{00000000-0008-0000-0300-000007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02022" y="206189"/>
          <a:ext cx="630603" cy="63215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3</xdr:col>
      <xdr:colOff>104775</xdr:colOff>
      <xdr:row>1</xdr:row>
      <xdr:rowOff>95250</xdr:rowOff>
    </xdr:from>
    <xdr:to>
      <xdr:col>7</xdr:col>
      <xdr:colOff>293373</xdr:colOff>
      <xdr:row>4</xdr:row>
      <xdr:rowOff>82456</xdr:rowOff>
    </xdr:to>
    <xdr:sp macro="" textlink="">
      <xdr:nvSpPr>
        <xdr:cNvPr id="2" name="Text Box 5">
          <a:extLst>
            <a:ext uri="{FF2B5EF4-FFF2-40B4-BE49-F238E27FC236}">
              <a16:creationId xmlns:a16="http://schemas.microsoft.com/office/drawing/2014/main" id="{00000000-0008-0000-0400-000002000000}"/>
            </a:ext>
          </a:extLst>
        </xdr:cNvPr>
        <xdr:cNvSpPr txBox="1">
          <a:spLocks noChangeArrowheads="1"/>
        </xdr:cNvSpPr>
      </xdr:nvSpPr>
      <xdr:spPr bwMode="auto">
        <a:xfrm>
          <a:off x="1885950" y="257175"/>
          <a:ext cx="5065398" cy="472981"/>
        </a:xfrm>
        <a:prstGeom prst="rect">
          <a:avLst/>
        </a:prstGeom>
        <a:noFill/>
        <a:ln>
          <a:noFill/>
        </a:ln>
      </xdr:spPr>
      <xdr:txBody>
        <a:bodyPr vertOverflow="clip" wrap="square" lIns="27432" tIns="22860" rIns="27432" bIns="0" anchor="t" upright="1"/>
        <a:lstStyle/>
        <a:p>
          <a:pPr algn="ctr" rtl="0">
            <a:defRPr sz="1000"/>
          </a:pPr>
          <a:r>
            <a:rPr lang="pt-BR" sz="1100" b="1" i="0" u="none" strike="noStrike" baseline="0">
              <a:solidFill>
                <a:srgbClr val="000000"/>
              </a:solidFill>
              <a:latin typeface="Arial Black" panose="020B0A04020102020204" pitchFamily="34" charset="0"/>
              <a:cs typeface="Arial"/>
            </a:rPr>
            <a:t>PREFEITURA MUNICIPAL</a:t>
          </a:r>
        </a:p>
        <a:p>
          <a:pPr algn="ctr" rtl="0">
            <a:defRPr sz="1000"/>
          </a:pPr>
          <a:r>
            <a:rPr lang="pt-BR" sz="1100" b="1" i="0" baseline="0">
              <a:latin typeface="Arial Black" pitchFamily="34" charset="0"/>
              <a:ea typeface="+mn-ea"/>
              <a:cs typeface="+mn-cs"/>
            </a:rPr>
            <a:t>DE MAMANGUAPE - PB</a:t>
          </a:r>
          <a:endParaRPr lang="pt-BR" sz="1100" b="1" i="0" u="none" strike="noStrike" baseline="0">
            <a:solidFill>
              <a:srgbClr val="000000"/>
            </a:solidFill>
            <a:latin typeface="Arial Black" pitchFamily="34" charset="0"/>
            <a:cs typeface="Arial"/>
          </a:endParaRPr>
        </a:p>
      </xdr:txBody>
    </xdr:sp>
    <xdr:clientData/>
  </xdr:twoCellAnchor>
  <xdr:twoCellAnchor editAs="oneCell">
    <xdr:from>
      <xdr:col>1</xdr:col>
      <xdr:colOff>330797</xdr:colOff>
      <xdr:row>0</xdr:row>
      <xdr:rowOff>123265</xdr:rowOff>
    </xdr:from>
    <xdr:to>
      <xdr:col>2</xdr:col>
      <xdr:colOff>336560</xdr:colOff>
      <xdr:row>4</xdr:row>
      <xdr:rowOff>76787</xdr:rowOff>
    </xdr:to>
    <xdr:pic>
      <xdr:nvPicPr>
        <xdr:cNvPr id="3" name="Imagem 2">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59422" y="123265"/>
          <a:ext cx="615363" cy="601222"/>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304800</xdr:colOff>
          <xdr:row>17</xdr:row>
          <xdr:rowOff>76200</xdr:rowOff>
        </xdr:from>
        <xdr:to>
          <xdr:col>3</xdr:col>
          <xdr:colOff>428625</xdr:colOff>
          <xdr:row>19</xdr:row>
          <xdr:rowOff>142875</xdr:rowOff>
        </xdr:to>
        <xdr:sp macro="" textlink="">
          <xdr:nvSpPr>
            <xdr:cNvPr id="30721" name="Picture 1" hidden="1">
              <a:extLst>
                <a:ext uri="{63B3BB69-23CF-44E3-9099-C40C66FF867C}">
                  <a14:compatExt spid="_x0000_s30721"/>
                </a:ext>
                <a:ext uri="{FF2B5EF4-FFF2-40B4-BE49-F238E27FC236}">
                  <a16:creationId xmlns:a16="http://schemas.microsoft.com/office/drawing/2014/main" id="{00000000-0008-0000-1100-000001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18</xdr:col>
      <xdr:colOff>304800</xdr:colOff>
      <xdr:row>93</xdr:row>
      <xdr:rowOff>133350</xdr:rowOff>
    </xdr:to>
    <xdr:pic>
      <xdr:nvPicPr>
        <xdr:cNvPr id="2" name="Imagem 1">
          <a:extLst>
            <a:ext uri="{FF2B5EF4-FFF2-40B4-BE49-F238E27FC236}">
              <a16:creationId xmlns:a16="http://schemas.microsoft.com/office/drawing/2014/main" id="{00000000-0008-0000-1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61925"/>
          <a:ext cx="11277600" cy="150304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7</xdr:col>
      <xdr:colOff>373061</xdr:colOff>
      <xdr:row>0</xdr:row>
      <xdr:rowOff>158750</xdr:rowOff>
    </xdr:from>
    <xdr:to>
      <xdr:col>7</xdr:col>
      <xdr:colOff>888999</xdr:colOff>
      <xdr:row>1</xdr:row>
      <xdr:rowOff>407266</xdr:rowOff>
    </xdr:to>
    <xdr:pic>
      <xdr:nvPicPr>
        <xdr:cNvPr id="7" name="Imagem 1">
          <a:extLst>
            <a:ext uri="{FF2B5EF4-FFF2-40B4-BE49-F238E27FC236}">
              <a16:creationId xmlns:a16="http://schemas.microsoft.com/office/drawing/2014/main" id="{00000000-0008-0000-1300-00000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072061" y="317500"/>
          <a:ext cx="515938" cy="5818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xdr:from>
      <xdr:col>3</xdr:col>
      <xdr:colOff>0</xdr:colOff>
      <xdr:row>1</xdr:row>
      <xdr:rowOff>66675</xdr:rowOff>
    </xdr:from>
    <xdr:to>
      <xdr:col>3</xdr:col>
      <xdr:colOff>0</xdr:colOff>
      <xdr:row>5</xdr:row>
      <xdr:rowOff>142875</xdr:rowOff>
    </xdr:to>
    <xdr:pic>
      <xdr:nvPicPr>
        <xdr:cNvPr id="2" name="Picture 1">
          <a:extLst>
            <a:ext uri="{FF2B5EF4-FFF2-40B4-BE49-F238E27FC236}">
              <a16:creationId xmlns:a16="http://schemas.microsoft.com/office/drawing/2014/main" id="{00000000-0008-0000-1E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86575" y="285750"/>
          <a:ext cx="0"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3114675</xdr:colOff>
      <xdr:row>1</xdr:row>
      <xdr:rowOff>66675</xdr:rowOff>
    </xdr:from>
    <xdr:to>
      <xdr:col>2</xdr:col>
      <xdr:colOff>3800475</xdr:colOff>
      <xdr:row>6</xdr:row>
      <xdr:rowOff>0</xdr:rowOff>
    </xdr:to>
    <xdr:pic>
      <xdr:nvPicPr>
        <xdr:cNvPr id="3" name="Imagem 1">
          <a:extLst>
            <a:ext uri="{FF2B5EF4-FFF2-40B4-BE49-F238E27FC236}">
              <a16:creationId xmlns:a16="http://schemas.microsoft.com/office/drawing/2014/main" id="{00000000-0008-0000-1E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048125" y="285750"/>
          <a:ext cx="685800"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xdr:from>
      <xdr:col>1</xdr:col>
      <xdr:colOff>419100</xdr:colOff>
      <xdr:row>1</xdr:row>
      <xdr:rowOff>15240</xdr:rowOff>
    </xdr:from>
    <xdr:to>
      <xdr:col>7</xdr:col>
      <xdr:colOff>228612</xdr:colOff>
      <xdr:row>5</xdr:row>
      <xdr:rowOff>105596</xdr:rowOff>
    </xdr:to>
    <xdr:sp macro="" textlink="">
      <xdr:nvSpPr>
        <xdr:cNvPr id="3" name="Text Box 5">
          <a:extLst>
            <a:ext uri="{FF2B5EF4-FFF2-40B4-BE49-F238E27FC236}">
              <a16:creationId xmlns:a16="http://schemas.microsoft.com/office/drawing/2014/main" id="{00000000-0008-0000-1F00-000003000000}"/>
            </a:ext>
          </a:extLst>
        </xdr:cNvPr>
        <xdr:cNvSpPr txBox="1">
          <a:spLocks noChangeArrowheads="1"/>
        </xdr:cNvSpPr>
      </xdr:nvSpPr>
      <xdr:spPr bwMode="auto">
        <a:xfrm>
          <a:off x="1028700" y="182880"/>
          <a:ext cx="6286512" cy="692336"/>
        </a:xfrm>
        <a:prstGeom prst="rect">
          <a:avLst/>
        </a:prstGeom>
        <a:noFill/>
        <a:ln>
          <a:noFill/>
        </a:ln>
      </xdr:spPr>
      <xdr:txBody>
        <a:bodyPr vertOverflow="clip" wrap="square" lIns="27432" tIns="22860" rIns="27432" bIns="0" anchor="t" upright="1"/>
        <a:lstStyle/>
        <a:p>
          <a:pPr algn="ctr" rtl="0">
            <a:defRPr sz="1000"/>
          </a:pPr>
          <a:r>
            <a:rPr lang="pt-BR" sz="1100" b="1" i="0" u="none" strike="noStrike" baseline="0">
              <a:solidFill>
                <a:srgbClr val="000000"/>
              </a:solidFill>
              <a:latin typeface="Arial Black" panose="020B0A04020102020204" pitchFamily="34" charset="0"/>
              <a:cs typeface="Arial"/>
            </a:rPr>
            <a:t>PREFEITURA MUNICIPAL</a:t>
          </a:r>
        </a:p>
        <a:p>
          <a:pPr algn="ctr" rtl="0">
            <a:defRPr sz="1000"/>
          </a:pPr>
          <a:r>
            <a:rPr lang="pt-BR" sz="1100" b="1" i="0" baseline="0">
              <a:latin typeface="Arial Black" pitchFamily="34" charset="0"/>
              <a:ea typeface="+mn-ea"/>
              <a:cs typeface="+mn-cs"/>
            </a:rPr>
            <a:t>DE MAMANGUAPE - PB</a:t>
          </a:r>
          <a:endParaRPr lang="pt-BR" sz="1100" b="1" i="0" u="none" strike="noStrike" baseline="0">
            <a:solidFill>
              <a:srgbClr val="000000"/>
            </a:solidFill>
            <a:latin typeface="Arial Black" pitchFamily="34" charset="0"/>
            <a:cs typeface="Arial"/>
          </a:endParaRPr>
        </a:p>
      </xdr:txBody>
    </xdr:sp>
    <xdr:clientData/>
  </xdr:twoCellAnchor>
  <xdr:twoCellAnchor editAs="oneCell">
    <xdr:from>
      <xdr:col>1</xdr:col>
      <xdr:colOff>480060</xdr:colOff>
      <xdr:row>0</xdr:row>
      <xdr:rowOff>76200</xdr:rowOff>
    </xdr:from>
    <xdr:to>
      <xdr:col>2</xdr:col>
      <xdr:colOff>503752</xdr:colOff>
      <xdr:row>4</xdr:row>
      <xdr:rowOff>129231</xdr:rowOff>
    </xdr:to>
    <xdr:pic>
      <xdr:nvPicPr>
        <xdr:cNvPr id="4" name="Imagem 3">
          <a:extLst>
            <a:ext uri="{FF2B5EF4-FFF2-40B4-BE49-F238E27FC236}">
              <a16:creationId xmlns:a16="http://schemas.microsoft.com/office/drawing/2014/main" id="{00000000-0008-0000-1F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89660" y="76200"/>
          <a:ext cx="633292" cy="632151"/>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19050</xdr:colOff>
      <xdr:row>1</xdr:row>
      <xdr:rowOff>19050</xdr:rowOff>
    </xdr:from>
    <xdr:to>
      <xdr:col>2</xdr:col>
      <xdr:colOff>990600</xdr:colOff>
      <xdr:row>2</xdr:row>
      <xdr:rowOff>133350</xdr:rowOff>
    </xdr:to>
    <xdr:pic>
      <xdr:nvPicPr>
        <xdr:cNvPr id="13599" name="Imagem 2" descr="http://intoo.com.br/blog/wp-content/uploads/2014/05/caixa-3d-positivo.jpg">
          <a:extLst>
            <a:ext uri="{FF2B5EF4-FFF2-40B4-BE49-F238E27FC236}">
              <a16:creationId xmlns:a16="http://schemas.microsoft.com/office/drawing/2014/main" id="{00000000-0008-0000-2000-00001F35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95275" y="180975"/>
          <a:ext cx="1285875"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xdr:colOff>
      <xdr:row>21</xdr:row>
      <xdr:rowOff>121921</xdr:rowOff>
    </xdr:from>
    <xdr:to>
      <xdr:col>4</xdr:col>
      <xdr:colOff>523875</xdr:colOff>
      <xdr:row>24</xdr:row>
      <xdr:rowOff>83345</xdr:rowOff>
    </xdr:to>
    <xdr:sp macro="" textlink="">
      <xdr:nvSpPr>
        <xdr:cNvPr id="4" name="CaixaDeTexto 3">
          <a:extLst>
            <a:ext uri="{FF2B5EF4-FFF2-40B4-BE49-F238E27FC236}">
              <a16:creationId xmlns:a16="http://schemas.microsoft.com/office/drawing/2014/main" id="{00000000-0008-0000-2000-000004000000}"/>
            </a:ext>
          </a:extLst>
        </xdr:cNvPr>
        <xdr:cNvSpPr txBox="1"/>
      </xdr:nvSpPr>
      <xdr:spPr>
        <a:xfrm>
          <a:off x="273845" y="3920015"/>
          <a:ext cx="2869405" cy="46148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pt-BR" sz="800" u="sng"/>
            <a:t>Assunção - PB,</a:t>
          </a:r>
          <a:r>
            <a:rPr lang="pt-BR" sz="800" u="sng" baseline="0"/>
            <a:t>  </a:t>
          </a:r>
          <a:r>
            <a:rPr lang="pt-BR" sz="800" u="none" baseline="0"/>
            <a:t>____________/______________/2019</a:t>
          </a:r>
          <a:endParaRPr lang="pt-BR" sz="800" u="sng"/>
        </a:p>
        <a:p>
          <a:r>
            <a:rPr lang="pt-BR" sz="800" b="1"/>
            <a:t>Local/Data</a:t>
          </a:r>
        </a:p>
        <a:p>
          <a:endParaRPr lang="pt-BR" sz="800"/>
        </a:p>
      </xdr:txBody>
    </xdr:sp>
    <xdr:clientData/>
  </xdr:twoCellAnchor>
  <xdr:twoCellAnchor>
    <xdr:from>
      <xdr:col>1</xdr:col>
      <xdr:colOff>9525</xdr:colOff>
      <xdr:row>26</xdr:row>
      <xdr:rowOff>19050</xdr:rowOff>
    </xdr:from>
    <xdr:to>
      <xdr:col>7</xdr:col>
      <xdr:colOff>219075</xdr:colOff>
      <xdr:row>36</xdr:row>
      <xdr:rowOff>134658</xdr:rowOff>
    </xdr:to>
    <xdr:sp macro="" textlink="">
      <xdr:nvSpPr>
        <xdr:cNvPr id="5" name="CaixaDeTexto 4">
          <a:extLst>
            <a:ext uri="{FF2B5EF4-FFF2-40B4-BE49-F238E27FC236}">
              <a16:creationId xmlns:a16="http://schemas.microsoft.com/office/drawing/2014/main" id="{00000000-0008-0000-2000-000005000000}"/>
            </a:ext>
          </a:extLst>
        </xdr:cNvPr>
        <xdr:cNvSpPr txBox="1"/>
      </xdr:nvSpPr>
      <xdr:spPr>
        <a:xfrm>
          <a:off x="285750" y="6076950"/>
          <a:ext cx="5334000" cy="17272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100"/>
            </a:lnSpc>
          </a:pPr>
          <a:r>
            <a:rPr lang="pt-BR" sz="800" u="sng"/>
            <a:t>__________________________________________</a:t>
          </a:r>
        </a:p>
        <a:p>
          <a:pPr>
            <a:lnSpc>
              <a:spcPts val="1100"/>
            </a:lnSpc>
          </a:pPr>
          <a:r>
            <a:rPr lang="pt-BR" sz="800" b="1"/>
            <a:t>Assinatura do representante</a:t>
          </a:r>
          <a:r>
            <a:rPr lang="pt-BR" sz="800" b="1" baseline="0"/>
            <a:t> da equipe técnica</a:t>
          </a:r>
        </a:p>
        <a:p>
          <a:pPr>
            <a:lnSpc>
              <a:spcPts val="1100"/>
            </a:lnSpc>
          </a:pPr>
          <a:r>
            <a:rPr lang="pt-BR" sz="800" b="1" baseline="0"/>
            <a:t>Nome: </a:t>
          </a:r>
          <a:r>
            <a:rPr lang="pt-BR" sz="800" b="0" baseline="0"/>
            <a:t>Ádney José Duarte de Souza</a:t>
          </a:r>
        </a:p>
        <a:p>
          <a:pPr>
            <a:lnSpc>
              <a:spcPts val="1100"/>
            </a:lnSpc>
          </a:pPr>
          <a:r>
            <a:rPr lang="pt-BR" sz="800" b="1" baseline="0"/>
            <a:t>Cargo: </a:t>
          </a:r>
          <a:r>
            <a:rPr lang="pt-BR" sz="800" b="0" baseline="0"/>
            <a:t>Engenheiro Civil</a:t>
          </a:r>
        </a:p>
        <a:p>
          <a:pPr>
            <a:lnSpc>
              <a:spcPts val="900"/>
            </a:lnSpc>
          </a:pPr>
          <a:r>
            <a:rPr lang="pt-BR" sz="800" b="1" baseline="0"/>
            <a:t>CREA: </a:t>
          </a:r>
          <a:r>
            <a:rPr lang="pt-BR" sz="800" b="0" baseline="0"/>
            <a:t>160.190.012-0</a:t>
          </a:r>
        </a:p>
        <a:p>
          <a:pPr>
            <a:lnSpc>
              <a:spcPts val="900"/>
            </a:lnSpc>
          </a:pPr>
          <a:endParaRPr lang="pt-BR" sz="800" b="1" baseline="0"/>
        </a:p>
        <a:p>
          <a:endParaRPr lang="pt-BR" sz="800"/>
        </a:p>
      </xdr:txBody>
    </xdr:sp>
    <xdr:clientData/>
  </xdr:twoCellAnchor>
  <xdr:twoCellAnchor>
    <xdr:from>
      <xdr:col>4</xdr:col>
      <xdr:colOff>514350</xdr:colOff>
      <xdr:row>26</xdr:row>
      <xdr:rowOff>60325</xdr:rowOff>
    </xdr:from>
    <xdr:to>
      <xdr:col>8</xdr:col>
      <xdr:colOff>273050</xdr:colOff>
      <xdr:row>32</xdr:row>
      <xdr:rowOff>60325</xdr:rowOff>
    </xdr:to>
    <xdr:sp macro="" textlink="">
      <xdr:nvSpPr>
        <xdr:cNvPr id="6" name="CaixaDeTexto 5">
          <a:extLst>
            <a:ext uri="{FF2B5EF4-FFF2-40B4-BE49-F238E27FC236}">
              <a16:creationId xmlns:a16="http://schemas.microsoft.com/office/drawing/2014/main" id="{00000000-0008-0000-2000-000006000000}"/>
            </a:ext>
          </a:extLst>
        </xdr:cNvPr>
        <xdr:cNvSpPr txBox="1"/>
      </xdr:nvSpPr>
      <xdr:spPr>
        <a:xfrm>
          <a:off x="3149600" y="6013450"/>
          <a:ext cx="3140075" cy="9525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pt-BR" sz="800" u="sng"/>
            <a:t>__________________________________________</a:t>
          </a:r>
        </a:p>
        <a:p>
          <a:r>
            <a:rPr lang="pt-BR" sz="800" b="1"/>
            <a:t>Assinatura do agente executor</a:t>
          </a:r>
          <a:endParaRPr lang="pt-BR" sz="800" b="1" baseline="0"/>
        </a:p>
        <a:p>
          <a:r>
            <a:rPr lang="pt-BR" sz="800" b="1" baseline="0"/>
            <a:t>Nome: </a:t>
          </a:r>
          <a:r>
            <a:rPr lang="pt-BR" sz="800" b="0" i="0">
              <a:solidFill>
                <a:schemeClr val="dk1"/>
              </a:solidFill>
              <a:effectLst/>
              <a:latin typeface="+mn-lt"/>
              <a:ea typeface="+mn-ea"/>
              <a:cs typeface="+mn-cs"/>
            </a:rPr>
            <a:t>Luiz Waldvogel de Oliveira Santos</a:t>
          </a:r>
        </a:p>
        <a:p>
          <a:r>
            <a:rPr lang="pt-BR" sz="800" b="1" baseline="0"/>
            <a:t>Cargo: </a:t>
          </a:r>
          <a:r>
            <a:rPr lang="pt-BR" sz="800" b="0" baseline="0"/>
            <a:t>Prefeita Constitucional </a:t>
          </a:r>
        </a:p>
        <a:p>
          <a:endParaRPr lang="pt-BR" sz="8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RB%20INFORM&#193;TICA/Desktop/TRABALHO/CIDADES/BANANEIRAS/PAVIMENTA&#199;&#195;O/Final/PLE%20%20-%20PAVIMENTA&#199;&#195;O%20BANANEIR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Kleber/Documents/EPE/Mamanguape/CT%201083373-51/Mem&#243;rias_e_Planilhas_-_nova_-_jan.2023.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Kleber/Documents/Mamanguape/Pavimenta&#231;&#227;o%20Vale%20Verde/Planilha%20CT%201081843-16.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Kleber/Documents/EPE/Mamanguape/Asfalto%20Pi&#231;arreira-Condado/MC&#225;lculo%20e%20Planilhas%20-%20Mai.2023%20-%20at&#233;%20E65%20-%20separa&#231;&#227;o%20rampa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Kleber/Documents/EPE/Mamanguape/REPROG/PO%20-%20PLANILHA%20OR&#199;AMENT&#193;RIA%20CT%20ORIGINAL.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sheetName val="Eventograma_e_Quantitativos"/>
      <sheetName val="Detalhamento"/>
      <sheetName val="Cronograma"/>
      <sheetName val="PLE"/>
      <sheetName val="Resumo_de_Acompanhamento"/>
      <sheetName val="CronoPrev"/>
    </sheetNames>
    <sheetDataSet>
      <sheetData sheetId="0">
        <row r="33">
          <cell r="A33" t="str">
            <v>Núm do Evento</v>
          </cell>
        </row>
      </sheetData>
      <sheetData sheetId="1">
        <row r="51">
          <cell r="I51">
            <v>0</v>
          </cell>
          <cell r="N51">
            <v>0</v>
          </cell>
        </row>
      </sheetData>
      <sheetData sheetId="2" refreshError="1"/>
      <sheetData sheetId="3" refreshError="1"/>
      <sheetData sheetId="4" refreshError="1"/>
      <sheetData sheetId="5" refreshError="1"/>
      <sheetData sheetId="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ua Projetada 01"/>
      <sheetName val="Rua Projetada 02"/>
      <sheetName val="Planilha Global"/>
      <sheetName val="Composição Custo"/>
      <sheetName val="BDI"/>
      <sheetName val="Resumo"/>
    </sheetNames>
    <sheetDataSet>
      <sheetData sheetId="0"/>
      <sheetData sheetId="1"/>
      <sheetData sheetId="2">
        <row r="2">
          <cell r="A2" t="str">
            <v>PREFEITURA MUNICIPAL DE MAMANGUAPE</v>
          </cell>
        </row>
      </sheetData>
      <sheetData sheetId="3"/>
      <sheetData sheetId="4"/>
      <sheetData sheetId="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ua Vale Verde 1"/>
      <sheetName val="Rua Nova do Arroz"/>
      <sheetName val="Rua Principal Sítio"/>
      <sheetName val="Rua Vale Verde 2"/>
      <sheetName val="Planilha Global"/>
      <sheetName val="Estrada Vicinal - Trecho 1 (2)"/>
      <sheetName val="Estrada Vicinal - Trecho 1  (3)"/>
      <sheetName val="Estrada Vicinal - Trecho 1  (4)"/>
      <sheetName val="Estrada Vicinal - Trecho 2"/>
      <sheetName val="R. Projetada 02"/>
      <sheetName val="R. Projetada 03"/>
      <sheetName val="Rua Oseas"/>
      <sheetName val="Rua Pastor Moisés 12"/>
      <sheetName val="Rua Projetada 01"/>
      <sheetName val="Rua Projetada 02"/>
      <sheetName val="RUA IRACI DE FREITAS TEIXEIRA"/>
      <sheetName val="RUA ALFREDO FREITAS"/>
      <sheetName val="RUA PROJETADA 2"/>
      <sheetName val="RUA JOSÉ RAMOS GURJÃO"/>
      <sheetName val="R. Projetada 04"/>
      <sheetName val="Composição"/>
      <sheetName val="Estrada Vicinal - Trecho 2 (2)"/>
      <sheetName val="Estrada Vicinal - Trecho 2 (3)"/>
      <sheetName val="Composições de Custo"/>
      <sheetName val="Composição Custo"/>
      <sheetName val="Cronograma"/>
      <sheetName val="Composições"/>
      <sheetName val="Sheet1"/>
      <sheetName val="BDI"/>
      <sheetName val="QCI"/>
      <sheetName val="Resumo"/>
      <sheetName val="Cronograma por Rua"/>
      <sheetName val="Eventograma"/>
      <sheetName val="Eventograma rasc"/>
      <sheetName val="Rua das Macambiras"/>
      <sheetName val="Ozório Q. Assis"/>
      <sheetName val="sheet"/>
      <sheetName val="Maria"/>
      <sheetName val="Eliza"/>
      <sheetName val="Projetada"/>
      <sheetName val="Projetada 2"/>
    </sheetNames>
    <sheetDataSet>
      <sheetData sheetId="0">
        <row r="91">
          <cell r="F91">
            <v>281255.62</v>
          </cell>
        </row>
      </sheetData>
      <sheetData sheetId="1"/>
      <sheetData sheetId="2"/>
      <sheetData sheetId="3">
        <row r="93">
          <cell r="F93">
            <v>241428.23</v>
          </cell>
        </row>
      </sheetData>
      <sheetData sheetId="4">
        <row r="2">
          <cell r="A2" t="str">
            <v>PREFEITURA MUNICIPAL DE MAMANGUAPE</v>
          </cell>
        </row>
        <row r="14">
          <cell r="B14" t="str">
            <v>Regularização e compactação de sub-leito até 20cm de espessura</v>
          </cell>
        </row>
        <row r="17">
          <cell r="B17" t="str">
            <v>Locação de pavimentação</v>
          </cell>
        </row>
        <row r="18">
          <cell r="B18" t="str">
            <v>Assentamento de guia (meio-fio) em trecho reto, confeccionada em concreto pré-fabricado, dimensões 100x15x13x30 cm (comprimento x base inferior x base superior x altura), para vias urbanas (uso viário)</v>
          </cell>
        </row>
        <row r="19">
          <cell r="B19" t="str">
            <v>Assentamento de guia (meio-fio) para cordão de travamento do pavimento, em pedra granítica</v>
          </cell>
        </row>
        <row r="20">
          <cell r="B20" t="str">
            <v>Execução de pavimento em paralelepípedo inclusive colchão de areia rejuntado no traço 1:3 (Cimento e areia)</v>
          </cell>
        </row>
        <row r="28">
          <cell r="B28" t="str">
            <v>Sinalização permanente, vertical, com placa octogonal de aço, padrão DNER, largura 0,60m, com tubo de aço galvanizado de 2,10m, já sendo descontado a altura que ficará contido na base, fixado com base de concreto 40 x 40 x 50</v>
          </cell>
        </row>
        <row r="30">
          <cell r="B30" t="str">
            <v>Placa esmaltada para identificação de nome de rua, dimensões 45x20cm</v>
          </cell>
        </row>
        <row r="32">
          <cell r="H32" t="e">
            <v>#REF!</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ua Frederico Ozanan"/>
      <sheetName val="Vereador João F Alves"/>
      <sheetName val="José Borba"/>
      <sheetName val="Rua Pastor Moisés 12"/>
      <sheetName val="Manoel"/>
      <sheetName val="Capitão Antônio Leite"/>
      <sheetName val="Virgulino da Silva"/>
      <sheetName val="Rua 02"/>
      <sheetName val="Rua 03"/>
      <sheetName val="Drenagem"/>
      <sheetName val="Rua Rui Carneiro - Trecho Dupl."/>
      <sheetName val="Rua São Pedro São Paulo"/>
      <sheetName val="Rua Santo Antônio"/>
      <sheetName val="Planilha Global"/>
      <sheetName val="Composição"/>
      <sheetName val="BDI"/>
      <sheetName val="Resumo"/>
      <sheetName val="Resumo Sudema"/>
      <sheetName val="Rua São Pedro São Paulo (2)"/>
      <sheetName val="Rua São Pedro São Paulo (3)"/>
      <sheetName val="Planilhas por Rua"/>
      <sheetName val="Cronograma"/>
      <sheetName val="Composições"/>
      <sheetName val="Sheet1"/>
      <sheetName val="Eventograma"/>
      <sheetName val="Rua das Macambiras"/>
      <sheetName val="Ozório Q. Assis"/>
      <sheetName val="QCI"/>
      <sheetName val="Demosntrativo_Preços"/>
      <sheetName val="Planilh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11">
          <cell r="B11" t="str">
            <v>Placa indicativa da obra em chapa de aço galvanizado</v>
          </cell>
        </row>
      </sheetData>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LOBAL"/>
      <sheetName val="Orçam."/>
      <sheetName val="Memória"/>
      <sheetName val="Pavimento"/>
      <sheetName val="Rampa"/>
      <sheetName val="Qd. Resumo"/>
      <sheetName val="BDI"/>
    </sheetNames>
    <sheetDataSet>
      <sheetData sheetId="0"/>
      <sheetData sheetId="1"/>
      <sheetData sheetId="2"/>
      <sheetData sheetId="3"/>
      <sheetData sheetId="4">
        <row r="11">
          <cell r="B11" t="str">
            <v>Composição 01</v>
          </cell>
        </row>
        <row r="24">
          <cell r="H24">
            <v>28.9</v>
          </cell>
        </row>
      </sheetData>
      <sheetData sheetId="5"/>
      <sheetData sheetId="6">
        <row r="27">
          <cell r="C27">
            <v>0.24030000000000001</v>
          </cell>
        </row>
      </sheetData>
    </sheetDataSet>
  </externalBook>
</externalLink>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6.xml"/><Relationship Id="rId1" Type="http://schemas.openxmlformats.org/officeDocument/2006/relationships/printerSettings" Target="../printerSettings/printerSettings18.bin"/><Relationship Id="rId5" Type="http://schemas.openxmlformats.org/officeDocument/2006/relationships/image" Target="../media/image2.emf"/><Relationship Id="rId4" Type="http://schemas.openxmlformats.org/officeDocument/2006/relationships/oleObject" Target="../embeddings/oleObject1.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2.v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3" Type="http://schemas.openxmlformats.org/officeDocument/2006/relationships/comments" Target="../comments12.xml"/><Relationship Id="rId2" Type="http://schemas.openxmlformats.org/officeDocument/2006/relationships/vmlDrawing" Target="../drawings/vmlDrawing13.v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3" Type="http://schemas.openxmlformats.org/officeDocument/2006/relationships/comments" Target="../comments13.xml"/><Relationship Id="rId2" Type="http://schemas.openxmlformats.org/officeDocument/2006/relationships/vmlDrawing" Target="../drawings/vmlDrawing14.v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3" Type="http://schemas.openxmlformats.org/officeDocument/2006/relationships/comments" Target="../comments14.xml"/><Relationship Id="rId2" Type="http://schemas.openxmlformats.org/officeDocument/2006/relationships/vmlDrawing" Target="../drawings/vmlDrawing15.v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3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ilha2">
    <pageSetUpPr fitToPage="1"/>
  </sheetPr>
  <dimension ref="A2:O102"/>
  <sheetViews>
    <sheetView showGridLines="0" view="pageBreakPreview" topLeftCell="A37" zoomScale="110" zoomScaleNormal="100" zoomScaleSheetLayoutView="110" workbookViewId="0">
      <selection activeCell="F50" sqref="F50"/>
    </sheetView>
  </sheetViews>
  <sheetFormatPr defaultRowHeight="12.75" x14ac:dyDescent="0.2"/>
  <cols>
    <col min="1" max="1" width="6.42578125" style="1" customWidth="1"/>
    <col min="2" max="2" width="9.140625" style="1" customWidth="1"/>
    <col min="3" max="3" width="11.140625" style="118" customWidth="1"/>
    <col min="4" max="4" width="45.42578125" customWidth="1"/>
    <col min="5" max="5" width="6.85546875" customWidth="1"/>
    <col min="6" max="6" width="9" customWidth="1"/>
    <col min="7" max="7" width="11.85546875" customWidth="1"/>
    <col min="8" max="8" width="12.85546875" customWidth="1"/>
    <col min="9" max="9" width="13" bestFit="1" customWidth="1"/>
    <col min="10" max="10" width="14" customWidth="1"/>
    <col min="11" max="11" width="10.85546875" bestFit="1" customWidth="1"/>
    <col min="12" max="12" width="11.28515625" bestFit="1" customWidth="1"/>
  </cols>
  <sheetData>
    <row r="2" spans="1:12" x14ac:dyDescent="0.2">
      <c r="G2" s="28"/>
      <c r="H2" s="28"/>
    </row>
    <row r="5" spans="1:12" ht="13.5" thickBot="1" x14ac:dyDescent="0.25">
      <c r="A5" s="117"/>
      <c r="B5" s="117"/>
      <c r="C5" s="119"/>
      <c r="D5" s="116"/>
      <c r="E5" s="116"/>
      <c r="F5" s="116"/>
      <c r="G5" s="116"/>
      <c r="H5" s="116"/>
      <c r="I5" s="116"/>
    </row>
    <row r="6" spans="1:12" ht="24" customHeight="1" thickTop="1" x14ac:dyDescent="0.2">
      <c r="C6" s="711" t="s">
        <v>122</v>
      </c>
      <c r="D6" s="711"/>
      <c r="E6" s="711"/>
      <c r="F6" s="711"/>
      <c r="G6" s="711"/>
      <c r="H6" s="711"/>
    </row>
    <row r="7" spans="1:12" ht="36" customHeight="1" thickBot="1" x14ac:dyDescent="0.25">
      <c r="A7" s="117"/>
      <c r="B7" s="117"/>
      <c r="C7" s="712" t="s">
        <v>155</v>
      </c>
      <c r="D7" s="712"/>
      <c r="E7" s="712"/>
      <c r="F7" s="712"/>
      <c r="G7" s="712"/>
      <c r="H7" s="712"/>
      <c r="I7" s="116"/>
    </row>
    <row r="8" spans="1:12" ht="12.75" customHeight="1" thickTop="1" x14ac:dyDescent="0.2">
      <c r="C8" s="120"/>
      <c r="D8" s="115"/>
      <c r="E8" s="115"/>
      <c r="F8" s="115"/>
      <c r="G8" s="115"/>
      <c r="H8" s="115"/>
    </row>
    <row r="9" spans="1:12" ht="26.45" customHeight="1" x14ac:dyDescent="0.2">
      <c r="A9" s="710" t="s">
        <v>19</v>
      </c>
      <c r="B9" s="710"/>
      <c r="C9" s="710"/>
      <c r="D9" s="710"/>
      <c r="E9" s="710"/>
      <c r="F9" s="710"/>
      <c r="G9" s="710"/>
      <c r="H9" s="710"/>
      <c r="I9" s="710"/>
    </row>
    <row r="10" spans="1:12" ht="23.45" customHeight="1" x14ac:dyDescent="0.2">
      <c r="A10" s="32"/>
      <c r="B10" s="32"/>
      <c r="C10" s="121"/>
      <c r="D10" s="32"/>
      <c r="E10" s="32"/>
      <c r="F10" s="32"/>
      <c r="G10" s="33"/>
      <c r="H10" s="148" t="s">
        <v>29</v>
      </c>
      <c r="I10" s="149" t="e">
        <f>ROUND((#REF!)*100,2)</f>
        <v>#REF!</v>
      </c>
    </row>
    <row r="11" spans="1:12" ht="4.7" customHeight="1" thickBot="1" x14ac:dyDescent="0.25">
      <c r="A11"/>
      <c r="B11"/>
      <c r="C11" s="122"/>
    </row>
    <row r="12" spans="1:12" ht="43.5" customHeight="1" thickTop="1" thickBot="1" x14ac:dyDescent="0.25">
      <c r="A12" s="8" t="s">
        <v>0</v>
      </c>
      <c r="B12" s="8" t="s">
        <v>96</v>
      </c>
      <c r="C12" s="8" t="s">
        <v>23</v>
      </c>
      <c r="D12" s="9" t="s">
        <v>1</v>
      </c>
      <c r="E12" s="9" t="s">
        <v>2</v>
      </c>
      <c r="F12" s="9" t="s">
        <v>3</v>
      </c>
      <c r="G12" s="10" t="s">
        <v>32</v>
      </c>
      <c r="H12" s="10" t="s">
        <v>33</v>
      </c>
      <c r="I12" s="10" t="s">
        <v>16</v>
      </c>
    </row>
    <row r="13" spans="1:12" ht="14.25" customHeight="1" thickTop="1" thickBot="1" x14ac:dyDescent="0.25">
      <c r="A13"/>
      <c r="B13"/>
      <c r="C13" s="122"/>
    </row>
    <row r="14" spans="1:12" ht="30" customHeight="1" thickTop="1" thickBot="1" x14ac:dyDescent="0.25">
      <c r="A14" s="135"/>
      <c r="B14" s="137"/>
      <c r="C14" s="138"/>
      <c r="D14" s="140" t="s">
        <v>154</v>
      </c>
      <c r="E14" s="138"/>
      <c r="F14" s="138"/>
      <c r="G14" s="138"/>
      <c r="H14" s="139"/>
      <c r="I14" s="151" t="e">
        <f>ROUND((I15+I19+I21+I42+I25+I29+I32),2)</f>
        <v>#REF!</v>
      </c>
    </row>
    <row r="15" spans="1:12" ht="30" customHeight="1" thickTop="1" x14ac:dyDescent="0.2">
      <c r="A15" s="4" t="s">
        <v>4</v>
      </c>
      <c r="B15" s="132" t="s">
        <v>102</v>
      </c>
      <c r="C15" s="133"/>
      <c r="D15" s="133"/>
      <c r="E15" s="133"/>
      <c r="F15" s="133"/>
      <c r="G15" s="133"/>
      <c r="H15" s="134"/>
      <c r="I15" s="136" t="e">
        <f>ROUND((SUM(I16:I18)),2)</f>
        <v>#REF!</v>
      </c>
      <c r="L15" s="27"/>
    </row>
    <row r="16" spans="1:12" ht="30" customHeight="1" x14ac:dyDescent="0.2">
      <c r="A16" s="5" t="s">
        <v>5</v>
      </c>
      <c r="B16" s="5" t="s">
        <v>89</v>
      </c>
      <c r="C16" s="7" t="s">
        <v>90</v>
      </c>
      <c r="D16" s="6" t="s">
        <v>91</v>
      </c>
      <c r="E16" s="7" t="s">
        <v>13</v>
      </c>
      <c r="F16" s="141">
        <f>F47</f>
        <v>4.5</v>
      </c>
      <c r="G16" s="100">
        <v>306.51</v>
      </c>
      <c r="H16" s="37" t="e">
        <f>ROUND(((($I$10/100)+1)*G16),2)</f>
        <v>#REF!</v>
      </c>
      <c r="I16" s="102" t="e">
        <f>ROUND((H16*F16),2)</f>
        <v>#REF!</v>
      </c>
      <c r="J16" s="27"/>
      <c r="L16" s="113"/>
    </row>
    <row r="17" spans="1:15" ht="30" customHeight="1" x14ac:dyDescent="0.2">
      <c r="A17" s="5" t="s">
        <v>86</v>
      </c>
      <c r="B17" s="5" t="s">
        <v>24</v>
      </c>
      <c r="C17" s="7">
        <v>99064</v>
      </c>
      <c r="D17" s="6" t="s">
        <v>92</v>
      </c>
      <c r="E17" s="7" t="s">
        <v>11</v>
      </c>
      <c r="F17" s="102">
        <f>F48+F73</f>
        <v>748.4</v>
      </c>
      <c r="G17" s="102">
        <v>0.48</v>
      </c>
      <c r="H17" s="102" t="e">
        <f>ROUND(((($I$10/100)+1)*G17),2)</f>
        <v>#REF!</v>
      </c>
      <c r="I17" s="102" t="e">
        <f>ROUND((H17*F17),2)</f>
        <v>#REF!</v>
      </c>
      <c r="J17" s="69"/>
      <c r="L17" s="114"/>
    </row>
    <row r="18" spans="1:15" ht="30" customHeight="1" x14ac:dyDescent="0.2">
      <c r="A18" s="5" t="s">
        <v>156</v>
      </c>
      <c r="B18" s="5" t="s">
        <v>24</v>
      </c>
      <c r="C18" s="7">
        <v>97629</v>
      </c>
      <c r="D18" s="6" t="s">
        <v>151</v>
      </c>
      <c r="E18" s="7" t="s">
        <v>128</v>
      </c>
      <c r="F18" s="102">
        <f>F74</f>
        <v>3.29</v>
      </c>
      <c r="G18" s="102">
        <v>91.83</v>
      </c>
      <c r="H18" s="102" t="e">
        <f>ROUND(((($I$10/100)+1)*G18),2)</f>
        <v>#REF!</v>
      </c>
      <c r="I18" s="102" t="e">
        <f>ROUND((H18*F18),2)</f>
        <v>#REF!</v>
      </c>
      <c r="J18" s="69"/>
      <c r="L18" s="114"/>
    </row>
    <row r="19" spans="1:15" ht="30" customHeight="1" x14ac:dyDescent="0.2">
      <c r="A19" s="11" t="s">
        <v>6</v>
      </c>
      <c r="B19" s="132" t="s">
        <v>99</v>
      </c>
      <c r="C19" s="133"/>
      <c r="D19" s="133"/>
      <c r="E19" s="133"/>
      <c r="F19" s="133"/>
      <c r="G19" s="133"/>
      <c r="H19" s="134"/>
      <c r="I19" s="136" t="e">
        <f>ROUND((SUM(I20)),2)</f>
        <v>#REF!</v>
      </c>
      <c r="J19" s="69"/>
      <c r="L19" s="114"/>
      <c r="O19" s="114"/>
    </row>
    <row r="20" spans="1:15" ht="30" customHeight="1" x14ac:dyDescent="0.2">
      <c r="A20" s="5" t="s">
        <v>7</v>
      </c>
      <c r="B20" s="108" t="s">
        <v>24</v>
      </c>
      <c r="C20" s="124">
        <v>100575</v>
      </c>
      <c r="D20" s="29" t="s">
        <v>93</v>
      </c>
      <c r="E20" s="7" t="s">
        <v>13</v>
      </c>
      <c r="F20" s="102">
        <f>F50+F76</f>
        <v>4356.47</v>
      </c>
      <c r="G20" s="101">
        <v>0.1</v>
      </c>
      <c r="H20" s="102" t="e">
        <f>ROUND(((($I$10/100)+1)*G20),2)</f>
        <v>#REF!</v>
      </c>
      <c r="I20" s="102" t="e">
        <f>ROUND((H20*F20),2)</f>
        <v>#REF!</v>
      </c>
      <c r="J20" s="69"/>
      <c r="L20" s="150"/>
      <c r="M20" s="150"/>
      <c r="O20" s="114"/>
    </row>
    <row r="21" spans="1:15" ht="30" customHeight="1" x14ac:dyDescent="0.2">
      <c r="A21" s="4" t="s">
        <v>8</v>
      </c>
      <c r="B21" s="132" t="s">
        <v>98</v>
      </c>
      <c r="C21" s="133"/>
      <c r="D21" s="133"/>
      <c r="E21" s="133"/>
      <c r="F21" s="133"/>
      <c r="G21" s="133"/>
      <c r="H21" s="134"/>
      <c r="I21" s="136" t="e">
        <f>ROUND((SUM(I22:I24)),2)</f>
        <v>#REF!</v>
      </c>
      <c r="J21" s="69"/>
    </row>
    <row r="22" spans="1:15" ht="19.5" customHeight="1" x14ac:dyDescent="0.2">
      <c r="A22" s="5" t="s">
        <v>9</v>
      </c>
      <c r="B22" s="108" t="s">
        <v>89</v>
      </c>
      <c r="C22" s="125" t="s">
        <v>110</v>
      </c>
      <c r="D22" s="6" t="s">
        <v>109</v>
      </c>
      <c r="E22" s="7" t="s">
        <v>11</v>
      </c>
      <c r="F22" s="102">
        <f>F52+F78</f>
        <v>1496.8</v>
      </c>
      <c r="G22" s="102">
        <v>26.39</v>
      </c>
      <c r="H22" s="102" t="e">
        <f>ROUND(((($I$10/100)+1)*G22),2)</f>
        <v>#REF!</v>
      </c>
      <c r="I22" s="102" t="e">
        <f>ROUND((H22*F22),2)</f>
        <v>#REF!</v>
      </c>
      <c r="J22" s="69"/>
      <c r="L22" s="103"/>
      <c r="O22" s="103"/>
    </row>
    <row r="23" spans="1:15" ht="38.25" customHeight="1" x14ac:dyDescent="0.2">
      <c r="A23" s="5" t="s">
        <v>12</v>
      </c>
      <c r="B23" s="108" t="s">
        <v>24</v>
      </c>
      <c r="C23" s="125" t="s">
        <v>104</v>
      </c>
      <c r="D23" s="6" t="s">
        <v>106</v>
      </c>
      <c r="E23" s="7" t="s">
        <v>13</v>
      </c>
      <c r="F23" s="102">
        <f>F53+F79</f>
        <v>4356.47</v>
      </c>
      <c r="G23" s="102">
        <v>81.599999999999994</v>
      </c>
      <c r="H23" s="102" t="e">
        <f>ROUND(((($I$10/100)+1)*G23),2)</f>
        <v>#REF!</v>
      </c>
      <c r="I23" s="102" t="e">
        <f>ROUND((H23*F23),2)</f>
        <v>#REF!</v>
      </c>
      <c r="J23" s="69"/>
    </row>
    <row r="24" spans="1:15" ht="19.5" customHeight="1" x14ac:dyDescent="0.2">
      <c r="A24" s="5" t="s">
        <v>108</v>
      </c>
      <c r="B24" s="108" t="s">
        <v>89</v>
      </c>
      <c r="C24" s="125" t="s">
        <v>100</v>
      </c>
      <c r="D24" s="6" t="s">
        <v>101</v>
      </c>
      <c r="E24" s="7" t="s">
        <v>11</v>
      </c>
      <c r="F24" s="102">
        <f>F54+F80</f>
        <v>67</v>
      </c>
      <c r="G24" s="102">
        <v>28.98</v>
      </c>
      <c r="H24" s="102" t="e">
        <f>ROUND(((($I$10/100)+1)*G24),2)</f>
        <v>#REF!</v>
      </c>
      <c r="I24" s="102" t="e">
        <f>ROUND((H24*F24),2)</f>
        <v>#REF!</v>
      </c>
      <c r="J24" s="69"/>
    </row>
    <row r="25" spans="1:15" ht="30" customHeight="1" x14ac:dyDescent="0.2">
      <c r="A25" s="4" t="s">
        <v>14</v>
      </c>
      <c r="B25" s="132" t="s">
        <v>126</v>
      </c>
      <c r="C25" s="133"/>
      <c r="D25" s="133"/>
      <c r="E25" s="133"/>
      <c r="F25" s="133"/>
      <c r="G25" s="133"/>
      <c r="H25" s="134"/>
      <c r="I25" s="136" t="e">
        <f>ROUND((SUM(I26:I28)),2)</f>
        <v>#REF!</v>
      </c>
      <c r="J25" s="27"/>
    </row>
    <row r="26" spans="1:15" ht="36" x14ac:dyDescent="0.2">
      <c r="A26" s="5" t="s">
        <v>15</v>
      </c>
      <c r="B26" s="5" t="s">
        <v>24</v>
      </c>
      <c r="C26" s="153">
        <v>94990</v>
      </c>
      <c r="D26" s="6" t="s">
        <v>127</v>
      </c>
      <c r="E26" s="7" t="s">
        <v>128</v>
      </c>
      <c r="F26" s="102">
        <f>F81</f>
        <v>8.91</v>
      </c>
      <c r="G26" s="102">
        <v>695.65</v>
      </c>
      <c r="H26" s="102" t="e">
        <f>ROUND(((($I$10/100)+1)*G26),2)</f>
        <v>#REF!</v>
      </c>
      <c r="I26" s="102" t="e">
        <f>TRUNC((H26*F26),2)</f>
        <v>#REF!</v>
      </c>
      <c r="J26" s="154"/>
    </row>
    <row r="27" spans="1:15" ht="38.25" customHeight="1" x14ac:dyDescent="0.2">
      <c r="A27" s="5" t="s">
        <v>129</v>
      </c>
      <c r="B27" s="5" t="s">
        <v>24</v>
      </c>
      <c r="C27" s="153">
        <v>94990</v>
      </c>
      <c r="D27" s="6" t="s">
        <v>130</v>
      </c>
      <c r="E27" s="7" t="s">
        <v>128</v>
      </c>
      <c r="F27" s="102">
        <f>F82</f>
        <v>2.4700000000000002</v>
      </c>
      <c r="G27" s="102">
        <f>G26</f>
        <v>695.65</v>
      </c>
      <c r="H27" s="102" t="e">
        <f>ROUND(((($I$10/100)+1)*G27),2)</f>
        <v>#REF!</v>
      </c>
      <c r="I27" s="102" t="e">
        <f>ROUND((H27*F27+0.01),2)</f>
        <v>#REF!</v>
      </c>
      <c r="J27" s="27"/>
      <c r="L27" s="155"/>
    </row>
    <row r="28" spans="1:15" ht="48.6" customHeight="1" x14ac:dyDescent="0.2">
      <c r="A28" s="5" t="s">
        <v>131</v>
      </c>
      <c r="B28" s="5" t="s">
        <v>94</v>
      </c>
      <c r="C28" s="156" t="s">
        <v>149</v>
      </c>
      <c r="D28" s="6" t="s">
        <v>150</v>
      </c>
      <c r="E28" s="7" t="s">
        <v>13</v>
      </c>
      <c r="F28" s="102">
        <f>F83</f>
        <v>35.65</v>
      </c>
      <c r="G28" s="102">
        <v>104.97</v>
      </c>
      <c r="H28" s="102" t="e">
        <f>ROUND(((($I$10/100)+1)*G28),2)</f>
        <v>#REF!</v>
      </c>
      <c r="I28" s="102" t="e">
        <f>TRUNC((H28*F28+0.01),2)</f>
        <v>#REF!</v>
      </c>
      <c r="J28" s="27"/>
      <c r="L28" s="155"/>
    </row>
    <row r="29" spans="1:15" ht="30" customHeight="1" x14ac:dyDescent="0.2">
      <c r="A29" s="4" t="s">
        <v>157</v>
      </c>
      <c r="B29" s="132" t="s">
        <v>161</v>
      </c>
      <c r="C29" s="133"/>
      <c r="D29" s="133"/>
      <c r="E29" s="133"/>
      <c r="F29" s="133"/>
      <c r="G29" s="133"/>
      <c r="H29" s="134"/>
      <c r="I29" s="165" t="e">
        <f>ROUND((SUM(I30:I31)),2)</f>
        <v>#REF!</v>
      </c>
      <c r="J29" s="27"/>
    </row>
    <row r="30" spans="1:15" ht="84" x14ac:dyDescent="0.2">
      <c r="A30" s="5" t="s">
        <v>158</v>
      </c>
      <c r="B30" s="5" t="s">
        <v>162</v>
      </c>
      <c r="C30" s="125" t="s">
        <v>163</v>
      </c>
      <c r="D30" s="166" t="s">
        <v>164</v>
      </c>
      <c r="E30" s="7" t="s">
        <v>13</v>
      </c>
      <c r="F30" s="102">
        <f>F56+F85</f>
        <v>5</v>
      </c>
      <c r="G30" s="102">
        <v>505.25</v>
      </c>
      <c r="H30" s="102" t="e">
        <f>ROUND(((($I$10/100)+1)*G30),2)</f>
        <v>#REF!</v>
      </c>
      <c r="I30" s="102" t="e">
        <f>TRUNC((H30*F30),2)</f>
        <v>#REF!</v>
      </c>
      <c r="J30" s="27"/>
    </row>
    <row r="31" spans="1:15" ht="33.75" customHeight="1" x14ac:dyDescent="0.2">
      <c r="A31" s="5" t="s">
        <v>170</v>
      </c>
      <c r="B31" s="5" t="s">
        <v>162</v>
      </c>
      <c r="C31" s="167" t="s">
        <v>165</v>
      </c>
      <c r="D31" s="6" t="s">
        <v>166</v>
      </c>
      <c r="E31" s="7" t="s">
        <v>13</v>
      </c>
      <c r="F31" s="102">
        <v>0.22</v>
      </c>
      <c r="G31" s="102">
        <v>444.93</v>
      </c>
      <c r="H31" s="102" t="e">
        <f>ROUND(((($I$10/100)+1)*G31),2)</f>
        <v>#REF!</v>
      </c>
      <c r="I31" s="102" t="e">
        <f>ROUND((H31*F31),2)</f>
        <v>#REF!</v>
      </c>
    </row>
    <row r="32" spans="1:15" ht="30" customHeight="1" x14ac:dyDescent="0.2">
      <c r="A32" s="4" t="s">
        <v>174</v>
      </c>
      <c r="B32" s="132" t="s">
        <v>178</v>
      </c>
      <c r="C32" s="133"/>
      <c r="D32" s="133"/>
      <c r="E32" s="133"/>
      <c r="F32" s="133"/>
      <c r="G32" s="133"/>
      <c r="H32" s="134"/>
      <c r="I32" s="136" t="e">
        <f>ROUND((SUM(I33:I41)),2)</f>
        <v>#REF!</v>
      </c>
      <c r="J32" s="27"/>
    </row>
    <row r="33" spans="1:12" x14ac:dyDescent="0.2">
      <c r="A33" s="5" t="s">
        <v>175</v>
      </c>
      <c r="B33" s="108" t="s">
        <v>162</v>
      </c>
      <c r="C33" s="176" t="s">
        <v>207</v>
      </c>
      <c r="D33" s="177" t="s">
        <v>236</v>
      </c>
      <c r="E33" s="7" t="s">
        <v>167</v>
      </c>
      <c r="F33" s="102">
        <f>F59</f>
        <v>1</v>
      </c>
      <c r="G33" s="102">
        <v>1736.73</v>
      </c>
      <c r="H33" s="102" t="e">
        <f>ROUND(((($I$10/100)+1)*G33),2)</f>
        <v>#REF!</v>
      </c>
      <c r="I33" s="102" t="e">
        <f>TRUNC((H33*F33),2)</f>
        <v>#REF!</v>
      </c>
      <c r="J33" s="69"/>
    </row>
    <row r="34" spans="1:12" ht="24" x14ac:dyDescent="0.2">
      <c r="A34" s="5" t="s">
        <v>246</v>
      </c>
      <c r="B34" s="108" t="s">
        <v>24</v>
      </c>
      <c r="C34" s="176" t="s">
        <v>205</v>
      </c>
      <c r="D34" s="177" t="s">
        <v>233</v>
      </c>
      <c r="E34" s="7" t="s">
        <v>167</v>
      </c>
      <c r="F34" s="102">
        <f t="shared" ref="F34:F40" si="0">F60</f>
        <v>1</v>
      </c>
      <c r="G34" s="102">
        <v>766.23</v>
      </c>
      <c r="H34" s="102" t="e">
        <f t="shared" ref="H34:H40" si="1">ROUND(((($I$10/100)+1)*G34),2)</f>
        <v>#REF!</v>
      </c>
      <c r="I34" s="102" t="e">
        <f t="shared" ref="I34:I40" si="2">TRUNC((H34*F34),2)</f>
        <v>#REF!</v>
      </c>
      <c r="J34" s="69"/>
    </row>
    <row r="35" spans="1:12" ht="24" x14ac:dyDescent="0.2">
      <c r="A35" s="5" t="s">
        <v>247</v>
      </c>
      <c r="B35" s="108" t="s">
        <v>231</v>
      </c>
      <c r="C35" s="176" t="s">
        <v>230</v>
      </c>
      <c r="D35" s="177" t="s">
        <v>198</v>
      </c>
      <c r="E35" s="7" t="s">
        <v>167</v>
      </c>
      <c r="F35" s="102">
        <f t="shared" si="0"/>
        <v>1</v>
      </c>
      <c r="G35" s="102">
        <f>CCU!G21</f>
        <v>1370.82</v>
      </c>
      <c r="H35" s="102" t="e">
        <f t="shared" si="1"/>
        <v>#REF!</v>
      </c>
      <c r="I35" s="102" t="e">
        <f t="shared" si="2"/>
        <v>#REF!</v>
      </c>
      <c r="J35" s="69"/>
    </row>
    <row r="36" spans="1:12" ht="48" x14ac:dyDescent="0.2">
      <c r="A36" s="5" t="s">
        <v>248</v>
      </c>
      <c r="B36" s="108" t="s">
        <v>24</v>
      </c>
      <c r="C36" s="176" t="s">
        <v>199</v>
      </c>
      <c r="D36" s="177" t="s">
        <v>200</v>
      </c>
      <c r="E36" s="7" t="s">
        <v>11</v>
      </c>
      <c r="F36" s="102">
        <f t="shared" si="0"/>
        <v>126.46</v>
      </c>
      <c r="G36" s="102">
        <v>280.02</v>
      </c>
      <c r="H36" s="102" t="e">
        <f t="shared" si="1"/>
        <v>#REF!</v>
      </c>
      <c r="I36" s="102" t="e">
        <f t="shared" si="2"/>
        <v>#REF!</v>
      </c>
      <c r="J36" s="69"/>
    </row>
    <row r="37" spans="1:12" x14ac:dyDescent="0.2">
      <c r="A37" s="5" t="s">
        <v>249</v>
      </c>
      <c r="B37" s="108" t="s">
        <v>24</v>
      </c>
      <c r="C37" s="178">
        <v>99063</v>
      </c>
      <c r="D37" s="177" t="s">
        <v>234</v>
      </c>
      <c r="E37" s="7" t="s">
        <v>11</v>
      </c>
      <c r="F37" s="102">
        <f t="shared" si="0"/>
        <v>126.46</v>
      </c>
      <c r="G37" s="102">
        <v>4.17</v>
      </c>
      <c r="H37" s="102" t="e">
        <f t="shared" si="1"/>
        <v>#REF!</v>
      </c>
      <c r="I37" s="102" t="e">
        <f t="shared" si="2"/>
        <v>#REF!</v>
      </c>
      <c r="J37" s="69"/>
    </row>
    <row r="38" spans="1:12" ht="60" x14ac:dyDescent="0.2">
      <c r="A38" s="5" t="s">
        <v>250</v>
      </c>
      <c r="B38" s="108" t="s">
        <v>24</v>
      </c>
      <c r="C38" s="179">
        <v>90092</v>
      </c>
      <c r="D38" s="180" t="s">
        <v>201</v>
      </c>
      <c r="E38" s="7" t="s">
        <v>128</v>
      </c>
      <c r="F38" s="102">
        <f t="shared" si="0"/>
        <v>269.29000000000002</v>
      </c>
      <c r="G38" s="102">
        <v>5.41</v>
      </c>
      <c r="H38" s="102" t="e">
        <f t="shared" si="1"/>
        <v>#REF!</v>
      </c>
      <c r="I38" s="102" t="e">
        <f t="shared" si="2"/>
        <v>#REF!</v>
      </c>
      <c r="J38" s="69"/>
    </row>
    <row r="39" spans="1:12" x14ac:dyDescent="0.2">
      <c r="A39" s="5" t="s">
        <v>251</v>
      </c>
      <c r="B39" s="108" t="s">
        <v>162</v>
      </c>
      <c r="C39" s="181" t="s">
        <v>206</v>
      </c>
      <c r="D39" s="182" t="s">
        <v>235</v>
      </c>
      <c r="E39" s="7" t="s">
        <v>128</v>
      </c>
      <c r="F39" s="102">
        <f t="shared" si="0"/>
        <v>22.76</v>
      </c>
      <c r="G39" s="102">
        <v>41.03</v>
      </c>
      <c r="H39" s="102" t="e">
        <f t="shared" si="1"/>
        <v>#REF!</v>
      </c>
      <c r="I39" s="102" t="e">
        <f t="shared" si="2"/>
        <v>#REF!</v>
      </c>
      <c r="J39" s="69"/>
    </row>
    <row r="40" spans="1:12" ht="48" x14ac:dyDescent="0.2">
      <c r="A40" s="5" t="s">
        <v>252</v>
      </c>
      <c r="B40" s="108" t="s">
        <v>24</v>
      </c>
      <c r="C40" s="183">
        <v>93367</v>
      </c>
      <c r="D40" s="177" t="s">
        <v>202</v>
      </c>
      <c r="E40" s="7" t="s">
        <v>128</v>
      </c>
      <c r="F40" s="102">
        <f t="shared" si="0"/>
        <v>202.27</v>
      </c>
      <c r="G40" s="102">
        <v>18.32</v>
      </c>
      <c r="H40" s="102" t="e">
        <f t="shared" si="1"/>
        <v>#REF!</v>
      </c>
      <c r="I40" s="102" t="e">
        <f t="shared" si="2"/>
        <v>#REF!</v>
      </c>
      <c r="J40" s="69"/>
    </row>
    <row r="41" spans="1:12" x14ac:dyDescent="0.2">
      <c r="A41" s="5" t="s">
        <v>253</v>
      </c>
      <c r="B41" s="108" t="s">
        <v>162</v>
      </c>
      <c r="C41" s="183" t="s">
        <v>238</v>
      </c>
      <c r="D41" s="177" t="s">
        <v>239</v>
      </c>
      <c r="E41" s="7" t="s">
        <v>167</v>
      </c>
      <c r="F41" s="102">
        <f>MEMÓRIA_R.FRANCISCO!B95</f>
        <v>1</v>
      </c>
      <c r="G41" s="102">
        <v>83.05</v>
      </c>
      <c r="H41" s="102" t="e">
        <f>ROUND(((($I$10/100)+1)*G41),2)</f>
        <v>#REF!</v>
      </c>
      <c r="I41" s="102" t="e">
        <f>TRUNC((H41*F41),2)</f>
        <v>#REF!</v>
      </c>
      <c r="J41" s="69"/>
    </row>
    <row r="42" spans="1:12" ht="30" customHeight="1" x14ac:dyDescent="0.2">
      <c r="A42" s="4" t="s">
        <v>254</v>
      </c>
      <c r="B42" s="132" t="s">
        <v>34</v>
      </c>
      <c r="C42" s="133"/>
      <c r="D42" s="133"/>
      <c r="E42" s="133"/>
      <c r="F42" s="133"/>
      <c r="G42" s="133"/>
      <c r="H42" s="134"/>
      <c r="I42" s="136" t="e">
        <f>ROUND((SUM(I43:I43)),2)</f>
        <v>#REF!</v>
      </c>
      <c r="J42" s="69"/>
    </row>
    <row r="43" spans="1:12" ht="30" customHeight="1" x14ac:dyDescent="0.2">
      <c r="A43" s="34" t="s">
        <v>255</v>
      </c>
      <c r="B43" s="5" t="s">
        <v>94</v>
      </c>
      <c r="C43" s="125" t="s">
        <v>95</v>
      </c>
      <c r="D43" s="35" t="s">
        <v>26</v>
      </c>
      <c r="E43" s="36" t="s">
        <v>13</v>
      </c>
      <c r="F43" s="102">
        <f>F69+F88</f>
        <v>4356.47</v>
      </c>
      <c r="G43" s="37">
        <v>2.17</v>
      </c>
      <c r="H43" s="37" t="e">
        <f>ROUND(((($I$10/100)+1)*G43),2)</f>
        <v>#REF!</v>
      </c>
      <c r="I43" s="102" t="e">
        <f>ROUND((H43*F43),2)</f>
        <v>#REF!</v>
      </c>
      <c r="J43" s="69"/>
    </row>
    <row r="44" spans="1:12" ht="10.5" customHeight="1" thickBot="1" x14ac:dyDescent="0.25">
      <c r="A44" s="110"/>
      <c r="B44" s="111"/>
      <c r="C44" s="126"/>
      <c r="D44" s="111"/>
      <c r="E44" s="111"/>
      <c r="F44" s="111"/>
      <c r="G44" s="112"/>
      <c r="H44" s="3"/>
      <c r="I44" s="3"/>
      <c r="J44" s="27"/>
    </row>
    <row r="45" spans="1:12" ht="30" customHeight="1" thickTop="1" thickBot="1" x14ac:dyDescent="0.25">
      <c r="A45" s="135"/>
      <c r="B45" s="137"/>
      <c r="C45" s="138"/>
      <c r="D45" s="140" t="s">
        <v>119</v>
      </c>
      <c r="E45" s="138"/>
      <c r="F45" s="138"/>
      <c r="G45" s="138"/>
      <c r="H45" s="139"/>
      <c r="I45" s="151" t="e">
        <f>ROUND((I46+I49+I51+I68+I55+I58),2)</f>
        <v>#REF!</v>
      </c>
    </row>
    <row r="46" spans="1:12" ht="30" customHeight="1" thickTop="1" x14ac:dyDescent="0.2">
      <c r="A46" s="4" t="s">
        <v>4</v>
      </c>
      <c r="B46" s="132" t="s">
        <v>102</v>
      </c>
      <c r="C46" s="133"/>
      <c r="D46" s="133"/>
      <c r="E46" s="133"/>
      <c r="F46" s="133"/>
      <c r="G46" s="133"/>
      <c r="H46" s="134"/>
      <c r="I46" s="136" t="e">
        <f>ROUND((SUM(I47:I48)),2)</f>
        <v>#REF!</v>
      </c>
      <c r="J46" s="27"/>
      <c r="L46" s="27"/>
    </row>
    <row r="47" spans="1:12" ht="30" customHeight="1" x14ac:dyDescent="0.2">
      <c r="A47" s="5" t="s">
        <v>5</v>
      </c>
      <c r="B47" s="5" t="s">
        <v>89</v>
      </c>
      <c r="C47" s="7" t="s">
        <v>90</v>
      </c>
      <c r="D47" s="6" t="s">
        <v>91</v>
      </c>
      <c r="E47" s="7" t="s">
        <v>13</v>
      </c>
      <c r="F47" s="141">
        <f>MEMÓRIA_R.FRANCISCO!B14</f>
        <v>4.5</v>
      </c>
      <c r="G47" s="100">
        <v>306.51</v>
      </c>
      <c r="H47" s="37" t="e">
        <f>ROUND(((($I$10/100)+1)*G47),2)</f>
        <v>#REF!</v>
      </c>
      <c r="I47" s="102" t="e">
        <f>ROUND((H47*F47),2)</f>
        <v>#REF!</v>
      </c>
      <c r="J47" s="27"/>
      <c r="L47" s="113"/>
    </row>
    <row r="48" spans="1:12" ht="30" customHeight="1" x14ac:dyDescent="0.2">
      <c r="A48" s="5" t="s">
        <v>86</v>
      </c>
      <c r="B48" s="5" t="s">
        <v>24</v>
      </c>
      <c r="C48" s="123">
        <v>99064</v>
      </c>
      <c r="D48" s="6" t="s">
        <v>303</v>
      </c>
      <c r="E48" s="7" t="s">
        <v>11</v>
      </c>
      <c r="F48" s="102">
        <f>MEMÓRIA_R.FRANCISCO!B19</f>
        <v>621.4</v>
      </c>
      <c r="G48" s="102">
        <v>0.48</v>
      </c>
      <c r="H48" s="102" t="e">
        <f>ROUND(((($I$10/100)+1)*G48),2)</f>
        <v>#REF!</v>
      </c>
      <c r="I48" s="102" t="e">
        <f>ROUND((H48*F48),2)</f>
        <v>#REF!</v>
      </c>
      <c r="J48" s="69" t="e">
        <f>F48*H48</f>
        <v>#REF!</v>
      </c>
      <c r="L48" s="114"/>
    </row>
    <row r="49" spans="1:15" ht="30" customHeight="1" x14ac:dyDescent="0.2">
      <c r="A49" s="11" t="s">
        <v>6</v>
      </c>
      <c r="B49" s="132" t="s">
        <v>99</v>
      </c>
      <c r="C49" s="133"/>
      <c r="D49" s="133"/>
      <c r="E49" s="133"/>
      <c r="F49" s="133"/>
      <c r="G49" s="133"/>
      <c r="H49" s="134"/>
      <c r="I49" s="136" t="e">
        <f>ROUND((SUM(I50)),2)</f>
        <v>#REF!</v>
      </c>
      <c r="J49" s="69"/>
      <c r="L49" s="114"/>
      <c r="O49" s="114"/>
    </row>
    <row r="50" spans="1:15" ht="30" customHeight="1" x14ac:dyDescent="0.2">
      <c r="A50" s="5" t="s">
        <v>7</v>
      </c>
      <c r="B50" s="108" t="s">
        <v>24</v>
      </c>
      <c r="C50" s="124">
        <v>100575</v>
      </c>
      <c r="D50" s="29" t="s">
        <v>93</v>
      </c>
      <c r="E50" s="7" t="s">
        <v>13</v>
      </c>
      <c r="F50" s="102">
        <f>MEMÓRIA_R.FRANCISCO!B25</f>
        <v>3594.47</v>
      </c>
      <c r="G50" s="101">
        <v>0.1</v>
      </c>
      <c r="H50" s="102" t="e">
        <f>ROUND(((($I$10/100)+1)*G50),2)</f>
        <v>#REF!</v>
      </c>
      <c r="I50" s="102" t="e">
        <f>ROUND((H50*F50),2)</f>
        <v>#REF!</v>
      </c>
      <c r="J50" s="69"/>
      <c r="L50" s="150"/>
      <c r="M50" s="150"/>
      <c r="O50" s="114"/>
    </row>
    <row r="51" spans="1:15" ht="30" customHeight="1" x14ac:dyDescent="0.2">
      <c r="A51" s="4" t="s">
        <v>8</v>
      </c>
      <c r="B51" s="132" t="s">
        <v>98</v>
      </c>
      <c r="C51" s="133"/>
      <c r="D51" s="133"/>
      <c r="E51" s="133"/>
      <c r="F51" s="133"/>
      <c r="G51" s="133"/>
      <c r="H51" s="134"/>
      <c r="I51" s="136" t="e">
        <f>ROUND((SUM(I52:I54)),2)</f>
        <v>#REF!</v>
      </c>
      <c r="J51" s="69"/>
    </row>
    <row r="52" spans="1:15" ht="19.5" customHeight="1" x14ac:dyDescent="0.2">
      <c r="A52" s="5" t="s">
        <v>9</v>
      </c>
      <c r="B52" s="108" t="s">
        <v>89</v>
      </c>
      <c r="C52" s="125" t="s">
        <v>110</v>
      </c>
      <c r="D52" s="6" t="s">
        <v>109</v>
      </c>
      <c r="E52" s="7" t="s">
        <v>11</v>
      </c>
      <c r="F52" s="102">
        <f>MEMÓRIA_R.FRANCISCO!B31</f>
        <v>1242.8</v>
      </c>
      <c r="G52" s="102">
        <v>26.39</v>
      </c>
      <c r="H52" s="102" t="e">
        <f>ROUND(((($I$10/100)+1)*G52),2)</f>
        <v>#REF!</v>
      </c>
      <c r="I52" s="102" t="e">
        <f>ROUND((H52*F52),2)</f>
        <v>#REF!</v>
      </c>
      <c r="J52" s="69"/>
      <c r="L52" s="103"/>
      <c r="O52" s="103"/>
    </row>
    <row r="53" spans="1:15" ht="38.25" customHeight="1" x14ac:dyDescent="0.2">
      <c r="A53" s="5" t="s">
        <v>12</v>
      </c>
      <c r="B53" s="108" t="s">
        <v>24</v>
      </c>
      <c r="C53" s="125" t="s">
        <v>104</v>
      </c>
      <c r="D53" s="6" t="s">
        <v>106</v>
      </c>
      <c r="E53" s="7" t="s">
        <v>13</v>
      </c>
      <c r="F53" s="102">
        <f>MEMÓRIA_R.FRANCISCO!B37</f>
        <v>3594.47</v>
      </c>
      <c r="G53" s="102">
        <v>81.599999999999994</v>
      </c>
      <c r="H53" s="102" t="e">
        <f>ROUND(((($I$10/100)+1)*G53),2)</f>
        <v>#REF!</v>
      </c>
      <c r="I53" s="102" t="e">
        <f>ROUND((H53*F53),2)</f>
        <v>#REF!</v>
      </c>
      <c r="J53" s="69"/>
    </row>
    <row r="54" spans="1:15" ht="19.5" customHeight="1" x14ac:dyDescent="0.2">
      <c r="A54" s="5" t="s">
        <v>108</v>
      </c>
      <c r="B54" s="108" t="s">
        <v>89</v>
      </c>
      <c r="C54" s="125" t="s">
        <v>100</v>
      </c>
      <c r="D54" s="6" t="s">
        <v>101</v>
      </c>
      <c r="E54" s="7" t="s">
        <v>11</v>
      </c>
      <c r="F54" s="102">
        <f>MEMÓRIA_R.FRANCISCO!B44</f>
        <v>67</v>
      </c>
      <c r="G54" s="102">
        <v>28.98</v>
      </c>
      <c r="H54" s="102" t="e">
        <f>ROUND(((($I$10/100)+1)*G54),2)</f>
        <v>#REF!</v>
      </c>
      <c r="I54" s="102" t="e">
        <f>ROUND((H54*F54),2)</f>
        <v>#REF!</v>
      </c>
      <c r="J54" s="69"/>
    </row>
    <row r="55" spans="1:15" ht="30" customHeight="1" x14ac:dyDescent="0.2">
      <c r="A55" s="4" t="s">
        <v>14</v>
      </c>
      <c r="B55" s="132" t="s">
        <v>161</v>
      </c>
      <c r="C55" s="133"/>
      <c r="D55" s="133"/>
      <c r="E55" s="133"/>
      <c r="F55" s="133"/>
      <c r="G55" s="133"/>
      <c r="H55" s="134"/>
      <c r="I55" s="136" t="e">
        <f>ROUND((SUM(I56:I57)),2)</f>
        <v>#REF!</v>
      </c>
      <c r="J55" s="27"/>
    </row>
    <row r="56" spans="1:15" ht="84" x14ac:dyDescent="0.2">
      <c r="A56" s="5" t="s">
        <v>15</v>
      </c>
      <c r="B56" s="5" t="s">
        <v>162</v>
      </c>
      <c r="C56" s="125" t="s">
        <v>163</v>
      </c>
      <c r="D56" s="166" t="s">
        <v>164</v>
      </c>
      <c r="E56" s="7" t="s">
        <v>13</v>
      </c>
      <c r="F56" s="102">
        <f>MEMÓRIA_R.FRANCISCO!B50</f>
        <v>4</v>
      </c>
      <c r="G56" s="102">
        <v>556.73</v>
      </c>
      <c r="H56" s="102" t="e">
        <f>ROUND(((($I$10/100)+1)*G56),2)</f>
        <v>#REF!</v>
      </c>
      <c r="I56" s="102" t="e">
        <f>TRUNC((H56*F56),2)</f>
        <v>#REF!</v>
      </c>
      <c r="J56" s="69"/>
    </row>
    <row r="57" spans="1:15" ht="33.75" customHeight="1" x14ac:dyDescent="0.2">
      <c r="A57" s="5" t="s">
        <v>129</v>
      </c>
      <c r="B57" s="5" t="s">
        <v>162</v>
      </c>
      <c r="C57" s="167" t="s">
        <v>165</v>
      </c>
      <c r="D57" s="6" t="s">
        <v>166</v>
      </c>
      <c r="E57" s="7" t="s">
        <v>167</v>
      </c>
      <c r="F57" s="102">
        <f>MEMÓRIA_R.FRANCISCO!B55</f>
        <v>1</v>
      </c>
      <c r="G57" s="102">
        <v>784.57</v>
      </c>
      <c r="H57" s="102" t="e">
        <f>ROUND(((($I$10/100)+1)*G57),2)</f>
        <v>#REF!</v>
      </c>
      <c r="I57" s="102" t="e">
        <f>ROUND((H57*F57+0.01),2)</f>
        <v>#REF!</v>
      </c>
      <c r="J57" s="69"/>
      <c r="K57" s="27"/>
    </row>
    <row r="58" spans="1:15" ht="30" customHeight="1" x14ac:dyDescent="0.2">
      <c r="A58" s="4" t="s">
        <v>157</v>
      </c>
      <c r="B58" s="132" t="s">
        <v>178</v>
      </c>
      <c r="C58" s="133"/>
      <c r="D58" s="133"/>
      <c r="E58" s="133"/>
      <c r="F58" s="133"/>
      <c r="G58" s="133"/>
      <c r="H58" s="134"/>
      <c r="I58" s="136" t="e">
        <f>ROUND((SUM(I59:I67)),2)</f>
        <v>#REF!</v>
      </c>
      <c r="J58" s="27"/>
    </row>
    <row r="59" spans="1:15" x14ac:dyDescent="0.2">
      <c r="A59" s="5" t="s">
        <v>158</v>
      </c>
      <c r="B59" s="108" t="s">
        <v>162</v>
      </c>
      <c r="C59" s="176" t="s">
        <v>207</v>
      </c>
      <c r="D59" s="177" t="s">
        <v>236</v>
      </c>
      <c r="E59" s="7" t="s">
        <v>167</v>
      </c>
      <c r="F59" s="102">
        <f>MEMÓRIA_R.FRANCISCO!B59</f>
        <v>1</v>
      </c>
      <c r="G59" s="102">
        <v>1736.73</v>
      </c>
      <c r="H59" s="102" t="e">
        <f>ROUND(((($I$10/100)+1)*G59),2)</f>
        <v>#REF!</v>
      </c>
      <c r="I59" s="102" t="e">
        <f>TRUNC((H59*F59),2)</f>
        <v>#REF!</v>
      </c>
      <c r="J59" s="69"/>
    </row>
    <row r="60" spans="1:15" ht="24" x14ac:dyDescent="0.2">
      <c r="A60" s="5" t="s">
        <v>170</v>
      </c>
      <c r="B60" s="108" t="s">
        <v>24</v>
      </c>
      <c r="C60" s="176" t="s">
        <v>205</v>
      </c>
      <c r="D60" s="177" t="s">
        <v>233</v>
      </c>
      <c r="E60" s="7" t="s">
        <v>167</v>
      </c>
      <c r="F60" s="102">
        <f>MEMÓRIA_R.FRANCISCO!B62</f>
        <v>1</v>
      </c>
      <c r="G60" s="102">
        <v>766.23</v>
      </c>
      <c r="H60" s="102" t="e">
        <f t="shared" ref="H60:H67" si="3">ROUND(((($I$10/100)+1)*G60),2)</f>
        <v>#REF!</v>
      </c>
      <c r="I60" s="102" t="e">
        <f t="shared" ref="I60:I67" si="4">TRUNC((H60*F60),2)</f>
        <v>#REF!</v>
      </c>
      <c r="J60" s="69"/>
    </row>
    <row r="61" spans="1:15" ht="24" x14ac:dyDescent="0.2">
      <c r="A61" s="5" t="s">
        <v>203</v>
      </c>
      <c r="B61" s="108" t="s">
        <v>231</v>
      </c>
      <c r="C61" s="176" t="s">
        <v>230</v>
      </c>
      <c r="D61" s="177" t="s">
        <v>198</v>
      </c>
      <c r="E61" s="7" t="s">
        <v>167</v>
      </c>
      <c r="F61" s="102">
        <f>MEMÓRIA_R.FRANCISCO!B65</f>
        <v>1</v>
      </c>
      <c r="G61" s="102">
        <f>CCU!G21</f>
        <v>1370.82</v>
      </c>
      <c r="H61" s="102" t="e">
        <f t="shared" si="3"/>
        <v>#REF!</v>
      </c>
      <c r="I61" s="102" t="e">
        <f t="shared" si="4"/>
        <v>#REF!</v>
      </c>
      <c r="J61" s="69"/>
    </row>
    <row r="62" spans="1:15" ht="48" x14ac:dyDescent="0.2">
      <c r="A62" s="5" t="s">
        <v>181</v>
      </c>
      <c r="B62" s="108" t="s">
        <v>24</v>
      </c>
      <c r="C62" s="176" t="s">
        <v>199</v>
      </c>
      <c r="D62" s="177" t="s">
        <v>200</v>
      </c>
      <c r="E62" s="7" t="s">
        <v>11</v>
      </c>
      <c r="F62" s="102">
        <f>MEMÓRIA_R.FRANCISCO!B68</f>
        <v>126.46</v>
      </c>
      <c r="G62" s="102">
        <v>280.02</v>
      </c>
      <c r="H62" s="102" t="e">
        <f t="shared" si="3"/>
        <v>#REF!</v>
      </c>
      <c r="I62" s="102" t="e">
        <f t="shared" si="4"/>
        <v>#REF!</v>
      </c>
      <c r="J62" s="69"/>
    </row>
    <row r="63" spans="1:15" x14ac:dyDescent="0.2">
      <c r="A63" s="5" t="s">
        <v>183</v>
      </c>
      <c r="B63" s="108" t="s">
        <v>24</v>
      </c>
      <c r="C63" s="178">
        <v>99063</v>
      </c>
      <c r="D63" s="177" t="s">
        <v>234</v>
      </c>
      <c r="E63" s="7" t="s">
        <v>11</v>
      </c>
      <c r="F63" s="102">
        <f>MEMÓRIA_R.FRANCISCO!B71</f>
        <v>126.46</v>
      </c>
      <c r="G63" s="102">
        <v>4.17</v>
      </c>
      <c r="H63" s="102" t="e">
        <f t="shared" si="3"/>
        <v>#REF!</v>
      </c>
      <c r="I63" s="102" t="e">
        <f t="shared" si="4"/>
        <v>#REF!</v>
      </c>
      <c r="J63" s="69"/>
    </row>
    <row r="64" spans="1:15" ht="60" x14ac:dyDescent="0.2">
      <c r="A64" s="5" t="s">
        <v>187</v>
      </c>
      <c r="B64" s="108" t="s">
        <v>24</v>
      </c>
      <c r="C64" s="179">
        <v>90092</v>
      </c>
      <c r="D64" s="180" t="s">
        <v>201</v>
      </c>
      <c r="E64" s="7" t="s">
        <v>128</v>
      </c>
      <c r="F64" s="102">
        <f>MEMÓRIA_R.FRANCISCO!B76</f>
        <v>269.29000000000002</v>
      </c>
      <c r="G64" s="102">
        <v>5.41</v>
      </c>
      <c r="H64" s="102" t="e">
        <f t="shared" si="3"/>
        <v>#REF!</v>
      </c>
      <c r="I64" s="102" t="e">
        <f t="shared" si="4"/>
        <v>#REF!</v>
      </c>
      <c r="J64" s="69"/>
    </row>
    <row r="65" spans="1:15" x14ac:dyDescent="0.2">
      <c r="A65" s="5" t="s">
        <v>188</v>
      </c>
      <c r="B65" s="108" t="s">
        <v>162</v>
      </c>
      <c r="C65" s="181" t="s">
        <v>206</v>
      </c>
      <c r="D65" s="182" t="s">
        <v>235</v>
      </c>
      <c r="E65" s="7" t="s">
        <v>128</v>
      </c>
      <c r="F65" s="102">
        <f>MEMÓRIA_R.FRANCISCO!B83</f>
        <v>22.76</v>
      </c>
      <c r="G65" s="102">
        <v>41.03</v>
      </c>
      <c r="H65" s="102" t="e">
        <f t="shared" si="3"/>
        <v>#REF!</v>
      </c>
      <c r="I65" s="102" t="e">
        <f t="shared" si="4"/>
        <v>#REF!</v>
      </c>
      <c r="J65" s="69"/>
    </row>
    <row r="66" spans="1:15" ht="48" x14ac:dyDescent="0.2">
      <c r="A66" s="5" t="s">
        <v>204</v>
      </c>
      <c r="B66" s="108" t="s">
        <v>24</v>
      </c>
      <c r="C66" s="183">
        <v>93367</v>
      </c>
      <c r="D66" s="177" t="s">
        <v>202</v>
      </c>
      <c r="E66" s="7" t="s">
        <v>128</v>
      </c>
      <c r="F66" s="102">
        <f>MEMÓRIA_R.FRANCISCO!B91</f>
        <v>202.27</v>
      </c>
      <c r="G66" s="102">
        <v>18.32</v>
      </c>
      <c r="H66" s="102" t="e">
        <f t="shared" si="3"/>
        <v>#REF!</v>
      </c>
      <c r="I66" s="102" t="e">
        <f t="shared" si="4"/>
        <v>#REF!</v>
      </c>
      <c r="J66" s="69"/>
    </row>
    <row r="67" spans="1:15" x14ac:dyDescent="0.2">
      <c r="A67" s="5" t="s">
        <v>237</v>
      </c>
      <c r="B67" s="108" t="s">
        <v>162</v>
      </c>
      <c r="C67" s="183" t="s">
        <v>238</v>
      </c>
      <c r="D67" s="177" t="s">
        <v>239</v>
      </c>
      <c r="E67" s="7" t="s">
        <v>167</v>
      </c>
      <c r="F67" s="102">
        <f>MEMÓRIA_R.FRANCISCO!B95</f>
        <v>1</v>
      </c>
      <c r="G67" s="102">
        <v>83.05</v>
      </c>
      <c r="H67" s="102" t="e">
        <f t="shared" si="3"/>
        <v>#REF!</v>
      </c>
      <c r="I67" s="102" t="e">
        <f t="shared" si="4"/>
        <v>#REF!</v>
      </c>
      <c r="J67" s="69"/>
    </row>
    <row r="68" spans="1:15" ht="30" customHeight="1" x14ac:dyDescent="0.2">
      <c r="A68" s="4" t="s">
        <v>174</v>
      </c>
      <c r="B68" s="132" t="s">
        <v>34</v>
      </c>
      <c r="C68" s="133"/>
      <c r="D68" s="133"/>
      <c r="E68" s="133"/>
      <c r="F68" s="133"/>
      <c r="G68" s="133"/>
      <c r="H68" s="134"/>
      <c r="I68" s="136" t="e">
        <f>ROUND((SUM(I69:I69)),2)</f>
        <v>#REF!</v>
      </c>
      <c r="J68" s="69"/>
    </row>
    <row r="69" spans="1:15" ht="30" customHeight="1" x14ac:dyDescent="0.2">
      <c r="A69" s="34" t="s">
        <v>175</v>
      </c>
      <c r="B69" s="5" t="s">
        <v>94</v>
      </c>
      <c r="C69" s="125" t="s">
        <v>95</v>
      </c>
      <c r="D69" s="35" t="s">
        <v>26</v>
      </c>
      <c r="E69" s="36" t="s">
        <v>13</v>
      </c>
      <c r="F69" s="102">
        <f>MEMÓRIA_R.FRANCISCO!B100</f>
        <v>3594.47</v>
      </c>
      <c r="G69" s="37">
        <v>2.17</v>
      </c>
      <c r="H69" s="37" t="e">
        <f>ROUND(((($I$10/100)+1)*G69),2)</f>
        <v>#REF!</v>
      </c>
      <c r="I69" s="102" t="e">
        <f>ROUND((H69*F69),2)</f>
        <v>#REF!</v>
      </c>
      <c r="J69" s="69"/>
    </row>
    <row r="70" spans="1:15" ht="10.5" customHeight="1" thickBot="1" x14ac:dyDescent="0.25">
      <c r="A70" s="110"/>
      <c r="B70" s="111"/>
      <c r="C70" s="126"/>
      <c r="D70" s="111"/>
      <c r="E70" s="111"/>
      <c r="F70" s="111"/>
      <c r="G70" s="112"/>
      <c r="H70" s="3"/>
      <c r="I70" s="3"/>
      <c r="J70" s="27"/>
    </row>
    <row r="71" spans="1:15" ht="30" customHeight="1" thickTop="1" thickBot="1" x14ac:dyDescent="0.25">
      <c r="A71" s="135"/>
      <c r="B71" s="137"/>
      <c r="C71" s="138"/>
      <c r="D71" s="140" t="s">
        <v>124</v>
      </c>
      <c r="E71" s="138"/>
      <c r="F71" s="138"/>
      <c r="G71" s="138"/>
      <c r="H71" s="139"/>
      <c r="I71" s="151" t="e">
        <f>ROUND((I72+I75+I77+I87+I80+I84),2)</f>
        <v>#REF!</v>
      </c>
    </row>
    <row r="72" spans="1:15" ht="30" customHeight="1" thickTop="1" x14ac:dyDescent="0.2">
      <c r="A72" s="4" t="s">
        <v>4</v>
      </c>
      <c r="B72" s="132" t="s">
        <v>102</v>
      </c>
      <c r="C72" s="133"/>
      <c r="D72" s="133"/>
      <c r="E72" s="133"/>
      <c r="F72" s="133"/>
      <c r="G72" s="133"/>
      <c r="H72" s="134"/>
      <c r="I72" s="136" t="e">
        <f>ROUND((SUM(I73:I74)),2)</f>
        <v>#REF!</v>
      </c>
      <c r="L72" s="27"/>
    </row>
    <row r="73" spans="1:15" ht="30" customHeight="1" x14ac:dyDescent="0.2">
      <c r="A73" s="5" t="s">
        <v>5</v>
      </c>
      <c r="B73" s="5" t="s">
        <v>24</v>
      </c>
      <c r="C73" s="7">
        <v>99064</v>
      </c>
      <c r="D73" s="6" t="s">
        <v>303</v>
      </c>
      <c r="E73" s="7" t="s">
        <v>11</v>
      </c>
      <c r="F73" s="102">
        <f>MEMÓRIA_R.WALFREDO!B13</f>
        <v>127</v>
      </c>
      <c r="G73" s="102">
        <v>0.48</v>
      </c>
      <c r="H73" s="102" t="e">
        <f>ROUND(((($I$10/100)+1)*G73),2)</f>
        <v>#REF!</v>
      </c>
      <c r="I73" s="102" t="e">
        <f>ROUND((H73*F73),2)</f>
        <v>#REF!</v>
      </c>
      <c r="J73" s="69"/>
      <c r="L73" s="114"/>
    </row>
    <row r="74" spans="1:15" ht="30" customHeight="1" x14ac:dyDescent="0.2">
      <c r="A74" s="5" t="s">
        <v>86</v>
      </c>
      <c r="B74" s="5" t="s">
        <v>24</v>
      </c>
      <c r="C74" s="123">
        <v>97629</v>
      </c>
      <c r="D74" s="6" t="s">
        <v>151</v>
      </c>
      <c r="E74" s="7" t="s">
        <v>128</v>
      </c>
      <c r="F74" s="102">
        <f>MEMÓRIA_R.WALFREDO!B18</f>
        <v>3.29</v>
      </c>
      <c r="G74" s="102">
        <v>91.83</v>
      </c>
      <c r="H74" s="102" t="e">
        <f>ROUND(((($I$10/100)+1)*G74),2)</f>
        <v>#REF!</v>
      </c>
      <c r="I74" s="102" t="e">
        <f>ROUND((H74*F74),2)</f>
        <v>#REF!</v>
      </c>
      <c r="J74" s="69"/>
      <c r="L74" s="114"/>
    </row>
    <row r="75" spans="1:15" ht="30" customHeight="1" x14ac:dyDescent="0.2">
      <c r="A75" s="11" t="s">
        <v>6</v>
      </c>
      <c r="B75" s="132" t="s">
        <v>99</v>
      </c>
      <c r="C75" s="133"/>
      <c r="D75" s="133"/>
      <c r="E75" s="133"/>
      <c r="F75" s="133"/>
      <c r="G75" s="133"/>
      <c r="H75" s="134"/>
      <c r="I75" s="136" t="e">
        <f>ROUND((SUM(I76)),2)</f>
        <v>#REF!</v>
      </c>
      <c r="J75" s="69"/>
      <c r="L75" s="114"/>
      <c r="O75" s="114"/>
    </row>
    <row r="76" spans="1:15" ht="30" customHeight="1" x14ac:dyDescent="0.2">
      <c r="A76" s="5" t="s">
        <v>7</v>
      </c>
      <c r="B76" s="108" t="s">
        <v>24</v>
      </c>
      <c r="C76" s="124">
        <v>100575</v>
      </c>
      <c r="D76" s="29" t="s">
        <v>93</v>
      </c>
      <c r="E76" s="7" t="s">
        <v>13</v>
      </c>
      <c r="F76" s="102">
        <f>MEMÓRIA_R.WALFREDO!B25</f>
        <v>762</v>
      </c>
      <c r="G76" s="101">
        <v>0.1</v>
      </c>
      <c r="H76" s="102" t="e">
        <f>ROUND(((($I$10/100)+1)*G76),2)</f>
        <v>#REF!</v>
      </c>
      <c r="I76" s="102" t="e">
        <f>ROUND((H76*F76),2)</f>
        <v>#REF!</v>
      </c>
      <c r="J76" s="69"/>
      <c r="L76" s="150"/>
      <c r="M76" s="150"/>
      <c r="O76" s="114"/>
    </row>
    <row r="77" spans="1:15" ht="30" customHeight="1" x14ac:dyDescent="0.2">
      <c r="A77" s="4" t="s">
        <v>8</v>
      </c>
      <c r="B77" s="132" t="s">
        <v>98</v>
      </c>
      <c r="C77" s="133"/>
      <c r="D77" s="133"/>
      <c r="E77" s="133"/>
      <c r="F77" s="133"/>
      <c r="G77" s="133"/>
      <c r="H77" s="134"/>
      <c r="I77" s="136" t="e">
        <f>ROUND((SUM(I78:I79)),2)</f>
        <v>#REF!</v>
      </c>
      <c r="J77" s="69"/>
    </row>
    <row r="78" spans="1:15" ht="19.5" customHeight="1" x14ac:dyDescent="0.2">
      <c r="A78" s="5" t="s">
        <v>9</v>
      </c>
      <c r="B78" s="108" t="s">
        <v>89</v>
      </c>
      <c r="C78" s="125" t="s">
        <v>110</v>
      </c>
      <c r="D78" s="6" t="s">
        <v>109</v>
      </c>
      <c r="E78" s="7" t="s">
        <v>11</v>
      </c>
      <c r="F78" s="102">
        <f>MEMÓRIA_R.WALFREDO!B32</f>
        <v>254</v>
      </c>
      <c r="G78" s="102">
        <v>26.39</v>
      </c>
      <c r="H78" s="102" t="e">
        <f>ROUND(((($I$10/100)+1)*G78),2)</f>
        <v>#REF!</v>
      </c>
      <c r="I78" s="102" t="e">
        <f>ROUND((H78*F78),2)</f>
        <v>#REF!</v>
      </c>
      <c r="J78" s="69"/>
      <c r="L78" s="103"/>
      <c r="O78" s="103"/>
    </row>
    <row r="79" spans="1:15" ht="38.25" customHeight="1" x14ac:dyDescent="0.2">
      <c r="A79" s="5" t="s">
        <v>12</v>
      </c>
      <c r="B79" s="108" t="s">
        <v>24</v>
      </c>
      <c r="C79" s="125" t="s">
        <v>104</v>
      </c>
      <c r="D79" s="6" t="s">
        <v>106</v>
      </c>
      <c r="E79" s="7" t="s">
        <v>13</v>
      </c>
      <c r="F79" s="102">
        <f>MEMÓRIA_R.WALFREDO!B39</f>
        <v>762</v>
      </c>
      <c r="G79" s="102">
        <v>81.599999999999994</v>
      </c>
      <c r="H79" s="102" t="e">
        <f>ROUND(((($I$10/100)+1)*G79),2)</f>
        <v>#REF!</v>
      </c>
      <c r="I79" s="102" t="e">
        <f>ROUND((H79*F79),2)</f>
        <v>#REF!</v>
      </c>
      <c r="J79" s="69"/>
    </row>
    <row r="80" spans="1:15" ht="30" customHeight="1" x14ac:dyDescent="0.2">
      <c r="A80" s="4" t="s">
        <v>14</v>
      </c>
      <c r="B80" s="132" t="s">
        <v>126</v>
      </c>
      <c r="C80" s="133"/>
      <c r="D80" s="133"/>
      <c r="E80" s="133"/>
      <c r="F80" s="133"/>
      <c r="G80" s="133"/>
      <c r="H80" s="134"/>
      <c r="I80" s="136" t="e">
        <f>ROUND((SUM(I81:I83)),2)</f>
        <v>#REF!</v>
      </c>
      <c r="J80" s="27"/>
    </row>
    <row r="81" spans="1:12" ht="36" x14ac:dyDescent="0.2">
      <c r="A81" s="5" t="s">
        <v>15</v>
      </c>
      <c r="B81" s="5" t="s">
        <v>24</v>
      </c>
      <c r="C81" s="153">
        <v>94990</v>
      </c>
      <c r="D81" s="6" t="s">
        <v>127</v>
      </c>
      <c r="E81" s="7" t="s">
        <v>128</v>
      </c>
      <c r="F81" s="102">
        <f>MEMÓRIA_R.WALFREDO!B51</f>
        <v>8.91</v>
      </c>
      <c r="G81" s="102">
        <v>695.65</v>
      </c>
      <c r="H81" s="102" t="e">
        <f>ROUND(((($I$10/100)+1)*G81),2)</f>
        <v>#REF!</v>
      </c>
      <c r="I81" s="102" t="e">
        <f>TRUNC((H81*F81),2)</f>
        <v>#REF!</v>
      </c>
      <c r="J81" s="154"/>
    </row>
    <row r="82" spans="1:12" ht="38.25" customHeight="1" x14ac:dyDescent="0.2">
      <c r="A82" s="5" t="s">
        <v>129</v>
      </c>
      <c r="B82" s="5" t="s">
        <v>24</v>
      </c>
      <c r="C82" s="153">
        <v>94990</v>
      </c>
      <c r="D82" s="6" t="s">
        <v>130</v>
      </c>
      <c r="E82" s="7" t="s">
        <v>128</v>
      </c>
      <c r="F82" s="102">
        <f>MEMÓRIA_R.WALFREDO!B62</f>
        <v>2.4700000000000002</v>
      </c>
      <c r="G82" s="102">
        <f>G81</f>
        <v>695.65</v>
      </c>
      <c r="H82" s="102" t="e">
        <f>ROUND(((($I$10/100)+1)*G82),2)</f>
        <v>#REF!</v>
      </c>
      <c r="I82" s="102" t="e">
        <f>ROUND((H82*F82+0.01),2)</f>
        <v>#REF!</v>
      </c>
      <c r="J82" s="27"/>
      <c r="L82" s="155"/>
    </row>
    <row r="83" spans="1:12" ht="39" customHeight="1" x14ac:dyDescent="0.2">
      <c r="A83" s="5" t="s">
        <v>131</v>
      </c>
      <c r="B83" s="5" t="s">
        <v>94</v>
      </c>
      <c r="C83" s="156" t="s">
        <v>149</v>
      </c>
      <c r="D83" s="6" t="s">
        <v>150</v>
      </c>
      <c r="E83" s="7" t="s">
        <v>13</v>
      </c>
      <c r="F83" s="102">
        <f>MEMÓRIA_R.WALFREDO!B81</f>
        <v>35.65</v>
      </c>
      <c r="G83" s="102">
        <v>104.97</v>
      </c>
      <c r="H83" s="102" t="e">
        <f>ROUND(((($I$10/100)+1)*G83),2)</f>
        <v>#REF!</v>
      </c>
      <c r="I83" s="102" t="e">
        <f>TRUNC((H83*F83+0.01),2)</f>
        <v>#REF!</v>
      </c>
      <c r="J83" s="27"/>
      <c r="L83" s="155"/>
    </row>
    <row r="84" spans="1:12" ht="30" customHeight="1" x14ac:dyDescent="0.2">
      <c r="A84" s="4" t="s">
        <v>14</v>
      </c>
      <c r="B84" s="132" t="s">
        <v>161</v>
      </c>
      <c r="C84" s="133"/>
      <c r="D84" s="133"/>
      <c r="E84" s="133"/>
      <c r="F84" s="133"/>
      <c r="G84" s="133"/>
      <c r="H84" s="134"/>
      <c r="I84" s="165" t="e">
        <f>ROUND((SUM(I85:I86)),2)</f>
        <v>#REF!</v>
      </c>
      <c r="J84" s="27"/>
    </row>
    <row r="85" spans="1:12" ht="84" x14ac:dyDescent="0.2">
      <c r="A85" s="5" t="s">
        <v>15</v>
      </c>
      <c r="B85" s="5" t="s">
        <v>162</v>
      </c>
      <c r="C85" s="125" t="s">
        <v>163</v>
      </c>
      <c r="D85" s="166" t="s">
        <v>164</v>
      </c>
      <c r="E85" s="7" t="s">
        <v>13</v>
      </c>
      <c r="F85" s="102">
        <f>MEMÓRIA_R.WALFREDO!B86</f>
        <v>1</v>
      </c>
      <c r="G85" s="102">
        <v>556.73</v>
      </c>
      <c r="H85" s="102" t="e">
        <f>ROUND(((($I$10/100)+1)*G85),2)</f>
        <v>#REF!</v>
      </c>
      <c r="I85" s="102" t="e">
        <f>TRUNC((H85*F85),2)</f>
        <v>#REF!</v>
      </c>
      <c r="J85" s="27"/>
    </row>
    <row r="86" spans="1:12" ht="33.75" customHeight="1" x14ac:dyDescent="0.2">
      <c r="A86" s="5" t="s">
        <v>129</v>
      </c>
      <c r="B86" s="5" t="s">
        <v>162</v>
      </c>
      <c r="C86" s="167" t="s">
        <v>165</v>
      </c>
      <c r="D86" s="6" t="s">
        <v>166</v>
      </c>
      <c r="E86" s="7" t="s">
        <v>167</v>
      </c>
      <c r="F86" s="102">
        <f>MEMÓRIA_R.WALFREDO!B91</f>
        <v>1</v>
      </c>
      <c r="G86" s="102">
        <v>784.57</v>
      </c>
      <c r="H86" s="102" t="e">
        <f>ROUND(((($I$10/100)+1)*G86),2)</f>
        <v>#REF!</v>
      </c>
      <c r="I86" s="102" t="e">
        <f>ROUND((H86*F86+0.01),2)</f>
        <v>#REF!</v>
      </c>
    </row>
    <row r="87" spans="1:12" ht="30" customHeight="1" x14ac:dyDescent="0.2">
      <c r="A87" s="4" t="s">
        <v>157</v>
      </c>
      <c r="B87" s="132" t="s">
        <v>34</v>
      </c>
      <c r="C87" s="133"/>
      <c r="D87" s="133"/>
      <c r="E87" s="133"/>
      <c r="F87" s="133"/>
      <c r="G87" s="133"/>
      <c r="H87" s="134"/>
      <c r="I87" s="136" t="e">
        <f>ROUND((SUM(I88:I88)),2)</f>
        <v>#REF!</v>
      </c>
      <c r="J87" s="69"/>
    </row>
    <row r="88" spans="1:12" ht="30" customHeight="1" x14ac:dyDescent="0.2">
      <c r="A88" s="34" t="s">
        <v>158</v>
      </c>
      <c r="B88" s="5" t="s">
        <v>94</v>
      </c>
      <c r="C88" s="125" t="s">
        <v>95</v>
      </c>
      <c r="D88" s="35" t="s">
        <v>26</v>
      </c>
      <c r="E88" s="36" t="s">
        <v>13</v>
      </c>
      <c r="F88" s="102">
        <f>MEMÓRIA_R.WALFREDO!B96</f>
        <v>762</v>
      </c>
      <c r="G88" s="37">
        <v>2.17</v>
      </c>
      <c r="H88" s="37" t="e">
        <f>ROUND(((($I$10/100)+1)*G88),2)</f>
        <v>#REF!</v>
      </c>
      <c r="I88" s="102" t="e">
        <f>ROUND((H88*F88),2)</f>
        <v>#REF!</v>
      </c>
      <c r="J88" s="69"/>
    </row>
    <row r="89" spans="1:12" ht="10.5" customHeight="1" x14ac:dyDescent="0.2">
      <c r="A89" s="110"/>
      <c r="B89" s="111"/>
      <c r="C89" s="126"/>
      <c r="D89" s="111"/>
      <c r="E89" s="111"/>
      <c r="F89" s="111"/>
      <c r="G89" s="112"/>
      <c r="H89" s="3"/>
      <c r="I89" s="3"/>
      <c r="J89" s="27"/>
    </row>
    <row r="90" spans="1:12" x14ac:dyDescent="0.2">
      <c r="B90" s="109" t="s">
        <v>31</v>
      </c>
      <c r="C90" s="12" t="s">
        <v>121</v>
      </c>
    </row>
    <row r="91" spans="1:12" x14ac:dyDescent="0.2">
      <c r="C91" s="12" t="s">
        <v>105</v>
      </c>
    </row>
    <row r="92" spans="1:12" x14ac:dyDescent="0.2">
      <c r="C92" s="12" t="s">
        <v>107</v>
      </c>
    </row>
    <row r="93" spans="1:12" ht="13.5" customHeight="1" x14ac:dyDescent="0.2">
      <c r="C93" s="12" t="s">
        <v>103</v>
      </c>
    </row>
    <row r="94" spans="1:12" ht="14.25" customHeight="1" x14ac:dyDescent="0.2">
      <c r="A94"/>
      <c r="B94"/>
      <c r="C94" s="122"/>
    </row>
    <row r="101" spans="4:4" x14ac:dyDescent="0.2">
      <c r="D101" s="113"/>
    </row>
    <row r="102" spans="4:4" x14ac:dyDescent="0.2">
      <c r="D102" s="114"/>
    </row>
  </sheetData>
  <mergeCells count="3">
    <mergeCell ref="A9:I9"/>
    <mergeCell ref="C6:H6"/>
    <mergeCell ref="C7:H7"/>
  </mergeCells>
  <phoneticPr fontId="56" type="noConversion"/>
  <printOptions horizontalCentered="1"/>
  <pageMargins left="0.59055118110236227" right="0.15748031496062992" top="0.31496062992125984" bottom="0.78740157480314965" header="0.55118110236220474" footer="0.47244094488188981"/>
  <pageSetup paperSize="9" scale="76" fitToHeight="0" orientation="portrait" r:id="rId1"/>
  <headerFooter alignWithMargins="0"/>
  <rowBreaks count="1" manualBreakCount="1">
    <brk id="86" max="8" man="1"/>
  </rowBreaks>
  <ignoredErrors>
    <ignoredError sqref="I51 I19" formula="1"/>
    <ignoredError sqref="C83" numberStoredAsText="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ilha3">
    <pageSetUpPr fitToPage="1"/>
  </sheetPr>
  <dimension ref="A1:J100"/>
  <sheetViews>
    <sheetView showGridLines="0" view="pageBreakPreview" zoomScale="85" zoomScaleNormal="115" zoomScaleSheetLayoutView="85" workbookViewId="0">
      <selection activeCell="A8" sqref="A8:J8"/>
    </sheetView>
  </sheetViews>
  <sheetFormatPr defaultRowHeight="12.75" x14ac:dyDescent="0.2"/>
  <cols>
    <col min="1" max="1" width="6.42578125" style="1" customWidth="1"/>
    <col min="2" max="2" width="12.85546875" customWidth="1"/>
    <col min="3" max="3" width="12.140625" customWidth="1"/>
    <col min="4" max="4" width="11.28515625" customWidth="1"/>
    <col min="5" max="5" width="14.28515625" customWidth="1"/>
    <col min="7" max="7" width="12.140625" customWidth="1"/>
    <col min="8" max="8" width="13.7109375" bestFit="1" customWidth="1"/>
    <col min="9" max="9" width="14.140625" customWidth="1"/>
    <col min="10" max="10" width="20.28515625" customWidth="1"/>
  </cols>
  <sheetData>
    <row r="1" spans="1:10" x14ac:dyDescent="0.2">
      <c r="I1" s="28"/>
    </row>
    <row r="2" spans="1:10" x14ac:dyDescent="0.2">
      <c r="I2" s="28"/>
    </row>
    <row r="6" spans="1:10" ht="20.100000000000001" customHeight="1" x14ac:dyDescent="0.2">
      <c r="A6" s="710" t="s">
        <v>17</v>
      </c>
      <c r="B6" s="710"/>
      <c r="C6" s="710"/>
      <c r="D6" s="710"/>
      <c r="E6" s="710"/>
      <c r="F6" s="710"/>
      <c r="G6" s="710"/>
      <c r="H6" s="710"/>
      <c r="I6" s="710"/>
      <c r="J6" s="710"/>
    </row>
    <row r="7" spans="1:10" ht="8.25" customHeight="1" x14ac:dyDescent="0.2">
      <c r="A7" s="2"/>
      <c r="B7" s="2"/>
      <c r="C7" s="2"/>
      <c r="D7" s="2"/>
      <c r="E7" s="2"/>
    </row>
    <row r="8" spans="1:10" ht="20.100000000000001" customHeight="1" x14ac:dyDescent="0.2">
      <c r="A8" s="713" t="str">
        <f>ORÇAMENTO!D45</f>
        <v>RUA FRANCISCO JOSÉ CARDOSO</v>
      </c>
      <c r="B8" s="714"/>
      <c r="C8" s="714"/>
      <c r="D8" s="714"/>
      <c r="E8" s="714"/>
      <c r="F8" s="714"/>
      <c r="G8" s="714"/>
      <c r="H8" s="714"/>
      <c r="I8" s="714"/>
      <c r="J8" s="714"/>
    </row>
    <row r="9" spans="1:10" ht="4.7" customHeight="1" x14ac:dyDescent="0.2">
      <c r="A9"/>
    </row>
    <row r="10" spans="1:10" ht="18" customHeight="1" x14ac:dyDescent="0.25">
      <c r="A10" s="13" t="s">
        <v>4</v>
      </c>
      <c r="B10" s="14" t="s">
        <v>18</v>
      </c>
      <c r="C10" s="15"/>
      <c r="D10" s="15"/>
      <c r="E10" s="16"/>
      <c r="F10" s="17"/>
      <c r="G10" s="17"/>
      <c r="H10" s="17"/>
      <c r="I10" s="17"/>
    </row>
    <row r="11" spans="1:10" ht="18" customHeight="1" x14ac:dyDescent="0.25">
      <c r="A11" s="25" t="s">
        <v>5</v>
      </c>
      <c r="B11" s="26" t="str">
        <f>ORÇAMENTO!D47</f>
        <v>Placa indicativa de obra</v>
      </c>
      <c r="C11" s="20"/>
      <c r="D11" s="21"/>
      <c r="E11" s="21"/>
      <c r="F11" s="17"/>
      <c r="G11" s="17"/>
      <c r="H11" s="17"/>
      <c r="I11" s="17"/>
    </row>
    <row r="12" spans="1:10" ht="18" customHeight="1" x14ac:dyDescent="0.25">
      <c r="A12" s="25" t="s">
        <v>21</v>
      </c>
      <c r="B12" s="30">
        <v>3</v>
      </c>
      <c r="C12" s="19" t="s">
        <v>28</v>
      </c>
      <c r="D12" s="21"/>
      <c r="E12" s="21"/>
      <c r="F12" s="17"/>
      <c r="G12" s="17"/>
    </row>
    <row r="13" spans="1:10" ht="18" customHeight="1" x14ac:dyDescent="0.25">
      <c r="A13" s="25" t="s">
        <v>21</v>
      </c>
      <c r="B13" s="30">
        <v>1.5</v>
      </c>
      <c r="C13" s="19" t="s">
        <v>97</v>
      </c>
      <c r="D13" s="21"/>
      <c r="E13" s="21"/>
      <c r="F13" s="17"/>
      <c r="G13" s="17"/>
    </row>
    <row r="14" spans="1:10" ht="18" customHeight="1" x14ac:dyDescent="0.25">
      <c r="A14" s="25" t="s">
        <v>21</v>
      </c>
      <c r="B14" s="31">
        <f>B13*B12</f>
        <v>4.5</v>
      </c>
      <c r="C14" s="26"/>
      <c r="D14" s="21"/>
      <c r="E14" s="21"/>
      <c r="F14" s="17"/>
      <c r="G14" s="17"/>
      <c r="H14" s="144"/>
      <c r="I14" s="17"/>
      <c r="J14" s="27"/>
    </row>
    <row r="15" spans="1:10" ht="18" customHeight="1" x14ac:dyDescent="0.25">
      <c r="A15" s="25"/>
      <c r="B15" s="78" t="s">
        <v>65</v>
      </c>
      <c r="C15" s="26"/>
      <c r="D15" s="79" t="s">
        <v>176</v>
      </c>
      <c r="E15" s="21"/>
      <c r="F15" s="17"/>
      <c r="G15" s="17"/>
      <c r="H15" s="142"/>
      <c r="I15" s="17"/>
      <c r="J15" s="114"/>
    </row>
    <row r="16" spans="1:10" ht="12" customHeight="1" x14ac:dyDescent="0.25">
      <c r="A16" s="25"/>
      <c r="B16" s="19"/>
      <c r="C16" s="23"/>
      <c r="D16" s="23"/>
      <c r="E16" s="23"/>
      <c r="F16" s="17"/>
      <c r="G16" s="142"/>
      <c r="H16" s="17"/>
      <c r="I16" s="17"/>
    </row>
    <row r="17" spans="1:10" ht="18" customHeight="1" x14ac:dyDescent="0.25">
      <c r="A17" s="25" t="s">
        <v>86</v>
      </c>
      <c r="B17" s="26" t="str">
        <f>ORÇAMENTO!D48</f>
        <v>Locação de pavimentação</v>
      </c>
      <c r="C17" s="20"/>
      <c r="D17" s="21"/>
      <c r="E17" s="21"/>
      <c r="F17" s="17"/>
      <c r="G17" s="17"/>
      <c r="H17" s="17"/>
      <c r="I17" s="17"/>
    </row>
    <row r="18" spans="1:10" ht="18" customHeight="1" x14ac:dyDescent="0.25">
      <c r="A18" s="25" t="s">
        <v>21</v>
      </c>
      <c r="B18" s="26">
        <f>31*20+1.4</f>
        <v>621.4</v>
      </c>
      <c r="C18" s="19" t="s">
        <v>113</v>
      </c>
      <c r="D18" s="21"/>
      <c r="E18" s="21"/>
      <c r="F18" s="17"/>
      <c r="G18" s="142"/>
      <c r="H18" s="17"/>
      <c r="I18" s="17"/>
    </row>
    <row r="19" spans="1:10" ht="18" customHeight="1" x14ac:dyDescent="0.25">
      <c r="A19" s="25" t="s">
        <v>21</v>
      </c>
      <c r="B19" s="31">
        <f>B18</f>
        <v>621.4</v>
      </c>
      <c r="C19" s="26"/>
      <c r="D19" s="21"/>
      <c r="E19" s="21"/>
      <c r="F19" s="17"/>
      <c r="G19" s="17"/>
      <c r="H19" s="17"/>
      <c r="I19" s="17"/>
    </row>
    <row r="20" spans="1:10" ht="18" customHeight="1" x14ac:dyDescent="0.25">
      <c r="A20" s="25"/>
      <c r="B20" s="78" t="s">
        <v>65</v>
      </c>
      <c r="C20" s="26"/>
      <c r="D20" s="79" t="s">
        <v>177</v>
      </c>
      <c r="E20" s="21"/>
      <c r="F20" s="17"/>
      <c r="G20" s="17"/>
      <c r="H20" s="142"/>
      <c r="I20" s="17"/>
      <c r="J20" s="114"/>
    </row>
    <row r="21" spans="1:10" ht="18" customHeight="1" x14ac:dyDescent="0.25">
      <c r="A21" s="25"/>
      <c r="B21" s="19"/>
      <c r="C21" s="23"/>
      <c r="D21" s="23"/>
      <c r="E21" s="23"/>
      <c r="F21" s="17"/>
      <c r="G21" s="17"/>
      <c r="H21" s="17"/>
      <c r="I21" s="17"/>
    </row>
    <row r="22" spans="1:10" ht="18" customHeight="1" x14ac:dyDescent="0.25">
      <c r="A22" s="13" t="s">
        <v>6</v>
      </c>
      <c r="B22" s="14" t="s">
        <v>10</v>
      </c>
      <c r="C22" s="15"/>
      <c r="D22" s="15"/>
      <c r="E22" s="16"/>
      <c r="F22" s="17"/>
      <c r="G22" s="17"/>
    </row>
    <row r="23" spans="1:10" ht="15.75" x14ac:dyDescent="0.25">
      <c r="A23" s="24" t="s">
        <v>7</v>
      </c>
      <c r="B23" s="147" t="str">
        <f>ORÇAMENTO!D50</f>
        <v>Regularização de superfícies com motoniveladora. Af_11/2019</v>
      </c>
      <c r="C23" s="147"/>
      <c r="D23" s="147"/>
      <c r="E23" s="147"/>
      <c r="F23" s="147"/>
      <c r="G23" s="147"/>
    </row>
    <row r="24" spans="1:10" ht="18" customHeight="1" x14ac:dyDescent="0.25">
      <c r="A24" s="25" t="s">
        <v>21</v>
      </c>
      <c r="B24" s="26">
        <f>3594.47</f>
        <v>3594.47</v>
      </c>
      <c r="C24" s="19" t="s">
        <v>111</v>
      </c>
      <c r="D24" s="21"/>
      <c r="E24" s="21"/>
      <c r="F24" s="17"/>
      <c r="G24" s="17"/>
      <c r="H24" s="17"/>
      <c r="I24" s="17"/>
    </row>
    <row r="25" spans="1:10" ht="18" customHeight="1" x14ac:dyDescent="0.25">
      <c r="A25" s="25" t="s">
        <v>21</v>
      </c>
      <c r="B25" s="31">
        <f>B24</f>
        <v>3594.47</v>
      </c>
      <c r="C25" s="12"/>
      <c r="D25" s="21"/>
      <c r="E25" s="21"/>
      <c r="F25" s="17"/>
      <c r="G25" s="17"/>
      <c r="H25" s="17"/>
      <c r="I25" s="17"/>
    </row>
    <row r="26" spans="1:10" ht="12" customHeight="1" x14ac:dyDescent="0.25">
      <c r="A26" s="25"/>
      <c r="B26" s="26"/>
      <c r="C26" s="20"/>
      <c r="D26" s="21"/>
      <c r="E26" s="21"/>
      <c r="F26" s="17"/>
      <c r="G26" s="17"/>
      <c r="H26" s="17"/>
      <c r="I26" s="17"/>
    </row>
    <row r="27" spans="1:10" ht="18" customHeight="1" x14ac:dyDescent="0.25">
      <c r="A27" s="13" t="s">
        <v>8</v>
      </c>
      <c r="B27" s="14" t="s">
        <v>20</v>
      </c>
      <c r="C27" s="20"/>
      <c r="D27" s="21"/>
      <c r="E27" s="21"/>
      <c r="F27" s="17"/>
      <c r="G27" s="17"/>
      <c r="H27" s="17"/>
      <c r="I27" s="17"/>
    </row>
    <row r="28" spans="1:10" ht="18" customHeight="1" x14ac:dyDescent="0.25">
      <c r="A28" s="18" t="s">
        <v>9</v>
      </c>
      <c r="B28" s="26" t="str">
        <f>ORÇAMENTO!D52</f>
        <v>Meio-fio de concreto tipo MPC-05</v>
      </c>
      <c r="C28" s="20"/>
      <c r="D28" s="21"/>
      <c r="E28" s="21"/>
      <c r="F28" s="17"/>
      <c r="G28" s="17"/>
      <c r="H28" s="17"/>
      <c r="I28" s="17"/>
    </row>
    <row r="29" spans="1:10" ht="18" customHeight="1" x14ac:dyDescent="0.25">
      <c r="A29" s="25" t="s">
        <v>21</v>
      </c>
      <c r="B29" s="26">
        <f>B19</f>
        <v>621.4</v>
      </c>
      <c r="C29" s="30" t="str">
        <f>C18</f>
        <v>(extensão)</v>
      </c>
      <c r="D29" s="21"/>
      <c r="E29" s="21"/>
      <c r="F29" s="17"/>
      <c r="G29" s="17"/>
      <c r="H29" s="17"/>
      <c r="I29" s="17"/>
    </row>
    <row r="30" spans="1:10" ht="18" customHeight="1" x14ac:dyDescent="0.25">
      <c r="A30" s="25" t="s">
        <v>21</v>
      </c>
      <c r="B30" s="30">
        <v>2</v>
      </c>
      <c r="C30" s="19" t="s">
        <v>30</v>
      </c>
      <c r="D30" s="21"/>
      <c r="E30" s="21"/>
      <c r="F30" s="17"/>
      <c r="G30" s="17"/>
      <c r="H30" s="17"/>
      <c r="I30" s="17"/>
    </row>
    <row r="31" spans="1:10" ht="18" customHeight="1" x14ac:dyDescent="0.25">
      <c r="A31" s="25" t="s">
        <v>21</v>
      </c>
      <c r="B31" s="31">
        <f>B29*B30</f>
        <v>1242.8</v>
      </c>
      <c r="C31" s="26"/>
      <c r="D31" s="21"/>
      <c r="E31" s="21"/>
      <c r="F31" s="17"/>
      <c r="G31" s="17"/>
      <c r="H31" s="17"/>
      <c r="I31" s="17"/>
    </row>
    <row r="32" spans="1:10" ht="18" customHeight="1" x14ac:dyDescent="0.25">
      <c r="A32" s="25"/>
      <c r="B32" s="78" t="s">
        <v>65</v>
      </c>
      <c r="C32" s="26"/>
      <c r="D32" s="79" t="s">
        <v>123</v>
      </c>
      <c r="E32" s="21"/>
      <c r="F32" s="17"/>
      <c r="G32" s="17"/>
      <c r="H32" s="17"/>
      <c r="I32" s="17"/>
    </row>
    <row r="33" spans="1:9" ht="13.15" customHeight="1" x14ac:dyDescent="0.25">
      <c r="A33" s="25"/>
      <c r="B33" s="26"/>
      <c r="C33" s="20"/>
      <c r="D33" s="21"/>
      <c r="E33" s="21"/>
      <c r="F33" s="17"/>
      <c r="G33" s="17"/>
      <c r="H33" s="17"/>
      <c r="I33" s="17"/>
    </row>
    <row r="34" spans="1:9" ht="18" customHeight="1" x14ac:dyDescent="0.25">
      <c r="A34" s="18" t="s">
        <v>12</v>
      </c>
      <c r="B34" s="26" t="s">
        <v>35</v>
      </c>
      <c r="C34" s="20"/>
      <c r="D34" s="21"/>
      <c r="E34" s="21"/>
      <c r="F34" s="17"/>
      <c r="G34" s="17"/>
      <c r="H34" s="17"/>
      <c r="I34" s="17"/>
    </row>
    <row r="35" spans="1:9" ht="18" customHeight="1" x14ac:dyDescent="0.25">
      <c r="A35" s="25" t="s">
        <v>21</v>
      </c>
      <c r="B35" s="22" t="s">
        <v>22</v>
      </c>
      <c r="C35" s="20"/>
      <c r="D35" s="21"/>
      <c r="E35" s="21"/>
      <c r="F35" s="17"/>
      <c r="G35" s="17"/>
      <c r="H35" s="17"/>
      <c r="I35" s="17"/>
    </row>
    <row r="36" spans="1:9" ht="18" customHeight="1" x14ac:dyDescent="0.25">
      <c r="A36" s="25" t="s">
        <v>21</v>
      </c>
      <c r="B36" s="26">
        <f>B24</f>
        <v>3594.47</v>
      </c>
      <c r="C36" s="30" t="str">
        <f>C24</f>
        <v>(área total calculada no autocad - rua tem largura variável)</v>
      </c>
      <c r="D36" s="21"/>
      <c r="E36" s="21"/>
      <c r="F36" s="17"/>
      <c r="G36" s="17"/>
      <c r="H36" s="17"/>
      <c r="I36" s="17"/>
    </row>
    <row r="37" spans="1:9" ht="18" customHeight="1" x14ac:dyDescent="0.25">
      <c r="A37" s="25" t="s">
        <v>21</v>
      </c>
      <c r="B37" s="31">
        <f>B36</f>
        <v>3594.47</v>
      </c>
      <c r="C37" s="12"/>
      <c r="D37" s="21"/>
      <c r="E37" s="21"/>
      <c r="F37" s="17"/>
      <c r="G37" s="17"/>
      <c r="H37" s="17"/>
      <c r="I37" s="17"/>
    </row>
    <row r="38" spans="1:9" ht="12.6" customHeight="1" x14ac:dyDescent="0.25">
      <c r="A38" s="25"/>
      <c r="B38" s="26"/>
      <c r="C38" s="20"/>
      <c r="D38" s="21"/>
      <c r="E38" s="21"/>
      <c r="F38" s="17"/>
      <c r="G38" s="17"/>
      <c r="H38" s="17"/>
      <c r="I38" s="17"/>
    </row>
    <row r="39" spans="1:9" ht="18" customHeight="1" x14ac:dyDescent="0.25">
      <c r="A39" s="18" t="s">
        <v>108</v>
      </c>
      <c r="B39" s="26" t="s">
        <v>112</v>
      </c>
      <c r="C39" s="20"/>
      <c r="D39" s="21"/>
      <c r="E39" s="21"/>
      <c r="F39" s="17"/>
      <c r="G39" s="17"/>
      <c r="H39" s="17"/>
      <c r="I39" s="17"/>
    </row>
    <row r="40" spans="1:9" ht="18" customHeight="1" x14ac:dyDescent="0.25">
      <c r="A40" s="25" t="s">
        <v>21</v>
      </c>
      <c r="B40" s="30">
        <v>6</v>
      </c>
      <c r="C40" s="19" t="s">
        <v>116</v>
      </c>
      <c r="D40" s="21"/>
      <c r="E40" s="21"/>
      <c r="F40" s="17"/>
      <c r="G40" s="17"/>
      <c r="H40" s="17"/>
      <c r="I40" s="17"/>
    </row>
    <row r="41" spans="1:9" ht="18" customHeight="1" x14ac:dyDescent="0.25">
      <c r="A41" s="25" t="s">
        <v>21</v>
      </c>
      <c r="B41" s="30">
        <v>3</v>
      </c>
      <c r="C41" s="19" t="s">
        <v>118</v>
      </c>
      <c r="D41" s="21"/>
      <c r="E41" s="21"/>
      <c r="F41" s="17"/>
      <c r="G41" s="17"/>
      <c r="H41" s="17"/>
      <c r="I41" s="17"/>
    </row>
    <row r="42" spans="1:9" ht="18" customHeight="1" x14ac:dyDescent="0.25">
      <c r="A42" s="25" t="s">
        <v>21</v>
      </c>
      <c r="B42" s="26">
        <v>7</v>
      </c>
      <c r="C42" s="19" t="s">
        <v>117</v>
      </c>
      <c r="D42" s="21"/>
      <c r="E42" s="21"/>
      <c r="F42" s="17"/>
      <c r="G42" s="17"/>
      <c r="H42" s="17"/>
      <c r="I42" s="17"/>
    </row>
    <row r="43" spans="1:9" ht="18" customHeight="1" x14ac:dyDescent="0.25">
      <c r="A43" s="25" t="s">
        <v>21</v>
      </c>
      <c r="B43" s="26">
        <v>7</v>
      </c>
      <c r="C43" s="19" t="s">
        <v>118</v>
      </c>
      <c r="D43" s="21"/>
      <c r="E43" s="21"/>
      <c r="F43" s="17"/>
      <c r="G43" s="17"/>
      <c r="H43" s="17"/>
      <c r="I43" s="17"/>
    </row>
    <row r="44" spans="1:9" ht="18" customHeight="1" x14ac:dyDescent="0.25">
      <c r="A44" s="25" t="s">
        <v>21</v>
      </c>
      <c r="B44" s="31">
        <f>B40*B41+B42*B43</f>
        <v>67</v>
      </c>
      <c r="C44" s="12"/>
      <c r="D44" s="21"/>
      <c r="E44" s="21"/>
      <c r="F44" s="17"/>
      <c r="G44" s="17"/>
      <c r="H44" s="17"/>
      <c r="I44" s="17"/>
    </row>
    <row r="45" spans="1:9" ht="18" customHeight="1" x14ac:dyDescent="0.25">
      <c r="A45" s="25"/>
      <c r="B45" s="78" t="s">
        <v>65</v>
      </c>
      <c r="C45" s="26"/>
      <c r="D45" s="79" t="s">
        <v>115</v>
      </c>
      <c r="E45" s="21"/>
      <c r="F45" s="17"/>
      <c r="G45" s="17"/>
      <c r="H45" s="17"/>
      <c r="I45" s="17"/>
    </row>
    <row r="46" spans="1:9" ht="12.6" customHeight="1" x14ac:dyDescent="0.25">
      <c r="A46" s="25"/>
      <c r="B46" s="26"/>
      <c r="C46" s="20"/>
      <c r="D46" s="21"/>
      <c r="E46" s="21"/>
      <c r="F46" s="17"/>
      <c r="G46" s="17"/>
      <c r="H46" s="17"/>
      <c r="I46" s="17"/>
    </row>
    <row r="47" spans="1:9" ht="18" customHeight="1" x14ac:dyDescent="0.25">
      <c r="A47" s="13" t="s">
        <v>14</v>
      </c>
      <c r="B47" s="14" t="s">
        <v>168</v>
      </c>
      <c r="C47" s="20"/>
      <c r="D47" s="21"/>
      <c r="E47" s="21"/>
      <c r="F47" s="17"/>
      <c r="G47" s="17"/>
      <c r="H47" s="17"/>
      <c r="I47" s="17"/>
    </row>
    <row r="48" spans="1:9" ht="15.75" x14ac:dyDescent="0.25">
      <c r="A48" s="18" t="s">
        <v>15</v>
      </c>
      <c r="B48" s="26" t="s">
        <v>169</v>
      </c>
      <c r="C48" s="20"/>
      <c r="D48" s="21"/>
      <c r="E48" s="21"/>
      <c r="F48" s="17"/>
      <c r="G48" s="17"/>
      <c r="H48" s="17"/>
      <c r="I48" s="17"/>
    </row>
    <row r="49" spans="1:9" ht="15.75" x14ac:dyDescent="0.25">
      <c r="A49" s="25" t="s">
        <v>21</v>
      </c>
      <c r="B49" s="30">
        <v>4</v>
      </c>
      <c r="C49" s="26" t="s">
        <v>118</v>
      </c>
      <c r="D49" s="21"/>
      <c r="E49" s="21"/>
      <c r="F49" s="17"/>
      <c r="G49" s="17"/>
      <c r="H49" s="17"/>
      <c r="I49" s="17"/>
    </row>
    <row r="50" spans="1:9" ht="15.75" x14ac:dyDescent="0.25">
      <c r="A50" s="25" t="s">
        <v>21</v>
      </c>
      <c r="B50" s="31">
        <v>4</v>
      </c>
      <c r="C50" s="26"/>
      <c r="D50" s="21"/>
      <c r="E50" s="21"/>
      <c r="F50" s="17"/>
      <c r="G50" s="17"/>
      <c r="H50" s="17"/>
      <c r="I50" s="17"/>
    </row>
    <row r="51" spans="1:9" ht="15.75" x14ac:dyDescent="0.25">
      <c r="A51" s="25"/>
      <c r="B51" s="31"/>
      <c r="C51" s="26"/>
      <c r="D51" s="21"/>
      <c r="E51" s="21"/>
      <c r="F51" s="17"/>
      <c r="G51" s="17"/>
      <c r="H51" s="17"/>
      <c r="I51" s="17"/>
    </row>
    <row r="52" spans="1:9" ht="15.75" x14ac:dyDescent="0.25">
      <c r="A52" s="18" t="s">
        <v>129</v>
      </c>
      <c r="B52" s="26" t="s">
        <v>171</v>
      </c>
      <c r="C52" s="20"/>
      <c r="D52" s="21"/>
      <c r="E52" s="21"/>
      <c r="F52" s="17"/>
      <c r="G52" s="17"/>
      <c r="H52" s="17"/>
      <c r="I52" s="17"/>
    </row>
    <row r="53" spans="1:9" ht="15.75" x14ac:dyDescent="0.25">
      <c r="A53" s="25" t="s">
        <v>21</v>
      </c>
      <c r="B53" s="22" t="s">
        <v>172</v>
      </c>
      <c r="C53" s="20"/>
      <c r="D53" s="21"/>
      <c r="E53" s="21"/>
      <c r="F53" s="17"/>
      <c r="G53" s="17"/>
      <c r="H53" s="17"/>
      <c r="I53" s="17"/>
    </row>
    <row r="54" spans="1:9" ht="15.75" x14ac:dyDescent="0.25">
      <c r="A54" s="25" t="s">
        <v>21</v>
      </c>
      <c r="B54" s="30">
        <v>1</v>
      </c>
      <c r="C54" s="26" t="s">
        <v>173</v>
      </c>
      <c r="D54" s="21"/>
      <c r="E54" s="21"/>
      <c r="F54" s="17"/>
      <c r="G54" s="17"/>
      <c r="H54" s="17"/>
      <c r="I54" s="17"/>
    </row>
    <row r="55" spans="1:9" ht="15.75" x14ac:dyDescent="0.25">
      <c r="A55" s="25" t="s">
        <v>21</v>
      </c>
      <c r="B55" s="31">
        <f>B54</f>
        <v>1</v>
      </c>
      <c r="C55" s="26"/>
      <c r="D55" s="21"/>
      <c r="E55" s="21"/>
      <c r="F55" s="17"/>
      <c r="G55" s="17"/>
      <c r="H55" s="17"/>
      <c r="I55" s="17"/>
    </row>
    <row r="56" spans="1:9" ht="11.25" customHeight="1" x14ac:dyDescent="0.25">
      <c r="A56" s="25"/>
      <c r="B56" s="31"/>
      <c r="C56" s="26"/>
      <c r="D56" s="21"/>
      <c r="E56" s="21"/>
      <c r="F56" s="17"/>
      <c r="G56" s="17"/>
      <c r="H56" s="17"/>
      <c r="I56" s="17"/>
    </row>
    <row r="57" spans="1:9" ht="15.75" x14ac:dyDescent="0.25">
      <c r="A57" s="13" t="s">
        <v>157</v>
      </c>
      <c r="B57" s="14" t="s">
        <v>178</v>
      </c>
      <c r="C57" s="20"/>
      <c r="D57" s="21"/>
      <c r="E57" s="21"/>
      <c r="F57" s="17"/>
      <c r="G57" s="17"/>
      <c r="H57" s="17"/>
      <c r="I57" s="17"/>
    </row>
    <row r="58" spans="1:9" ht="15.75" x14ac:dyDescent="0.25">
      <c r="A58" s="18" t="s">
        <v>158</v>
      </c>
      <c r="B58" s="26" t="s">
        <v>179</v>
      </c>
      <c r="C58" s="20"/>
      <c r="D58" s="21"/>
      <c r="E58" s="21"/>
      <c r="F58" s="17"/>
      <c r="G58" s="17"/>
      <c r="H58" s="17"/>
      <c r="I58" s="17"/>
    </row>
    <row r="59" spans="1:9" ht="15.75" x14ac:dyDescent="0.25">
      <c r="A59" s="25" t="s">
        <v>21</v>
      </c>
      <c r="B59" s="31">
        <v>1</v>
      </c>
      <c r="C59" s="26" t="s">
        <v>118</v>
      </c>
      <c r="D59" s="21"/>
      <c r="E59" s="21"/>
      <c r="F59" s="17"/>
      <c r="G59" s="17"/>
      <c r="H59" s="17"/>
      <c r="I59" s="17"/>
    </row>
    <row r="61" spans="1:9" ht="15.75" x14ac:dyDescent="0.25">
      <c r="A61" s="18" t="s">
        <v>170</v>
      </c>
      <c r="B61" s="26" t="s">
        <v>180</v>
      </c>
      <c r="C61" s="20"/>
      <c r="D61" s="21"/>
      <c r="E61" s="21"/>
      <c r="F61" s="17"/>
      <c r="G61" s="17"/>
      <c r="H61" s="17"/>
      <c r="I61" s="17"/>
    </row>
    <row r="62" spans="1:9" ht="15.75" x14ac:dyDescent="0.25">
      <c r="A62" s="25" t="s">
        <v>21</v>
      </c>
      <c r="B62" s="31">
        <v>1</v>
      </c>
      <c r="C62" s="26" t="s">
        <v>118</v>
      </c>
      <c r="D62" s="21"/>
      <c r="E62" s="21"/>
      <c r="F62" s="17"/>
      <c r="G62" s="17"/>
      <c r="H62" s="17"/>
      <c r="I62" s="17"/>
    </row>
    <row r="64" spans="1:9" ht="15.75" x14ac:dyDescent="0.25">
      <c r="A64" s="18" t="s">
        <v>203</v>
      </c>
      <c r="B64" s="26" t="s">
        <v>191</v>
      </c>
      <c r="C64" s="20"/>
      <c r="D64" s="21"/>
      <c r="E64" s="21"/>
      <c r="F64" s="17"/>
      <c r="G64" s="17"/>
      <c r="H64" s="17"/>
      <c r="I64" s="17"/>
    </row>
    <row r="65" spans="1:9" ht="15.75" x14ac:dyDescent="0.25">
      <c r="A65" s="25" t="s">
        <v>21</v>
      </c>
      <c r="B65" s="31">
        <v>1</v>
      </c>
      <c r="C65" s="26" t="s">
        <v>118</v>
      </c>
      <c r="D65" s="21"/>
      <c r="E65" s="21"/>
      <c r="F65" s="17"/>
      <c r="G65" s="17"/>
      <c r="H65" s="17"/>
      <c r="I65" s="17"/>
    </row>
    <row r="67" spans="1:9" ht="15.75" x14ac:dyDescent="0.25">
      <c r="A67" s="18" t="s">
        <v>181</v>
      </c>
      <c r="B67" s="26" t="s">
        <v>182</v>
      </c>
      <c r="C67" s="20"/>
      <c r="D67" s="21"/>
      <c r="E67" s="21"/>
      <c r="F67" s="17"/>
      <c r="G67" s="17"/>
      <c r="H67" s="17"/>
      <c r="I67" s="17"/>
    </row>
    <row r="68" spans="1:9" ht="15.75" x14ac:dyDescent="0.25">
      <c r="A68" s="25" t="s">
        <v>21</v>
      </c>
      <c r="B68" s="31">
        <v>126.46</v>
      </c>
      <c r="C68" s="26" t="s">
        <v>113</v>
      </c>
      <c r="D68" s="21"/>
      <c r="E68" s="21"/>
      <c r="F68" s="17"/>
      <c r="G68" s="17"/>
      <c r="H68" s="17"/>
      <c r="I68" s="17"/>
    </row>
    <row r="70" spans="1:9" ht="15.75" x14ac:dyDescent="0.25">
      <c r="A70" s="18" t="s">
        <v>183</v>
      </c>
      <c r="B70" s="26" t="s">
        <v>184</v>
      </c>
      <c r="C70" s="20"/>
      <c r="D70" s="21"/>
      <c r="E70" s="21"/>
      <c r="F70" s="17"/>
      <c r="G70" s="17"/>
      <c r="H70" s="17"/>
      <c r="I70" s="17"/>
    </row>
    <row r="71" spans="1:9" ht="15.75" x14ac:dyDescent="0.25">
      <c r="A71" s="25" t="s">
        <v>21</v>
      </c>
      <c r="B71" s="31">
        <f>B68</f>
        <v>126.46</v>
      </c>
      <c r="C71" s="26" t="str">
        <f>C68</f>
        <v>(extensão)</v>
      </c>
      <c r="D71" s="21"/>
      <c r="E71" s="21"/>
      <c r="F71" s="17"/>
      <c r="G71" s="17"/>
      <c r="H71" s="17"/>
      <c r="I71" s="17"/>
    </row>
    <row r="73" spans="1:9" ht="15.75" x14ac:dyDescent="0.25">
      <c r="A73" s="18" t="s">
        <v>187</v>
      </c>
      <c r="B73" s="26" t="s">
        <v>185</v>
      </c>
      <c r="C73" s="20"/>
      <c r="D73" s="21"/>
      <c r="E73" s="21"/>
      <c r="F73" s="17"/>
      <c r="G73" s="17"/>
      <c r="H73" s="17"/>
      <c r="I73" s="17"/>
    </row>
    <row r="74" spans="1:9" ht="15.75" x14ac:dyDescent="0.25">
      <c r="A74" s="25" t="s">
        <v>21</v>
      </c>
      <c r="B74" s="26">
        <v>224.41</v>
      </c>
      <c r="C74" s="168" t="s">
        <v>186</v>
      </c>
      <c r="D74" s="21"/>
      <c r="E74" s="21"/>
      <c r="F74" s="17"/>
      <c r="G74" s="17"/>
      <c r="H74" s="17"/>
      <c r="I74" s="17"/>
    </row>
    <row r="75" spans="1:9" ht="15.75" x14ac:dyDescent="0.25">
      <c r="A75" s="25" t="s">
        <v>21</v>
      </c>
      <c r="B75" s="26">
        <v>1.2</v>
      </c>
      <c r="C75" s="147" t="s">
        <v>125</v>
      </c>
      <c r="D75" s="21"/>
      <c r="E75" s="21"/>
      <c r="F75" s="17"/>
      <c r="G75" s="17"/>
      <c r="H75" s="17"/>
      <c r="I75" s="17"/>
    </row>
    <row r="76" spans="1:9" ht="15.75" x14ac:dyDescent="0.25">
      <c r="A76" s="25" t="s">
        <v>21</v>
      </c>
      <c r="B76" s="31">
        <f>B74*B75</f>
        <v>269.29000000000002</v>
      </c>
      <c r="C76" s="168"/>
      <c r="D76" s="21"/>
      <c r="E76" s="21"/>
      <c r="F76" s="17"/>
      <c r="G76" s="17"/>
      <c r="H76" s="17"/>
      <c r="I76" s="17"/>
    </row>
    <row r="77" spans="1:9" s="175" customFormat="1" ht="15.75" x14ac:dyDescent="0.25">
      <c r="A77" s="169"/>
      <c r="B77" s="170" t="s">
        <v>65</v>
      </c>
      <c r="C77" s="171"/>
      <c r="D77" s="172" t="s">
        <v>197</v>
      </c>
      <c r="E77" s="173"/>
      <c r="F77" s="174"/>
      <c r="G77" s="174"/>
      <c r="H77" s="174"/>
      <c r="I77" s="174"/>
    </row>
    <row r="79" spans="1:9" ht="15.75" x14ac:dyDescent="0.25">
      <c r="A79" s="18" t="s">
        <v>188</v>
      </c>
      <c r="B79" s="26" t="s">
        <v>189</v>
      </c>
      <c r="C79" s="20"/>
      <c r="D79" s="21"/>
      <c r="E79" s="21"/>
      <c r="F79" s="17"/>
      <c r="G79" s="17"/>
      <c r="H79" s="17"/>
      <c r="I79" s="17"/>
    </row>
    <row r="80" spans="1:9" ht="15.75" x14ac:dyDescent="0.25">
      <c r="A80" s="25" t="s">
        <v>21</v>
      </c>
      <c r="B80" s="26">
        <f>B71</f>
        <v>126.46</v>
      </c>
      <c r="C80" s="26" t="str">
        <f>C71</f>
        <v>(extensão)</v>
      </c>
      <c r="D80" s="21"/>
      <c r="E80" s="21"/>
      <c r="F80" s="17"/>
      <c r="G80" s="17"/>
      <c r="H80" s="17"/>
      <c r="I80" s="17"/>
    </row>
    <row r="81" spans="1:9" ht="15.75" x14ac:dyDescent="0.25">
      <c r="A81" s="25" t="s">
        <v>21</v>
      </c>
      <c r="B81" s="26">
        <f>B75</f>
        <v>1.2</v>
      </c>
      <c r="C81" s="147" t="s">
        <v>125</v>
      </c>
      <c r="D81" s="21"/>
      <c r="E81" s="21"/>
      <c r="F81" s="17"/>
      <c r="G81" s="17"/>
      <c r="H81" s="17"/>
      <c r="I81" s="17"/>
    </row>
    <row r="82" spans="1:9" ht="15.75" x14ac:dyDescent="0.25">
      <c r="A82" s="25" t="s">
        <v>21</v>
      </c>
      <c r="B82" s="26">
        <v>0.15</v>
      </c>
      <c r="C82" s="147" t="s">
        <v>153</v>
      </c>
      <c r="D82" s="21"/>
      <c r="E82" s="21"/>
      <c r="F82" s="17"/>
      <c r="G82" s="17"/>
      <c r="H82" s="17"/>
      <c r="I82" s="17"/>
    </row>
    <row r="83" spans="1:9" ht="15.75" x14ac:dyDescent="0.25">
      <c r="A83" s="25" t="s">
        <v>21</v>
      </c>
      <c r="B83" s="31">
        <f>B80*B81*B82</f>
        <v>22.76</v>
      </c>
      <c r="C83" s="168"/>
      <c r="D83" s="21"/>
      <c r="E83" s="21"/>
      <c r="F83" s="17"/>
      <c r="G83" s="17"/>
      <c r="H83" s="17"/>
      <c r="I83" s="17"/>
    </row>
    <row r="84" spans="1:9" s="175" customFormat="1" ht="15.75" x14ac:dyDescent="0.25">
      <c r="A84" s="169"/>
      <c r="B84" s="170" t="s">
        <v>65</v>
      </c>
      <c r="C84" s="171"/>
      <c r="D84" s="172" t="s">
        <v>196</v>
      </c>
      <c r="E84" s="173"/>
      <c r="F84" s="174"/>
      <c r="G84" s="174"/>
      <c r="H84" s="174"/>
      <c r="I84" s="174"/>
    </row>
    <row r="86" spans="1:9" ht="15.75" x14ac:dyDescent="0.25">
      <c r="A86" s="18" t="s">
        <v>204</v>
      </c>
      <c r="B86" s="26" t="s">
        <v>190</v>
      </c>
      <c r="C86" s="20"/>
      <c r="D86" s="21"/>
      <c r="E86" s="21"/>
      <c r="F86" s="17"/>
      <c r="G86" s="17"/>
      <c r="H86" s="17"/>
      <c r="I86" s="17"/>
    </row>
    <row r="87" spans="1:9" ht="15.75" x14ac:dyDescent="0.25">
      <c r="A87" s="25" t="s">
        <v>21</v>
      </c>
      <c r="B87" s="26">
        <f>B76</f>
        <v>269.29000000000002</v>
      </c>
      <c r="C87" s="168" t="s">
        <v>192</v>
      </c>
      <c r="D87" s="21"/>
      <c r="E87" s="21"/>
      <c r="F87" s="17"/>
      <c r="G87" s="17"/>
      <c r="H87" s="17"/>
      <c r="I87" s="17"/>
    </row>
    <row r="88" spans="1:9" ht="15.75" x14ac:dyDescent="0.25">
      <c r="A88" s="25" t="s">
        <v>21</v>
      </c>
      <c r="B88" s="26">
        <f>B83</f>
        <v>22.76</v>
      </c>
      <c r="C88" s="147" t="s">
        <v>193</v>
      </c>
      <c r="D88" s="21"/>
      <c r="E88" s="21"/>
      <c r="F88" s="17"/>
      <c r="G88" s="17"/>
      <c r="H88" s="17"/>
      <c r="I88" s="17"/>
    </row>
    <row r="89" spans="1:9" ht="15.75" x14ac:dyDescent="0.25">
      <c r="A89" s="25" t="s">
        <v>21</v>
      </c>
      <c r="B89" s="26">
        <v>0.35</v>
      </c>
      <c r="C89" s="147" t="s">
        <v>194</v>
      </c>
      <c r="D89" s="21"/>
      <c r="E89" s="21"/>
      <c r="F89" s="17"/>
      <c r="G89" s="17"/>
      <c r="H89" s="17"/>
      <c r="I89" s="17"/>
    </row>
    <row r="90" spans="1:9" ht="15.75" x14ac:dyDescent="0.25">
      <c r="A90" s="25" t="s">
        <v>21</v>
      </c>
      <c r="B90" s="26">
        <f>B80</f>
        <v>126.46</v>
      </c>
      <c r="C90" s="26" t="str">
        <f>C80</f>
        <v>(extensão)</v>
      </c>
      <c r="D90" s="21"/>
      <c r="E90" s="21"/>
      <c r="F90" s="17"/>
      <c r="G90" s="17"/>
      <c r="H90" s="17"/>
      <c r="I90" s="17"/>
    </row>
    <row r="91" spans="1:9" ht="15.75" x14ac:dyDescent="0.25">
      <c r="A91" s="25" t="s">
        <v>21</v>
      </c>
      <c r="B91" s="31">
        <f>B87-B88-(B89*B90)</f>
        <v>202.27</v>
      </c>
      <c r="C91" s="168" t="s">
        <v>118</v>
      </c>
      <c r="D91" s="21"/>
      <c r="E91" s="21"/>
      <c r="F91" s="17"/>
      <c r="G91" s="17"/>
      <c r="H91" s="17"/>
      <c r="I91" s="17"/>
    </row>
    <row r="92" spans="1:9" s="175" customFormat="1" ht="15.75" x14ac:dyDescent="0.25">
      <c r="A92" s="169"/>
      <c r="B92" s="170" t="s">
        <v>65</v>
      </c>
      <c r="C92" s="171"/>
      <c r="D92" s="172" t="s">
        <v>195</v>
      </c>
      <c r="E92" s="173"/>
      <c r="F92" s="174"/>
      <c r="G92" s="174"/>
      <c r="H92" s="174"/>
      <c r="I92" s="174"/>
    </row>
    <row r="94" spans="1:9" ht="15.75" x14ac:dyDescent="0.25">
      <c r="A94" s="18" t="s">
        <v>237</v>
      </c>
      <c r="B94" s="26" t="s">
        <v>239</v>
      </c>
      <c r="C94" s="20"/>
      <c r="D94" s="21"/>
      <c r="E94" s="21"/>
      <c r="F94" s="17"/>
      <c r="G94" s="17"/>
      <c r="H94" s="17"/>
      <c r="I94" s="17"/>
    </row>
    <row r="95" spans="1:9" ht="15.75" x14ac:dyDescent="0.25">
      <c r="A95" s="25" t="s">
        <v>21</v>
      </c>
      <c r="B95" s="31">
        <v>1</v>
      </c>
      <c r="C95" s="26" t="s">
        <v>118</v>
      </c>
      <c r="D95" s="21"/>
      <c r="E95" s="21"/>
      <c r="F95" s="17"/>
      <c r="G95" s="17"/>
      <c r="H95" s="17"/>
      <c r="I95" s="17"/>
    </row>
    <row r="97" spans="1:9" ht="15.75" x14ac:dyDescent="0.25">
      <c r="A97" s="13" t="s">
        <v>174</v>
      </c>
      <c r="B97" s="14" t="s">
        <v>25</v>
      </c>
      <c r="C97" s="20"/>
      <c r="D97" s="21"/>
      <c r="E97" s="21"/>
      <c r="F97" s="17"/>
      <c r="G97" s="17"/>
      <c r="H97" s="17"/>
      <c r="I97" s="17"/>
    </row>
    <row r="98" spans="1:9" ht="15.75" x14ac:dyDescent="0.25">
      <c r="A98" s="18" t="s">
        <v>175</v>
      </c>
      <c r="B98" s="26" t="str">
        <f>ORÇAMENTO!D74</f>
        <v>Demolição de lajes, de forma mecanizada com martelete, sem reaproveita mento. Af_12/2017</v>
      </c>
      <c r="C98" s="20"/>
      <c r="D98" s="21"/>
      <c r="E98" s="21"/>
      <c r="F98" s="17"/>
      <c r="G98" s="17"/>
      <c r="H98" s="17"/>
      <c r="I98" s="17"/>
    </row>
    <row r="99" spans="1:9" ht="15.75" x14ac:dyDescent="0.25">
      <c r="A99" s="25" t="s">
        <v>21</v>
      </c>
      <c r="B99" s="22" t="s">
        <v>27</v>
      </c>
      <c r="C99" s="20"/>
      <c r="D99" s="21"/>
      <c r="E99" s="21"/>
      <c r="F99" s="17"/>
      <c r="G99" s="17"/>
      <c r="H99" s="17"/>
      <c r="I99" s="17"/>
    </row>
    <row r="100" spans="1:9" ht="15.75" x14ac:dyDescent="0.25">
      <c r="A100" s="25" t="s">
        <v>21</v>
      </c>
      <c r="B100" s="31">
        <f>B25</f>
        <v>3594.47</v>
      </c>
      <c r="C100" s="12"/>
      <c r="D100" s="21"/>
      <c r="E100" s="21"/>
      <c r="F100" s="17"/>
      <c r="G100" s="17"/>
      <c r="H100" s="17"/>
      <c r="I100" s="17"/>
    </row>
  </sheetData>
  <mergeCells count="2">
    <mergeCell ref="A6:J6"/>
    <mergeCell ref="A8:J8"/>
  </mergeCells>
  <pageMargins left="0.39370078740157483" right="0.39370078740157483" top="0.98425196850393704" bottom="0.98425196850393704" header="0.51181102362204722" footer="0.51181102362204722"/>
  <pageSetup paperSize="9" scale="76" fitToHeight="0"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3E6EFE-FAB6-4F17-97CE-4970F255FAFA}">
  <sheetPr>
    <pageSetUpPr fitToPage="1"/>
  </sheetPr>
  <dimension ref="A1:J96"/>
  <sheetViews>
    <sheetView showGridLines="0" view="pageBreakPreview" topLeftCell="A7" zoomScale="85" zoomScaleNormal="115" zoomScaleSheetLayoutView="85" workbookViewId="0">
      <selection activeCell="K31" sqref="K31"/>
    </sheetView>
  </sheetViews>
  <sheetFormatPr defaultRowHeight="12.75" x14ac:dyDescent="0.2"/>
  <cols>
    <col min="1" max="1" width="6.42578125" style="1" customWidth="1"/>
    <col min="2" max="2" width="12.85546875" customWidth="1"/>
    <col min="3" max="3" width="12.140625" customWidth="1"/>
    <col min="4" max="4" width="11.28515625" customWidth="1"/>
    <col min="5" max="5" width="14.28515625" customWidth="1"/>
    <col min="7" max="7" width="12.140625" customWidth="1"/>
    <col min="8" max="8" width="13.7109375" bestFit="1" customWidth="1"/>
    <col min="9" max="9" width="14.140625" customWidth="1"/>
    <col min="10" max="10" width="20.28515625" customWidth="1"/>
  </cols>
  <sheetData>
    <row r="1" spans="1:10" x14ac:dyDescent="0.2">
      <c r="I1" s="28"/>
    </row>
    <row r="2" spans="1:10" x14ac:dyDescent="0.2">
      <c r="I2" s="28"/>
    </row>
    <row r="6" spans="1:10" ht="20.100000000000001" customHeight="1" x14ac:dyDescent="0.2">
      <c r="A6" s="710" t="s">
        <v>17</v>
      </c>
      <c r="B6" s="710"/>
      <c r="C6" s="710"/>
      <c r="D6" s="710"/>
      <c r="E6" s="710"/>
      <c r="F6" s="710"/>
      <c r="G6" s="710"/>
      <c r="H6" s="710"/>
      <c r="I6" s="710"/>
      <c r="J6" s="710"/>
    </row>
    <row r="7" spans="1:10" ht="8.25" customHeight="1" x14ac:dyDescent="0.2">
      <c r="A7" s="2"/>
      <c r="B7" s="2"/>
      <c r="C7" s="2"/>
      <c r="D7" s="2"/>
      <c r="E7" s="2"/>
    </row>
    <row r="8" spans="1:10" ht="20.100000000000001" customHeight="1" x14ac:dyDescent="0.2">
      <c r="A8" s="713" t="str">
        <f>ORÇAMENTO!D71</f>
        <v>RUA WALFREDO DE FARIAS CAVALCANTE</v>
      </c>
      <c r="B8" s="714"/>
      <c r="C8" s="714"/>
      <c r="D8" s="714"/>
      <c r="E8" s="714"/>
      <c r="F8" s="714"/>
      <c r="G8" s="714"/>
      <c r="H8" s="714"/>
      <c r="I8" s="714"/>
      <c r="J8" s="714"/>
    </row>
    <row r="9" spans="1:10" ht="4.7" customHeight="1" x14ac:dyDescent="0.2">
      <c r="A9"/>
    </row>
    <row r="10" spans="1:10" ht="18" customHeight="1" x14ac:dyDescent="0.25">
      <c r="A10" s="13" t="s">
        <v>4</v>
      </c>
      <c r="B10" s="14" t="s">
        <v>18</v>
      </c>
      <c r="C10" s="15"/>
      <c r="D10" s="15"/>
      <c r="E10" s="16"/>
      <c r="F10" s="17"/>
      <c r="G10" s="17"/>
      <c r="H10" s="17"/>
      <c r="I10" s="17"/>
    </row>
    <row r="11" spans="1:10" ht="18" customHeight="1" x14ac:dyDescent="0.25">
      <c r="A11" s="25" t="s">
        <v>5</v>
      </c>
      <c r="B11" s="26" t="str">
        <f>ORÇAMENTO!D48</f>
        <v>Locação de pavimentação</v>
      </c>
      <c r="C11" s="20"/>
      <c r="D11" s="21"/>
      <c r="E11" s="21"/>
      <c r="F11" s="17"/>
      <c r="G11" s="17"/>
      <c r="H11" s="17"/>
      <c r="I11" s="17"/>
    </row>
    <row r="12" spans="1:10" ht="18" customHeight="1" x14ac:dyDescent="0.25">
      <c r="A12" s="25" t="s">
        <v>21</v>
      </c>
      <c r="B12" s="26">
        <v>127</v>
      </c>
      <c r="C12" s="19" t="s">
        <v>113</v>
      </c>
      <c r="D12" s="21"/>
      <c r="E12" s="21"/>
      <c r="F12" s="17"/>
      <c r="G12" s="142"/>
      <c r="H12" s="17"/>
      <c r="I12" s="17"/>
    </row>
    <row r="13" spans="1:10" ht="18" customHeight="1" x14ac:dyDescent="0.25">
      <c r="A13" s="25" t="s">
        <v>21</v>
      </c>
      <c r="B13" s="31">
        <f>B12</f>
        <v>127</v>
      </c>
      <c r="C13" s="26"/>
      <c r="D13" s="21"/>
      <c r="E13" s="21"/>
      <c r="F13" s="17"/>
      <c r="G13" s="17"/>
      <c r="H13" s="17"/>
      <c r="I13" s="17"/>
    </row>
    <row r="14" spans="1:10" ht="18" customHeight="1" x14ac:dyDescent="0.25">
      <c r="A14" s="25"/>
      <c r="B14" s="19"/>
      <c r="C14" s="23"/>
      <c r="D14" s="23"/>
      <c r="E14" s="23"/>
      <c r="F14" s="17"/>
      <c r="G14" s="17"/>
      <c r="H14" s="17"/>
      <c r="I14" s="17"/>
    </row>
    <row r="15" spans="1:10" ht="18" customHeight="1" x14ac:dyDescent="0.25">
      <c r="A15" s="25" t="s">
        <v>86</v>
      </c>
      <c r="B15" s="26" t="str">
        <f>ORÇAMENTO!D74</f>
        <v>Demolição de lajes, de forma mecanizada com martelete, sem reaproveita mento. Af_12/2017</v>
      </c>
      <c r="C15" s="20"/>
      <c r="D15" s="21"/>
      <c r="E15" s="21"/>
      <c r="F15" s="17"/>
      <c r="G15" s="17"/>
      <c r="H15" s="17"/>
      <c r="I15" s="17"/>
    </row>
    <row r="16" spans="1:10" ht="18" customHeight="1" x14ac:dyDescent="0.25">
      <c r="A16" s="25" t="s">
        <v>21</v>
      </c>
      <c r="B16" s="26">
        <f>39.12+7.85</f>
        <v>46.97</v>
      </c>
      <c r="C16" s="19" t="s">
        <v>152</v>
      </c>
      <c r="D16" s="21"/>
      <c r="E16" s="21"/>
      <c r="F16" s="17"/>
      <c r="G16" s="142"/>
      <c r="H16" s="17"/>
      <c r="I16" s="17"/>
    </row>
    <row r="17" spans="1:9" ht="18" customHeight="1" x14ac:dyDescent="0.25">
      <c r="A17" s="25" t="s">
        <v>21</v>
      </c>
      <c r="B17" s="26">
        <v>7.0000000000000007E-2</v>
      </c>
      <c r="C17" s="19" t="s">
        <v>153</v>
      </c>
      <c r="D17" s="21"/>
      <c r="E17" s="21"/>
      <c r="F17" s="17"/>
      <c r="G17" s="142"/>
      <c r="H17" s="17"/>
      <c r="I17" s="17"/>
    </row>
    <row r="18" spans="1:9" ht="18" customHeight="1" x14ac:dyDescent="0.25">
      <c r="A18" s="25" t="s">
        <v>21</v>
      </c>
      <c r="B18" s="31">
        <f>B16*B17</f>
        <v>3.29</v>
      </c>
      <c r="C18" s="26"/>
      <c r="D18" s="21"/>
      <c r="E18" s="21"/>
      <c r="F18" s="17"/>
      <c r="G18" s="17"/>
      <c r="H18" s="142"/>
      <c r="I18" s="17"/>
    </row>
    <row r="19" spans="1:9" ht="18" customHeight="1" x14ac:dyDescent="0.25">
      <c r="A19" s="25"/>
      <c r="B19" s="78" t="s">
        <v>65</v>
      </c>
      <c r="C19" s="26"/>
      <c r="D19" s="79" t="s">
        <v>240</v>
      </c>
      <c r="E19" s="21"/>
      <c r="F19" s="17"/>
      <c r="G19" s="17"/>
      <c r="H19" s="144"/>
      <c r="I19" s="142"/>
    </row>
    <row r="20" spans="1:9" ht="18" customHeight="1" x14ac:dyDescent="0.25">
      <c r="A20" s="25"/>
      <c r="B20" s="19"/>
      <c r="C20" s="23"/>
      <c r="D20" s="23"/>
      <c r="E20" s="23"/>
      <c r="F20" s="17"/>
      <c r="G20" s="17"/>
      <c r="H20" s="17"/>
      <c r="I20" s="17"/>
    </row>
    <row r="21" spans="1:9" ht="18" customHeight="1" x14ac:dyDescent="0.25">
      <c r="A21" s="13" t="s">
        <v>6</v>
      </c>
      <c r="B21" s="14" t="s">
        <v>10</v>
      </c>
      <c r="C21" s="15"/>
      <c r="D21" s="15"/>
      <c r="E21" s="16"/>
      <c r="F21" s="17"/>
      <c r="G21" s="17"/>
      <c r="H21" s="17"/>
      <c r="I21" s="142"/>
    </row>
    <row r="22" spans="1:9" ht="15.75" x14ac:dyDescent="0.25">
      <c r="A22" s="24" t="s">
        <v>7</v>
      </c>
      <c r="B22" s="147" t="str">
        <f>ORÇAMENTO!D50</f>
        <v>Regularização de superfícies com motoniveladora. Af_11/2019</v>
      </c>
      <c r="C22" s="147"/>
      <c r="D22" s="147"/>
      <c r="E22" s="147"/>
      <c r="F22" s="147"/>
      <c r="G22" s="147"/>
      <c r="H22" s="147"/>
      <c r="I22" s="147"/>
    </row>
    <row r="23" spans="1:9" ht="18" customHeight="1" x14ac:dyDescent="0.25">
      <c r="A23" s="25" t="s">
        <v>21</v>
      </c>
      <c r="B23" s="26">
        <f>B12</f>
        <v>127</v>
      </c>
      <c r="C23" s="26" t="str">
        <f>C12</f>
        <v>(extensão)</v>
      </c>
      <c r="D23" s="21"/>
      <c r="E23" s="21"/>
      <c r="F23" s="17"/>
      <c r="G23" s="17"/>
      <c r="H23" s="17"/>
      <c r="I23" s="17"/>
    </row>
    <row r="24" spans="1:9" ht="18" customHeight="1" x14ac:dyDescent="0.25">
      <c r="A24" s="25" t="s">
        <v>21</v>
      </c>
      <c r="B24" s="26">
        <v>6</v>
      </c>
      <c r="C24" s="19" t="s">
        <v>125</v>
      </c>
      <c r="D24" s="21"/>
      <c r="E24" s="21"/>
      <c r="F24" s="17"/>
      <c r="G24" s="17"/>
      <c r="H24" s="17"/>
      <c r="I24" s="17"/>
    </row>
    <row r="25" spans="1:9" ht="18" customHeight="1" x14ac:dyDescent="0.25">
      <c r="A25" s="25" t="s">
        <v>21</v>
      </c>
      <c r="B25" s="31">
        <f>B23*B24</f>
        <v>762</v>
      </c>
      <c r="C25" s="12"/>
      <c r="D25" s="21"/>
      <c r="E25" s="21"/>
      <c r="F25" s="17"/>
      <c r="G25" s="17"/>
      <c r="H25" s="17"/>
      <c r="I25" s="17"/>
    </row>
    <row r="26" spans="1:9" ht="18" customHeight="1" x14ac:dyDescent="0.25">
      <c r="A26" s="25"/>
      <c r="B26" s="78" t="s">
        <v>65</v>
      </c>
      <c r="C26" s="26"/>
      <c r="D26" s="79" t="s">
        <v>241</v>
      </c>
      <c r="E26" s="21"/>
      <c r="F26" s="17"/>
      <c r="G26" s="17"/>
      <c r="H26" s="17"/>
      <c r="I26" s="17"/>
    </row>
    <row r="27" spans="1:9" ht="12" customHeight="1" x14ac:dyDescent="0.25">
      <c r="A27" s="25"/>
      <c r="B27" s="26"/>
      <c r="C27" s="20"/>
      <c r="D27" s="21"/>
      <c r="E27" s="21"/>
      <c r="F27" s="17"/>
      <c r="G27" s="17"/>
      <c r="H27" s="17"/>
      <c r="I27" s="17"/>
    </row>
    <row r="28" spans="1:9" ht="18" customHeight="1" x14ac:dyDescent="0.25">
      <c r="A28" s="13" t="s">
        <v>8</v>
      </c>
      <c r="B28" s="14" t="s">
        <v>20</v>
      </c>
      <c r="C28" s="20"/>
      <c r="D28" s="21"/>
      <c r="E28" s="21"/>
      <c r="F28" s="17"/>
      <c r="G28" s="17"/>
      <c r="H28" s="17"/>
      <c r="I28" s="142"/>
    </row>
    <row r="29" spans="1:9" ht="18" customHeight="1" x14ac:dyDescent="0.25">
      <c r="A29" s="18" t="s">
        <v>9</v>
      </c>
      <c r="B29" s="26" t="str">
        <f>ORÇAMENTO!D52</f>
        <v>Meio-fio de concreto tipo MPC-05</v>
      </c>
      <c r="C29" s="20"/>
      <c r="D29" s="21"/>
      <c r="E29" s="21"/>
      <c r="F29" s="17"/>
      <c r="G29" s="17"/>
      <c r="H29" s="17"/>
      <c r="I29" s="17"/>
    </row>
    <row r="30" spans="1:9" ht="18" customHeight="1" x14ac:dyDescent="0.25">
      <c r="A30" s="25" t="s">
        <v>21</v>
      </c>
      <c r="B30" s="26">
        <f>B13</f>
        <v>127</v>
      </c>
      <c r="C30" s="30" t="str">
        <f>C12</f>
        <v>(extensão)</v>
      </c>
      <c r="D30" s="21"/>
      <c r="E30" s="21"/>
      <c r="F30" s="17"/>
      <c r="G30" s="17"/>
      <c r="H30" s="17"/>
      <c r="I30" s="17"/>
    </row>
    <row r="31" spans="1:9" ht="18" customHeight="1" x14ac:dyDescent="0.25">
      <c r="A31" s="25" t="s">
        <v>21</v>
      </c>
      <c r="B31" s="30">
        <v>2</v>
      </c>
      <c r="C31" s="19" t="s">
        <v>30</v>
      </c>
      <c r="D31" s="21"/>
      <c r="E31" s="21"/>
      <c r="F31" s="17"/>
      <c r="G31" s="17"/>
      <c r="H31" s="17"/>
      <c r="I31" s="17"/>
    </row>
    <row r="32" spans="1:9" ht="18" customHeight="1" x14ac:dyDescent="0.25">
      <c r="A32" s="25" t="s">
        <v>21</v>
      </c>
      <c r="B32" s="31">
        <f>B30*B31</f>
        <v>254</v>
      </c>
      <c r="C32" s="26"/>
      <c r="D32" s="21"/>
      <c r="E32" s="21"/>
      <c r="F32" s="17"/>
      <c r="G32" s="17"/>
      <c r="H32" s="17"/>
      <c r="I32" s="17"/>
    </row>
    <row r="33" spans="1:9" ht="18" customHeight="1" x14ac:dyDescent="0.25">
      <c r="A33" s="25"/>
      <c r="B33" s="78" t="s">
        <v>65</v>
      </c>
      <c r="C33" s="26"/>
      <c r="D33" s="79" t="s">
        <v>352</v>
      </c>
      <c r="E33" s="21"/>
      <c r="F33" s="17"/>
      <c r="G33" s="17"/>
      <c r="H33" s="17"/>
      <c r="I33" s="17"/>
    </row>
    <row r="34" spans="1:9" ht="13.15" customHeight="1" x14ac:dyDescent="0.25">
      <c r="A34" s="25"/>
      <c r="B34" s="26"/>
      <c r="C34" s="20"/>
      <c r="D34" s="21"/>
      <c r="E34" s="21"/>
      <c r="F34" s="17"/>
      <c r="G34" s="17"/>
      <c r="H34" s="17"/>
      <c r="I34" s="17"/>
    </row>
    <row r="35" spans="1:9" ht="18" customHeight="1" x14ac:dyDescent="0.25">
      <c r="A35" s="18" t="s">
        <v>12</v>
      </c>
      <c r="B35" s="26" t="s">
        <v>35</v>
      </c>
      <c r="C35" s="20"/>
      <c r="D35" s="21"/>
      <c r="E35" s="21"/>
      <c r="F35" s="17"/>
      <c r="G35" s="17"/>
      <c r="H35" s="17"/>
      <c r="I35" s="17"/>
    </row>
    <row r="36" spans="1:9" ht="18" customHeight="1" x14ac:dyDescent="0.25">
      <c r="A36" s="25" t="s">
        <v>21</v>
      </c>
      <c r="B36" s="22" t="s">
        <v>22</v>
      </c>
      <c r="C36" s="20"/>
      <c r="D36" s="21"/>
      <c r="E36" s="21"/>
      <c r="F36" s="17"/>
      <c r="G36" s="17"/>
      <c r="H36" s="17"/>
      <c r="I36" s="17"/>
    </row>
    <row r="37" spans="1:9" ht="18" customHeight="1" x14ac:dyDescent="0.25">
      <c r="A37" s="25" t="s">
        <v>21</v>
      </c>
      <c r="B37" s="26">
        <f>B23</f>
        <v>127</v>
      </c>
      <c r="C37" s="30" t="str">
        <f>C23</f>
        <v>(extensão)</v>
      </c>
      <c r="D37" s="21"/>
      <c r="E37" s="21"/>
      <c r="F37" s="195"/>
      <c r="G37" s="17"/>
      <c r="H37" s="17"/>
      <c r="I37" s="17"/>
    </row>
    <row r="38" spans="1:9" ht="18" customHeight="1" x14ac:dyDescent="0.25">
      <c r="A38" s="25" t="s">
        <v>21</v>
      </c>
      <c r="B38" s="26">
        <f>B24</f>
        <v>6</v>
      </c>
      <c r="C38" s="26" t="str">
        <f>C24</f>
        <v>(largura)</v>
      </c>
      <c r="D38" s="21"/>
      <c r="E38" s="21"/>
      <c r="F38" s="17"/>
      <c r="G38" s="17"/>
      <c r="H38" s="17"/>
      <c r="I38" s="17"/>
    </row>
    <row r="39" spans="1:9" ht="18" customHeight="1" x14ac:dyDescent="0.25">
      <c r="A39" s="25" t="s">
        <v>21</v>
      </c>
      <c r="B39" s="31">
        <f>B37*B38</f>
        <v>762</v>
      </c>
      <c r="C39" s="12"/>
      <c r="D39" s="21"/>
      <c r="E39" s="21"/>
      <c r="F39" s="17"/>
      <c r="G39" s="17"/>
      <c r="H39" s="17"/>
      <c r="I39" s="17"/>
    </row>
    <row r="40" spans="1:9" ht="18" customHeight="1" x14ac:dyDescent="0.25">
      <c r="A40" s="25"/>
      <c r="B40" s="78" t="s">
        <v>65</v>
      </c>
      <c r="C40" s="26"/>
      <c r="D40" s="79" t="s">
        <v>241</v>
      </c>
      <c r="E40" s="21"/>
      <c r="F40" s="17"/>
      <c r="G40" s="17"/>
      <c r="H40" s="17"/>
      <c r="I40" s="17"/>
    </row>
    <row r="41" spans="1:9" ht="9.75" customHeight="1" x14ac:dyDescent="0.25">
      <c r="A41" s="25"/>
      <c r="B41" s="26"/>
      <c r="C41" s="20"/>
      <c r="D41" s="21"/>
      <c r="E41" s="21"/>
      <c r="F41" s="17"/>
      <c r="G41" s="17"/>
      <c r="H41" s="17"/>
      <c r="I41" s="17"/>
    </row>
    <row r="42" spans="1:9" ht="18" customHeight="1" x14ac:dyDescent="0.25">
      <c r="A42" s="13" t="s">
        <v>129</v>
      </c>
      <c r="B42" s="14" t="s">
        <v>133</v>
      </c>
      <c r="C42" s="20"/>
      <c r="D42" s="21"/>
      <c r="E42" s="21"/>
      <c r="F42" s="17"/>
      <c r="G42" s="17"/>
      <c r="H42" s="17"/>
      <c r="I42" s="17"/>
    </row>
    <row r="43" spans="1:9" ht="15.75" x14ac:dyDescent="0.25">
      <c r="A43" s="18" t="s">
        <v>15</v>
      </c>
      <c r="B43" s="26" t="s">
        <v>134</v>
      </c>
      <c r="C43" s="20"/>
      <c r="D43" s="21"/>
      <c r="E43" s="21"/>
      <c r="F43" s="17"/>
      <c r="G43" s="17"/>
      <c r="H43" s="17"/>
      <c r="I43" s="17"/>
    </row>
    <row r="44" spans="1:9" ht="15.75" x14ac:dyDescent="0.25">
      <c r="A44" s="25" t="s">
        <v>21</v>
      </c>
      <c r="B44" s="22" t="s">
        <v>135</v>
      </c>
      <c r="C44" s="20"/>
      <c r="D44" s="21"/>
      <c r="E44" s="21"/>
      <c r="F44" s="17"/>
      <c r="G44" s="17"/>
      <c r="H44" s="17"/>
      <c r="I44" s="17"/>
    </row>
    <row r="45" spans="1:9" ht="15.75" x14ac:dyDescent="0.25">
      <c r="A45" s="25" t="s">
        <v>21</v>
      </c>
      <c r="B45" s="30">
        <f>B12</f>
        <v>127</v>
      </c>
      <c r="C45" s="30" t="str">
        <f>C12</f>
        <v>(extensão)</v>
      </c>
      <c r="D45" s="21"/>
      <c r="E45" s="21"/>
      <c r="F45" s="17"/>
      <c r="G45" s="17"/>
      <c r="H45" s="17"/>
      <c r="I45" s="17"/>
    </row>
    <row r="46" spans="1:9" ht="15.75" x14ac:dyDescent="0.25">
      <c r="A46" s="25" t="s">
        <v>21</v>
      </c>
      <c r="B46" s="30">
        <v>1.5</v>
      </c>
      <c r="C46" s="30" t="s">
        <v>125</v>
      </c>
      <c r="D46" s="21"/>
      <c r="E46" s="21"/>
      <c r="F46" s="17"/>
      <c r="G46" s="17"/>
      <c r="H46" s="17"/>
      <c r="I46" s="17"/>
    </row>
    <row r="47" spans="1:9" ht="15.75" x14ac:dyDescent="0.25">
      <c r="A47" s="25" t="s">
        <v>21</v>
      </c>
      <c r="B47" s="30">
        <v>0.12</v>
      </c>
      <c r="C47" s="30" t="s">
        <v>159</v>
      </c>
      <c r="D47" s="21"/>
      <c r="E47" s="21"/>
      <c r="F47" s="17"/>
      <c r="G47" s="17"/>
      <c r="H47" s="17"/>
      <c r="I47" s="17"/>
    </row>
    <row r="48" spans="1:9" ht="15.75" x14ac:dyDescent="0.25">
      <c r="A48" s="25" t="s">
        <v>21</v>
      </c>
      <c r="B48" s="30">
        <f>B59</f>
        <v>48</v>
      </c>
      <c r="C48" s="26" t="s">
        <v>146</v>
      </c>
      <c r="D48" s="21"/>
      <c r="E48" s="21"/>
      <c r="F48" s="157"/>
      <c r="G48" s="17"/>
      <c r="H48" s="17"/>
      <c r="I48" s="17"/>
    </row>
    <row r="49" spans="1:9" ht="15.75" x14ac:dyDescent="0.25">
      <c r="A49" s="25" t="s">
        <v>21</v>
      </c>
      <c r="B49" s="31">
        <f>(B45*(B46-B47))-B48</f>
        <v>127.26</v>
      </c>
      <c r="C49" s="158" t="s">
        <v>136</v>
      </c>
      <c r="D49" s="21"/>
      <c r="E49" s="21"/>
      <c r="F49" s="17"/>
      <c r="G49" s="17"/>
      <c r="H49" s="17"/>
      <c r="I49" s="17"/>
    </row>
    <row r="50" spans="1:9" ht="15.75" x14ac:dyDescent="0.25">
      <c r="A50" s="25" t="s">
        <v>21</v>
      </c>
      <c r="B50" s="26">
        <v>7.0000000000000007E-2</v>
      </c>
      <c r="C50" s="22" t="s">
        <v>137</v>
      </c>
      <c r="D50" s="21"/>
      <c r="E50" s="21"/>
      <c r="F50" s="17"/>
      <c r="G50" s="17"/>
      <c r="H50" s="17"/>
      <c r="I50" s="17"/>
    </row>
    <row r="51" spans="1:9" ht="15.75" x14ac:dyDescent="0.25">
      <c r="A51" s="25" t="s">
        <v>21</v>
      </c>
      <c r="B51" s="31">
        <f>ROUND((B50*B49),2)</f>
        <v>8.91</v>
      </c>
      <c r="C51" s="12"/>
      <c r="D51" s="21"/>
      <c r="E51" s="21"/>
      <c r="F51" s="17"/>
      <c r="G51" s="17"/>
      <c r="H51" s="17"/>
      <c r="I51" s="17"/>
    </row>
    <row r="52" spans="1:9" ht="15.75" x14ac:dyDescent="0.25">
      <c r="A52" s="25"/>
      <c r="B52" s="78" t="s">
        <v>65</v>
      </c>
      <c r="C52" s="26"/>
      <c r="D52" s="79" t="s">
        <v>242</v>
      </c>
      <c r="E52" s="21"/>
      <c r="F52" s="17"/>
      <c r="G52" s="17"/>
      <c r="H52" s="17"/>
      <c r="I52" s="17"/>
    </row>
    <row r="53" spans="1:9" ht="15.75" x14ac:dyDescent="0.25">
      <c r="A53" s="25"/>
      <c r="B53" s="78"/>
      <c r="C53" s="26"/>
      <c r="D53" s="79"/>
      <c r="E53" s="21"/>
      <c r="F53" s="17"/>
      <c r="G53" s="17"/>
      <c r="H53" s="17"/>
      <c r="I53" s="17"/>
    </row>
    <row r="54" spans="1:9" ht="15.75" x14ac:dyDescent="0.25">
      <c r="A54" s="18" t="s">
        <v>129</v>
      </c>
      <c r="B54" s="26" t="s">
        <v>138</v>
      </c>
      <c r="C54" s="20"/>
      <c r="D54" s="21"/>
      <c r="E54" s="21"/>
      <c r="F54" s="17"/>
      <c r="G54" s="17"/>
      <c r="H54" s="17"/>
      <c r="I54" s="17"/>
    </row>
    <row r="55" spans="1:9" ht="15.75" x14ac:dyDescent="0.25">
      <c r="A55" s="25" t="s">
        <v>21</v>
      </c>
      <c r="B55" s="22" t="s">
        <v>139</v>
      </c>
      <c r="C55" s="20"/>
      <c r="D55" s="21"/>
      <c r="E55" s="21"/>
      <c r="F55" s="17"/>
      <c r="G55" s="17"/>
      <c r="H55" s="17"/>
      <c r="I55" s="17"/>
    </row>
    <row r="56" spans="1:9" ht="15.75" x14ac:dyDescent="0.25">
      <c r="A56" s="25" t="s">
        <v>21</v>
      </c>
      <c r="B56" s="30">
        <v>8</v>
      </c>
      <c r="C56" s="19" t="s">
        <v>113</v>
      </c>
      <c r="D56" s="21"/>
      <c r="E56" s="21"/>
      <c r="F56" s="17"/>
      <c r="G56" s="17"/>
      <c r="H56" s="17"/>
      <c r="I56" s="17"/>
    </row>
    <row r="57" spans="1:9" ht="15.75" x14ac:dyDescent="0.25">
      <c r="A57" s="25" t="s">
        <v>21</v>
      </c>
      <c r="B57" s="30">
        <v>1.5</v>
      </c>
      <c r="C57" s="19" t="s">
        <v>140</v>
      </c>
      <c r="D57" s="21"/>
      <c r="E57" s="21"/>
      <c r="F57" s="17"/>
      <c r="G57" s="17"/>
      <c r="H57" s="17"/>
      <c r="I57" s="17"/>
    </row>
    <row r="58" spans="1:9" ht="15.75" x14ac:dyDescent="0.25">
      <c r="A58" s="25" t="s">
        <v>21</v>
      </c>
      <c r="B58" s="30">
        <v>4</v>
      </c>
      <c r="C58" s="19" t="s">
        <v>141</v>
      </c>
      <c r="D58" s="21"/>
      <c r="E58" s="21"/>
      <c r="F58" s="17"/>
      <c r="G58" s="17"/>
      <c r="H58" s="17"/>
      <c r="I58" s="17"/>
    </row>
    <row r="59" spans="1:9" ht="15.75" x14ac:dyDescent="0.25">
      <c r="A59" s="25" t="s">
        <v>21</v>
      </c>
      <c r="B59" s="31">
        <f>ROUND((B56*B57)*B58,2)</f>
        <v>48</v>
      </c>
      <c r="C59" s="22" t="s">
        <v>142</v>
      </c>
      <c r="D59" s="21"/>
      <c r="E59" s="21"/>
      <c r="F59" s="17"/>
      <c r="G59" s="17"/>
      <c r="H59" s="17"/>
      <c r="I59" s="17"/>
    </row>
    <row r="60" spans="1:9" ht="15.75" x14ac:dyDescent="0.25">
      <c r="A60" s="25" t="s">
        <v>21</v>
      </c>
      <c r="B60" s="26">
        <v>7.0000000000000007E-2</v>
      </c>
      <c r="C60" s="22" t="s">
        <v>143</v>
      </c>
      <c r="D60" s="21"/>
      <c r="E60" s="21"/>
      <c r="F60" s="17"/>
      <c r="G60" s="17"/>
      <c r="H60" s="17"/>
      <c r="I60" s="17"/>
    </row>
    <row r="61" spans="1:9" ht="15.75" x14ac:dyDescent="0.25">
      <c r="A61" s="25" t="s">
        <v>21</v>
      </c>
      <c r="B61" s="26">
        <f>ROUND((B81*0.025),2)</f>
        <v>0.89</v>
      </c>
      <c r="C61" s="22" t="s">
        <v>144</v>
      </c>
      <c r="D61" s="21"/>
      <c r="E61" s="21"/>
      <c r="F61" s="17"/>
      <c r="G61" s="17"/>
      <c r="H61" s="17"/>
      <c r="I61" s="17"/>
    </row>
    <row r="62" spans="1:9" ht="15.75" x14ac:dyDescent="0.25">
      <c r="A62" s="25" t="s">
        <v>21</v>
      </c>
      <c r="B62" s="31">
        <f>ROUND((B60*B59-B61),2)</f>
        <v>2.4700000000000002</v>
      </c>
      <c r="C62" s="12"/>
      <c r="D62" s="21"/>
      <c r="E62" s="21"/>
      <c r="F62" s="17"/>
      <c r="G62" s="17"/>
      <c r="H62" s="17"/>
      <c r="I62" s="17"/>
    </row>
    <row r="63" spans="1:9" ht="15.75" x14ac:dyDescent="0.25">
      <c r="A63" s="25"/>
      <c r="B63" s="78" t="s">
        <v>65</v>
      </c>
      <c r="C63" s="26"/>
      <c r="D63" s="79" t="s">
        <v>243</v>
      </c>
      <c r="E63" s="21"/>
      <c r="F63" s="17"/>
      <c r="G63" s="17"/>
      <c r="H63" s="17"/>
      <c r="I63" s="17"/>
    </row>
    <row r="64" spans="1:9" ht="15.75" x14ac:dyDescent="0.25">
      <c r="A64" s="13"/>
      <c r="B64" s="14"/>
      <c r="C64" s="20"/>
      <c r="D64" s="21"/>
      <c r="E64" s="21"/>
      <c r="F64" s="17"/>
      <c r="G64" s="17"/>
      <c r="H64" s="17"/>
      <c r="I64" s="17"/>
    </row>
    <row r="65" spans="1:9" ht="34.5" customHeight="1" x14ac:dyDescent="0.2">
      <c r="A65" s="24" t="s">
        <v>131</v>
      </c>
      <c r="B65" s="715" t="s">
        <v>132</v>
      </c>
      <c r="C65" s="715"/>
      <c r="D65" s="715"/>
      <c r="E65" s="715"/>
      <c r="F65" s="715"/>
      <c r="G65" s="715"/>
      <c r="H65" s="715"/>
      <c r="I65" s="17"/>
    </row>
    <row r="66" spans="1:9" ht="15.75" x14ac:dyDescent="0.25">
      <c r="A66" s="18"/>
      <c r="B66" s="26"/>
      <c r="C66" s="20"/>
      <c r="D66" s="21"/>
      <c r="E66" s="21"/>
      <c r="F66" s="17"/>
      <c r="G66" s="17"/>
      <c r="H66" s="17"/>
      <c r="I66" s="17"/>
    </row>
    <row r="67" spans="1:9" ht="15.75" x14ac:dyDescent="0.25">
      <c r="A67" s="25"/>
      <c r="B67" s="159" t="s">
        <v>145</v>
      </c>
      <c r="C67" s="20"/>
      <c r="D67" s="21"/>
      <c r="E67" s="21"/>
      <c r="F67" s="17"/>
      <c r="G67" s="17"/>
      <c r="H67" s="17"/>
      <c r="I67" s="17"/>
    </row>
    <row r="68" spans="1:9" ht="15.75" x14ac:dyDescent="0.25">
      <c r="A68" s="25" t="s">
        <v>21</v>
      </c>
      <c r="B68" s="30">
        <v>0.25</v>
      </c>
      <c r="C68" s="19" t="s">
        <v>125</v>
      </c>
      <c r="D68" s="21"/>
      <c r="E68" s="21"/>
      <c r="F68" s="17"/>
      <c r="G68" s="17"/>
      <c r="H68" s="17"/>
      <c r="I68" s="17"/>
    </row>
    <row r="69" spans="1:9" ht="15.75" x14ac:dyDescent="0.25">
      <c r="A69" s="25" t="s">
        <v>21</v>
      </c>
      <c r="B69" s="30">
        <v>3.9</v>
      </c>
      <c r="C69" s="19" t="s">
        <v>28</v>
      </c>
      <c r="D69" s="21"/>
      <c r="E69" s="21"/>
      <c r="F69" s="17"/>
      <c r="G69" s="17"/>
      <c r="H69" s="17"/>
      <c r="I69" s="17"/>
    </row>
    <row r="70" spans="1:9" ht="15.75" x14ac:dyDescent="0.25">
      <c r="A70" s="25" t="s">
        <v>21</v>
      </c>
      <c r="B70" s="30">
        <f>B58</f>
        <v>4</v>
      </c>
      <c r="C70" s="19" t="s">
        <v>141</v>
      </c>
      <c r="D70" s="21"/>
      <c r="E70" s="21"/>
      <c r="F70" s="17"/>
      <c r="G70" s="17"/>
      <c r="H70" s="17"/>
      <c r="I70" s="17"/>
    </row>
    <row r="71" spans="1:9" ht="15.75" x14ac:dyDescent="0.25">
      <c r="A71" s="25" t="s">
        <v>21</v>
      </c>
      <c r="B71" s="31">
        <f>ROUND((B69*B68)*B70,2)</f>
        <v>3.9</v>
      </c>
      <c r="C71" s="26"/>
      <c r="D71" s="21"/>
      <c r="E71" s="21"/>
      <c r="F71" s="17"/>
      <c r="G71" s="17"/>
      <c r="H71" s="17"/>
      <c r="I71" s="17"/>
    </row>
    <row r="72" spans="1:9" ht="15.75" x14ac:dyDescent="0.25">
      <c r="A72" s="25"/>
      <c r="B72" s="78" t="s">
        <v>65</v>
      </c>
      <c r="C72" s="26"/>
      <c r="D72" s="79" t="s">
        <v>244</v>
      </c>
      <c r="E72" s="21"/>
      <c r="F72" s="17"/>
      <c r="G72" s="17"/>
      <c r="H72" s="17"/>
      <c r="I72" s="17"/>
    </row>
    <row r="73" spans="1:9" ht="12.6" customHeight="1" x14ac:dyDescent="0.25">
      <c r="A73" s="25"/>
      <c r="B73" s="26"/>
      <c r="C73" s="20"/>
      <c r="D73" s="21"/>
      <c r="E73" s="21"/>
      <c r="F73" s="17"/>
      <c r="G73" s="17"/>
      <c r="H73" s="17"/>
      <c r="I73" s="17"/>
    </row>
    <row r="74" spans="1:9" ht="15.75" x14ac:dyDescent="0.25">
      <c r="A74" s="25"/>
      <c r="B74" s="159" t="s">
        <v>147</v>
      </c>
      <c r="C74" s="20"/>
      <c r="D74" s="21"/>
      <c r="E74" s="21"/>
      <c r="F74" s="17"/>
      <c r="G74" s="17"/>
      <c r="H74" s="17"/>
      <c r="I74" s="17"/>
    </row>
    <row r="75" spans="1:9" ht="15.75" x14ac:dyDescent="0.25">
      <c r="A75" s="25" t="s">
        <v>21</v>
      </c>
      <c r="B75" s="30">
        <v>0.25</v>
      </c>
      <c r="C75" s="19" t="s">
        <v>125</v>
      </c>
      <c r="D75" s="21"/>
      <c r="E75" s="21"/>
      <c r="F75" s="17"/>
      <c r="G75" s="17"/>
      <c r="H75" s="17"/>
      <c r="I75" s="17"/>
    </row>
    <row r="76" spans="1:9" ht="15.75" x14ac:dyDescent="0.25">
      <c r="A76" s="25" t="s">
        <v>21</v>
      </c>
      <c r="B76" s="30">
        <f>B45</f>
        <v>127</v>
      </c>
      <c r="C76" s="30" t="str">
        <f>C45</f>
        <v>(extensão)</v>
      </c>
      <c r="D76" s="21"/>
      <c r="E76" s="21"/>
      <c r="F76" s="17"/>
      <c r="G76" s="17"/>
      <c r="H76" s="17"/>
      <c r="I76" s="17"/>
    </row>
    <row r="77" spans="1:9" ht="15.75" x14ac:dyDescent="0.25">
      <c r="A77" s="25" t="s">
        <v>21</v>
      </c>
      <c r="B77" s="31">
        <f>B75*B76</f>
        <v>31.75</v>
      </c>
      <c r="C77" s="26"/>
      <c r="D77" s="21"/>
      <c r="E77" s="21"/>
      <c r="F77" s="17"/>
      <c r="G77" s="17"/>
      <c r="H77" s="17"/>
      <c r="I77" s="17"/>
    </row>
    <row r="78" spans="1:9" ht="15.75" x14ac:dyDescent="0.25">
      <c r="A78" s="25"/>
      <c r="B78" s="78" t="s">
        <v>65</v>
      </c>
      <c r="C78" s="26"/>
      <c r="D78" s="79" t="s">
        <v>245</v>
      </c>
      <c r="E78" s="21"/>
      <c r="F78" s="17"/>
      <c r="G78" s="17"/>
      <c r="H78" s="17"/>
      <c r="I78" s="17"/>
    </row>
    <row r="79" spans="1:9" ht="12.6" customHeight="1" x14ac:dyDescent="0.25">
      <c r="A79" s="25"/>
      <c r="B79" s="26"/>
      <c r="C79" s="20"/>
      <c r="D79" s="21"/>
      <c r="E79" s="21"/>
      <c r="F79" s="17"/>
      <c r="G79" s="17"/>
      <c r="H79" s="17"/>
      <c r="I79" s="17"/>
    </row>
    <row r="80" spans="1:9" ht="15.75" x14ac:dyDescent="0.25">
      <c r="A80" s="25"/>
      <c r="B80" s="160" t="s">
        <v>148</v>
      </c>
      <c r="C80" s="20"/>
      <c r="D80" s="21"/>
      <c r="E80" s="21"/>
      <c r="F80" s="17"/>
      <c r="G80" s="17"/>
      <c r="H80" s="17"/>
      <c r="I80" s="17"/>
    </row>
    <row r="81" spans="1:9" ht="15.75" x14ac:dyDescent="0.25">
      <c r="A81" s="25" t="s">
        <v>21</v>
      </c>
      <c r="B81" s="161">
        <f>B71+B77</f>
        <v>35.65</v>
      </c>
      <c r="C81" s="19"/>
      <c r="D81" s="21"/>
      <c r="E81" s="21"/>
      <c r="F81" s="17"/>
      <c r="G81" s="17"/>
      <c r="H81" s="17"/>
      <c r="I81" s="17"/>
    </row>
    <row r="82" spans="1:9" ht="12.6" customHeight="1" x14ac:dyDescent="0.25">
      <c r="A82" s="25"/>
      <c r="B82" s="26"/>
      <c r="C82" s="20"/>
      <c r="D82" s="21"/>
      <c r="E82" s="21"/>
      <c r="F82" s="17"/>
      <c r="G82" s="17"/>
      <c r="H82" s="17"/>
      <c r="I82" s="17"/>
    </row>
    <row r="83" spans="1:9" ht="18" customHeight="1" x14ac:dyDescent="0.25">
      <c r="A83" s="13" t="s">
        <v>157</v>
      </c>
      <c r="B83" s="14" t="s">
        <v>168</v>
      </c>
      <c r="C83" s="20"/>
      <c r="D83" s="21"/>
      <c r="E83" s="21"/>
      <c r="F83" s="17"/>
      <c r="G83" s="17"/>
      <c r="H83" s="17"/>
      <c r="I83" s="17"/>
    </row>
    <row r="84" spans="1:9" ht="15.75" x14ac:dyDescent="0.25">
      <c r="A84" s="18" t="s">
        <v>158</v>
      </c>
      <c r="B84" s="26" t="s">
        <v>169</v>
      </c>
      <c r="C84" s="20"/>
      <c r="D84" s="21"/>
      <c r="E84" s="21"/>
      <c r="F84" s="17"/>
      <c r="G84" s="17"/>
      <c r="H84" s="17"/>
      <c r="I84" s="17"/>
    </row>
    <row r="85" spans="1:9" ht="15.75" x14ac:dyDescent="0.25">
      <c r="A85" s="25" t="s">
        <v>21</v>
      </c>
      <c r="B85" s="30">
        <v>1</v>
      </c>
      <c r="C85" s="26" t="s">
        <v>118</v>
      </c>
      <c r="D85" s="21"/>
      <c r="E85" s="21"/>
      <c r="F85" s="17"/>
      <c r="G85" s="17"/>
      <c r="H85" s="17"/>
      <c r="I85" s="17"/>
    </row>
    <row r="86" spans="1:9" ht="15.75" x14ac:dyDescent="0.25">
      <c r="A86" s="25" t="s">
        <v>21</v>
      </c>
      <c r="B86" s="31">
        <f>B85</f>
        <v>1</v>
      </c>
      <c r="C86" s="26"/>
      <c r="D86" s="21"/>
      <c r="E86" s="21"/>
      <c r="F86" s="17"/>
      <c r="G86" s="17"/>
      <c r="H86" s="17"/>
      <c r="I86" s="17"/>
    </row>
    <row r="87" spans="1:9" ht="15.75" x14ac:dyDescent="0.25">
      <c r="A87" s="25"/>
      <c r="B87" s="31"/>
      <c r="C87" s="26"/>
      <c r="D87" s="21"/>
      <c r="E87" s="21"/>
      <c r="F87" s="17"/>
      <c r="G87" s="17"/>
      <c r="H87" s="17"/>
      <c r="I87" s="17"/>
    </row>
    <row r="88" spans="1:9" ht="15.75" x14ac:dyDescent="0.25">
      <c r="A88" s="18" t="s">
        <v>170</v>
      </c>
      <c r="B88" s="26" t="s">
        <v>171</v>
      </c>
      <c r="C88" s="20"/>
      <c r="D88" s="21"/>
      <c r="E88" s="21"/>
      <c r="F88" s="17"/>
      <c r="G88" s="17"/>
      <c r="H88" s="17"/>
      <c r="I88" s="17"/>
    </row>
    <row r="89" spans="1:9" ht="15.75" x14ac:dyDescent="0.25">
      <c r="A89" s="25" t="s">
        <v>21</v>
      </c>
      <c r="B89" s="22" t="s">
        <v>172</v>
      </c>
      <c r="C89" s="20"/>
      <c r="D89" s="21"/>
      <c r="E89" s="21"/>
      <c r="F89" s="17"/>
      <c r="G89" s="17"/>
      <c r="H89" s="17"/>
      <c r="I89" s="17"/>
    </row>
    <row r="90" spans="1:9" ht="15.75" x14ac:dyDescent="0.25">
      <c r="A90" s="25" t="s">
        <v>21</v>
      </c>
      <c r="B90" s="30">
        <v>1</v>
      </c>
      <c r="C90" s="26" t="s">
        <v>173</v>
      </c>
      <c r="D90" s="21"/>
      <c r="E90" s="21"/>
      <c r="F90" s="17"/>
      <c r="G90" s="17"/>
      <c r="H90" s="17"/>
      <c r="I90" s="17"/>
    </row>
    <row r="91" spans="1:9" ht="15.75" x14ac:dyDescent="0.25">
      <c r="A91" s="25" t="s">
        <v>21</v>
      </c>
      <c r="B91" s="31">
        <f>B90</f>
        <v>1</v>
      </c>
      <c r="C91" s="26"/>
      <c r="D91" s="21"/>
      <c r="E91" s="21"/>
      <c r="F91" s="17"/>
      <c r="G91" s="17"/>
      <c r="H91" s="17"/>
      <c r="I91" s="17"/>
    </row>
    <row r="92" spans="1:9" ht="11.25" customHeight="1" x14ac:dyDescent="0.25">
      <c r="A92" s="25"/>
      <c r="B92" s="31"/>
      <c r="C92" s="26"/>
      <c r="D92" s="21"/>
      <c r="E92" s="21"/>
      <c r="F92" s="17"/>
      <c r="G92" s="17"/>
      <c r="H92" s="17"/>
      <c r="I92" s="17"/>
    </row>
    <row r="93" spans="1:9" ht="15.75" x14ac:dyDescent="0.25">
      <c r="A93" s="13" t="s">
        <v>174</v>
      </c>
      <c r="B93" s="14" t="s">
        <v>25</v>
      </c>
      <c r="C93" s="20"/>
      <c r="D93" s="21"/>
      <c r="E93" s="21"/>
      <c r="F93" s="17"/>
      <c r="G93" s="17"/>
      <c r="H93" s="17"/>
      <c r="I93" s="17"/>
    </row>
    <row r="94" spans="1:9" ht="15.75" x14ac:dyDescent="0.25">
      <c r="A94" s="18" t="s">
        <v>175</v>
      </c>
      <c r="B94" s="26" t="str">
        <f>ORÇAMENTO!D69</f>
        <v>Limpeza final da obra</v>
      </c>
      <c r="C94" s="20"/>
      <c r="D94" s="21"/>
      <c r="E94" s="21"/>
      <c r="F94" s="17"/>
      <c r="G94" s="17"/>
      <c r="H94" s="17"/>
      <c r="I94" s="17"/>
    </row>
    <row r="95" spans="1:9" ht="15.75" x14ac:dyDescent="0.25">
      <c r="A95" s="25" t="s">
        <v>21</v>
      </c>
      <c r="B95" s="22" t="s">
        <v>27</v>
      </c>
      <c r="C95" s="20"/>
      <c r="D95" s="21"/>
      <c r="E95" s="21"/>
      <c r="F95" s="17"/>
      <c r="G95" s="17"/>
      <c r="H95" s="17"/>
      <c r="I95" s="17"/>
    </row>
    <row r="96" spans="1:9" ht="15.75" x14ac:dyDescent="0.25">
      <c r="A96" s="25" t="s">
        <v>21</v>
      </c>
      <c r="B96" s="31">
        <f>B39</f>
        <v>762</v>
      </c>
      <c r="C96" s="12"/>
      <c r="D96" s="21"/>
      <c r="E96" s="21"/>
      <c r="F96" s="17"/>
      <c r="G96" s="17"/>
      <c r="H96" s="17"/>
      <c r="I96" s="17"/>
    </row>
  </sheetData>
  <mergeCells count="3">
    <mergeCell ref="A6:J6"/>
    <mergeCell ref="A8:J8"/>
    <mergeCell ref="B65:H65"/>
  </mergeCells>
  <pageMargins left="0.39370078740157483" right="0.39370078740157483" top="0.98425196850393704" bottom="0.98425196850393704" header="0.51181102362204722" footer="0.51181102362204722"/>
  <pageSetup paperSize="9" scale="76" fitToHeight="0"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1FF72C-5E1F-40F5-82EB-057F84D7E236}">
  <dimension ref="A2:I21"/>
  <sheetViews>
    <sheetView showGridLines="0" view="pageBreakPreview" zoomScale="85" zoomScaleNormal="70" zoomScaleSheetLayoutView="85" workbookViewId="0">
      <selection activeCell="I23" sqref="I23"/>
    </sheetView>
  </sheetViews>
  <sheetFormatPr defaultRowHeight="12.75" x14ac:dyDescent="0.2"/>
  <cols>
    <col min="1" max="1" width="2.7109375" customWidth="1"/>
    <col min="2" max="2" width="14.7109375" customWidth="1"/>
    <col min="3" max="3" width="39.140625" customWidth="1"/>
    <col min="4" max="5" width="8.7109375" customWidth="1"/>
    <col min="6" max="6" width="9.7109375" customWidth="1"/>
    <col min="7" max="7" width="11.28515625" customWidth="1"/>
  </cols>
  <sheetData>
    <row r="2" spans="1:9" x14ac:dyDescent="0.2">
      <c r="A2" s="1"/>
      <c r="B2" s="1"/>
      <c r="C2" s="118"/>
    </row>
    <row r="3" spans="1:9" x14ac:dyDescent="0.2">
      <c r="A3" s="1"/>
      <c r="B3" s="1"/>
      <c r="C3" s="118"/>
      <c r="G3" s="28"/>
    </row>
    <row r="4" spans="1:9" x14ac:dyDescent="0.2">
      <c r="A4" s="1"/>
      <c r="B4" s="1"/>
      <c r="C4" s="118"/>
    </row>
    <row r="5" spans="1:9" x14ac:dyDescent="0.2">
      <c r="A5" s="1"/>
      <c r="B5" s="1"/>
      <c r="C5" s="118"/>
    </row>
    <row r="6" spans="1:9" ht="13.5" thickBot="1" x14ac:dyDescent="0.25">
      <c r="A6" s="117"/>
      <c r="B6" s="117"/>
      <c r="C6" s="119"/>
      <c r="D6" s="116"/>
      <c r="E6" s="116"/>
      <c r="F6" s="116"/>
      <c r="G6" s="116"/>
    </row>
    <row r="7" spans="1:9" ht="24" customHeight="1" thickTop="1" x14ac:dyDescent="0.2">
      <c r="A7" s="1"/>
      <c r="B7" s="1"/>
      <c r="C7" s="711" t="s">
        <v>122</v>
      </c>
      <c r="D7" s="711"/>
      <c r="E7" s="711"/>
      <c r="F7" s="711"/>
      <c r="G7" s="711"/>
    </row>
    <row r="8" spans="1:9" ht="36" customHeight="1" thickBot="1" x14ac:dyDescent="0.25">
      <c r="A8" s="117"/>
      <c r="B8" s="712" t="s">
        <v>155</v>
      </c>
      <c r="C8" s="712"/>
      <c r="D8" s="712"/>
      <c r="E8" s="712"/>
      <c r="F8" s="712"/>
      <c r="G8" s="712"/>
    </row>
    <row r="9" spans="1:9" ht="12.75" customHeight="1" thickTop="1" x14ac:dyDescent="0.2">
      <c r="A9" s="1"/>
      <c r="B9" s="1"/>
      <c r="C9" s="120"/>
      <c r="D9" s="115"/>
      <c r="E9" s="115"/>
      <c r="F9" s="115"/>
      <c r="G9" s="115"/>
    </row>
    <row r="10" spans="1:9" ht="26.45" customHeight="1" x14ac:dyDescent="0.2">
      <c r="A10" s="710" t="s">
        <v>226</v>
      </c>
      <c r="B10" s="710"/>
      <c r="C10" s="710"/>
      <c r="D10" s="710"/>
      <c r="E10" s="710"/>
      <c r="F10" s="710"/>
      <c r="G10" s="710"/>
    </row>
    <row r="12" spans="1:9" s="189" customFormat="1" ht="59.25" customHeight="1" x14ac:dyDescent="0.3">
      <c r="A12" s="188"/>
      <c r="B12" s="718" t="s">
        <v>227</v>
      </c>
      <c r="C12" s="718"/>
      <c r="D12" s="718"/>
      <c r="E12" s="718"/>
      <c r="F12" s="718"/>
      <c r="G12" s="718"/>
      <c r="H12" s="190"/>
      <c r="I12" s="190"/>
    </row>
    <row r="13" spans="1:9" ht="15.6" customHeight="1" x14ac:dyDescent="0.2">
      <c r="B13" s="184" t="s">
        <v>209</v>
      </c>
      <c r="C13" s="719" t="s">
        <v>216</v>
      </c>
      <c r="D13" s="719"/>
      <c r="E13" s="719"/>
      <c r="F13" s="719"/>
      <c r="G13" s="184" t="s">
        <v>217</v>
      </c>
    </row>
    <row r="14" spans="1:9" ht="41.45" customHeight="1" x14ac:dyDescent="0.2">
      <c r="B14" s="186" t="s">
        <v>218</v>
      </c>
      <c r="C14" s="720" t="s">
        <v>198</v>
      </c>
      <c r="D14" s="720"/>
      <c r="E14" s="720"/>
      <c r="F14" s="720"/>
      <c r="G14" s="186" t="s">
        <v>219</v>
      </c>
    </row>
    <row r="15" spans="1:9" ht="13.15" customHeight="1" x14ac:dyDescent="0.2">
      <c r="B15" s="719" t="s">
        <v>208</v>
      </c>
      <c r="C15" s="719"/>
      <c r="D15" s="719"/>
      <c r="E15" s="719"/>
      <c r="F15" s="719"/>
      <c r="G15" s="719"/>
    </row>
    <row r="16" spans="1:9" ht="42.75" x14ac:dyDescent="0.2">
      <c r="B16" s="184" t="s">
        <v>209</v>
      </c>
      <c r="C16" s="184" t="s">
        <v>210</v>
      </c>
      <c r="D16" s="184" t="s">
        <v>211</v>
      </c>
      <c r="E16" s="184" t="s">
        <v>212</v>
      </c>
      <c r="F16" s="184" t="s">
        <v>229</v>
      </c>
      <c r="G16" s="184" t="s">
        <v>228</v>
      </c>
    </row>
    <row r="17" spans="2:7" ht="29.45" customHeight="1" x14ac:dyDescent="0.2">
      <c r="B17" s="186" t="s">
        <v>220</v>
      </c>
      <c r="C17" s="185" t="s">
        <v>223</v>
      </c>
      <c r="D17" s="186" t="s">
        <v>213</v>
      </c>
      <c r="E17" s="186">
        <v>1.5</v>
      </c>
      <c r="F17" s="186">
        <v>19.45</v>
      </c>
      <c r="G17" s="187">
        <f>F17*E17</f>
        <v>29.18</v>
      </c>
    </row>
    <row r="18" spans="2:7" ht="29.45" customHeight="1" x14ac:dyDescent="0.2">
      <c r="B18" s="186" t="s">
        <v>214</v>
      </c>
      <c r="C18" s="185" t="s">
        <v>215</v>
      </c>
      <c r="D18" s="186" t="s">
        <v>128</v>
      </c>
      <c r="E18" s="186">
        <v>0.32400000000000001</v>
      </c>
      <c r="F18" s="186">
        <v>112.76</v>
      </c>
      <c r="G18" s="187">
        <f>F18*E18</f>
        <v>36.53</v>
      </c>
    </row>
    <row r="19" spans="2:7" ht="60" x14ac:dyDescent="0.2">
      <c r="B19" s="186" t="s">
        <v>221</v>
      </c>
      <c r="C19" s="185" t="s">
        <v>225</v>
      </c>
      <c r="D19" s="186" t="s">
        <v>13</v>
      </c>
      <c r="E19" s="186">
        <v>8.6660000000000004</v>
      </c>
      <c r="F19" s="186">
        <v>77.36</v>
      </c>
      <c r="G19" s="187">
        <f>F19*E19</f>
        <v>670.4</v>
      </c>
    </row>
    <row r="20" spans="2:7" ht="45.75" thickBot="1" x14ac:dyDescent="0.25">
      <c r="B20" s="191" t="s">
        <v>222</v>
      </c>
      <c r="C20" s="192" t="s">
        <v>224</v>
      </c>
      <c r="D20" s="191" t="s">
        <v>128</v>
      </c>
      <c r="E20" s="191">
        <v>1.238</v>
      </c>
      <c r="F20" s="191">
        <v>512.69000000000005</v>
      </c>
      <c r="G20" s="193">
        <f>F20*E20</f>
        <v>634.71</v>
      </c>
    </row>
    <row r="21" spans="2:7" ht="24.6" customHeight="1" thickBot="1" x14ac:dyDescent="0.25">
      <c r="B21" s="716" t="s">
        <v>232</v>
      </c>
      <c r="C21" s="717"/>
      <c r="D21" s="717"/>
      <c r="E21" s="717"/>
      <c r="F21" s="717"/>
      <c r="G21" s="194">
        <f>SUM(G17:G20)</f>
        <v>1370.82</v>
      </c>
    </row>
  </sheetData>
  <mergeCells count="8">
    <mergeCell ref="B21:F21"/>
    <mergeCell ref="C7:G7"/>
    <mergeCell ref="A10:G10"/>
    <mergeCell ref="B8:G8"/>
    <mergeCell ref="B12:G12"/>
    <mergeCell ref="B15:G15"/>
    <mergeCell ref="C13:F13"/>
    <mergeCell ref="C14:F14"/>
  </mergeCells>
  <pageMargins left="0.511811024" right="0.511811024" top="0.78740157499999996" bottom="0.78740157499999996" header="0.31496062000000002" footer="0.31496062000000002"/>
  <pageSetup paperSize="9" scale="98"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9F0A30-8F40-42AB-AC72-C86DB0F41F98}">
  <sheetPr>
    <pageSetUpPr fitToPage="1"/>
  </sheetPr>
  <dimension ref="A2:O87"/>
  <sheetViews>
    <sheetView showGridLines="0" view="pageBreakPreview" zoomScaleNormal="100" zoomScaleSheetLayoutView="100" workbookViewId="0">
      <selection activeCell="I10" sqref="I10"/>
    </sheetView>
  </sheetViews>
  <sheetFormatPr defaultRowHeight="12.75" x14ac:dyDescent="0.2"/>
  <cols>
    <col min="1" max="1" width="6.42578125" style="1" customWidth="1"/>
    <col min="2" max="2" width="9.140625" style="1" customWidth="1"/>
    <col min="3" max="3" width="11.140625" style="118" customWidth="1"/>
    <col min="4" max="4" width="45.42578125" customWidth="1"/>
    <col min="5" max="5" width="6.85546875" customWidth="1"/>
    <col min="6" max="6" width="9" customWidth="1"/>
    <col min="7" max="7" width="11.85546875" customWidth="1"/>
    <col min="8" max="8" width="12.85546875" customWidth="1"/>
    <col min="9" max="9" width="13" bestFit="1" customWidth="1"/>
    <col min="10" max="10" width="14" customWidth="1"/>
    <col min="11" max="11" width="10.85546875" bestFit="1" customWidth="1"/>
    <col min="12" max="12" width="11.28515625" bestFit="1" customWidth="1"/>
  </cols>
  <sheetData>
    <row r="2" spans="1:12" x14ac:dyDescent="0.2">
      <c r="G2" s="28"/>
      <c r="H2" s="28"/>
    </row>
    <row r="5" spans="1:12" ht="13.5" thickBot="1" x14ac:dyDescent="0.25">
      <c r="A5" s="117"/>
      <c r="B5" s="117"/>
      <c r="C5" s="119"/>
      <c r="D5" s="116"/>
      <c r="E5" s="116"/>
      <c r="F5" s="116"/>
      <c r="G5" s="116"/>
      <c r="H5" s="116"/>
      <c r="I5" s="116"/>
    </row>
    <row r="6" spans="1:12" ht="24" customHeight="1" thickTop="1" x14ac:dyDescent="0.2">
      <c r="C6" s="711" t="s">
        <v>122</v>
      </c>
      <c r="D6" s="711"/>
      <c r="E6" s="711"/>
      <c r="F6" s="711"/>
      <c r="G6" s="711"/>
      <c r="H6" s="711"/>
    </row>
    <row r="7" spans="1:12" ht="36" customHeight="1" thickBot="1" x14ac:dyDescent="0.25">
      <c r="A7" s="117"/>
      <c r="B7" s="117"/>
      <c r="C7" s="712" t="s">
        <v>155</v>
      </c>
      <c r="D7" s="712"/>
      <c r="E7" s="712"/>
      <c r="F7" s="712"/>
      <c r="G7" s="712"/>
      <c r="H7" s="712"/>
      <c r="I7" s="116"/>
    </row>
    <row r="8" spans="1:12" ht="12.75" customHeight="1" thickTop="1" x14ac:dyDescent="0.2">
      <c r="C8" s="120"/>
      <c r="D8" s="115"/>
      <c r="E8" s="115"/>
      <c r="F8" s="115"/>
      <c r="G8" s="115"/>
      <c r="H8" s="115"/>
    </row>
    <row r="9" spans="1:12" ht="26.45" customHeight="1" x14ac:dyDescent="0.2">
      <c r="A9" s="710" t="s">
        <v>19</v>
      </c>
      <c r="B9" s="710"/>
      <c r="C9" s="710"/>
      <c r="D9" s="710"/>
      <c r="E9" s="710"/>
      <c r="F9" s="710"/>
      <c r="G9" s="710"/>
      <c r="H9" s="710"/>
      <c r="I9" s="710"/>
    </row>
    <row r="10" spans="1:12" ht="23.45" customHeight="1" x14ac:dyDescent="0.2">
      <c r="A10" s="32"/>
      <c r="B10" s="32"/>
      <c r="C10" s="121"/>
      <c r="D10" s="32"/>
      <c r="E10" s="32"/>
      <c r="F10" s="32"/>
      <c r="G10" s="33"/>
      <c r="H10" s="148" t="s">
        <v>29</v>
      </c>
      <c r="I10" s="149" t="e">
        <f>ROUND((#REF!)*100,2)</f>
        <v>#REF!</v>
      </c>
    </row>
    <row r="11" spans="1:12" ht="4.7" customHeight="1" thickBot="1" x14ac:dyDescent="0.25">
      <c r="A11"/>
      <c r="B11"/>
      <c r="C11" s="122"/>
    </row>
    <row r="12" spans="1:12" ht="43.5" customHeight="1" thickTop="1" thickBot="1" x14ac:dyDescent="0.25">
      <c r="A12" s="8" t="s">
        <v>0</v>
      </c>
      <c r="B12" s="8" t="s">
        <v>96</v>
      </c>
      <c r="C12" s="8" t="s">
        <v>23</v>
      </c>
      <c r="D12" s="9" t="s">
        <v>1</v>
      </c>
      <c r="E12" s="9" t="s">
        <v>2</v>
      </c>
      <c r="F12" s="9" t="s">
        <v>3</v>
      </c>
      <c r="G12" s="10" t="s">
        <v>32</v>
      </c>
      <c r="H12" s="10" t="s">
        <v>33</v>
      </c>
      <c r="I12" s="10" t="s">
        <v>16</v>
      </c>
    </row>
    <row r="13" spans="1:12" ht="14.25" customHeight="1" thickTop="1" thickBot="1" x14ac:dyDescent="0.25">
      <c r="A13"/>
      <c r="B13"/>
      <c r="C13" s="122"/>
    </row>
    <row r="14" spans="1:12" ht="30" customHeight="1" thickTop="1" thickBot="1" x14ac:dyDescent="0.25">
      <c r="A14" s="135"/>
      <c r="B14" s="137"/>
      <c r="C14" s="138"/>
      <c r="D14" s="140" t="s">
        <v>261</v>
      </c>
      <c r="E14" s="138"/>
      <c r="F14" s="138"/>
      <c r="G14" s="138"/>
      <c r="H14" s="139"/>
      <c r="I14" s="151">
        <f>I15+I17+I19+I23+I27</f>
        <v>92922.51</v>
      </c>
    </row>
    <row r="15" spans="1:12" ht="30" customHeight="1" thickTop="1" x14ac:dyDescent="0.2">
      <c r="A15" s="4" t="s">
        <v>4</v>
      </c>
      <c r="B15" s="132" t="s">
        <v>257</v>
      </c>
      <c r="C15" s="133"/>
      <c r="D15" s="133"/>
      <c r="E15" s="133"/>
      <c r="F15" s="133"/>
      <c r="G15" s="133"/>
      <c r="H15" s="134"/>
      <c r="I15" s="136">
        <f>ROUND((SUM(I16:I16)),2)</f>
        <v>646.76</v>
      </c>
      <c r="J15" s="27"/>
      <c r="L15" s="27"/>
    </row>
    <row r="16" spans="1:12" ht="30" customHeight="1" x14ac:dyDescent="0.2">
      <c r="A16" s="5" t="s">
        <v>5</v>
      </c>
      <c r="B16" s="5"/>
      <c r="C16" s="7"/>
      <c r="D16" s="197" t="s">
        <v>256</v>
      </c>
      <c r="E16" s="7" t="s">
        <v>13</v>
      </c>
      <c r="F16" s="141">
        <v>1702</v>
      </c>
      <c r="G16" s="100"/>
      <c r="H16" s="37">
        <v>0.38</v>
      </c>
      <c r="I16" s="102">
        <f>ROUND((H16*F16),2)</f>
        <v>646.76</v>
      </c>
      <c r="J16" s="27"/>
      <c r="L16" s="113"/>
    </row>
    <row r="17" spans="1:15" ht="30" customHeight="1" x14ac:dyDescent="0.2">
      <c r="A17" s="11" t="s">
        <v>6</v>
      </c>
      <c r="B17" s="132" t="s">
        <v>258</v>
      </c>
      <c r="C17" s="133"/>
      <c r="D17" s="198"/>
      <c r="E17" s="133"/>
      <c r="F17" s="133"/>
      <c r="G17" s="133"/>
      <c r="H17" s="134"/>
      <c r="I17" s="136">
        <f>ROUND((SUM(I18)),2)</f>
        <v>2365.7800000000002</v>
      </c>
      <c r="J17" s="69"/>
      <c r="L17" s="114"/>
      <c r="O17" s="114"/>
    </row>
    <row r="18" spans="1:15" ht="24" x14ac:dyDescent="0.2">
      <c r="A18" s="5" t="s">
        <v>7</v>
      </c>
      <c r="B18" s="108" t="s">
        <v>24</v>
      </c>
      <c r="C18" s="124">
        <v>100575</v>
      </c>
      <c r="D18" s="199" t="s">
        <v>280</v>
      </c>
      <c r="E18" s="7" t="s">
        <v>13</v>
      </c>
      <c r="F18" s="102">
        <v>1702</v>
      </c>
      <c r="G18" s="101"/>
      <c r="H18" s="102">
        <v>1.39</v>
      </c>
      <c r="I18" s="102">
        <f>ROUND((H18*F18),2)</f>
        <v>2365.7800000000002</v>
      </c>
      <c r="J18" s="69"/>
      <c r="L18" s="150"/>
      <c r="M18" s="150"/>
      <c r="O18" s="114"/>
    </row>
    <row r="19" spans="1:15" ht="30" customHeight="1" x14ac:dyDescent="0.2">
      <c r="A19" s="4" t="s">
        <v>8</v>
      </c>
      <c r="B19" s="132" t="s">
        <v>98</v>
      </c>
      <c r="C19" s="133"/>
      <c r="D19" s="198"/>
      <c r="E19" s="133"/>
      <c r="F19" s="133"/>
      <c r="G19" s="133"/>
      <c r="H19" s="134"/>
      <c r="I19" s="136">
        <f>ROUND((SUM(I20:I22)),2)</f>
        <v>89010.38</v>
      </c>
      <c r="J19" s="69"/>
    </row>
    <row r="20" spans="1:15" ht="48" x14ac:dyDescent="0.2">
      <c r="A20" s="5" t="s">
        <v>9</v>
      </c>
      <c r="B20" s="108" t="s">
        <v>89</v>
      </c>
      <c r="C20" s="125" t="s">
        <v>110</v>
      </c>
      <c r="D20" s="197" t="s">
        <v>260</v>
      </c>
      <c r="E20" s="7" t="s">
        <v>11</v>
      </c>
      <c r="F20" s="102">
        <v>390</v>
      </c>
      <c r="G20" s="102"/>
      <c r="H20" s="102">
        <v>30.84</v>
      </c>
      <c r="I20" s="102">
        <f>ROUND((H20*F20),2)</f>
        <v>12027.6</v>
      </c>
      <c r="J20" s="69"/>
      <c r="L20" s="103"/>
      <c r="O20" s="103"/>
    </row>
    <row r="21" spans="1:15" x14ac:dyDescent="0.2">
      <c r="A21" s="5" t="s">
        <v>12</v>
      </c>
      <c r="B21" s="108" t="s">
        <v>24</v>
      </c>
      <c r="C21" s="125" t="s">
        <v>104</v>
      </c>
      <c r="D21" s="197" t="s">
        <v>281</v>
      </c>
      <c r="E21" s="7" t="s">
        <v>13</v>
      </c>
      <c r="F21" s="102">
        <v>1702</v>
      </c>
      <c r="G21" s="102"/>
      <c r="H21" s="102">
        <v>44.87</v>
      </c>
      <c r="I21" s="102">
        <f>ROUND((H21*F21),2)</f>
        <v>76368.740000000005</v>
      </c>
      <c r="J21" s="69"/>
    </row>
    <row r="22" spans="1:15" ht="24" x14ac:dyDescent="0.2">
      <c r="A22" s="5" t="s">
        <v>108</v>
      </c>
      <c r="B22" s="108" t="s">
        <v>89</v>
      </c>
      <c r="C22" s="125" t="s">
        <v>100</v>
      </c>
      <c r="D22" s="197" t="s">
        <v>282</v>
      </c>
      <c r="E22" s="7" t="s">
        <v>11</v>
      </c>
      <c r="F22" s="102">
        <v>42</v>
      </c>
      <c r="G22" s="102"/>
      <c r="H22" s="102">
        <v>14.62</v>
      </c>
      <c r="I22" s="102">
        <f>ROUND((H22*F22),2)</f>
        <v>614.04</v>
      </c>
      <c r="J22" s="69"/>
    </row>
    <row r="23" spans="1:15" ht="30" customHeight="1" x14ac:dyDescent="0.2">
      <c r="A23" s="4" t="s">
        <v>14</v>
      </c>
      <c r="B23" s="132" t="s">
        <v>259</v>
      </c>
      <c r="C23" s="133"/>
      <c r="D23" s="198"/>
      <c r="E23" s="133"/>
      <c r="F23" s="133"/>
      <c r="G23" s="133"/>
      <c r="H23" s="134"/>
      <c r="I23" s="136">
        <f>ROUND((SUM(I24:I26)),2)</f>
        <v>0</v>
      </c>
      <c r="J23" s="27"/>
    </row>
    <row r="24" spans="1:15" ht="24" x14ac:dyDescent="0.2">
      <c r="A24" s="5" t="s">
        <v>15</v>
      </c>
      <c r="B24" s="5" t="s">
        <v>162</v>
      </c>
      <c r="C24" s="125" t="s">
        <v>163</v>
      </c>
      <c r="D24" s="200" t="s">
        <v>283</v>
      </c>
      <c r="E24" s="7" t="s">
        <v>13</v>
      </c>
      <c r="F24" s="102">
        <f>MEMÓRIA_R.FRANCISCO!B7</f>
        <v>0</v>
      </c>
      <c r="G24" s="102"/>
      <c r="H24" s="102">
        <v>302.23</v>
      </c>
      <c r="I24" s="102">
        <f>ROUND((H24*F24),2)</f>
        <v>0</v>
      </c>
      <c r="J24" s="69"/>
    </row>
    <row r="25" spans="1:15" x14ac:dyDescent="0.2">
      <c r="A25" s="5"/>
      <c r="B25" s="5"/>
      <c r="C25" s="125"/>
      <c r="D25" s="200" t="s">
        <v>284</v>
      </c>
      <c r="E25" s="7"/>
      <c r="F25" s="102">
        <v>0</v>
      </c>
      <c r="G25" s="102"/>
      <c r="H25" s="102">
        <v>102.63</v>
      </c>
      <c r="I25" s="102">
        <f>ROUND((H25*F25),2)</f>
        <v>0</v>
      </c>
      <c r="J25" s="69"/>
    </row>
    <row r="26" spans="1:15" ht="24" x14ac:dyDescent="0.2">
      <c r="A26" s="5"/>
      <c r="B26" s="5"/>
      <c r="C26" s="125"/>
      <c r="D26" s="200" t="s">
        <v>285</v>
      </c>
      <c r="E26" s="7"/>
      <c r="F26" s="102">
        <v>0</v>
      </c>
      <c r="G26" s="102"/>
      <c r="H26" s="102">
        <v>33.840000000000003</v>
      </c>
      <c r="I26" s="102">
        <f>ROUND((H26*F26),2)</f>
        <v>0</v>
      </c>
      <c r="J26" s="69"/>
    </row>
    <row r="27" spans="1:15" ht="30" customHeight="1" x14ac:dyDescent="0.2">
      <c r="A27" s="4" t="s">
        <v>174</v>
      </c>
      <c r="B27" s="132" t="s">
        <v>262</v>
      </c>
      <c r="C27" s="133"/>
      <c r="D27" s="196"/>
      <c r="E27" s="133"/>
      <c r="F27" s="133"/>
      <c r="G27" s="133"/>
      <c r="H27" s="134"/>
      <c r="I27" s="136">
        <f>ROUND((SUM(I28:I32)),2)</f>
        <v>899.59</v>
      </c>
      <c r="J27" s="69"/>
    </row>
    <row r="28" spans="1:15" ht="24" x14ac:dyDescent="0.2">
      <c r="A28" s="5"/>
      <c r="B28" s="5"/>
      <c r="C28" s="125"/>
      <c r="D28" s="200" t="s">
        <v>286</v>
      </c>
      <c r="E28" s="7"/>
      <c r="F28" s="102">
        <v>2</v>
      </c>
      <c r="G28" s="102"/>
      <c r="H28" s="102">
        <v>100.49</v>
      </c>
      <c r="I28" s="102">
        <f>ROUND((H28*F28),2)</f>
        <v>200.98</v>
      </c>
      <c r="J28" s="69"/>
    </row>
    <row r="29" spans="1:15" x14ac:dyDescent="0.2">
      <c r="A29" s="5"/>
      <c r="B29" s="5"/>
      <c r="C29" s="125"/>
      <c r="D29" s="200" t="s">
        <v>287</v>
      </c>
      <c r="E29" s="7"/>
      <c r="F29" s="102">
        <v>97.5</v>
      </c>
      <c r="G29" s="102"/>
      <c r="H29" s="102">
        <v>1.23</v>
      </c>
      <c r="I29" s="102">
        <f>ROUND((H29*F29),2)</f>
        <v>119.93</v>
      </c>
      <c r="J29" s="69"/>
    </row>
    <row r="30" spans="1:15" ht="24" x14ac:dyDescent="0.2">
      <c r="A30" s="5"/>
      <c r="B30" s="5"/>
      <c r="C30" s="125"/>
      <c r="D30" s="200" t="s">
        <v>288</v>
      </c>
      <c r="E30" s="7"/>
      <c r="F30" s="102">
        <v>0</v>
      </c>
      <c r="G30" s="102"/>
      <c r="H30" s="102">
        <v>295.73</v>
      </c>
      <c r="I30" s="102">
        <f>ROUND((H30*F30),2)</f>
        <v>0</v>
      </c>
      <c r="J30" s="69"/>
    </row>
    <row r="31" spans="1:15" ht="24" x14ac:dyDescent="0.2">
      <c r="A31" s="5"/>
      <c r="B31" s="5"/>
      <c r="C31" s="125"/>
      <c r="D31" s="200" t="s">
        <v>289</v>
      </c>
      <c r="E31" s="7"/>
      <c r="F31" s="102">
        <v>0</v>
      </c>
      <c r="G31" s="102"/>
      <c r="H31" s="102">
        <v>123.16</v>
      </c>
      <c r="I31" s="102">
        <f>ROUND((H31*F31),2)</f>
        <v>0</v>
      </c>
      <c r="J31" s="69"/>
    </row>
    <row r="32" spans="1:15" x14ac:dyDescent="0.2">
      <c r="A32" s="34" t="s">
        <v>175</v>
      </c>
      <c r="B32" s="5" t="s">
        <v>94</v>
      </c>
      <c r="C32" s="125" t="s">
        <v>95</v>
      </c>
      <c r="D32" s="201" t="s">
        <v>290</v>
      </c>
      <c r="E32" s="36" t="s">
        <v>13</v>
      </c>
      <c r="F32" s="102">
        <v>1702</v>
      </c>
      <c r="G32" s="37"/>
      <c r="H32" s="37">
        <v>0.34</v>
      </c>
      <c r="I32" s="102">
        <f>ROUND((H32*F32),2)</f>
        <v>578.67999999999995</v>
      </c>
      <c r="J32" s="69"/>
    </row>
    <row r="33" spans="1:15" ht="10.5" customHeight="1" thickBot="1" x14ac:dyDescent="0.25">
      <c r="A33" s="110"/>
      <c r="B33" s="111"/>
      <c r="C33" s="126"/>
      <c r="D33" s="111"/>
      <c r="E33" s="111"/>
      <c r="F33" s="111"/>
      <c r="G33" s="112"/>
      <c r="H33" s="3"/>
      <c r="I33" s="3"/>
      <c r="J33" s="27"/>
    </row>
    <row r="34" spans="1:15" ht="30" customHeight="1" thickTop="1" thickBot="1" x14ac:dyDescent="0.25">
      <c r="A34" s="135"/>
      <c r="B34" s="137"/>
      <c r="C34" s="138"/>
      <c r="D34" s="140" t="s">
        <v>263</v>
      </c>
      <c r="E34" s="138"/>
      <c r="F34" s="138"/>
      <c r="G34" s="138"/>
      <c r="H34" s="139"/>
      <c r="I34" s="151">
        <f>I35+I37+I39+I43+I47</f>
        <v>92673.68</v>
      </c>
    </row>
    <row r="35" spans="1:15" ht="30" customHeight="1" thickTop="1" x14ac:dyDescent="0.2">
      <c r="A35" s="4" t="s">
        <v>4</v>
      </c>
      <c r="B35" s="132" t="s">
        <v>257</v>
      </c>
      <c r="C35" s="133"/>
      <c r="D35" s="133"/>
      <c r="E35" s="133"/>
      <c r="F35" s="133"/>
      <c r="G35" s="133"/>
      <c r="H35" s="134"/>
      <c r="I35" s="136">
        <f>ROUND((SUM(I36:I36)),2)</f>
        <v>644.48</v>
      </c>
      <c r="J35" s="27"/>
      <c r="L35" s="27"/>
    </row>
    <row r="36" spans="1:15" ht="30" customHeight="1" x14ac:dyDescent="0.2">
      <c r="A36" s="5" t="s">
        <v>5</v>
      </c>
      <c r="B36" s="5"/>
      <c r="C36" s="7"/>
      <c r="D36" s="197" t="s">
        <v>256</v>
      </c>
      <c r="E36" s="7" t="s">
        <v>13</v>
      </c>
      <c r="F36" s="141">
        <v>1696</v>
      </c>
      <c r="G36" s="100"/>
      <c r="H36" s="37">
        <v>0.38</v>
      </c>
      <c r="I36" s="102">
        <f>ROUND((H36*F36),2)</f>
        <v>644.48</v>
      </c>
      <c r="J36" s="27"/>
      <c r="L36" s="113"/>
    </row>
    <row r="37" spans="1:15" ht="30" customHeight="1" x14ac:dyDescent="0.2">
      <c r="A37" s="11" t="s">
        <v>6</v>
      </c>
      <c r="B37" s="132" t="s">
        <v>258</v>
      </c>
      <c r="C37" s="133"/>
      <c r="D37" s="198"/>
      <c r="E37" s="133"/>
      <c r="F37" s="133"/>
      <c r="G37" s="133"/>
      <c r="H37" s="134"/>
      <c r="I37" s="136">
        <f>ROUND((SUM(I38)),2)</f>
        <v>2357.44</v>
      </c>
      <c r="J37" s="69"/>
      <c r="L37" s="114"/>
      <c r="O37" s="114"/>
    </row>
    <row r="38" spans="1:15" ht="24" x14ac:dyDescent="0.2">
      <c r="A38" s="5" t="s">
        <v>7</v>
      </c>
      <c r="B38" s="108" t="s">
        <v>24</v>
      </c>
      <c r="C38" s="124">
        <v>100575</v>
      </c>
      <c r="D38" s="199" t="s">
        <v>280</v>
      </c>
      <c r="E38" s="7" t="s">
        <v>13</v>
      </c>
      <c r="F38" s="102">
        <v>1696</v>
      </c>
      <c r="G38" s="101"/>
      <c r="H38" s="102">
        <v>1.39</v>
      </c>
      <c r="I38" s="102">
        <f>ROUND((H38*F38),2)</f>
        <v>2357.44</v>
      </c>
      <c r="J38" s="69"/>
      <c r="L38" s="150"/>
      <c r="M38" s="150"/>
      <c r="O38" s="114"/>
    </row>
    <row r="39" spans="1:15" ht="30" customHeight="1" x14ac:dyDescent="0.2">
      <c r="A39" s="4" t="s">
        <v>8</v>
      </c>
      <c r="B39" s="132" t="s">
        <v>98</v>
      </c>
      <c r="C39" s="133"/>
      <c r="D39" s="198"/>
      <c r="E39" s="133"/>
      <c r="F39" s="133"/>
      <c r="G39" s="133"/>
      <c r="H39" s="134"/>
      <c r="I39" s="136">
        <f>ROUND((SUM(I40:I42)),2)</f>
        <v>88773.6</v>
      </c>
      <c r="J39" s="69"/>
    </row>
    <row r="40" spans="1:15" ht="48" x14ac:dyDescent="0.2">
      <c r="A40" s="5" t="s">
        <v>9</v>
      </c>
      <c r="B40" s="108" t="s">
        <v>89</v>
      </c>
      <c r="C40" s="125" t="s">
        <v>110</v>
      </c>
      <c r="D40" s="197" t="s">
        <v>260</v>
      </c>
      <c r="E40" s="7" t="s">
        <v>11</v>
      </c>
      <c r="F40" s="102">
        <v>392</v>
      </c>
      <c r="G40" s="102"/>
      <c r="H40" s="102">
        <v>30.84</v>
      </c>
      <c r="I40" s="102">
        <f>ROUND((H40*F40),2)</f>
        <v>12089.28</v>
      </c>
      <c r="J40" s="69"/>
      <c r="L40" s="103"/>
      <c r="O40" s="103"/>
    </row>
    <row r="41" spans="1:15" x14ac:dyDescent="0.2">
      <c r="A41" s="5" t="s">
        <v>12</v>
      </c>
      <c r="B41" s="108" t="s">
        <v>24</v>
      </c>
      <c r="C41" s="125" t="s">
        <v>104</v>
      </c>
      <c r="D41" s="197" t="s">
        <v>281</v>
      </c>
      <c r="E41" s="7" t="s">
        <v>13</v>
      </c>
      <c r="F41" s="102">
        <v>1696</v>
      </c>
      <c r="G41" s="102"/>
      <c r="H41" s="102">
        <v>44.87</v>
      </c>
      <c r="I41" s="102">
        <f>ROUND((H41*F41),2)</f>
        <v>76099.520000000004</v>
      </c>
      <c r="J41" s="69"/>
    </row>
    <row r="42" spans="1:15" ht="24" x14ac:dyDescent="0.2">
      <c r="A42" s="5" t="s">
        <v>108</v>
      </c>
      <c r="B42" s="108" t="s">
        <v>89</v>
      </c>
      <c r="C42" s="125" t="s">
        <v>100</v>
      </c>
      <c r="D42" s="197" t="s">
        <v>282</v>
      </c>
      <c r="E42" s="7" t="s">
        <v>11</v>
      </c>
      <c r="F42" s="102">
        <v>40</v>
      </c>
      <c r="G42" s="102"/>
      <c r="H42" s="102">
        <v>14.62</v>
      </c>
      <c r="I42" s="102">
        <f>ROUND((H42*F42),2)</f>
        <v>584.79999999999995</v>
      </c>
      <c r="J42" s="69"/>
    </row>
    <row r="43" spans="1:15" ht="30" customHeight="1" x14ac:dyDescent="0.2">
      <c r="A43" s="4" t="s">
        <v>14</v>
      </c>
      <c r="B43" s="132" t="s">
        <v>259</v>
      </c>
      <c r="C43" s="133"/>
      <c r="D43" s="198"/>
      <c r="E43" s="133"/>
      <c r="F43" s="133"/>
      <c r="G43" s="133"/>
      <c r="H43" s="134"/>
      <c r="I43" s="136">
        <f>ROUND((SUM(I44:I46)),2)</f>
        <v>0</v>
      </c>
      <c r="J43" s="27"/>
    </row>
    <row r="44" spans="1:15" ht="24" x14ac:dyDescent="0.2">
      <c r="A44" s="5" t="s">
        <v>15</v>
      </c>
      <c r="B44" s="5" t="s">
        <v>162</v>
      </c>
      <c r="C44" s="125" t="s">
        <v>163</v>
      </c>
      <c r="D44" s="200" t="s">
        <v>283</v>
      </c>
      <c r="E44" s="7" t="s">
        <v>13</v>
      </c>
      <c r="F44" s="102">
        <v>0</v>
      </c>
      <c r="G44" s="102"/>
      <c r="H44" s="102">
        <v>302.23</v>
      </c>
      <c r="I44" s="102">
        <f>ROUND((H44*F44),2)</f>
        <v>0</v>
      </c>
      <c r="J44" s="69"/>
    </row>
    <row r="45" spans="1:15" x14ac:dyDescent="0.2">
      <c r="A45" s="5"/>
      <c r="B45" s="5"/>
      <c r="C45" s="125"/>
      <c r="D45" s="200" t="s">
        <v>284</v>
      </c>
      <c r="E45" s="7"/>
      <c r="F45" s="102">
        <v>0</v>
      </c>
      <c r="G45" s="102"/>
      <c r="H45" s="102">
        <v>102.63</v>
      </c>
      <c r="I45" s="102">
        <f>ROUND((H45*F45),2)</f>
        <v>0</v>
      </c>
      <c r="J45" s="69"/>
    </row>
    <row r="46" spans="1:15" ht="24" x14ac:dyDescent="0.2">
      <c r="A46" s="5"/>
      <c r="B46" s="5"/>
      <c r="C46" s="125"/>
      <c r="D46" s="200" t="s">
        <v>285</v>
      </c>
      <c r="E46" s="7"/>
      <c r="F46" s="102">
        <v>0</v>
      </c>
      <c r="G46" s="102"/>
      <c r="H46" s="102">
        <v>33.840000000000003</v>
      </c>
      <c r="I46" s="102">
        <f>ROUND((H46*F46),2)</f>
        <v>0</v>
      </c>
      <c r="J46" s="69"/>
    </row>
    <row r="47" spans="1:15" ht="30" customHeight="1" x14ac:dyDescent="0.2">
      <c r="A47" s="4" t="s">
        <v>174</v>
      </c>
      <c r="B47" s="132" t="s">
        <v>262</v>
      </c>
      <c r="C47" s="133"/>
      <c r="D47" s="196"/>
      <c r="E47" s="133"/>
      <c r="F47" s="133"/>
      <c r="G47" s="133"/>
      <c r="H47" s="134"/>
      <c r="I47" s="136">
        <f>ROUND((SUM(I48:I52)),2)</f>
        <v>898.16</v>
      </c>
      <c r="J47" s="69"/>
    </row>
    <row r="48" spans="1:15" ht="24" x14ac:dyDescent="0.2">
      <c r="A48" s="5"/>
      <c r="B48" s="5"/>
      <c r="C48" s="125"/>
      <c r="D48" s="200" t="s">
        <v>286</v>
      </c>
      <c r="E48" s="7"/>
      <c r="F48" s="102">
        <v>2</v>
      </c>
      <c r="G48" s="102"/>
      <c r="H48" s="102">
        <v>100.49</v>
      </c>
      <c r="I48" s="102">
        <f>ROUND((H48*F48),2)</f>
        <v>200.98</v>
      </c>
      <c r="J48" s="69"/>
    </row>
    <row r="49" spans="1:15" x14ac:dyDescent="0.2">
      <c r="A49" s="5"/>
      <c r="B49" s="5"/>
      <c r="C49" s="125"/>
      <c r="D49" s="200" t="s">
        <v>287</v>
      </c>
      <c r="E49" s="7"/>
      <c r="F49" s="102">
        <v>98</v>
      </c>
      <c r="G49" s="102"/>
      <c r="H49" s="102">
        <v>1.23</v>
      </c>
      <c r="I49" s="102">
        <f>ROUND((H49*F49),2)</f>
        <v>120.54</v>
      </c>
      <c r="J49" s="69"/>
    </row>
    <row r="50" spans="1:15" ht="24" x14ac:dyDescent="0.2">
      <c r="A50" s="5"/>
      <c r="B50" s="5"/>
      <c r="C50" s="125"/>
      <c r="D50" s="200" t="s">
        <v>288</v>
      </c>
      <c r="E50" s="7"/>
      <c r="F50" s="102">
        <v>0</v>
      </c>
      <c r="G50" s="102"/>
      <c r="H50" s="102">
        <v>295.73</v>
      </c>
      <c r="I50" s="102">
        <f>ROUND((H50*F50),2)</f>
        <v>0</v>
      </c>
      <c r="J50" s="69"/>
    </row>
    <row r="51" spans="1:15" ht="24" x14ac:dyDescent="0.2">
      <c r="A51" s="5"/>
      <c r="B51" s="5"/>
      <c r="C51" s="125"/>
      <c r="D51" s="200" t="s">
        <v>289</v>
      </c>
      <c r="E51" s="7"/>
      <c r="F51" s="102">
        <v>0</v>
      </c>
      <c r="G51" s="102"/>
      <c r="H51" s="102">
        <v>123.16</v>
      </c>
      <c r="I51" s="102">
        <f>ROUND((H51*F51),2)</f>
        <v>0</v>
      </c>
      <c r="J51" s="69"/>
    </row>
    <row r="52" spans="1:15" x14ac:dyDescent="0.2">
      <c r="A52" s="34" t="s">
        <v>175</v>
      </c>
      <c r="B52" s="5" t="s">
        <v>94</v>
      </c>
      <c r="C52" s="125" t="s">
        <v>95</v>
      </c>
      <c r="D52" s="201" t="s">
        <v>290</v>
      </c>
      <c r="E52" s="36" t="s">
        <v>13</v>
      </c>
      <c r="F52" s="102">
        <v>1696</v>
      </c>
      <c r="G52" s="37"/>
      <c r="H52" s="37">
        <v>0.34</v>
      </c>
      <c r="I52" s="102">
        <f>ROUND((H52*F52),2)</f>
        <v>576.64</v>
      </c>
      <c r="J52" s="69"/>
    </row>
    <row r="53" spans="1:15" ht="10.5" customHeight="1" thickBot="1" x14ac:dyDescent="0.25">
      <c r="A53" s="110"/>
      <c r="B53" s="111"/>
      <c r="C53" s="126"/>
      <c r="D53" s="111"/>
      <c r="E53" s="111"/>
      <c r="F53" s="111"/>
      <c r="G53" s="112"/>
      <c r="H53" s="3"/>
      <c r="I53" s="3"/>
      <c r="J53" s="27"/>
    </row>
    <row r="54" spans="1:15" ht="30" customHeight="1" thickTop="1" thickBot="1" x14ac:dyDescent="0.25">
      <c r="A54" s="135"/>
      <c r="B54" s="137"/>
      <c r="C54" s="138"/>
      <c r="D54" s="140" t="s">
        <v>264</v>
      </c>
      <c r="E54" s="138"/>
      <c r="F54" s="138"/>
      <c r="G54" s="138"/>
      <c r="H54" s="139"/>
      <c r="I54" s="151">
        <f>I55+I57+I59+I63+I67</f>
        <v>92701.87</v>
      </c>
    </row>
    <row r="55" spans="1:15" ht="30" customHeight="1" thickTop="1" x14ac:dyDescent="0.2">
      <c r="A55" s="4" t="s">
        <v>4</v>
      </c>
      <c r="B55" s="132" t="s">
        <v>257</v>
      </c>
      <c r="C55" s="133"/>
      <c r="D55" s="133"/>
      <c r="E55" s="133"/>
      <c r="F55" s="133"/>
      <c r="G55" s="133"/>
      <c r="H55" s="134"/>
      <c r="I55" s="136">
        <f>ROUND((SUM(I56:I56)),2)</f>
        <v>644.77</v>
      </c>
      <c r="J55" s="27"/>
      <c r="L55" s="27"/>
    </row>
    <row r="56" spans="1:15" ht="30" customHeight="1" x14ac:dyDescent="0.2">
      <c r="A56" s="5" t="s">
        <v>5</v>
      </c>
      <c r="B56" s="5"/>
      <c r="C56" s="7"/>
      <c r="D56" s="197" t="s">
        <v>256</v>
      </c>
      <c r="E56" s="7" t="s">
        <v>13</v>
      </c>
      <c r="F56" s="141">
        <v>1696.75</v>
      </c>
      <c r="G56" s="100"/>
      <c r="H56" s="37">
        <v>0.38</v>
      </c>
      <c r="I56" s="102">
        <f>ROUND((H56*F56),2)</f>
        <v>644.77</v>
      </c>
      <c r="J56" s="27"/>
      <c r="L56" s="113"/>
    </row>
    <row r="57" spans="1:15" ht="30" customHeight="1" x14ac:dyDescent="0.2">
      <c r="A57" s="11" t="s">
        <v>6</v>
      </c>
      <c r="B57" s="132" t="s">
        <v>258</v>
      </c>
      <c r="C57" s="133"/>
      <c r="D57" s="198"/>
      <c r="E57" s="133"/>
      <c r="F57" s="133"/>
      <c r="G57" s="133"/>
      <c r="H57" s="134"/>
      <c r="I57" s="136">
        <f>ROUND((SUM(I58)),2)</f>
        <v>2358.48</v>
      </c>
      <c r="J57" s="69"/>
      <c r="L57" s="114"/>
      <c r="O57" s="114"/>
    </row>
    <row r="58" spans="1:15" ht="24" x14ac:dyDescent="0.2">
      <c r="A58" s="5" t="s">
        <v>7</v>
      </c>
      <c r="B58" s="108" t="s">
        <v>24</v>
      </c>
      <c r="C58" s="124">
        <v>100575</v>
      </c>
      <c r="D58" s="199" t="s">
        <v>280</v>
      </c>
      <c r="E58" s="7" t="s">
        <v>13</v>
      </c>
      <c r="F58" s="102">
        <v>1696.75</v>
      </c>
      <c r="G58" s="101"/>
      <c r="H58" s="102">
        <v>1.39</v>
      </c>
      <c r="I58" s="102">
        <f>ROUND((H58*F58),2)</f>
        <v>2358.48</v>
      </c>
      <c r="J58" s="69"/>
      <c r="L58" s="150"/>
      <c r="M58" s="150"/>
      <c r="O58" s="114"/>
    </row>
    <row r="59" spans="1:15" ht="30" customHeight="1" x14ac:dyDescent="0.2">
      <c r="A59" s="4" t="s">
        <v>8</v>
      </c>
      <c r="B59" s="132" t="s">
        <v>98</v>
      </c>
      <c r="C59" s="133"/>
      <c r="D59" s="198"/>
      <c r="E59" s="133"/>
      <c r="F59" s="133"/>
      <c r="G59" s="133"/>
      <c r="H59" s="134"/>
      <c r="I59" s="136">
        <f>ROUND((SUM(I60:I62)),2)</f>
        <v>88800.27</v>
      </c>
      <c r="J59" s="69"/>
    </row>
    <row r="60" spans="1:15" ht="48" x14ac:dyDescent="0.2">
      <c r="A60" s="5" t="s">
        <v>9</v>
      </c>
      <c r="B60" s="108" t="s">
        <v>89</v>
      </c>
      <c r="C60" s="125" t="s">
        <v>110</v>
      </c>
      <c r="D60" s="197" t="s">
        <v>260</v>
      </c>
      <c r="E60" s="7" t="s">
        <v>11</v>
      </c>
      <c r="F60" s="102">
        <v>391.75</v>
      </c>
      <c r="G60" s="102"/>
      <c r="H60" s="102">
        <v>30.84</v>
      </c>
      <c r="I60" s="102">
        <f>ROUND((H60*F60),2)</f>
        <v>12081.57</v>
      </c>
      <c r="J60" s="69"/>
      <c r="L60" s="103"/>
      <c r="O60" s="103"/>
    </row>
    <row r="61" spans="1:15" x14ac:dyDescent="0.2">
      <c r="A61" s="5" t="s">
        <v>12</v>
      </c>
      <c r="B61" s="108" t="s">
        <v>24</v>
      </c>
      <c r="C61" s="125" t="s">
        <v>104</v>
      </c>
      <c r="D61" s="197" t="s">
        <v>281</v>
      </c>
      <c r="E61" s="7" t="s">
        <v>13</v>
      </c>
      <c r="F61" s="102">
        <v>1696.75</v>
      </c>
      <c r="G61" s="102"/>
      <c r="H61" s="102">
        <v>44.87</v>
      </c>
      <c r="I61" s="102">
        <f>ROUND((H61*F61),2)</f>
        <v>76133.17</v>
      </c>
      <c r="J61" s="69"/>
    </row>
    <row r="62" spans="1:15" ht="24" x14ac:dyDescent="0.2">
      <c r="A62" s="5" t="s">
        <v>108</v>
      </c>
      <c r="B62" s="108" t="s">
        <v>89</v>
      </c>
      <c r="C62" s="125" t="s">
        <v>100</v>
      </c>
      <c r="D62" s="197" t="s">
        <v>282</v>
      </c>
      <c r="E62" s="7" t="s">
        <v>11</v>
      </c>
      <c r="F62" s="102">
        <v>40.049999999999997</v>
      </c>
      <c r="G62" s="102"/>
      <c r="H62" s="102">
        <v>14.62</v>
      </c>
      <c r="I62" s="102">
        <f>ROUND((H62*F62),2)</f>
        <v>585.53</v>
      </c>
      <c r="J62" s="69"/>
    </row>
    <row r="63" spans="1:15" ht="30" customHeight="1" x14ac:dyDescent="0.2">
      <c r="A63" s="4" t="s">
        <v>14</v>
      </c>
      <c r="B63" s="132" t="s">
        <v>259</v>
      </c>
      <c r="C63" s="133"/>
      <c r="D63" s="198"/>
      <c r="E63" s="133"/>
      <c r="F63" s="133"/>
      <c r="G63" s="133"/>
      <c r="H63" s="134"/>
      <c r="I63" s="136">
        <f>ROUND((SUM(I64:I66)),2)</f>
        <v>0</v>
      </c>
      <c r="J63" s="27"/>
    </row>
    <row r="64" spans="1:15" ht="24" x14ac:dyDescent="0.2">
      <c r="A64" s="5" t="s">
        <v>15</v>
      </c>
      <c r="B64" s="5" t="s">
        <v>162</v>
      </c>
      <c r="C64" s="125" t="s">
        <v>163</v>
      </c>
      <c r="D64" s="200" t="s">
        <v>283</v>
      </c>
      <c r="E64" s="7" t="s">
        <v>13</v>
      </c>
      <c r="F64" s="102">
        <v>0</v>
      </c>
      <c r="G64" s="102"/>
      <c r="H64" s="102">
        <v>302.23</v>
      </c>
      <c r="I64" s="102">
        <f>ROUND((H64*F64),2)</f>
        <v>0</v>
      </c>
      <c r="J64" s="69"/>
    </row>
    <row r="65" spans="1:10" x14ac:dyDescent="0.2">
      <c r="A65" s="5"/>
      <c r="B65" s="5"/>
      <c r="C65" s="125"/>
      <c r="D65" s="200" t="s">
        <v>284</v>
      </c>
      <c r="E65" s="7"/>
      <c r="F65" s="102">
        <v>0</v>
      </c>
      <c r="G65" s="102"/>
      <c r="H65" s="102">
        <v>102.63</v>
      </c>
      <c r="I65" s="102">
        <f>ROUND((H65*F65),2)</f>
        <v>0</v>
      </c>
      <c r="J65" s="69"/>
    </row>
    <row r="66" spans="1:10" ht="24" x14ac:dyDescent="0.2">
      <c r="A66" s="5"/>
      <c r="B66" s="5"/>
      <c r="C66" s="125"/>
      <c r="D66" s="200" t="s">
        <v>285</v>
      </c>
      <c r="E66" s="7"/>
      <c r="F66" s="102">
        <v>0</v>
      </c>
      <c r="G66" s="102"/>
      <c r="H66" s="102">
        <v>33.840000000000003</v>
      </c>
      <c r="I66" s="102">
        <f>ROUND((H66*F66),2)</f>
        <v>0</v>
      </c>
      <c r="J66" s="69"/>
    </row>
    <row r="67" spans="1:10" ht="30" customHeight="1" x14ac:dyDescent="0.2">
      <c r="A67" s="4" t="s">
        <v>174</v>
      </c>
      <c r="B67" s="132" t="s">
        <v>262</v>
      </c>
      <c r="C67" s="133"/>
      <c r="D67" s="196"/>
      <c r="E67" s="133"/>
      <c r="F67" s="133"/>
      <c r="G67" s="133"/>
      <c r="H67" s="134"/>
      <c r="I67" s="136">
        <f>ROUND((SUM(I68:I72)),2)</f>
        <v>898.35</v>
      </c>
      <c r="J67" s="69"/>
    </row>
    <row r="68" spans="1:10" ht="24" x14ac:dyDescent="0.2">
      <c r="A68" s="5"/>
      <c r="B68" s="5"/>
      <c r="C68" s="125"/>
      <c r="D68" s="200" t="s">
        <v>286</v>
      </c>
      <c r="E68" s="7"/>
      <c r="F68" s="102">
        <v>2</v>
      </c>
      <c r="G68" s="102"/>
      <c r="H68" s="102">
        <v>100.49</v>
      </c>
      <c r="I68" s="102">
        <f>ROUND((H68*F68),2)</f>
        <v>200.98</v>
      </c>
      <c r="J68" s="69"/>
    </row>
    <row r="69" spans="1:10" x14ac:dyDescent="0.2">
      <c r="A69" s="5"/>
      <c r="B69" s="5"/>
      <c r="C69" s="125"/>
      <c r="D69" s="200" t="s">
        <v>287</v>
      </c>
      <c r="E69" s="7"/>
      <c r="F69" s="102">
        <v>97.94</v>
      </c>
      <c r="G69" s="102"/>
      <c r="H69" s="102">
        <v>1.23</v>
      </c>
      <c r="I69" s="102">
        <f>ROUND((H69*F69),2)</f>
        <v>120.47</v>
      </c>
      <c r="J69" s="69"/>
    </row>
    <row r="70" spans="1:10" ht="24" x14ac:dyDescent="0.2">
      <c r="A70" s="5"/>
      <c r="B70" s="5"/>
      <c r="C70" s="125"/>
      <c r="D70" s="200" t="s">
        <v>288</v>
      </c>
      <c r="E70" s="7"/>
      <c r="F70" s="102">
        <v>0</v>
      </c>
      <c r="G70" s="102"/>
      <c r="H70" s="102">
        <v>295.73</v>
      </c>
      <c r="I70" s="102">
        <f>ROUND((H70*F70),2)</f>
        <v>0</v>
      </c>
      <c r="J70" s="69"/>
    </row>
    <row r="71" spans="1:10" ht="24" x14ac:dyDescent="0.2">
      <c r="A71" s="5"/>
      <c r="B71" s="5"/>
      <c r="C71" s="125"/>
      <c r="D71" s="200" t="s">
        <v>289</v>
      </c>
      <c r="E71" s="7"/>
      <c r="F71" s="102">
        <v>0</v>
      </c>
      <c r="G71" s="102"/>
      <c r="H71" s="102">
        <v>123.16</v>
      </c>
      <c r="I71" s="102">
        <f>ROUND((H71*F71),2)</f>
        <v>0</v>
      </c>
      <c r="J71" s="69"/>
    </row>
    <row r="72" spans="1:10" x14ac:dyDescent="0.2">
      <c r="A72" s="34" t="s">
        <v>175</v>
      </c>
      <c r="B72" s="5" t="s">
        <v>94</v>
      </c>
      <c r="C72" s="125" t="s">
        <v>95</v>
      </c>
      <c r="D72" s="201" t="s">
        <v>290</v>
      </c>
      <c r="E72" s="36" t="s">
        <v>13</v>
      </c>
      <c r="F72" s="102">
        <v>1696.75</v>
      </c>
      <c r="G72" s="37"/>
      <c r="H72" s="37">
        <v>0.34</v>
      </c>
      <c r="I72" s="102">
        <f>ROUND((H72*F72),2)</f>
        <v>576.9</v>
      </c>
      <c r="J72" s="69"/>
    </row>
    <row r="73" spans="1:10" ht="10.5" customHeight="1" x14ac:dyDescent="0.2">
      <c r="A73" s="110"/>
      <c r="B73" s="111"/>
      <c r="C73" s="126"/>
      <c r="D73" s="111"/>
      <c r="E73" s="111"/>
      <c r="F73" s="111"/>
      <c r="G73" s="112"/>
      <c r="H73" s="3"/>
      <c r="I73" s="3"/>
      <c r="J73" s="27"/>
    </row>
    <row r="74" spans="1:10" ht="10.5" customHeight="1" x14ac:dyDescent="0.2">
      <c r="A74" s="110"/>
      <c r="B74" s="111"/>
      <c r="C74" s="126"/>
      <c r="D74" s="111"/>
      <c r="E74" s="111"/>
      <c r="F74" s="111"/>
      <c r="G74" s="112"/>
      <c r="H74" s="3"/>
      <c r="I74" s="3"/>
      <c r="J74" s="27"/>
    </row>
    <row r="75" spans="1:10" x14ac:dyDescent="0.2">
      <c r="B75" s="109" t="s">
        <v>31</v>
      </c>
      <c r="C75" s="12" t="s">
        <v>121</v>
      </c>
    </row>
    <row r="76" spans="1:10" x14ac:dyDescent="0.2">
      <c r="C76" s="12" t="s">
        <v>105</v>
      </c>
    </row>
    <row r="77" spans="1:10" x14ac:dyDescent="0.2">
      <c r="C77" s="12" t="s">
        <v>107</v>
      </c>
    </row>
    <row r="78" spans="1:10" ht="13.5" customHeight="1" x14ac:dyDescent="0.2">
      <c r="C78" s="12" t="s">
        <v>103</v>
      </c>
    </row>
    <row r="79" spans="1:10" ht="14.25" customHeight="1" x14ac:dyDescent="0.2">
      <c r="A79"/>
      <c r="B79"/>
      <c r="C79" s="122"/>
    </row>
    <row r="86" spans="4:4" x14ac:dyDescent="0.2">
      <c r="D86" s="113"/>
    </row>
    <row r="87" spans="4:4" x14ac:dyDescent="0.2">
      <c r="D87" s="114"/>
    </row>
  </sheetData>
  <mergeCells count="3">
    <mergeCell ref="C6:H6"/>
    <mergeCell ref="C7:H7"/>
    <mergeCell ref="A9:I9"/>
  </mergeCells>
  <printOptions horizontalCentered="1"/>
  <pageMargins left="0.59055118110236227" right="0.15748031496062992" top="0.31496062992125984" bottom="0.78740157480314965" header="0.55118110236220474" footer="0.47244094488188981"/>
  <pageSetup paperSize="9" scale="76" fitToHeight="0"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0FBB55-7D2B-4F46-855C-7987680D1683}">
  <dimension ref="A1:S112"/>
  <sheetViews>
    <sheetView view="pageBreakPreview" zoomScaleNormal="100" zoomScaleSheetLayoutView="100" workbookViewId="0">
      <selection activeCell="O28" activeCellId="1" sqref="R15 O28"/>
    </sheetView>
  </sheetViews>
  <sheetFormatPr defaultRowHeight="12.75" x14ac:dyDescent="0.2"/>
  <cols>
    <col min="1" max="1" width="4.7109375" customWidth="1"/>
    <col min="2" max="2" width="45" customWidth="1"/>
    <col min="3" max="3" width="8.42578125" customWidth="1"/>
    <col min="4" max="4" width="14.28515625" customWidth="1"/>
    <col min="5" max="5" width="9.28515625" bestFit="1" customWidth="1"/>
    <col min="6" max="6" width="12.140625" customWidth="1"/>
    <col min="7" max="7" width="14.42578125" customWidth="1"/>
    <col min="8" max="8" width="12.5703125" customWidth="1"/>
    <col min="9" max="9" width="17.7109375" customWidth="1"/>
    <col min="257" max="257" width="4.7109375" customWidth="1"/>
    <col min="258" max="258" width="45" customWidth="1"/>
    <col min="259" max="259" width="8.42578125" customWidth="1"/>
    <col min="260" max="260" width="14.28515625" customWidth="1"/>
    <col min="261" max="261" width="9.28515625" bestFit="1" customWidth="1"/>
    <col min="262" max="262" width="12.140625" customWidth="1"/>
    <col min="263" max="263" width="14.42578125" customWidth="1"/>
    <col min="264" max="264" width="12.5703125" customWidth="1"/>
    <col min="265" max="265" width="17.7109375" customWidth="1"/>
    <col min="513" max="513" width="4.7109375" customWidth="1"/>
    <col min="514" max="514" width="45" customWidth="1"/>
    <col min="515" max="515" width="8.42578125" customWidth="1"/>
    <col min="516" max="516" width="14.28515625" customWidth="1"/>
    <col min="517" max="517" width="9.28515625" bestFit="1" customWidth="1"/>
    <col min="518" max="518" width="12.140625" customWidth="1"/>
    <col min="519" max="519" width="14.42578125" customWidth="1"/>
    <col min="520" max="520" width="12.5703125" customWidth="1"/>
    <col min="521" max="521" width="17.7109375" customWidth="1"/>
    <col min="769" max="769" width="4.7109375" customWidth="1"/>
    <col min="770" max="770" width="45" customWidth="1"/>
    <col min="771" max="771" width="8.42578125" customWidth="1"/>
    <col min="772" max="772" width="14.28515625" customWidth="1"/>
    <col min="773" max="773" width="9.28515625" bestFit="1" customWidth="1"/>
    <col min="774" max="774" width="12.140625" customWidth="1"/>
    <col min="775" max="775" width="14.42578125" customWidth="1"/>
    <col min="776" max="776" width="12.5703125" customWidth="1"/>
    <col min="777" max="777" width="17.7109375" customWidth="1"/>
    <col min="1025" max="1025" width="4.7109375" customWidth="1"/>
    <col min="1026" max="1026" width="45" customWidth="1"/>
    <col min="1027" max="1027" width="8.42578125" customWidth="1"/>
    <col min="1028" max="1028" width="14.28515625" customWidth="1"/>
    <col min="1029" max="1029" width="9.28515625" bestFit="1" customWidth="1"/>
    <col min="1030" max="1030" width="12.140625" customWidth="1"/>
    <col min="1031" max="1031" width="14.42578125" customWidth="1"/>
    <col min="1032" max="1032" width="12.5703125" customWidth="1"/>
    <col min="1033" max="1033" width="17.7109375" customWidth="1"/>
    <col min="1281" max="1281" width="4.7109375" customWidth="1"/>
    <col min="1282" max="1282" width="45" customWidth="1"/>
    <col min="1283" max="1283" width="8.42578125" customWidth="1"/>
    <col min="1284" max="1284" width="14.28515625" customWidth="1"/>
    <col min="1285" max="1285" width="9.28515625" bestFit="1" customWidth="1"/>
    <col min="1286" max="1286" width="12.140625" customWidth="1"/>
    <col min="1287" max="1287" width="14.42578125" customWidth="1"/>
    <col min="1288" max="1288" width="12.5703125" customWidth="1"/>
    <col min="1289" max="1289" width="17.7109375" customWidth="1"/>
    <col min="1537" max="1537" width="4.7109375" customWidth="1"/>
    <col min="1538" max="1538" width="45" customWidth="1"/>
    <col min="1539" max="1539" width="8.42578125" customWidth="1"/>
    <col min="1540" max="1540" width="14.28515625" customWidth="1"/>
    <col min="1541" max="1541" width="9.28515625" bestFit="1" customWidth="1"/>
    <col min="1542" max="1542" width="12.140625" customWidth="1"/>
    <col min="1543" max="1543" width="14.42578125" customWidth="1"/>
    <col min="1544" max="1544" width="12.5703125" customWidth="1"/>
    <col min="1545" max="1545" width="17.7109375" customWidth="1"/>
    <col min="1793" max="1793" width="4.7109375" customWidth="1"/>
    <col min="1794" max="1794" width="45" customWidth="1"/>
    <col min="1795" max="1795" width="8.42578125" customWidth="1"/>
    <col min="1796" max="1796" width="14.28515625" customWidth="1"/>
    <col min="1797" max="1797" width="9.28515625" bestFit="1" customWidth="1"/>
    <col min="1798" max="1798" width="12.140625" customWidth="1"/>
    <col min="1799" max="1799" width="14.42578125" customWidth="1"/>
    <col min="1800" max="1800" width="12.5703125" customWidth="1"/>
    <col min="1801" max="1801" width="17.7109375" customWidth="1"/>
    <col min="2049" max="2049" width="4.7109375" customWidth="1"/>
    <col min="2050" max="2050" width="45" customWidth="1"/>
    <col min="2051" max="2051" width="8.42578125" customWidth="1"/>
    <col min="2052" max="2052" width="14.28515625" customWidth="1"/>
    <col min="2053" max="2053" width="9.28515625" bestFit="1" customWidth="1"/>
    <col min="2054" max="2054" width="12.140625" customWidth="1"/>
    <col min="2055" max="2055" width="14.42578125" customWidth="1"/>
    <col min="2056" max="2056" width="12.5703125" customWidth="1"/>
    <col min="2057" max="2057" width="17.7109375" customWidth="1"/>
    <col min="2305" max="2305" width="4.7109375" customWidth="1"/>
    <col min="2306" max="2306" width="45" customWidth="1"/>
    <col min="2307" max="2307" width="8.42578125" customWidth="1"/>
    <col min="2308" max="2308" width="14.28515625" customWidth="1"/>
    <col min="2309" max="2309" width="9.28515625" bestFit="1" customWidth="1"/>
    <col min="2310" max="2310" width="12.140625" customWidth="1"/>
    <col min="2311" max="2311" width="14.42578125" customWidth="1"/>
    <col min="2312" max="2312" width="12.5703125" customWidth="1"/>
    <col min="2313" max="2313" width="17.7109375" customWidth="1"/>
    <col min="2561" max="2561" width="4.7109375" customWidth="1"/>
    <col min="2562" max="2562" width="45" customWidth="1"/>
    <col min="2563" max="2563" width="8.42578125" customWidth="1"/>
    <col min="2564" max="2564" width="14.28515625" customWidth="1"/>
    <col min="2565" max="2565" width="9.28515625" bestFit="1" customWidth="1"/>
    <col min="2566" max="2566" width="12.140625" customWidth="1"/>
    <col min="2567" max="2567" width="14.42578125" customWidth="1"/>
    <col min="2568" max="2568" width="12.5703125" customWidth="1"/>
    <col min="2569" max="2569" width="17.7109375" customWidth="1"/>
    <col min="2817" max="2817" width="4.7109375" customWidth="1"/>
    <col min="2818" max="2818" width="45" customWidth="1"/>
    <col min="2819" max="2819" width="8.42578125" customWidth="1"/>
    <col min="2820" max="2820" width="14.28515625" customWidth="1"/>
    <col min="2821" max="2821" width="9.28515625" bestFit="1" customWidth="1"/>
    <col min="2822" max="2822" width="12.140625" customWidth="1"/>
    <col min="2823" max="2823" width="14.42578125" customWidth="1"/>
    <col min="2824" max="2824" width="12.5703125" customWidth="1"/>
    <col min="2825" max="2825" width="17.7109375" customWidth="1"/>
    <col min="3073" max="3073" width="4.7109375" customWidth="1"/>
    <col min="3074" max="3074" width="45" customWidth="1"/>
    <col min="3075" max="3075" width="8.42578125" customWidth="1"/>
    <col min="3076" max="3076" width="14.28515625" customWidth="1"/>
    <col min="3077" max="3077" width="9.28515625" bestFit="1" customWidth="1"/>
    <col min="3078" max="3078" width="12.140625" customWidth="1"/>
    <col min="3079" max="3079" width="14.42578125" customWidth="1"/>
    <col min="3080" max="3080" width="12.5703125" customWidth="1"/>
    <col min="3081" max="3081" width="17.7109375" customWidth="1"/>
    <col min="3329" max="3329" width="4.7109375" customWidth="1"/>
    <col min="3330" max="3330" width="45" customWidth="1"/>
    <col min="3331" max="3331" width="8.42578125" customWidth="1"/>
    <col min="3332" max="3332" width="14.28515625" customWidth="1"/>
    <col min="3333" max="3333" width="9.28515625" bestFit="1" customWidth="1"/>
    <col min="3334" max="3334" width="12.140625" customWidth="1"/>
    <col min="3335" max="3335" width="14.42578125" customWidth="1"/>
    <col min="3336" max="3336" width="12.5703125" customWidth="1"/>
    <col min="3337" max="3337" width="17.7109375" customWidth="1"/>
    <col min="3585" max="3585" width="4.7109375" customWidth="1"/>
    <col min="3586" max="3586" width="45" customWidth="1"/>
    <col min="3587" max="3587" width="8.42578125" customWidth="1"/>
    <col min="3588" max="3588" width="14.28515625" customWidth="1"/>
    <col min="3589" max="3589" width="9.28515625" bestFit="1" customWidth="1"/>
    <col min="3590" max="3590" width="12.140625" customWidth="1"/>
    <col min="3591" max="3591" width="14.42578125" customWidth="1"/>
    <col min="3592" max="3592" width="12.5703125" customWidth="1"/>
    <col min="3593" max="3593" width="17.7109375" customWidth="1"/>
    <col min="3841" max="3841" width="4.7109375" customWidth="1"/>
    <col min="3842" max="3842" width="45" customWidth="1"/>
    <col min="3843" max="3843" width="8.42578125" customWidth="1"/>
    <col min="3844" max="3844" width="14.28515625" customWidth="1"/>
    <col min="3845" max="3845" width="9.28515625" bestFit="1" customWidth="1"/>
    <col min="3846" max="3846" width="12.140625" customWidth="1"/>
    <col min="3847" max="3847" width="14.42578125" customWidth="1"/>
    <col min="3848" max="3848" width="12.5703125" customWidth="1"/>
    <col min="3849" max="3849" width="17.7109375" customWidth="1"/>
    <col min="4097" max="4097" width="4.7109375" customWidth="1"/>
    <col min="4098" max="4098" width="45" customWidth="1"/>
    <col min="4099" max="4099" width="8.42578125" customWidth="1"/>
    <col min="4100" max="4100" width="14.28515625" customWidth="1"/>
    <col min="4101" max="4101" width="9.28515625" bestFit="1" customWidth="1"/>
    <col min="4102" max="4102" width="12.140625" customWidth="1"/>
    <col min="4103" max="4103" width="14.42578125" customWidth="1"/>
    <col min="4104" max="4104" width="12.5703125" customWidth="1"/>
    <col min="4105" max="4105" width="17.7109375" customWidth="1"/>
    <col min="4353" max="4353" width="4.7109375" customWidth="1"/>
    <col min="4354" max="4354" width="45" customWidth="1"/>
    <col min="4355" max="4355" width="8.42578125" customWidth="1"/>
    <col min="4356" max="4356" width="14.28515625" customWidth="1"/>
    <col min="4357" max="4357" width="9.28515625" bestFit="1" customWidth="1"/>
    <col min="4358" max="4358" width="12.140625" customWidth="1"/>
    <col min="4359" max="4359" width="14.42578125" customWidth="1"/>
    <col min="4360" max="4360" width="12.5703125" customWidth="1"/>
    <col min="4361" max="4361" width="17.7109375" customWidth="1"/>
    <col min="4609" max="4609" width="4.7109375" customWidth="1"/>
    <col min="4610" max="4610" width="45" customWidth="1"/>
    <col min="4611" max="4611" width="8.42578125" customWidth="1"/>
    <col min="4612" max="4612" width="14.28515625" customWidth="1"/>
    <col min="4613" max="4613" width="9.28515625" bestFit="1" customWidth="1"/>
    <col min="4614" max="4614" width="12.140625" customWidth="1"/>
    <col min="4615" max="4615" width="14.42578125" customWidth="1"/>
    <col min="4616" max="4616" width="12.5703125" customWidth="1"/>
    <col min="4617" max="4617" width="17.7109375" customWidth="1"/>
    <col min="4865" max="4865" width="4.7109375" customWidth="1"/>
    <col min="4866" max="4866" width="45" customWidth="1"/>
    <col min="4867" max="4867" width="8.42578125" customWidth="1"/>
    <col min="4868" max="4868" width="14.28515625" customWidth="1"/>
    <col min="4869" max="4869" width="9.28515625" bestFit="1" customWidth="1"/>
    <col min="4870" max="4870" width="12.140625" customWidth="1"/>
    <col min="4871" max="4871" width="14.42578125" customWidth="1"/>
    <col min="4872" max="4872" width="12.5703125" customWidth="1"/>
    <col min="4873" max="4873" width="17.7109375" customWidth="1"/>
    <col min="5121" max="5121" width="4.7109375" customWidth="1"/>
    <col min="5122" max="5122" width="45" customWidth="1"/>
    <col min="5123" max="5123" width="8.42578125" customWidth="1"/>
    <col min="5124" max="5124" width="14.28515625" customWidth="1"/>
    <col min="5125" max="5125" width="9.28515625" bestFit="1" customWidth="1"/>
    <col min="5126" max="5126" width="12.140625" customWidth="1"/>
    <col min="5127" max="5127" width="14.42578125" customWidth="1"/>
    <col min="5128" max="5128" width="12.5703125" customWidth="1"/>
    <col min="5129" max="5129" width="17.7109375" customWidth="1"/>
    <col min="5377" max="5377" width="4.7109375" customWidth="1"/>
    <col min="5378" max="5378" width="45" customWidth="1"/>
    <col min="5379" max="5379" width="8.42578125" customWidth="1"/>
    <col min="5380" max="5380" width="14.28515625" customWidth="1"/>
    <col min="5381" max="5381" width="9.28515625" bestFit="1" customWidth="1"/>
    <col min="5382" max="5382" width="12.140625" customWidth="1"/>
    <col min="5383" max="5383" width="14.42578125" customWidth="1"/>
    <col min="5384" max="5384" width="12.5703125" customWidth="1"/>
    <col min="5385" max="5385" width="17.7109375" customWidth="1"/>
    <col min="5633" max="5633" width="4.7109375" customWidth="1"/>
    <col min="5634" max="5634" width="45" customWidth="1"/>
    <col min="5635" max="5635" width="8.42578125" customWidth="1"/>
    <col min="5636" max="5636" width="14.28515625" customWidth="1"/>
    <col min="5637" max="5637" width="9.28515625" bestFit="1" customWidth="1"/>
    <col min="5638" max="5638" width="12.140625" customWidth="1"/>
    <col min="5639" max="5639" width="14.42578125" customWidth="1"/>
    <col min="5640" max="5640" width="12.5703125" customWidth="1"/>
    <col min="5641" max="5641" width="17.7109375" customWidth="1"/>
    <col min="5889" max="5889" width="4.7109375" customWidth="1"/>
    <col min="5890" max="5890" width="45" customWidth="1"/>
    <col min="5891" max="5891" width="8.42578125" customWidth="1"/>
    <col min="5892" max="5892" width="14.28515625" customWidth="1"/>
    <col min="5893" max="5893" width="9.28515625" bestFit="1" customWidth="1"/>
    <col min="5894" max="5894" width="12.140625" customWidth="1"/>
    <col min="5895" max="5895" width="14.42578125" customWidth="1"/>
    <col min="5896" max="5896" width="12.5703125" customWidth="1"/>
    <col min="5897" max="5897" width="17.7109375" customWidth="1"/>
    <col min="6145" max="6145" width="4.7109375" customWidth="1"/>
    <col min="6146" max="6146" width="45" customWidth="1"/>
    <col min="6147" max="6147" width="8.42578125" customWidth="1"/>
    <col min="6148" max="6148" width="14.28515625" customWidth="1"/>
    <col min="6149" max="6149" width="9.28515625" bestFit="1" customWidth="1"/>
    <col min="6150" max="6150" width="12.140625" customWidth="1"/>
    <col min="6151" max="6151" width="14.42578125" customWidth="1"/>
    <col min="6152" max="6152" width="12.5703125" customWidth="1"/>
    <col min="6153" max="6153" width="17.7109375" customWidth="1"/>
    <col min="6401" max="6401" width="4.7109375" customWidth="1"/>
    <col min="6402" max="6402" width="45" customWidth="1"/>
    <col min="6403" max="6403" width="8.42578125" customWidth="1"/>
    <col min="6404" max="6404" width="14.28515625" customWidth="1"/>
    <col min="6405" max="6405" width="9.28515625" bestFit="1" customWidth="1"/>
    <col min="6406" max="6406" width="12.140625" customWidth="1"/>
    <col min="6407" max="6407" width="14.42578125" customWidth="1"/>
    <col min="6408" max="6408" width="12.5703125" customWidth="1"/>
    <col min="6409" max="6409" width="17.7109375" customWidth="1"/>
    <col min="6657" max="6657" width="4.7109375" customWidth="1"/>
    <col min="6658" max="6658" width="45" customWidth="1"/>
    <col min="6659" max="6659" width="8.42578125" customWidth="1"/>
    <col min="6660" max="6660" width="14.28515625" customWidth="1"/>
    <col min="6661" max="6661" width="9.28515625" bestFit="1" customWidth="1"/>
    <col min="6662" max="6662" width="12.140625" customWidth="1"/>
    <col min="6663" max="6663" width="14.42578125" customWidth="1"/>
    <col min="6664" max="6664" width="12.5703125" customWidth="1"/>
    <col min="6665" max="6665" width="17.7109375" customWidth="1"/>
    <col min="6913" max="6913" width="4.7109375" customWidth="1"/>
    <col min="6914" max="6914" width="45" customWidth="1"/>
    <col min="6915" max="6915" width="8.42578125" customWidth="1"/>
    <col min="6916" max="6916" width="14.28515625" customWidth="1"/>
    <col min="6917" max="6917" width="9.28515625" bestFit="1" customWidth="1"/>
    <col min="6918" max="6918" width="12.140625" customWidth="1"/>
    <col min="6919" max="6919" width="14.42578125" customWidth="1"/>
    <col min="6920" max="6920" width="12.5703125" customWidth="1"/>
    <col min="6921" max="6921" width="17.7109375" customWidth="1"/>
    <col min="7169" max="7169" width="4.7109375" customWidth="1"/>
    <col min="7170" max="7170" width="45" customWidth="1"/>
    <col min="7171" max="7171" width="8.42578125" customWidth="1"/>
    <col min="7172" max="7172" width="14.28515625" customWidth="1"/>
    <col min="7173" max="7173" width="9.28515625" bestFit="1" customWidth="1"/>
    <col min="7174" max="7174" width="12.140625" customWidth="1"/>
    <col min="7175" max="7175" width="14.42578125" customWidth="1"/>
    <col min="7176" max="7176" width="12.5703125" customWidth="1"/>
    <col min="7177" max="7177" width="17.7109375" customWidth="1"/>
    <col min="7425" max="7425" width="4.7109375" customWidth="1"/>
    <col min="7426" max="7426" width="45" customWidth="1"/>
    <col min="7427" max="7427" width="8.42578125" customWidth="1"/>
    <col min="7428" max="7428" width="14.28515625" customWidth="1"/>
    <col min="7429" max="7429" width="9.28515625" bestFit="1" customWidth="1"/>
    <col min="7430" max="7430" width="12.140625" customWidth="1"/>
    <col min="7431" max="7431" width="14.42578125" customWidth="1"/>
    <col min="7432" max="7432" width="12.5703125" customWidth="1"/>
    <col min="7433" max="7433" width="17.7109375" customWidth="1"/>
    <col min="7681" max="7681" width="4.7109375" customWidth="1"/>
    <col min="7682" max="7682" width="45" customWidth="1"/>
    <col min="7683" max="7683" width="8.42578125" customWidth="1"/>
    <col min="7684" max="7684" width="14.28515625" customWidth="1"/>
    <col min="7685" max="7685" width="9.28515625" bestFit="1" customWidth="1"/>
    <col min="7686" max="7686" width="12.140625" customWidth="1"/>
    <col min="7687" max="7687" width="14.42578125" customWidth="1"/>
    <col min="7688" max="7688" width="12.5703125" customWidth="1"/>
    <col min="7689" max="7689" width="17.7109375" customWidth="1"/>
    <col min="7937" max="7937" width="4.7109375" customWidth="1"/>
    <col min="7938" max="7938" width="45" customWidth="1"/>
    <col min="7939" max="7939" width="8.42578125" customWidth="1"/>
    <col min="7940" max="7940" width="14.28515625" customWidth="1"/>
    <col min="7941" max="7941" width="9.28515625" bestFit="1" customWidth="1"/>
    <col min="7942" max="7942" width="12.140625" customWidth="1"/>
    <col min="7943" max="7943" width="14.42578125" customWidth="1"/>
    <col min="7944" max="7944" width="12.5703125" customWidth="1"/>
    <col min="7945" max="7945" width="17.7109375" customWidth="1"/>
    <col min="8193" max="8193" width="4.7109375" customWidth="1"/>
    <col min="8194" max="8194" width="45" customWidth="1"/>
    <col min="8195" max="8195" width="8.42578125" customWidth="1"/>
    <col min="8196" max="8196" width="14.28515625" customWidth="1"/>
    <col min="8197" max="8197" width="9.28515625" bestFit="1" customWidth="1"/>
    <col min="8198" max="8198" width="12.140625" customWidth="1"/>
    <col min="8199" max="8199" width="14.42578125" customWidth="1"/>
    <col min="8200" max="8200" width="12.5703125" customWidth="1"/>
    <col min="8201" max="8201" width="17.7109375" customWidth="1"/>
    <col min="8449" max="8449" width="4.7109375" customWidth="1"/>
    <col min="8450" max="8450" width="45" customWidth="1"/>
    <col min="8451" max="8451" width="8.42578125" customWidth="1"/>
    <col min="8452" max="8452" width="14.28515625" customWidth="1"/>
    <col min="8453" max="8453" width="9.28515625" bestFit="1" customWidth="1"/>
    <col min="8454" max="8454" width="12.140625" customWidth="1"/>
    <col min="8455" max="8455" width="14.42578125" customWidth="1"/>
    <col min="8456" max="8456" width="12.5703125" customWidth="1"/>
    <col min="8457" max="8457" width="17.7109375" customWidth="1"/>
    <col min="8705" max="8705" width="4.7109375" customWidth="1"/>
    <col min="8706" max="8706" width="45" customWidth="1"/>
    <col min="8707" max="8707" width="8.42578125" customWidth="1"/>
    <col min="8708" max="8708" width="14.28515625" customWidth="1"/>
    <col min="8709" max="8709" width="9.28515625" bestFit="1" customWidth="1"/>
    <col min="8710" max="8710" width="12.140625" customWidth="1"/>
    <col min="8711" max="8711" width="14.42578125" customWidth="1"/>
    <col min="8712" max="8712" width="12.5703125" customWidth="1"/>
    <col min="8713" max="8713" width="17.7109375" customWidth="1"/>
    <col min="8961" max="8961" width="4.7109375" customWidth="1"/>
    <col min="8962" max="8962" width="45" customWidth="1"/>
    <col min="8963" max="8963" width="8.42578125" customWidth="1"/>
    <col min="8964" max="8964" width="14.28515625" customWidth="1"/>
    <col min="8965" max="8965" width="9.28515625" bestFit="1" customWidth="1"/>
    <col min="8966" max="8966" width="12.140625" customWidth="1"/>
    <col min="8967" max="8967" width="14.42578125" customWidth="1"/>
    <col min="8968" max="8968" width="12.5703125" customWidth="1"/>
    <col min="8969" max="8969" width="17.7109375" customWidth="1"/>
    <col min="9217" max="9217" width="4.7109375" customWidth="1"/>
    <col min="9218" max="9218" width="45" customWidth="1"/>
    <col min="9219" max="9219" width="8.42578125" customWidth="1"/>
    <col min="9220" max="9220" width="14.28515625" customWidth="1"/>
    <col min="9221" max="9221" width="9.28515625" bestFit="1" customWidth="1"/>
    <col min="9222" max="9222" width="12.140625" customWidth="1"/>
    <col min="9223" max="9223" width="14.42578125" customWidth="1"/>
    <col min="9224" max="9224" width="12.5703125" customWidth="1"/>
    <col min="9225" max="9225" width="17.7109375" customWidth="1"/>
    <col min="9473" max="9473" width="4.7109375" customWidth="1"/>
    <col min="9474" max="9474" width="45" customWidth="1"/>
    <col min="9475" max="9475" width="8.42578125" customWidth="1"/>
    <col min="9476" max="9476" width="14.28515625" customWidth="1"/>
    <col min="9477" max="9477" width="9.28515625" bestFit="1" customWidth="1"/>
    <col min="9478" max="9478" width="12.140625" customWidth="1"/>
    <col min="9479" max="9479" width="14.42578125" customWidth="1"/>
    <col min="9480" max="9480" width="12.5703125" customWidth="1"/>
    <col min="9481" max="9481" width="17.7109375" customWidth="1"/>
    <col min="9729" max="9729" width="4.7109375" customWidth="1"/>
    <col min="9730" max="9730" width="45" customWidth="1"/>
    <col min="9731" max="9731" width="8.42578125" customWidth="1"/>
    <col min="9732" max="9732" width="14.28515625" customWidth="1"/>
    <col min="9733" max="9733" width="9.28515625" bestFit="1" customWidth="1"/>
    <col min="9734" max="9734" width="12.140625" customWidth="1"/>
    <col min="9735" max="9735" width="14.42578125" customWidth="1"/>
    <col min="9736" max="9736" width="12.5703125" customWidth="1"/>
    <col min="9737" max="9737" width="17.7109375" customWidth="1"/>
    <col min="9985" max="9985" width="4.7109375" customWidth="1"/>
    <col min="9986" max="9986" width="45" customWidth="1"/>
    <col min="9987" max="9987" width="8.42578125" customWidth="1"/>
    <col min="9988" max="9988" width="14.28515625" customWidth="1"/>
    <col min="9989" max="9989" width="9.28515625" bestFit="1" customWidth="1"/>
    <col min="9990" max="9990" width="12.140625" customWidth="1"/>
    <col min="9991" max="9991" width="14.42578125" customWidth="1"/>
    <col min="9992" max="9992" width="12.5703125" customWidth="1"/>
    <col min="9993" max="9993" width="17.7109375" customWidth="1"/>
    <col min="10241" max="10241" width="4.7109375" customWidth="1"/>
    <col min="10242" max="10242" width="45" customWidth="1"/>
    <col min="10243" max="10243" width="8.42578125" customWidth="1"/>
    <col min="10244" max="10244" width="14.28515625" customWidth="1"/>
    <col min="10245" max="10245" width="9.28515625" bestFit="1" customWidth="1"/>
    <col min="10246" max="10246" width="12.140625" customWidth="1"/>
    <col min="10247" max="10247" width="14.42578125" customWidth="1"/>
    <col min="10248" max="10248" width="12.5703125" customWidth="1"/>
    <col min="10249" max="10249" width="17.7109375" customWidth="1"/>
    <col min="10497" max="10497" width="4.7109375" customWidth="1"/>
    <col min="10498" max="10498" width="45" customWidth="1"/>
    <col min="10499" max="10499" width="8.42578125" customWidth="1"/>
    <col min="10500" max="10500" width="14.28515625" customWidth="1"/>
    <col min="10501" max="10501" width="9.28515625" bestFit="1" customWidth="1"/>
    <col min="10502" max="10502" width="12.140625" customWidth="1"/>
    <col min="10503" max="10503" width="14.42578125" customWidth="1"/>
    <col min="10504" max="10504" width="12.5703125" customWidth="1"/>
    <col min="10505" max="10505" width="17.7109375" customWidth="1"/>
    <col min="10753" max="10753" width="4.7109375" customWidth="1"/>
    <col min="10754" max="10754" width="45" customWidth="1"/>
    <col min="10755" max="10755" width="8.42578125" customWidth="1"/>
    <col min="10756" max="10756" width="14.28515625" customWidth="1"/>
    <col min="10757" max="10757" width="9.28515625" bestFit="1" customWidth="1"/>
    <col min="10758" max="10758" width="12.140625" customWidth="1"/>
    <col min="10759" max="10759" width="14.42578125" customWidth="1"/>
    <col min="10760" max="10760" width="12.5703125" customWidth="1"/>
    <col min="10761" max="10761" width="17.7109375" customWidth="1"/>
    <col min="11009" max="11009" width="4.7109375" customWidth="1"/>
    <col min="11010" max="11010" width="45" customWidth="1"/>
    <col min="11011" max="11011" width="8.42578125" customWidth="1"/>
    <col min="11012" max="11012" width="14.28515625" customWidth="1"/>
    <col min="11013" max="11013" width="9.28515625" bestFit="1" customWidth="1"/>
    <col min="11014" max="11014" width="12.140625" customWidth="1"/>
    <col min="11015" max="11015" width="14.42578125" customWidth="1"/>
    <col min="11016" max="11016" width="12.5703125" customWidth="1"/>
    <col min="11017" max="11017" width="17.7109375" customWidth="1"/>
    <col min="11265" max="11265" width="4.7109375" customWidth="1"/>
    <col min="11266" max="11266" width="45" customWidth="1"/>
    <col min="11267" max="11267" width="8.42578125" customWidth="1"/>
    <col min="11268" max="11268" width="14.28515625" customWidth="1"/>
    <col min="11269" max="11269" width="9.28515625" bestFit="1" customWidth="1"/>
    <col min="11270" max="11270" width="12.140625" customWidth="1"/>
    <col min="11271" max="11271" width="14.42578125" customWidth="1"/>
    <col min="11272" max="11272" width="12.5703125" customWidth="1"/>
    <col min="11273" max="11273" width="17.7109375" customWidth="1"/>
    <col min="11521" max="11521" width="4.7109375" customWidth="1"/>
    <col min="11522" max="11522" width="45" customWidth="1"/>
    <col min="11523" max="11523" width="8.42578125" customWidth="1"/>
    <col min="11524" max="11524" width="14.28515625" customWidth="1"/>
    <col min="11525" max="11525" width="9.28515625" bestFit="1" customWidth="1"/>
    <col min="11526" max="11526" width="12.140625" customWidth="1"/>
    <col min="11527" max="11527" width="14.42578125" customWidth="1"/>
    <col min="11528" max="11528" width="12.5703125" customWidth="1"/>
    <col min="11529" max="11529" width="17.7109375" customWidth="1"/>
    <col min="11777" max="11777" width="4.7109375" customWidth="1"/>
    <col min="11778" max="11778" width="45" customWidth="1"/>
    <col min="11779" max="11779" width="8.42578125" customWidth="1"/>
    <col min="11780" max="11780" width="14.28515625" customWidth="1"/>
    <col min="11781" max="11781" width="9.28515625" bestFit="1" customWidth="1"/>
    <col min="11782" max="11782" width="12.140625" customWidth="1"/>
    <col min="11783" max="11783" width="14.42578125" customWidth="1"/>
    <col min="11784" max="11784" width="12.5703125" customWidth="1"/>
    <col min="11785" max="11785" width="17.7109375" customWidth="1"/>
    <col min="12033" max="12033" width="4.7109375" customWidth="1"/>
    <col min="12034" max="12034" width="45" customWidth="1"/>
    <col min="12035" max="12035" width="8.42578125" customWidth="1"/>
    <col min="12036" max="12036" width="14.28515625" customWidth="1"/>
    <col min="12037" max="12037" width="9.28515625" bestFit="1" customWidth="1"/>
    <col min="12038" max="12038" width="12.140625" customWidth="1"/>
    <col min="12039" max="12039" width="14.42578125" customWidth="1"/>
    <col min="12040" max="12040" width="12.5703125" customWidth="1"/>
    <col min="12041" max="12041" width="17.7109375" customWidth="1"/>
    <col min="12289" max="12289" width="4.7109375" customWidth="1"/>
    <col min="12290" max="12290" width="45" customWidth="1"/>
    <col min="12291" max="12291" width="8.42578125" customWidth="1"/>
    <col min="12292" max="12292" width="14.28515625" customWidth="1"/>
    <col min="12293" max="12293" width="9.28515625" bestFit="1" customWidth="1"/>
    <col min="12294" max="12294" width="12.140625" customWidth="1"/>
    <col min="12295" max="12295" width="14.42578125" customWidth="1"/>
    <col min="12296" max="12296" width="12.5703125" customWidth="1"/>
    <col min="12297" max="12297" width="17.7109375" customWidth="1"/>
    <col min="12545" max="12545" width="4.7109375" customWidth="1"/>
    <col min="12546" max="12546" width="45" customWidth="1"/>
    <col min="12547" max="12547" width="8.42578125" customWidth="1"/>
    <col min="12548" max="12548" width="14.28515625" customWidth="1"/>
    <col min="12549" max="12549" width="9.28515625" bestFit="1" customWidth="1"/>
    <col min="12550" max="12550" width="12.140625" customWidth="1"/>
    <col min="12551" max="12551" width="14.42578125" customWidth="1"/>
    <col min="12552" max="12552" width="12.5703125" customWidth="1"/>
    <col min="12553" max="12553" width="17.7109375" customWidth="1"/>
    <col min="12801" max="12801" width="4.7109375" customWidth="1"/>
    <col min="12802" max="12802" width="45" customWidth="1"/>
    <col min="12803" max="12803" width="8.42578125" customWidth="1"/>
    <col min="12804" max="12804" width="14.28515625" customWidth="1"/>
    <col min="12805" max="12805" width="9.28515625" bestFit="1" customWidth="1"/>
    <col min="12806" max="12806" width="12.140625" customWidth="1"/>
    <col min="12807" max="12807" width="14.42578125" customWidth="1"/>
    <col min="12808" max="12808" width="12.5703125" customWidth="1"/>
    <col min="12809" max="12809" width="17.7109375" customWidth="1"/>
    <col min="13057" max="13057" width="4.7109375" customWidth="1"/>
    <col min="13058" max="13058" width="45" customWidth="1"/>
    <col min="13059" max="13059" width="8.42578125" customWidth="1"/>
    <col min="13060" max="13060" width="14.28515625" customWidth="1"/>
    <col min="13061" max="13061" width="9.28515625" bestFit="1" customWidth="1"/>
    <col min="13062" max="13062" width="12.140625" customWidth="1"/>
    <col min="13063" max="13063" width="14.42578125" customWidth="1"/>
    <col min="13064" max="13064" width="12.5703125" customWidth="1"/>
    <col min="13065" max="13065" width="17.7109375" customWidth="1"/>
    <col min="13313" max="13313" width="4.7109375" customWidth="1"/>
    <col min="13314" max="13314" width="45" customWidth="1"/>
    <col min="13315" max="13315" width="8.42578125" customWidth="1"/>
    <col min="13316" max="13316" width="14.28515625" customWidth="1"/>
    <col min="13317" max="13317" width="9.28515625" bestFit="1" customWidth="1"/>
    <col min="13318" max="13318" width="12.140625" customWidth="1"/>
    <col min="13319" max="13319" width="14.42578125" customWidth="1"/>
    <col min="13320" max="13320" width="12.5703125" customWidth="1"/>
    <col min="13321" max="13321" width="17.7109375" customWidth="1"/>
    <col min="13569" max="13569" width="4.7109375" customWidth="1"/>
    <col min="13570" max="13570" width="45" customWidth="1"/>
    <col min="13571" max="13571" width="8.42578125" customWidth="1"/>
    <col min="13572" max="13572" width="14.28515625" customWidth="1"/>
    <col min="13573" max="13573" width="9.28515625" bestFit="1" customWidth="1"/>
    <col min="13574" max="13574" width="12.140625" customWidth="1"/>
    <col min="13575" max="13575" width="14.42578125" customWidth="1"/>
    <col min="13576" max="13576" width="12.5703125" customWidth="1"/>
    <col min="13577" max="13577" width="17.7109375" customWidth="1"/>
    <col min="13825" max="13825" width="4.7109375" customWidth="1"/>
    <col min="13826" max="13826" width="45" customWidth="1"/>
    <col min="13827" max="13827" width="8.42578125" customWidth="1"/>
    <col min="13828" max="13828" width="14.28515625" customWidth="1"/>
    <col min="13829" max="13829" width="9.28515625" bestFit="1" customWidth="1"/>
    <col min="13830" max="13830" width="12.140625" customWidth="1"/>
    <col min="13831" max="13831" width="14.42578125" customWidth="1"/>
    <col min="13832" max="13832" width="12.5703125" customWidth="1"/>
    <col min="13833" max="13833" width="17.7109375" customWidth="1"/>
    <col min="14081" max="14081" width="4.7109375" customWidth="1"/>
    <col min="14082" max="14082" width="45" customWidth="1"/>
    <col min="14083" max="14083" width="8.42578125" customWidth="1"/>
    <col min="14084" max="14084" width="14.28515625" customWidth="1"/>
    <col min="14085" max="14085" width="9.28515625" bestFit="1" customWidth="1"/>
    <col min="14086" max="14086" width="12.140625" customWidth="1"/>
    <col min="14087" max="14087" width="14.42578125" customWidth="1"/>
    <col min="14088" max="14088" width="12.5703125" customWidth="1"/>
    <col min="14089" max="14089" width="17.7109375" customWidth="1"/>
    <col min="14337" max="14337" width="4.7109375" customWidth="1"/>
    <col min="14338" max="14338" width="45" customWidth="1"/>
    <col min="14339" max="14339" width="8.42578125" customWidth="1"/>
    <col min="14340" max="14340" width="14.28515625" customWidth="1"/>
    <col min="14341" max="14341" width="9.28515625" bestFit="1" customWidth="1"/>
    <col min="14342" max="14342" width="12.140625" customWidth="1"/>
    <col min="14343" max="14343" width="14.42578125" customWidth="1"/>
    <col min="14344" max="14344" width="12.5703125" customWidth="1"/>
    <col min="14345" max="14345" width="17.7109375" customWidth="1"/>
    <col min="14593" max="14593" width="4.7109375" customWidth="1"/>
    <col min="14594" max="14594" width="45" customWidth="1"/>
    <col min="14595" max="14595" width="8.42578125" customWidth="1"/>
    <col min="14596" max="14596" width="14.28515625" customWidth="1"/>
    <col min="14597" max="14597" width="9.28515625" bestFit="1" customWidth="1"/>
    <col min="14598" max="14598" width="12.140625" customWidth="1"/>
    <col min="14599" max="14599" width="14.42578125" customWidth="1"/>
    <col min="14600" max="14600" width="12.5703125" customWidth="1"/>
    <col min="14601" max="14601" width="17.7109375" customWidth="1"/>
    <col min="14849" max="14849" width="4.7109375" customWidth="1"/>
    <col min="14850" max="14850" width="45" customWidth="1"/>
    <col min="14851" max="14851" width="8.42578125" customWidth="1"/>
    <col min="14852" max="14852" width="14.28515625" customWidth="1"/>
    <col min="14853" max="14853" width="9.28515625" bestFit="1" customWidth="1"/>
    <col min="14854" max="14854" width="12.140625" customWidth="1"/>
    <col min="14855" max="14855" width="14.42578125" customWidth="1"/>
    <col min="14856" max="14856" width="12.5703125" customWidth="1"/>
    <col min="14857" max="14857" width="17.7109375" customWidth="1"/>
    <col min="15105" max="15105" width="4.7109375" customWidth="1"/>
    <col min="15106" max="15106" width="45" customWidth="1"/>
    <col min="15107" max="15107" width="8.42578125" customWidth="1"/>
    <col min="15108" max="15108" width="14.28515625" customWidth="1"/>
    <col min="15109" max="15109" width="9.28515625" bestFit="1" customWidth="1"/>
    <col min="15110" max="15110" width="12.140625" customWidth="1"/>
    <col min="15111" max="15111" width="14.42578125" customWidth="1"/>
    <col min="15112" max="15112" width="12.5703125" customWidth="1"/>
    <col min="15113" max="15113" width="17.7109375" customWidth="1"/>
    <col min="15361" max="15361" width="4.7109375" customWidth="1"/>
    <col min="15362" max="15362" width="45" customWidth="1"/>
    <col min="15363" max="15363" width="8.42578125" customWidth="1"/>
    <col min="15364" max="15364" width="14.28515625" customWidth="1"/>
    <col min="15365" max="15365" width="9.28515625" bestFit="1" customWidth="1"/>
    <col min="15366" max="15366" width="12.140625" customWidth="1"/>
    <col min="15367" max="15367" width="14.42578125" customWidth="1"/>
    <col min="15368" max="15368" width="12.5703125" customWidth="1"/>
    <col min="15369" max="15369" width="17.7109375" customWidth="1"/>
    <col min="15617" max="15617" width="4.7109375" customWidth="1"/>
    <col min="15618" max="15618" width="45" customWidth="1"/>
    <col min="15619" max="15619" width="8.42578125" customWidth="1"/>
    <col min="15620" max="15620" width="14.28515625" customWidth="1"/>
    <col min="15621" max="15621" width="9.28515625" bestFit="1" customWidth="1"/>
    <col min="15622" max="15622" width="12.140625" customWidth="1"/>
    <col min="15623" max="15623" width="14.42578125" customWidth="1"/>
    <col min="15624" max="15624" width="12.5703125" customWidth="1"/>
    <col min="15625" max="15625" width="17.7109375" customWidth="1"/>
    <col min="15873" max="15873" width="4.7109375" customWidth="1"/>
    <col min="15874" max="15874" width="45" customWidth="1"/>
    <col min="15875" max="15875" width="8.42578125" customWidth="1"/>
    <col min="15876" max="15876" width="14.28515625" customWidth="1"/>
    <col min="15877" max="15877" width="9.28515625" bestFit="1" customWidth="1"/>
    <col min="15878" max="15878" width="12.140625" customWidth="1"/>
    <col min="15879" max="15879" width="14.42578125" customWidth="1"/>
    <col min="15880" max="15880" width="12.5703125" customWidth="1"/>
    <col min="15881" max="15881" width="17.7109375" customWidth="1"/>
    <col min="16129" max="16129" width="4.7109375" customWidth="1"/>
    <col min="16130" max="16130" width="45" customWidth="1"/>
    <col min="16131" max="16131" width="8.42578125" customWidth="1"/>
    <col min="16132" max="16132" width="14.28515625" customWidth="1"/>
    <col min="16133" max="16133" width="9.28515625" bestFit="1" customWidth="1"/>
    <col min="16134" max="16134" width="12.140625" customWidth="1"/>
    <col min="16135" max="16135" width="14.42578125" customWidth="1"/>
    <col min="16136" max="16136" width="12.5703125" customWidth="1"/>
    <col min="16137" max="16137" width="17.7109375" customWidth="1"/>
  </cols>
  <sheetData>
    <row r="1" spans="1:14" x14ac:dyDescent="0.2">
      <c r="A1" s="103" t="s">
        <v>265</v>
      </c>
    </row>
    <row r="2" spans="1:14" x14ac:dyDescent="0.2">
      <c r="A2" s="103" t="str">
        <f>'[2]Planilha Global'!A2</f>
        <v>PREFEITURA MUNICIPAL DE MAMANGUAPE</v>
      </c>
      <c r="G2" t="s">
        <v>421</v>
      </c>
      <c r="H2">
        <v>131.22</v>
      </c>
    </row>
    <row r="3" spans="1:14" ht="5.0999999999999996" customHeight="1" x14ac:dyDescent="0.2"/>
    <row r="4" spans="1:14" s="202" customFormat="1" ht="12.75" customHeight="1" x14ac:dyDescent="0.25">
      <c r="A4" s="729" t="s">
        <v>422</v>
      </c>
      <c r="B4" s="737"/>
      <c r="C4" s="737"/>
      <c r="D4" s="737"/>
      <c r="E4" s="737"/>
      <c r="F4" s="737"/>
      <c r="H4" s="202" t="s">
        <v>423</v>
      </c>
      <c r="I4" s="202" t="s">
        <v>424</v>
      </c>
      <c r="J4" s="202" t="s">
        <v>425</v>
      </c>
      <c r="K4" s="202" t="s">
        <v>426</v>
      </c>
      <c r="L4" s="202" t="s">
        <v>427</v>
      </c>
      <c r="M4" s="202" t="s">
        <v>428</v>
      </c>
      <c r="N4" s="202" t="s">
        <v>429</v>
      </c>
    </row>
    <row r="5" spans="1:14" s="202" customFormat="1" ht="7.5" customHeight="1" x14ac:dyDescent="0.25">
      <c r="A5" s="434"/>
      <c r="B5" s="435"/>
      <c r="C5" s="435"/>
      <c r="D5" s="435"/>
      <c r="E5" s="435"/>
      <c r="F5" s="435"/>
    </row>
    <row r="6" spans="1:14" s="202" customFormat="1" ht="15" customHeight="1" x14ac:dyDescent="0.25">
      <c r="A6" s="258" t="s">
        <v>698</v>
      </c>
      <c r="B6" s="258"/>
      <c r="C6" s="258"/>
      <c r="D6" s="258"/>
      <c r="E6" s="258"/>
      <c r="F6" s="103"/>
      <c r="G6" s="53"/>
      <c r="H6" s="663">
        <f>(7.58+5.82)/2</f>
        <v>6.7</v>
      </c>
      <c r="I6" s="202">
        <v>29.96</v>
      </c>
      <c r="J6" s="230">
        <f t="shared" ref="J6:J11" si="0">H6*I6</f>
        <v>200.73</v>
      </c>
    </row>
    <row r="7" spans="1:14" s="202" customFormat="1" ht="21" customHeight="1" x14ac:dyDescent="0.25">
      <c r="A7" s="258" t="s">
        <v>525</v>
      </c>
      <c r="B7" s="436"/>
      <c r="C7" s="437"/>
      <c r="D7" s="437"/>
      <c r="E7" s="257"/>
      <c r="F7" s="257"/>
      <c r="G7" s="53"/>
      <c r="H7" s="663">
        <f>(5.82+5.71)/2</f>
        <v>5.7649999999999997</v>
      </c>
      <c r="I7" s="202">
        <v>38.25</v>
      </c>
      <c r="J7" s="230">
        <f t="shared" si="0"/>
        <v>220.51</v>
      </c>
    </row>
    <row r="8" spans="1:14" s="202" customFormat="1" ht="15" customHeight="1" x14ac:dyDescent="0.25">
      <c r="A8" s="103" t="s">
        <v>711</v>
      </c>
      <c r="B8" s="436"/>
      <c r="C8" s="736" t="s">
        <v>715</v>
      </c>
      <c r="D8" s="736"/>
      <c r="E8" s="736"/>
      <c r="F8" s="736"/>
      <c r="G8" s="53"/>
      <c r="H8" s="663">
        <f>(5.71+5.55)/2</f>
        <v>5.63</v>
      </c>
      <c r="I8" s="202">
        <v>34.21</v>
      </c>
      <c r="J8" s="230">
        <f t="shared" si="0"/>
        <v>192.6</v>
      </c>
      <c r="K8" s="202">
        <f>29.96+29.98+10.37+12.67+9.31+7.97+8.09+21.49+9.42+9.43+12.76+34.81+6.71+5.34+2.35+7.78+25.41+18.63</f>
        <v>262.48</v>
      </c>
      <c r="L8" s="202">
        <f>5.68+4.08+6.31+26.94+12.7+10.5+13.15+2.22+7.65+20.38+25.33+25.4+36.7+29.26+18.73+19.08+9.01+14.58+11.42+7.25+4.36+26.66+12.33+10.58+14.04+3.07+7.89+20.45+25.67+25.67+37.03+29.56+19.1+18.96+8.89+14.81+11.96</f>
        <v>597.4</v>
      </c>
      <c r="M8" s="202">
        <v>4</v>
      </c>
      <c r="N8" s="202">
        <v>1.2</v>
      </c>
    </row>
    <row r="9" spans="1:14" s="202" customFormat="1" ht="15" customHeight="1" x14ac:dyDescent="0.2">
      <c r="A9" s="103" t="s">
        <v>712</v>
      </c>
      <c r="B9" s="438"/>
      <c r="C9" s="736" t="s">
        <v>716</v>
      </c>
      <c r="D9" s="736"/>
      <c r="E9" s="736"/>
      <c r="F9" s="736"/>
      <c r="G9" s="53"/>
      <c r="H9" s="663">
        <f>(5.55+5.9)/2</f>
        <v>5.7249999999999996</v>
      </c>
      <c r="I9" s="230">
        <v>2.3199999999999998</v>
      </c>
      <c r="J9" s="230">
        <f t="shared" si="0"/>
        <v>13.28</v>
      </c>
      <c r="K9" s="230"/>
      <c r="L9" s="202">
        <f>2.43+3.39+2.31+2.97+2.01+3.07</f>
        <v>16.18</v>
      </c>
    </row>
    <row r="10" spans="1:14" s="202" customFormat="1" ht="14.25" customHeight="1" x14ac:dyDescent="0.2">
      <c r="A10" s="103" t="s">
        <v>713</v>
      </c>
      <c r="B10" s="438"/>
      <c r="C10" s="736" t="s">
        <v>717</v>
      </c>
      <c r="D10" s="736"/>
      <c r="E10" s="736"/>
      <c r="F10" s="736"/>
      <c r="H10" s="663">
        <v>5.9</v>
      </c>
      <c r="I10" s="230">
        <v>7.79</v>
      </c>
      <c r="J10" s="230">
        <f t="shared" si="0"/>
        <v>45.96</v>
      </c>
      <c r="K10" s="230"/>
    </row>
    <row r="11" spans="1:14" s="202" customFormat="1" ht="14.25" customHeight="1" x14ac:dyDescent="0.2">
      <c r="A11" s="103" t="s">
        <v>714</v>
      </c>
      <c r="B11" s="438"/>
      <c r="C11" s="103" t="s">
        <v>718</v>
      </c>
      <c r="D11" s="437"/>
      <c r="E11" s="437"/>
      <c r="F11" s="437"/>
      <c r="H11" s="663">
        <f>(5.9+6.9)/2</f>
        <v>6.4</v>
      </c>
      <c r="I11" s="230">
        <v>18.690000000000001</v>
      </c>
      <c r="J11" s="230">
        <f t="shared" si="0"/>
        <v>119.62</v>
      </c>
    </row>
    <row r="12" spans="1:14" s="202" customFormat="1" ht="14.25" customHeight="1" x14ac:dyDescent="0.2">
      <c r="A12" s="103"/>
      <c r="B12" s="438"/>
      <c r="C12" s="103"/>
      <c r="D12" s="437"/>
      <c r="E12" s="103"/>
      <c r="F12" s="103"/>
      <c r="I12" s="230"/>
      <c r="J12" s="230">
        <f>SUM(J6:J11)</f>
        <v>792.7</v>
      </c>
    </row>
    <row r="13" spans="1:14" s="202" customFormat="1" ht="15" customHeight="1" x14ac:dyDescent="0.25">
      <c r="A13" s="515" t="s">
        <v>719</v>
      </c>
      <c r="B13" s="436"/>
      <c r="C13" s="736" t="s">
        <v>723</v>
      </c>
      <c r="D13" s="736"/>
      <c r="E13" s="736"/>
      <c r="F13" s="736"/>
      <c r="G13" s="53"/>
      <c r="I13" s="230"/>
      <c r="J13" s="230"/>
    </row>
    <row r="14" spans="1:14" s="202" customFormat="1" ht="15" customHeight="1" x14ac:dyDescent="0.2">
      <c r="A14" s="515" t="s">
        <v>720</v>
      </c>
      <c r="B14" s="438"/>
      <c r="C14" s="736" t="s">
        <v>725</v>
      </c>
      <c r="D14" s="736"/>
      <c r="E14" s="736"/>
      <c r="F14" s="736"/>
      <c r="G14" s="53"/>
      <c r="H14" s="230"/>
      <c r="I14" s="230"/>
      <c r="J14" s="230"/>
      <c r="K14" s="230"/>
    </row>
    <row r="15" spans="1:14" s="202" customFormat="1" ht="14.25" customHeight="1" x14ac:dyDescent="0.2">
      <c r="A15" s="515" t="s">
        <v>721</v>
      </c>
      <c r="B15" s="438"/>
      <c r="C15" s="736" t="s">
        <v>724</v>
      </c>
      <c r="D15" s="736"/>
      <c r="E15" s="736"/>
      <c r="F15" s="736"/>
      <c r="H15" s="230"/>
      <c r="I15" s="230"/>
      <c r="J15" s="230"/>
      <c r="K15" s="230"/>
    </row>
    <row r="16" spans="1:14" s="202" customFormat="1" ht="14.25" customHeight="1" x14ac:dyDescent="0.2">
      <c r="A16" s="103" t="s">
        <v>722</v>
      </c>
      <c r="B16" s="438"/>
      <c r="C16" s="103" t="s">
        <v>764</v>
      </c>
      <c r="D16" s="437"/>
      <c r="E16" s="437"/>
      <c r="F16" s="437"/>
      <c r="H16" s="230"/>
      <c r="I16" s="230"/>
      <c r="J16" s="230"/>
    </row>
    <row r="17" spans="1:19" s="202" customFormat="1" ht="14.25" customHeight="1" x14ac:dyDescent="0.2">
      <c r="A17" s="515"/>
      <c r="B17" s="438"/>
      <c r="C17" s="515"/>
      <c r="D17" s="437"/>
      <c r="E17" s="103"/>
      <c r="F17" s="103"/>
      <c r="I17" s="230"/>
      <c r="J17" s="230"/>
    </row>
    <row r="18" spans="1:19" s="202" customFormat="1" ht="15" customHeight="1" x14ac:dyDescent="0.25">
      <c r="A18" s="515" t="s">
        <v>727</v>
      </c>
      <c r="B18" s="436"/>
      <c r="C18" s="736" t="s">
        <v>730</v>
      </c>
      <c r="D18" s="736"/>
      <c r="E18" s="736"/>
      <c r="F18" s="736"/>
      <c r="G18" s="53"/>
      <c r="I18" s="230"/>
      <c r="J18" s="230"/>
    </row>
    <row r="19" spans="1:19" s="202" customFormat="1" ht="15" customHeight="1" x14ac:dyDescent="0.2">
      <c r="A19" s="515" t="s">
        <v>726</v>
      </c>
      <c r="B19" s="438"/>
      <c r="C19" s="736" t="s">
        <v>732</v>
      </c>
      <c r="D19" s="736"/>
      <c r="E19" s="736"/>
      <c r="F19" s="736"/>
      <c r="G19" s="53"/>
      <c r="H19" s="230"/>
      <c r="I19" s="230"/>
      <c r="J19" s="230"/>
      <c r="K19" s="230"/>
    </row>
    <row r="20" spans="1:19" s="202" customFormat="1" ht="14.25" customHeight="1" x14ac:dyDescent="0.2">
      <c r="A20" s="515" t="s">
        <v>728</v>
      </c>
      <c r="B20" s="438"/>
      <c r="C20" s="736" t="s">
        <v>731</v>
      </c>
      <c r="D20" s="736"/>
      <c r="E20" s="736"/>
      <c r="F20" s="736"/>
      <c r="H20" s="230"/>
      <c r="I20" s="230"/>
      <c r="J20" s="230"/>
      <c r="K20" s="230"/>
    </row>
    <row r="21" spans="1:19" s="202" customFormat="1" ht="14.25" customHeight="1" x14ac:dyDescent="0.2">
      <c r="A21" s="103" t="s">
        <v>729</v>
      </c>
      <c r="B21" s="438"/>
      <c r="C21" s="103" t="s">
        <v>733</v>
      </c>
      <c r="D21" s="437"/>
      <c r="E21" s="437"/>
      <c r="F21" s="437"/>
      <c r="H21" s="230"/>
      <c r="I21" s="230"/>
      <c r="J21" s="230"/>
    </row>
    <row r="22" spans="1:19" s="202" customFormat="1" ht="14.25" customHeight="1" x14ac:dyDescent="0.2">
      <c r="A22" s="515"/>
      <c r="B22" s="438"/>
      <c r="C22" s="515"/>
      <c r="D22" s="437"/>
      <c r="E22" s="103"/>
      <c r="F22" s="103"/>
      <c r="I22" s="230"/>
      <c r="J22" s="230"/>
    </row>
    <row r="23" spans="1:19" s="103" customFormat="1" ht="12.75" customHeight="1" x14ac:dyDescent="0.2">
      <c r="A23" s="722" t="s">
        <v>832</v>
      </c>
      <c r="B23" s="722"/>
      <c r="C23" s="440"/>
      <c r="D23" s="440"/>
      <c r="E23" s="441"/>
      <c r="F23" s="452"/>
    </row>
    <row r="24" spans="1:19" s="202" customFormat="1" ht="25.5" customHeight="1" x14ac:dyDescent="0.2">
      <c r="A24" s="664" t="s">
        <v>5</v>
      </c>
      <c r="B24" s="721" t="s">
        <v>699</v>
      </c>
      <c r="C24" s="721"/>
      <c r="D24" s="721"/>
      <c r="E24" s="442">
        <f>4*2</f>
        <v>8</v>
      </c>
      <c r="F24" s="444" t="s">
        <v>13</v>
      </c>
    </row>
    <row r="25" spans="1:19" s="202" customFormat="1" ht="5.0999999999999996" customHeight="1" x14ac:dyDescent="0.25">
      <c r="B25" s="453"/>
      <c r="C25" s="453"/>
      <c r="D25" s="453"/>
      <c r="E25" s="454"/>
      <c r="F25" s="455"/>
    </row>
    <row r="26" spans="1:19" s="103" customFormat="1" ht="26.25" customHeight="1" x14ac:dyDescent="0.2">
      <c r="A26" s="664" t="s">
        <v>86</v>
      </c>
      <c r="B26" s="724" t="s">
        <v>734</v>
      </c>
      <c r="C26" s="724"/>
      <c r="D26" s="724"/>
      <c r="E26" s="452">
        <f>H2</f>
        <v>131.22</v>
      </c>
      <c r="F26" s="438" t="s">
        <v>11</v>
      </c>
    </row>
    <row r="27" spans="1:19" s="202" customFormat="1" ht="5.0999999999999996" customHeight="1" x14ac:dyDescent="0.2">
      <c r="B27" s="445"/>
      <c r="C27" s="446"/>
      <c r="D27" s="447"/>
      <c r="E27" s="256"/>
      <c r="F27" s="256"/>
      <c r="G27" s="103"/>
      <c r="H27" s="103"/>
      <c r="I27" s="103"/>
      <c r="J27" s="103"/>
      <c r="K27" s="103"/>
      <c r="L27" s="103"/>
      <c r="M27" s="103"/>
      <c r="N27" s="103"/>
      <c r="O27" s="103"/>
      <c r="P27" s="103"/>
      <c r="Q27" s="103"/>
      <c r="R27" s="103"/>
      <c r="S27" s="103"/>
    </row>
    <row r="28" spans="1:19" s="103" customFormat="1" ht="12.75" customHeight="1" x14ac:dyDescent="0.2">
      <c r="A28" s="722" t="s">
        <v>833</v>
      </c>
      <c r="B28" s="722"/>
      <c r="C28" s="450"/>
      <c r="D28" s="440"/>
      <c r="E28" s="308"/>
      <c r="F28" s="451"/>
      <c r="J28" s="230">
        <f>SUM(J8:J17)</f>
        <v>1164.1600000000001</v>
      </c>
    </row>
    <row r="29" spans="1:19" s="103" customFormat="1" ht="26.25" customHeight="1" x14ac:dyDescent="0.2">
      <c r="A29" s="664" t="s">
        <v>7</v>
      </c>
      <c r="B29" s="724" t="s">
        <v>765</v>
      </c>
      <c r="C29" s="724"/>
      <c r="D29" s="724"/>
      <c r="E29" s="452">
        <f>J12</f>
        <v>792.7</v>
      </c>
      <c r="F29" s="438" t="s">
        <v>13</v>
      </c>
    </row>
    <row r="30" spans="1:19" s="202" customFormat="1" ht="5.0999999999999996" customHeight="1" x14ac:dyDescent="0.25">
      <c r="B30" s="453"/>
      <c r="C30" s="453"/>
      <c r="D30" s="453"/>
      <c r="E30" s="454"/>
      <c r="F30" s="455"/>
    </row>
    <row r="31" spans="1:19" s="103" customFormat="1" ht="12.75" customHeight="1" x14ac:dyDescent="0.2">
      <c r="A31" s="722" t="s">
        <v>834</v>
      </c>
      <c r="B31" s="722"/>
      <c r="C31" s="450"/>
      <c r="D31" s="440"/>
      <c r="E31" s="308"/>
      <c r="F31" s="451"/>
      <c r="J31" s="230">
        <f>SUM(J11:J17)</f>
        <v>912.32</v>
      </c>
    </row>
    <row r="32" spans="1:19" s="103" customFormat="1" ht="79.5" customHeight="1" x14ac:dyDescent="0.2">
      <c r="A32" s="664" t="s">
        <v>9</v>
      </c>
      <c r="B32" s="721" t="s">
        <v>735</v>
      </c>
      <c r="C32" s="721"/>
      <c r="D32" s="721"/>
      <c r="E32" s="452">
        <f>K8</f>
        <v>262.48</v>
      </c>
      <c r="F32" s="438" t="s">
        <v>11</v>
      </c>
    </row>
    <row r="33" spans="1:19" s="202" customFormat="1" ht="5.0999999999999996" customHeight="1" x14ac:dyDescent="0.2">
      <c r="B33" s="445"/>
      <c r="C33" s="446"/>
      <c r="D33" s="447"/>
      <c r="E33" s="256"/>
      <c r="F33" s="256"/>
      <c r="G33" s="103"/>
      <c r="H33" s="103"/>
      <c r="I33" s="103"/>
      <c r="J33" s="103"/>
      <c r="K33" s="103"/>
      <c r="L33" s="103"/>
      <c r="M33" s="103"/>
      <c r="N33" s="103"/>
      <c r="O33" s="103"/>
      <c r="P33" s="103"/>
      <c r="Q33" s="103"/>
      <c r="R33" s="103"/>
      <c r="S33" s="103"/>
    </row>
    <row r="34" spans="1:19" s="103" customFormat="1" ht="40.5" customHeight="1" x14ac:dyDescent="0.2">
      <c r="A34" s="664" t="s">
        <v>12</v>
      </c>
      <c r="B34" s="721" t="s">
        <v>766</v>
      </c>
      <c r="C34" s="721"/>
      <c r="D34" s="721"/>
      <c r="E34" s="452">
        <f>E29</f>
        <v>792.7</v>
      </c>
      <c r="F34" s="438" t="s">
        <v>13</v>
      </c>
    </row>
    <row r="35" spans="1:19" s="202" customFormat="1" ht="5.0999999999999996" customHeight="1" x14ac:dyDescent="0.2">
      <c r="B35" s="445"/>
      <c r="C35" s="446"/>
      <c r="D35" s="447"/>
      <c r="E35" s="256"/>
      <c r="F35" s="256"/>
      <c r="G35" s="103"/>
      <c r="H35" s="103"/>
      <c r="I35" s="103"/>
      <c r="J35" s="103"/>
      <c r="K35" s="103"/>
      <c r="L35" s="103"/>
      <c r="M35" s="103"/>
      <c r="N35" s="103"/>
      <c r="O35" s="103"/>
      <c r="P35" s="103"/>
      <c r="Q35" s="103"/>
      <c r="R35" s="103"/>
      <c r="S35" s="103"/>
    </row>
    <row r="36" spans="1:19" s="103" customFormat="1" ht="39.75" customHeight="1" x14ac:dyDescent="0.2">
      <c r="A36" s="664" t="s">
        <v>108</v>
      </c>
      <c r="B36" s="721" t="s">
        <v>736</v>
      </c>
      <c r="C36" s="721"/>
      <c r="D36" s="721"/>
      <c r="E36" s="452">
        <f>7.58+6.9</f>
        <v>14.48</v>
      </c>
      <c r="F36" s="438" t="s">
        <v>11</v>
      </c>
    </row>
    <row r="37" spans="1:19" s="103" customFormat="1" ht="5.0999999999999996" customHeight="1" x14ac:dyDescent="0.2">
      <c r="B37" s="456"/>
      <c r="C37" s="456"/>
      <c r="D37" s="456"/>
      <c r="E37" s="457"/>
      <c r="F37" s="458"/>
    </row>
    <row r="38" spans="1:19" s="103" customFormat="1" ht="12.75" customHeight="1" x14ac:dyDescent="0.2">
      <c r="A38" s="723" t="s">
        <v>835</v>
      </c>
      <c r="B38" s="723"/>
      <c r="C38" s="440"/>
      <c r="D38" s="440"/>
      <c r="E38" s="441"/>
      <c r="F38" s="442"/>
    </row>
    <row r="39" spans="1:19" s="103" customFormat="1" ht="63.75" customHeight="1" x14ac:dyDescent="0.2">
      <c r="A39" s="664" t="s">
        <v>15</v>
      </c>
      <c r="B39" s="721" t="s">
        <v>780</v>
      </c>
      <c r="C39" s="721"/>
      <c r="D39" s="721"/>
      <c r="E39" s="637">
        <f>H39</f>
        <v>30.79</v>
      </c>
      <c r="F39" s="442" t="s">
        <v>13</v>
      </c>
      <c r="G39" s="103">
        <f>1.2+1.2+29.94+30.04+2.78+9.31+9.44+34.8+6.71+5.24+2.34+18.56+1.2+1.2</f>
        <v>153.96</v>
      </c>
      <c r="H39" s="461">
        <f>G39*0.2</f>
        <v>30.79</v>
      </c>
    </row>
    <row r="40" spans="1:19" s="202" customFormat="1" ht="5.0999999999999996" customHeight="1" x14ac:dyDescent="0.2">
      <c r="B40" s="445"/>
      <c r="C40" s="446"/>
      <c r="D40" s="447"/>
      <c r="E40" s="256"/>
      <c r="F40" s="256"/>
      <c r="G40" s="103"/>
      <c r="H40" s="103"/>
      <c r="I40" s="103"/>
      <c r="J40" s="103"/>
      <c r="K40" s="103"/>
      <c r="L40" s="103"/>
      <c r="M40" s="103"/>
      <c r="N40" s="103"/>
      <c r="O40" s="103"/>
      <c r="P40" s="103"/>
      <c r="Q40" s="103"/>
      <c r="R40" s="103"/>
      <c r="S40" s="103"/>
    </row>
    <row r="41" spans="1:19" s="103" customFormat="1" ht="165.75" customHeight="1" x14ac:dyDescent="0.2">
      <c r="A41" s="664" t="s">
        <v>129</v>
      </c>
      <c r="B41" s="725" t="s">
        <v>737</v>
      </c>
      <c r="C41" s="724"/>
      <c r="D41" s="724"/>
      <c r="E41" s="638">
        <f>M41</f>
        <v>15.81</v>
      </c>
      <c r="F41" s="438" t="s">
        <v>128</v>
      </c>
      <c r="G41" s="460">
        <f>(29.96+29.98+10.37+12.67+9.31+7.97+8.09+21.49+9.42+9.43+12.76+34.81+6.71+5.34+2.35+7.78+25.41+18.63)*1.2</f>
        <v>314.98</v>
      </c>
      <c r="H41" s="460">
        <f>G41-E52</f>
        <v>278.98</v>
      </c>
      <c r="I41" s="460"/>
      <c r="J41" s="460">
        <f>H41*0.06</f>
        <v>16.739999999999998</v>
      </c>
      <c r="K41" s="460">
        <f>9.22+9.52+12.96+13.24+10.37+12.65+7.97+9.32+12.78+21.47+1.19+3.63+4+0.84+4.68+12.76+34.81+12+2.34+7.82+6.11+0.39+3.27+3.34+7.77+7.99</f>
        <v>232.44</v>
      </c>
      <c r="L41" s="460">
        <f>K41*0.2*0.02</f>
        <v>0.93</v>
      </c>
      <c r="M41" s="460">
        <f>J41-L41</f>
        <v>15.81</v>
      </c>
    </row>
    <row r="42" spans="1:19" s="202" customFormat="1" ht="5.0999999999999996" customHeight="1" x14ac:dyDescent="0.2">
      <c r="B42" s="445"/>
      <c r="C42" s="446"/>
      <c r="D42" s="447"/>
      <c r="E42" s="256"/>
      <c r="F42" s="256"/>
      <c r="G42" s="448"/>
      <c r="H42" s="448"/>
    </row>
    <row r="43" spans="1:19" s="103" customFormat="1" ht="79.5" customHeight="1" x14ac:dyDescent="0.2">
      <c r="A43" s="664" t="s">
        <v>131</v>
      </c>
      <c r="B43" s="721" t="s">
        <v>738</v>
      </c>
      <c r="C43" s="721"/>
      <c r="D43" s="721"/>
      <c r="E43" s="639">
        <f>G43</f>
        <v>46.49</v>
      </c>
      <c r="F43" s="640" t="s">
        <v>13</v>
      </c>
      <c r="G43" s="648">
        <f>K41*0.2</f>
        <v>46.49</v>
      </c>
      <c r="H43" s="438"/>
      <c r="J43" s="460"/>
      <c r="K43" s="460"/>
      <c r="L43" s="461"/>
      <c r="M43" s="461"/>
      <c r="N43" s="460"/>
      <c r="O43" s="460"/>
      <c r="Q43" s="460"/>
    </row>
    <row r="44" spans="1:19" s="103" customFormat="1" ht="5.0999999999999996" customHeight="1" x14ac:dyDescent="0.2">
      <c r="B44" s="456"/>
      <c r="C44" s="456"/>
      <c r="D44" s="456"/>
      <c r="E44" s="457"/>
      <c r="F44" s="458"/>
    </row>
    <row r="45" spans="1:19" s="103" customFormat="1" ht="12.75" customHeight="1" x14ac:dyDescent="0.2">
      <c r="A45" s="723" t="s">
        <v>836</v>
      </c>
      <c r="B45" s="723"/>
      <c r="C45" s="440"/>
      <c r="D45" s="440"/>
      <c r="E45" s="441"/>
      <c r="F45" s="442"/>
    </row>
    <row r="46" spans="1:19" s="103" customFormat="1" ht="78" customHeight="1" x14ac:dyDescent="0.2">
      <c r="A46" s="664" t="s">
        <v>158</v>
      </c>
      <c r="B46" s="721" t="s">
        <v>700</v>
      </c>
      <c r="C46" s="721"/>
      <c r="D46" s="721"/>
      <c r="E46" s="637">
        <f>K46</f>
        <v>2.1</v>
      </c>
      <c r="F46" s="641" t="s">
        <v>128</v>
      </c>
      <c r="G46" s="460">
        <f>7.5*N8*M8*0.06</f>
        <v>2.16</v>
      </c>
      <c r="H46" s="461">
        <f>(1.2*2+1.5)*M8</f>
        <v>15.6</v>
      </c>
      <c r="I46" s="461"/>
      <c r="J46" s="461">
        <f>H46*0.2*0.02</f>
        <v>0.06</v>
      </c>
      <c r="K46" s="460">
        <f>G46-J46</f>
        <v>2.1</v>
      </c>
      <c r="N46" s="103">
        <f>(7.5*1.2)*7+5.75+6.31+5.25+6.11+5.71+5.24+5.25+7.18+7.07+5.2+5.25+5.15</f>
        <v>132.47</v>
      </c>
      <c r="O46" s="461">
        <f>N46*0.06</f>
        <v>7.95</v>
      </c>
      <c r="P46" s="461">
        <f>(1.2*3*7+1.05+2.42+1.05+4.76+1.42/2+2+1.05+3+1.05+2.66+1.05+2.01+1.05+3+1.05+1.05+1.05+1.05+1.05+1.05+1.05+2+1.05+2+1.05+2+0.99)</f>
        <v>68.5</v>
      </c>
      <c r="Q46" s="461">
        <f>P46*0.2*0.02</f>
        <v>0.27</v>
      </c>
      <c r="R46" s="103">
        <f>P46*0.2</f>
        <v>13.7</v>
      </c>
    </row>
    <row r="47" spans="1:19" s="202" customFormat="1" ht="5.0999999999999996" customHeight="1" x14ac:dyDescent="0.25">
      <c r="B47" s="445"/>
      <c r="C47" s="446"/>
      <c r="D47" s="447"/>
      <c r="E47" s="207"/>
      <c r="F47" s="642"/>
      <c r="G47" s="448"/>
      <c r="H47" s="448"/>
    </row>
    <row r="48" spans="1:19" s="103" customFormat="1" ht="78" customHeight="1" x14ac:dyDescent="0.2">
      <c r="A48" s="664" t="s">
        <v>170</v>
      </c>
      <c r="B48" s="721" t="s">
        <v>701</v>
      </c>
      <c r="C48" s="721"/>
      <c r="D48" s="721"/>
      <c r="E48" s="637">
        <f>E46</f>
        <v>2.1</v>
      </c>
      <c r="F48" s="641" t="s">
        <v>128</v>
      </c>
      <c r="G48" s="438"/>
      <c r="H48" s="438"/>
      <c r="I48" s="460"/>
      <c r="J48" s="461"/>
      <c r="K48" s="461"/>
      <c r="L48" s="461"/>
      <c r="M48" s="460"/>
    </row>
    <row r="49" spans="1:17" s="202" customFormat="1" ht="5.0999999999999996" customHeight="1" x14ac:dyDescent="0.2">
      <c r="B49" s="445"/>
      <c r="C49" s="446"/>
      <c r="D49" s="447"/>
      <c r="E49" s="256"/>
      <c r="F49" s="256"/>
      <c r="G49" s="448"/>
      <c r="H49" s="448"/>
    </row>
    <row r="50" spans="1:17" s="103" customFormat="1" ht="53.25" customHeight="1" x14ac:dyDescent="0.2">
      <c r="A50" s="664" t="s">
        <v>203</v>
      </c>
      <c r="B50" s="721" t="s">
        <v>702</v>
      </c>
      <c r="C50" s="721"/>
      <c r="D50" s="721"/>
      <c r="E50" s="637">
        <f>G50</f>
        <v>3.12</v>
      </c>
      <c r="F50" s="640" t="s">
        <v>13</v>
      </c>
      <c r="G50" s="645">
        <f>(N8*2+1.5)*M8*0.2</f>
        <v>3.12</v>
      </c>
      <c r="H50" s="438"/>
      <c r="J50" s="460"/>
      <c r="K50" s="460"/>
      <c r="L50" s="461"/>
      <c r="M50" s="461"/>
      <c r="N50" s="460"/>
      <c r="O50" s="460"/>
      <c r="Q50" s="460"/>
    </row>
    <row r="51" spans="1:17" s="202" customFormat="1" ht="5.0999999999999996" customHeight="1" x14ac:dyDescent="0.2">
      <c r="B51" s="445"/>
      <c r="C51" s="446"/>
      <c r="D51" s="447"/>
      <c r="E51" s="256"/>
      <c r="F51" s="256"/>
      <c r="G51" s="448"/>
      <c r="H51" s="448"/>
    </row>
    <row r="52" spans="1:17" s="103" customFormat="1" ht="40.5" customHeight="1" x14ac:dyDescent="0.2">
      <c r="A52" s="664" t="s">
        <v>181</v>
      </c>
      <c r="B52" s="726" t="s">
        <v>703</v>
      </c>
      <c r="C52" s="726"/>
      <c r="D52" s="726"/>
      <c r="E52" s="647">
        <f>G52</f>
        <v>36</v>
      </c>
      <c r="F52" s="641" t="s">
        <v>13</v>
      </c>
      <c r="G52" s="646">
        <f>7.5*N8*M8:M8</f>
        <v>36</v>
      </c>
      <c r="H52" s="438"/>
      <c r="J52" s="460"/>
      <c r="K52" s="460"/>
    </row>
    <row r="53" spans="1:17" s="103" customFormat="1" ht="5.0999999999999996" customHeight="1" x14ac:dyDescent="0.2">
      <c r="B53" s="456"/>
      <c r="C53" s="456"/>
      <c r="D53" s="456"/>
      <c r="E53" s="457"/>
      <c r="F53" s="458"/>
      <c r="G53" s="458"/>
      <c r="H53" s="458"/>
    </row>
    <row r="54" spans="1:17" s="103" customFormat="1" ht="12.75" customHeight="1" x14ac:dyDescent="0.2">
      <c r="A54" s="722" t="s">
        <v>837</v>
      </c>
      <c r="B54" s="722"/>
      <c r="C54" s="440"/>
      <c r="D54" s="440"/>
      <c r="E54" s="441"/>
      <c r="F54" s="442"/>
    </row>
    <row r="55" spans="1:17" s="103" customFormat="1" ht="39" customHeight="1" x14ac:dyDescent="0.2">
      <c r="A55" s="664" t="s">
        <v>175</v>
      </c>
      <c r="B55" s="721" t="s">
        <v>844</v>
      </c>
      <c r="C55" s="721"/>
      <c r="D55" s="721"/>
      <c r="E55" s="459">
        <v>2</v>
      </c>
      <c r="F55" s="438" t="s">
        <v>279</v>
      </c>
    </row>
    <row r="56" spans="1:17" s="202" customFormat="1" ht="5.0999999999999996" customHeight="1" x14ac:dyDescent="0.2">
      <c r="B56" s="445"/>
      <c r="C56" s="446"/>
      <c r="D56" s="447"/>
      <c r="E56" s="256"/>
      <c r="F56" s="256"/>
      <c r="G56" s="448"/>
      <c r="H56" s="448"/>
    </row>
    <row r="57" spans="1:17" s="103" customFormat="1" ht="39" customHeight="1" x14ac:dyDescent="0.2">
      <c r="A57" s="664" t="s">
        <v>246</v>
      </c>
      <c r="B57" s="721" t="s">
        <v>845</v>
      </c>
      <c r="C57" s="721"/>
      <c r="D57" s="721"/>
      <c r="E57" s="459">
        <v>2</v>
      </c>
      <c r="F57" s="438" t="s">
        <v>279</v>
      </c>
    </row>
    <row r="58" spans="1:17" s="103" customFormat="1" ht="5.0999999999999996" customHeight="1" x14ac:dyDescent="0.2">
      <c r="B58" s="456"/>
      <c r="C58" s="456"/>
      <c r="D58" s="456"/>
      <c r="E58" s="457"/>
      <c r="F58" s="458"/>
      <c r="G58" s="458"/>
      <c r="H58" s="458"/>
    </row>
    <row r="59" spans="1:17" s="103" customFormat="1" ht="12.75" customHeight="1" x14ac:dyDescent="0.2">
      <c r="A59" s="722" t="s">
        <v>852</v>
      </c>
      <c r="B59" s="722"/>
      <c r="C59" s="440"/>
      <c r="D59" s="440"/>
      <c r="E59" s="441"/>
      <c r="F59" s="442"/>
    </row>
    <row r="60" spans="1:17" s="103" customFormat="1" ht="25.5" customHeight="1" x14ac:dyDescent="0.2">
      <c r="A60" s="664" t="s">
        <v>255</v>
      </c>
      <c r="B60" s="721" t="s">
        <v>739</v>
      </c>
      <c r="C60" s="721"/>
      <c r="D60" s="721"/>
      <c r="E60" s="459">
        <f>E32*(0.15+0.13)</f>
        <v>73.489999999999995</v>
      </c>
      <c r="F60" s="438" t="s">
        <v>13</v>
      </c>
      <c r="H60" s="103" t="e">
        <f>#REF!*0.28</f>
        <v>#REF!</v>
      </c>
    </row>
    <row r="61" spans="1:17" s="202" customFormat="1" ht="5.0999999999999996" customHeight="1" x14ac:dyDescent="0.2">
      <c r="B61" s="445"/>
      <c r="C61" s="446"/>
      <c r="D61" s="447"/>
      <c r="E61" s="256"/>
      <c r="F61" s="256"/>
      <c r="G61" s="448"/>
      <c r="H61" s="448"/>
    </row>
    <row r="62" spans="1:17" s="202" customFormat="1" ht="24.75" customHeight="1" x14ac:dyDescent="0.2">
      <c r="A62" s="664" t="s">
        <v>853</v>
      </c>
      <c r="B62" s="721" t="s">
        <v>707</v>
      </c>
      <c r="C62" s="721"/>
      <c r="D62" s="721"/>
      <c r="E62" s="442">
        <v>1</v>
      </c>
      <c r="F62" s="53" t="s">
        <v>279</v>
      </c>
      <c r="H62" s="202">
        <v>3.9</v>
      </c>
      <c r="I62" s="202">
        <v>216</v>
      </c>
    </row>
    <row r="63" spans="1:17" s="103" customFormat="1" ht="5.0999999999999996" customHeight="1" x14ac:dyDescent="0.2">
      <c r="E63" s="441"/>
      <c r="F63" s="442"/>
    </row>
    <row r="64" spans="1:17" s="103" customFormat="1" ht="39" customHeight="1" x14ac:dyDescent="0.2">
      <c r="A64" s="664" t="s">
        <v>882</v>
      </c>
      <c r="B64" s="721" t="s">
        <v>883</v>
      </c>
      <c r="C64" s="721"/>
      <c r="D64" s="721"/>
      <c r="E64" s="459">
        <v>1</v>
      </c>
      <c r="F64" s="438" t="s">
        <v>279</v>
      </c>
    </row>
    <row r="65" spans="1:16" s="202" customFormat="1" ht="5.0999999999999996" customHeight="1" x14ac:dyDescent="0.2">
      <c r="B65" s="445"/>
      <c r="C65" s="446"/>
      <c r="D65" s="447"/>
      <c r="E65" s="256"/>
      <c r="F65" s="256"/>
      <c r="G65" s="448"/>
      <c r="H65" s="448"/>
    </row>
    <row r="66" spans="1:16" x14ac:dyDescent="0.2">
      <c r="A66" s="103" t="s">
        <v>265</v>
      </c>
    </row>
    <row r="67" spans="1:16" x14ac:dyDescent="0.2">
      <c r="A67" s="103" t="str">
        <f>A2</f>
        <v>PREFEITURA MUNICIPAL DE MAMANGUAPE</v>
      </c>
    </row>
    <row r="68" spans="1:16" ht="5.0999999999999996" customHeight="1" x14ac:dyDescent="0.2"/>
    <row r="69" spans="1:16" s="103" customFormat="1" ht="12.75" customHeight="1" x14ac:dyDescent="0.25">
      <c r="A69" s="729" t="s">
        <v>433</v>
      </c>
      <c r="B69" s="729"/>
      <c r="C69" s="729"/>
      <c r="D69" s="729"/>
      <c r="E69" s="729"/>
      <c r="F69" s="729"/>
      <c r="H69" s="460"/>
    </row>
    <row r="70" spans="1:16" s="202" customFormat="1" ht="18" customHeight="1" x14ac:dyDescent="0.25">
      <c r="A70" s="735" t="str">
        <f>A6</f>
        <v>Rua Maria Livramento P. Lima (Trecho 01)</v>
      </c>
      <c r="B70" s="735"/>
      <c r="C70" s="735"/>
      <c r="D70" s="735"/>
      <c r="E70" s="735"/>
      <c r="F70" s="735"/>
      <c r="G70" s="53"/>
    </row>
    <row r="71" spans="1:16" s="202" customFormat="1" ht="5.0999999999999996" customHeight="1" x14ac:dyDescent="0.25">
      <c r="B71" s="436"/>
      <c r="C71" s="437"/>
      <c r="D71" s="437"/>
      <c r="E71" s="257"/>
      <c r="F71" s="257"/>
      <c r="G71" s="53"/>
    </row>
    <row r="72" spans="1:16" s="202" customFormat="1" ht="12.75" customHeight="1" x14ac:dyDescent="0.2">
      <c r="A72" s="730" t="s">
        <v>53</v>
      </c>
      <c r="B72" s="732" t="s">
        <v>267</v>
      </c>
      <c r="C72" s="732" t="s">
        <v>268</v>
      </c>
      <c r="D72" s="732" t="s">
        <v>434</v>
      </c>
      <c r="E72" s="732" t="s">
        <v>435</v>
      </c>
      <c r="F72" s="734"/>
    </row>
    <row r="73" spans="1:16" s="202" customFormat="1" ht="12.75" customHeight="1" x14ac:dyDescent="0.2">
      <c r="A73" s="731"/>
      <c r="B73" s="733"/>
      <c r="C73" s="733"/>
      <c r="D73" s="733"/>
      <c r="E73" s="462" t="s">
        <v>436</v>
      </c>
      <c r="F73" s="463" t="s">
        <v>437</v>
      </c>
    </row>
    <row r="74" spans="1:16" s="202" customFormat="1" ht="12.75" customHeight="1" x14ac:dyDescent="0.2">
      <c r="A74" s="464" t="s">
        <v>4</v>
      </c>
      <c r="B74" s="465" t="s">
        <v>438</v>
      </c>
      <c r="C74" s="466"/>
      <c r="D74" s="467"/>
      <c r="E74" s="467"/>
      <c r="F74" s="468">
        <f>SUM(F75:F76)</f>
        <v>4813.6000000000004</v>
      </c>
    </row>
    <row r="75" spans="1:16" s="202" customFormat="1" ht="25.5" x14ac:dyDescent="0.2">
      <c r="A75" s="469" t="s">
        <v>5</v>
      </c>
      <c r="B75" s="660" t="str">
        <f>'Planilha Global'!B10</f>
        <v>Fornecimento e instalação de placa de obra com chapa galvanizada e estrutura de madeira</v>
      </c>
      <c r="C75" s="471" t="s">
        <v>13</v>
      </c>
      <c r="D75" s="472">
        <f>E24</f>
        <v>8</v>
      </c>
      <c r="E75" s="473">
        <f>'Planilha Global'!N10</f>
        <v>592.35</v>
      </c>
      <c r="F75" s="474">
        <f>ROUND(D75,2)*ROUND(E75,2)</f>
        <v>4738.8</v>
      </c>
      <c r="G75" s="474">
        <f>ROUND(D75,2)*ROUND(E75,2)</f>
        <v>4738.8</v>
      </c>
      <c r="H75" s="475"/>
      <c r="I75" s="475"/>
      <c r="J75" s="476">
        <f>N75*O74</f>
        <v>0</v>
      </c>
      <c r="K75" s="476"/>
      <c r="L75" s="476"/>
      <c r="M75" s="476"/>
      <c r="N75" s="477">
        <v>160.63</v>
      </c>
      <c r="O75" s="478">
        <f>O74-1</f>
        <v>-1</v>
      </c>
      <c r="P75" s="479"/>
    </row>
    <row r="76" spans="1:16" s="202" customFormat="1" ht="25.5" x14ac:dyDescent="0.2">
      <c r="A76" s="469" t="s">
        <v>86</v>
      </c>
      <c r="B76" s="470" t="str">
        <f>'Planilha Global'!B11</f>
        <v>Execução de linhas de referência em gabarito ou cavalete (locação de pavimentação)</v>
      </c>
      <c r="C76" s="490" t="str">
        <f>F26</f>
        <v>m</v>
      </c>
      <c r="D76" s="472">
        <f>E26</f>
        <v>131.22</v>
      </c>
      <c r="E76" s="473">
        <f>'Planilha Global'!N11</f>
        <v>0.56999999999999995</v>
      </c>
      <c r="F76" s="474">
        <f>ROUND(D76,2)*ROUND(E76,2)</f>
        <v>74.8</v>
      </c>
    </row>
    <row r="77" spans="1:16" s="202" customFormat="1" ht="5.0999999999999996" customHeight="1" x14ac:dyDescent="0.2">
      <c r="A77" s="480"/>
      <c r="B77" s="481"/>
      <c r="C77" s="482"/>
      <c r="D77" s="482"/>
      <c r="E77" s="483"/>
      <c r="F77" s="484"/>
    </row>
    <row r="78" spans="1:16" s="202" customFormat="1" ht="12.75" customHeight="1" x14ac:dyDescent="0.2">
      <c r="A78" s="464" t="s">
        <v>6</v>
      </c>
      <c r="B78" s="465" t="s">
        <v>511</v>
      </c>
      <c r="C78" s="466"/>
      <c r="D78" s="467"/>
      <c r="E78" s="467"/>
      <c r="F78" s="468">
        <f>SUM(F79:F79)</f>
        <v>1981.75</v>
      </c>
    </row>
    <row r="79" spans="1:16" s="202" customFormat="1" ht="25.5" x14ac:dyDescent="0.2">
      <c r="A79" s="469" t="s">
        <v>7</v>
      </c>
      <c r="B79" s="470" t="str">
        <f>'Planilha Global'!B14</f>
        <v>Regularização e compactação do subleito até 20 cm de espessura</v>
      </c>
      <c r="C79" s="482" t="str">
        <f>F29</f>
        <v>m²</v>
      </c>
      <c r="D79" s="472">
        <f>E29</f>
        <v>792.7</v>
      </c>
      <c r="E79" s="473">
        <f>'Planilha Global'!N14</f>
        <v>2.5</v>
      </c>
      <c r="F79" s="474">
        <f>ROUND(D79,2)*ROUND(E79,2)</f>
        <v>1981.75</v>
      </c>
      <c r="H79" s="485"/>
    </row>
    <row r="80" spans="1:16" s="202" customFormat="1" ht="6.75" customHeight="1" x14ac:dyDescent="0.2">
      <c r="A80" s="486"/>
      <c r="B80" s="487"/>
      <c r="C80" s="482"/>
      <c r="D80" s="472"/>
      <c r="E80" s="488"/>
      <c r="F80" s="474"/>
    </row>
    <row r="81" spans="1:12" s="202" customFormat="1" ht="12.75" customHeight="1" thickBot="1" x14ac:dyDescent="0.25">
      <c r="A81" s="464" t="s">
        <v>8</v>
      </c>
      <c r="B81" s="465" t="s">
        <v>439</v>
      </c>
      <c r="C81" s="466"/>
      <c r="D81" s="467"/>
      <c r="E81" s="489"/>
      <c r="F81" s="468">
        <f>SUM(F82:F84)</f>
        <v>99363.58</v>
      </c>
    </row>
    <row r="82" spans="1:12" s="226" customFormat="1" ht="54" customHeight="1" x14ac:dyDescent="0.2">
      <c r="A82" s="469" t="s">
        <v>9</v>
      </c>
      <c r="B82" s="504" t="str">
        <f>'Planilha Global'!B17</f>
        <v>Assentamento de guia (meio-fio) em trecho reto, confeccionada em concreto pré-fabricado, dimensões 100x15x13x30 cm (comprimento x base inferior x base superior x altura), para vias urbanas (uso viário)</v>
      </c>
      <c r="C82" s="482" t="str">
        <f>F32</f>
        <v>m</v>
      </c>
      <c r="D82" s="472">
        <f>E32</f>
        <v>262.48</v>
      </c>
      <c r="E82" s="473">
        <f>'Planilha Global'!N17</f>
        <v>49.53</v>
      </c>
      <c r="F82" s="474">
        <f>ROUND(D82,2)*ROUND(E82,2)</f>
        <v>13000.63</v>
      </c>
      <c r="H82" s="492"/>
      <c r="I82" s="493"/>
      <c r="J82" s="494"/>
    </row>
    <row r="83" spans="1:12" s="226" customFormat="1" ht="42.75" customHeight="1" thickBot="1" x14ac:dyDescent="0.25">
      <c r="A83" s="469" t="s">
        <v>12</v>
      </c>
      <c r="B83" s="470" t="str">
        <f>'Planilha Global'!B18</f>
        <v>Execução de pavimento em paralelepípedos, rejuntamento com argamassa traço 1:3 (cimento e areia)</v>
      </c>
      <c r="C83" s="482" t="str">
        <f>F34</f>
        <v>m²</v>
      </c>
      <c r="D83" s="472">
        <f>E34</f>
        <v>792.7</v>
      </c>
      <c r="E83" s="473">
        <f>'Planilha Global'!N18</f>
        <v>107.81</v>
      </c>
      <c r="F83" s="474">
        <f>ROUND(D83,2)*ROUND(E83,2)</f>
        <v>85460.99</v>
      </c>
      <c r="H83" s="495"/>
      <c r="I83" s="496"/>
      <c r="J83" s="497"/>
    </row>
    <row r="84" spans="1:12" s="226" customFormat="1" ht="26.25" customHeight="1" x14ac:dyDescent="0.2">
      <c r="A84" s="469" t="s">
        <v>108</v>
      </c>
      <c r="B84" s="470" t="str">
        <f>'Planilha Global'!B19</f>
        <v>Assentamento de guia (meio-fio) para cordão de travamento do pavimento, em pedra granítica</v>
      </c>
      <c r="C84" s="482" t="str">
        <f>F36</f>
        <v>m</v>
      </c>
      <c r="D84" s="472">
        <f>E36</f>
        <v>14.48</v>
      </c>
      <c r="E84" s="473">
        <f>'Planilha Global'!N19</f>
        <v>62.29</v>
      </c>
      <c r="F84" s="474">
        <f>ROUND(D84,2)*ROUND(E84,2)</f>
        <v>901.96</v>
      </c>
      <c r="H84" s="492"/>
      <c r="I84" s="493"/>
      <c r="J84" s="494"/>
    </row>
    <row r="85" spans="1:12" s="202" customFormat="1" ht="6.75" customHeight="1" x14ac:dyDescent="0.2">
      <c r="A85" s="486"/>
      <c r="B85" s="487"/>
      <c r="C85" s="482"/>
      <c r="D85" s="472"/>
      <c r="E85" s="488"/>
      <c r="F85" s="474"/>
    </row>
    <row r="86" spans="1:12" s="258" customFormat="1" ht="15" customHeight="1" thickBot="1" x14ac:dyDescent="0.3">
      <c r="A86" s="498" t="s">
        <v>14</v>
      </c>
      <c r="B86" s="499" t="s">
        <v>605</v>
      </c>
      <c r="C86" s="466"/>
      <c r="D86" s="467"/>
      <c r="E86" s="500"/>
      <c r="F86" s="468">
        <f>SUM(F87:F89)</f>
        <v>26002.79</v>
      </c>
      <c r="I86" s="501"/>
      <c r="J86" s="502"/>
      <c r="K86" s="502"/>
      <c r="L86" s="503"/>
    </row>
    <row r="87" spans="1:12" s="226" customFormat="1" ht="51" x14ac:dyDescent="0.2">
      <c r="A87" s="469" t="s">
        <v>15</v>
      </c>
      <c r="B87" s="661" t="str">
        <f>'Planilha Global'!B22</f>
        <v>Alvenaria de blocos cerâmicos furados na horizontal de 9x19x19 cm (espessura 9 cm) e argamassa de assentamento com preparo manual (para contenção das calçadas)</v>
      </c>
      <c r="C87" s="490" t="str">
        <f>F39</f>
        <v>m²</v>
      </c>
      <c r="D87" s="472">
        <f>E39</f>
        <v>30.79</v>
      </c>
      <c r="E87" s="473">
        <f>'Planilha Global'!N22</f>
        <v>107.24</v>
      </c>
      <c r="F87" s="474">
        <f>ROUND(D87,2)*ROUND(E87,2)</f>
        <v>3301.92</v>
      </c>
      <c r="H87" s="226">
        <v>73.06</v>
      </c>
    </row>
    <row r="88" spans="1:12" s="226" customFormat="1" ht="38.25" x14ac:dyDescent="0.2">
      <c r="A88" s="469" t="s">
        <v>129</v>
      </c>
      <c r="B88" s="661" t="str">
        <f>'Planilha Global'!B23</f>
        <v>Execução de passeio (calçada) ou piso de concreto com concreto moldado in loco, feito em obra, acabamento convencional, não armado</v>
      </c>
      <c r="C88" s="490" t="str">
        <f>F41</f>
        <v>m³</v>
      </c>
      <c r="D88" s="472">
        <f>'Maria Livramento - T1'!E41</f>
        <v>15.81</v>
      </c>
      <c r="E88" s="473">
        <f>'Planilha Global'!N23</f>
        <v>943.02</v>
      </c>
      <c r="F88" s="474">
        <f>ROUND(D88,2)*ROUND(E88,2)</f>
        <v>14909.15</v>
      </c>
      <c r="H88" s="226">
        <v>703.2</v>
      </c>
    </row>
    <row r="89" spans="1:12" s="226" customFormat="1" ht="25.5" x14ac:dyDescent="0.2">
      <c r="A89" s="469" t="s">
        <v>131</v>
      </c>
      <c r="B89" s="661" t="str">
        <f>'Planilha Global'!B24</f>
        <v>Piso podotátil de alerta ou direcional, de concreto, assentado sobre argamassa</v>
      </c>
      <c r="C89" s="490" t="str">
        <f>F43</f>
        <v>m²</v>
      </c>
      <c r="D89" s="472">
        <f>E43</f>
        <v>46.49</v>
      </c>
      <c r="E89" s="473">
        <f>'Planilha Global'!N24</f>
        <v>167.6</v>
      </c>
      <c r="F89" s="474">
        <f>ROUND(D89,2)*ROUND(E89,2)</f>
        <v>7791.72</v>
      </c>
      <c r="H89" s="226">
        <v>109.78</v>
      </c>
    </row>
    <row r="90" spans="1:12" s="202" customFormat="1" ht="6.75" customHeight="1" x14ac:dyDescent="0.2">
      <c r="A90" s="486"/>
      <c r="B90" s="487"/>
      <c r="C90" s="482"/>
      <c r="D90" s="472"/>
      <c r="E90" s="488"/>
      <c r="F90" s="474"/>
    </row>
    <row r="91" spans="1:12" s="258" customFormat="1" ht="15" customHeight="1" thickBot="1" x14ac:dyDescent="0.3">
      <c r="A91" s="498" t="s">
        <v>157</v>
      </c>
      <c r="B91" s="499" t="s">
        <v>606</v>
      </c>
      <c r="C91" s="466"/>
      <c r="D91" s="467"/>
      <c r="E91" s="500"/>
      <c r="F91" s="468">
        <f>SUM(F92:F95)</f>
        <v>3246.79</v>
      </c>
      <c r="I91" s="501"/>
      <c r="J91" s="502"/>
      <c r="K91" s="502"/>
      <c r="L91" s="503"/>
    </row>
    <row r="92" spans="1:12" s="226" customFormat="1" ht="39" thickBot="1" x14ac:dyDescent="0.25">
      <c r="A92" s="469" t="s">
        <v>158</v>
      </c>
      <c r="B92" s="661" t="str">
        <f>'Planilha Global'!B27</f>
        <v>Concreto Fck = 15mpa, traço 1:3,4:3,5 (em massa seca de cimento/ areia média/ brita 1), preparo mecânico com betoneira 400 L</v>
      </c>
      <c r="C92" s="490" t="str">
        <f>F46</f>
        <v>m³</v>
      </c>
      <c r="D92" s="472">
        <f>E46</f>
        <v>2.1</v>
      </c>
      <c r="E92" s="473">
        <f>'Planilha Global'!N27</f>
        <v>553.16</v>
      </c>
      <c r="F92" s="474">
        <f>ROUND(D92,2)*ROUND(E92,2)</f>
        <v>1161.6400000000001</v>
      </c>
      <c r="H92" s="226">
        <v>410.85</v>
      </c>
    </row>
    <row r="93" spans="1:12" s="202" customFormat="1" ht="25.5" x14ac:dyDescent="0.2">
      <c r="A93" s="469" t="s">
        <v>170</v>
      </c>
      <c r="B93" s="661" t="str">
        <f>'Planilha Global'!B28</f>
        <v>Lançamento com uso de baldes, adensamento e acabamento de concreto em estruturas</v>
      </c>
      <c r="C93" s="490" t="str">
        <f>F48</f>
        <v>m³</v>
      </c>
      <c r="D93" s="472">
        <f>E48</f>
        <v>2.1</v>
      </c>
      <c r="E93" s="473">
        <f>'Planilha Global'!N28</f>
        <v>324.95</v>
      </c>
      <c r="F93" s="474">
        <f>ROUND(D93,2)*ROUND(E93,2)</f>
        <v>682.4</v>
      </c>
      <c r="H93" s="202">
        <v>223.25</v>
      </c>
      <c r="I93" s="506"/>
      <c r="J93" s="507"/>
      <c r="K93" s="507"/>
      <c r="L93" s="508"/>
    </row>
    <row r="94" spans="1:12" s="226" customFormat="1" ht="25.5" x14ac:dyDescent="0.2">
      <c r="A94" s="469" t="s">
        <v>203</v>
      </c>
      <c r="B94" s="661" t="str">
        <f>'Planilha Global'!B29</f>
        <v>Piso podotátil de alerta ou direcional, de concreto, assentado sobre argamassa</v>
      </c>
      <c r="C94" s="490" t="str">
        <f>F50</f>
        <v>m²</v>
      </c>
      <c r="D94" s="472">
        <f>E50</f>
        <v>3.12</v>
      </c>
      <c r="E94" s="473">
        <f>'Planilha Global'!N29</f>
        <v>167.6</v>
      </c>
      <c r="F94" s="474">
        <f>ROUND(D94,2)*ROUND(E94,2)</f>
        <v>522.91</v>
      </c>
      <c r="H94" s="226">
        <v>109.78</v>
      </c>
    </row>
    <row r="95" spans="1:12" s="226" customFormat="1" ht="25.5" x14ac:dyDescent="0.2">
      <c r="A95" s="469" t="s">
        <v>181</v>
      </c>
      <c r="B95" s="661" t="str">
        <f>'Planilha Global'!B30</f>
        <v>Pintura de piso com tinta acrílica, aplicação manual, 2 demãos, incluso fundo preparador</v>
      </c>
      <c r="C95" s="490" t="str">
        <f>F52</f>
        <v>m²</v>
      </c>
      <c r="D95" s="472">
        <f>E52</f>
        <v>36</v>
      </c>
      <c r="E95" s="473">
        <f>'Planilha Global'!N30</f>
        <v>24.44</v>
      </c>
      <c r="F95" s="474">
        <f>ROUND(D95,2)*ROUND(E95,2)</f>
        <v>879.84</v>
      </c>
      <c r="H95" s="226">
        <v>14.87</v>
      </c>
    </row>
    <row r="96" spans="1:12" s="202" customFormat="1" ht="6.75" customHeight="1" x14ac:dyDescent="0.2">
      <c r="A96" s="486"/>
      <c r="B96" s="487"/>
      <c r="C96" s="482"/>
      <c r="D96" s="472"/>
      <c r="E96" s="488"/>
      <c r="F96" s="474"/>
    </row>
    <row r="97" spans="1:11" s="258" customFormat="1" ht="15" customHeight="1" thickBot="1" x14ac:dyDescent="0.3">
      <c r="A97" s="498" t="s">
        <v>174</v>
      </c>
      <c r="B97" s="499" t="s">
        <v>706</v>
      </c>
      <c r="C97" s="466"/>
      <c r="D97" s="467"/>
      <c r="E97" s="500"/>
      <c r="F97" s="468">
        <f>SUM(F98:F99)</f>
        <v>928.9</v>
      </c>
      <c r="H97" s="501"/>
      <c r="I97" s="502"/>
      <c r="J97" s="502"/>
      <c r="K97" s="503"/>
    </row>
    <row r="98" spans="1:11" s="202" customFormat="1" ht="38.25" x14ac:dyDescent="0.2">
      <c r="A98" s="469" t="s">
        <v>175</v>
      </c>
      <c r="B98" s="661" t="str">
        <f>'Planilha Global'!B33</f>
        <v>Fornecimento e instalação de suporte de madeira para placas de sinalização, em solo, com h= de 2,0 m e seção de 7,5 x 7,5 cm</v>
      </c>
      <c r="C98" s="490" t="s">
        <v>279</v>
      </c>
      <c r="D98" s="472">
        <f>E55</f>
        <v>2</v>
      </c>
      <c r="E98" s="473">
        <f>'Planilha Global'!N33</f>
        <v>120.58</v>
      </c>
      <c r="F98" s="474">
        <f t="shared" ref="F98:F99" si="1">ROUND(D98*E98,2)</f>
        <v>241.16</v>
      </c>
      <c r="H98" s="665"/>
    </row>
    <row r="99" spans="1:11" s="226" customFormat="1" ht="38.25" x14ac:dyDescent="0.2">
      <c r="A99" s="469" t="s">
        <v>246</v>
      </c>
      <c r="B99" s="661" t="str">
        <f>'Planilha Global'!B34</f>
        <v>Placa de advertência em aço, lado de 0,60 m - película retrorrefletiva tipo I + SI - fornecimento e implantação</v>
      </c>
      <c r="C99" s="490" t="s">
        <v>279</v>
      </c>
      <c r="D99" s="472">
        <f>E57</f>
        <v>2</v>
      </c>
      <c r="E99" s="473">
        <f>'Planilha Global'!N34</f>
        <v>343.87</v>
      </c>
      <c r="F99" s="505">
        <f t="shared" si="1"/>
        <v>687.74</v>
      </c>
      <c r="H99" s="226">
        <v>349.41</v>
      </c>
    </row>
    <row r="100" spans="1:11" s="202" customFormat="1" ht="6.75" customHeight="1" x14ac:dyDescent="0.2">
      <c r="A100" s="509"/>
      <c r="B100" s="41"/>
      <c r="C100" s="482"/>
      <c r="D100" s="472"/>
      <c r="E100" s="510"/>
      <c r="F100" s="474"/>
      <c r="H100" s="511"/>
      <c r="K100" s="512"/>
    </row>
    <row r="101" spans="1:11" s="258" customFormat="1" ht="15" customHeight="1" thickBot="1" x14ac:dyDescent="0.3">
      <c r="A101" s="498" t="s">
        <v>254</v>
      </c>
      <c r="B101" s="499" t="s">
        <v>849</v>
      </c>
      <c r="C101" s="466"/>
      <c r="D101" s="467"/>
      <c r="E101" s="500"/>
      <c r="F101" s="468">
        <f>SUM(F102:F104)</f>
        <v>432.32</v>
      </c>
      <c r="H101" s="501"/>
      <c r="I101" s="502"/>
      <c r="J101" s="502"/>
      <c r="K101" s="503"/>
    </row>
    <row r="102" spans="1:11" s="202" customFormat="1" ht="26.25" thickBot="1" x14ac:dyDescent="0.25">
      <c r="A102" s="469" t="s">
        <v>255</v>
      </c>
      <c r="B102" s="661" t="str">
        <f>'Planilha Global'!B37</f>
        <v>Pintura de meio-fio com tinta branca a base de cal (caiação)</v>
      </c>
      <c r="C102" s="490" t="str">
        <f>F60</f>
        <v>m²</v>
      </c>
      <c r="D102" s="472">
        <f>E60</f>
        <v>73.489999999999995</v>
      </c>
      <c r="E102" s="473">
        <f>'Planilha Global'!N37</f>
        <v>1.78</v>
      </c>
      <c r="F102" s="474">
        <f>ROUND(D102,2)*ROUND(E102,2)</f>
        <v>130.81</v>
      </c>
      <c r="H102" s="506"/>
      <c r="I102" s="507"/>
      <c r="J102" s="507"/>
      <c r="K102" s="508"/>
    </row>
    <row r="103" spans="1:11" s="202" customFormat="1" ht="25.5" x14ac:dyDescent="0.2">
      <c r="A103" s="469" t="s">
        <v>853</v>
      </c>
      <c r="B103" s="661" t="str">
        <f>'Planilha Global'!B38</f>
        <v>Placa esmaltada para identificação de nome de rua, dimensões 45x20cm</v>
      </c>
      <c r="C103" s="490" t="str">
        <f>F62</f>
        <v>unid</v>
      </c>
      <c r="D103" s="472">
        <f>E62</f>
        <v>1</v>
      </c>
      <c r="E103" s="473">
        <f>'Planilha Global'!N38</f>
        <v>180.93</v>
      </c>
      <c r="F103" s="474">
        <f>ROUND(D103,2)*ROUND(E103,2)</f>
        <v>180.93</v>
      </c>
      <c r="H103" s="506"/>
      <c r="I103" s="507"/>
      <c r="J103" s="507"/>
      <c r="K103" s="508"/>
    </row>
    <row r="104" spans="1:11" s="202" customFormat="1" ht="38.25" x14ac:dyDescent="0.2">
      <c r="A104" s="469" t="s">
        <v>882</v>
      </c>
      <c r="B104" s="661" t="str">
        <f>'Planilha Global'!B39</f>
        <v>Fornecimento e instalação de suporte de madeira para placas de identificação de rua, em solo, com h= de 2,0 m e seção de 7,5 x 7,5 cm</v>
      </c>
      <c r="C104" s="490" t="s">
        <v>279</v>
      </c>
      <c r="D104" s="472">
        <f>E64</f>
        <v>1</v>
      </c>
      <c r="E104" s="473">
        <f>'Planilha Global'!N39</f>
        <v>120.58</v>
      </c>
      <c r="F104" s="474">
        <f t="shared" ref="F104" si="2">ROUND(D104*E104,2)</f>
        <v>120.58</v>
      </c>
      <c r="H104" s="665"/>
    </row>
    <row r="105" spans="1:11" s="202" customFormat="1" ht="6.75" customHeight="1" x14ac:dyDescent="0.2">
      <c r="A105" s="509"/>
      <c r="B105" s="41"/>
      <c r="C105" s="482"/>
      <c r="D105" s="472"/>
      <c r="E105" s="510"/>
      <c r="F105" s="474"/>
      <c r="H105" s="511"/>
      <c r="K105" s="512"/>
    </row>
    <row r="106" spans="1:11" s="202" customFormat="1" ht="12.75" customHeight="1" x14ac:dyDescent="0.2">
      <c r="A106" s="727" t="s">
        <v>440</v>
      </c>
      <c r="B106" s="728"/>
      <c r="C106" s="728"/>
      <c r="D106" s="728"/>
      <c r="E106" s="728"/>
      <c r="F106" s="543">
        <f>F74+F78+F81+F86+F91+F97+F101</f>
        <v>136769.73000000001</v>
      </c>
    </row>
    <row r="107" spans="1:11" s="202" customFormat="1" ht="5.25" customHeight="1" x14ac:dyDescent="0.2">
      <c r="B107" s="256"/>
      <c r="C107" s="281"/>
      <c r="E107" s="281"/>
    </row>
    <row r="108" spans="1:11" s="202" customFormat="1" ht="12.75" customHeight="1" x14ac:dyDescent="0.2">
      <c r="A108" s="64" t="s">
        <v>1052</v>
      </c>
      <c r="B108" s="256"/>
      <c r="C108" s="281"/>
      <c r="E108" s="281"/>
      <c r="F108" s="513"/>
      <c r="G108" s="202">
        <f>175162.63/D83</f>
        <v>220.96963542323701</v>
      </c>
    </row>
    <row r="109" spans="1:11" s="202" customFormat="1" ht="12.75" customHeight="1" x14ac:dyDescent="0.2">
      <c r="A109" s="64" t="str">
        <f>'Composição Custos Unit'!G37</f>
        <v>Referência: SINAPI PB Fevereiro/25; DER PB Jan-Mar/25</v>
      </c>
      <c r="B109" s="256"/>
      <c r="C109" s="636" t="str">
        <f>'Planilha Global'!A43</f>
        <v>BDI: 28,99%</v>
      </c>
      <c r="E109" s="281"/>
    </row>
    <row r="110" spans="1:11" s="202" customFormat="1" ht="12.75" customHeight="1" x14ac:dyDescent="0.2">
      <c r="E110" s="281"/>
      <c r="F110" s="247"/>
    </row>
    <row r="111" spans="1:11" ht="12.75" customHeight="1" x14ac:dyDescent="0.2">
      <c r="G111">
        <f>F106/D76</f>
        <v>1042.29332418839</v>
      </c>
    </row>
    <row r="112" spans="1:11" ht="12.75" customHeight="1" x14ac:dyDescent="0.2">
      <c r="F112" s="514">
        <f>F106/D79</f>
        <v>172.54</v>
      </c>
    </row>
  </sheetData>
  <mergeCells count="43">
    <mergeCell ref="C14:F14"/>
    <mergeCell ref="C15:F15"/>
    <mergeCell ref="B24:D24"/>
    <mergeCell ref="A4:F4"/>
    <mergeCell ref="C8:F8"/>
    <mergeCell ref="C9:F9"/>
    <mergeCell ref="C10:F10"/>
    <mergeCell ref="C13:F13"/>
    <mergeCell ref="C18:F18"/>
    <mergeCell ref="C19:F19"/>
    <mergeCell ref="C20:F20"/>
    <mergeCell ref="B50:D50"/>
    <mergeCell ref="B52:D52"/>
    <mergeCell ref="A106:E106"/>
    <mergeCell ref="A69:F69"/>
    <mergeCell ref="A72:A73"/>
    <mergeCell ref="B72:B73"/>
    <mergeCell ref="C72:C73"/>
    <mergeCell ref="D72:D73"/>
    <mergeCell ref="E72:F72"/>
    <mergeCell ref="A70:F70"/>
    <mergeCell ref="B60:D60"/>
    <mergeCell ref="A59:B59"/>
    <mergeCell ref="A54:B54"/>
    <mergeCell ref="B62:D62"/>
    <mergeCell ref="B55:D55"/>
    <mergeCell ref="B64:D64"/>
    <mergeCell ref="B57:D57"/>
    <mergeCell ref="A28:B28"/>
    <mergeCell ref="A31:B31"/>
    <mergeCell ref="A23:B23"/>
    <mergeCell ref="A45:B45"/>
    <mergeCell ref="B46:D46"/>
    <mergeCell ref="B26:D26"/>
    <mergeCell ref="B32:D32"/>
    <mergeCell ref="B34:D34"/>
    <mergeCell ref="B36:D36"/>
    <mergeCell ref="B29:D29"/>
    <mergeCell ref="A38:B38"/>
    <mergeCell ref="B39:D39"/>
    <mergeCell ref="B41:D41"/>
    <mergeCell ref="B43:D43"/>
    <mergeCell ref="B48:D48"/>
  </mergeCells>
  <phoneticPr fontId="94" type="noConversion"/>
  <printOptions horizontalCentered="1"/>
  <pageMargins left="0.51181102362204722" right="0.51181102362204722" top="0.39370078740157483" bottom="0.59055118110236227" header="0.31496062992125984" footer="0.31496062992125984"/>
  <pageSetup paperSize="9" scale="89" orientation="portrait" r:id="rId1"/>
  <rowBreaks count="1" manualBreakCount="1">
    <brk id="65" max="5" man="1"/>
  </row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AD15C5-8D0F-4104-A812-7E0E077439F0}">
  <dimension ref="A1:S114"/>
  <sheetViews>
    <sheetView view="pageBreakPreview" zoomScaleNormal="100" zoomScaleSheetLayoutView="100" workbookViewId="0">
      <selection activeCell="O28" activeCellId="1" sqref="R15 O28"/>
    </sheetView>
  </sheetViews>
  <sheetFormatPr defaultRowHeight="12.75" x14ac:dyDescent="0.2"/>
  <cols>
    <col min="1" max="1" width="4.7109375" customWidth="1"/>
    <col min="2" max="2" width="45" customWidth="1"/>
    <col min="3" max="3" width="8.42578125" customWidth="1"/>
    <col min="4" max="4" width="14.28515625" customWidth="1"/>
    <col min="5" max="5" width="9.28515625" bestFit="1" customWidth="1"/>
    <col min="6" max="6" width="12.140625" customWidth="1"/>
    <col min="7" max="7" width="14.42578125" customWidth="1"/>
    <col min="8" max="8" width="12.5703125" customWidth="1"/>
    <col min="9" max="9" width="17.7109375" customWidth="1"/>
    <col min="257" max="257" width="4.7109375" customWidth="1"/>
    <col min="258" max="258" width="45" customWidth="1"/>
    <col min="259" max="259" width="8.42578125" customWidth="1"/>
    <col min="260" max="260" width="14.28515625" customWidth="1"/>
    <col min="261" max="261" width="9.28515625" bestFit="1" customWidth="1"/>
    <col min="262" max="262" width="12.140625" customWidth="1"/>
    <col min="263" max="263" width="14.42578125" customWidth="1"/>
    <col min="264" max="264" width="12.5703125" customWidth="1"/>
    <col min="265" max="265" width="17.7109375" customWidth="1"/>
    <col min="513" max="513" width="4.7109375" customWidth="1"/>
    <col min="514" max="514" width="45" customWidth="1"/>
    <col min="515" max="515" width="8.42578125" customWidth="1"/>
    <col min="516" max="516" width="14.28515625" customWidth="1"/>
    <col min="517" max="517" width="9.28515625" bestFit="1" customWidth="1"/>
    <col min="518" max="518" width="12.140625" customWidth="1"/>
    <col min="519" max="519" width="14.42578125" customWidth="1"/>
    <col min="520" max="520" width="12.5703125" customWidth="1"/>
    <col min="521" max="521" width="17.7109375" customWidth="1"/>
    <col min="769" max="769" width="4.7109375" customWidth="1"/>
    <col min="770" max="770" width="45" customWidth="1"/>
    <col min="771" max="771" width="8.42578125" customWidth="1"/>
    <col min="772" max="772" width="14.28515625" customWidth="1"/>
    <col min="773" max="773" width="9.28515625" bestFit="1" customWidth="1"/>
    <col min="774" max="774" width="12.140625" customWidth="1"/>
    <col min="775" max="775" width="14.42578125" customWidth="1"/>
    <col min="776" max="776" width="12.5703125" customWidth="1"/>
    <col min="777" max="777" width="17.7109375" customWidth="1"/>
    <col min="1025" max="1025" width="4.7109375" customWidth="1"/>
    <col min="1026" max="1026" width="45" customWidth="1"/>
    <col min="1027" max="1027" width="8.42578125" customWidth="1"/>
    <col min="1028" max="1028" width="14.28515625" customWidth="1"/>
    <col min="1029" max="1029" width="9.28515625" bestFit="1" customWidth="1"/>
    <col min="1030" max="1030" width="12.140625" customWidth="1"/>
    <col min="1031" max="1031" width="14.42578125" customWidth="1"/>
    <col min="1032" max="1032" width="12.5703125" customWidth="1"/>
    <col min="1033" max="1033" width="17.7109375" customWidth="1"/>
    <col min="1281" max="1281" width="4.7109375" customWidth="1"/>
    <col min="1282" max="1282" width="45" customWidth="1"/>
    <col min="1283" max="1283" width="8.42578125" customWidth="1"/>
    <col min="1284" max="1284" width="14.28515625" customWidth="1"/>
    <col min="1285" max="1285" width="9.28515625" bestFit="1" customWidth="1"/>
    <col min="1286" max="1286" width="12.140625" customWidth="1"/>
    <col min="1287" max="1287" width="14.42578125" customWidth="1"/>
    <col min="1288" max="1288" width="12.5703125" customWidth="1"/>
    <col min="1289" max="1289" width="17.7109375" customWidth="1"/>
    <col min="1537" max="1537" width="4.7109375" customWidth="1"/>
    <col min="1538" max="1538" width="45" customWidth="1"/>
    <col min="1539" max="1539" width="8.42578125" customWidth="1"/>
    <col min="1540" max="1540" width="14.28515625" customWidth="1"/>
    <col min="1541" max="1541" width="9.28515625" bestFit="1" customWidth="1"/>
    <col min="1542" max="1542" width="12.140625" customWidth="1"/>
    <col min="1543" max="1543" width="14.42578125" customWidth="1"/>
    <col min="1544" max="1544" width="12.5703125" customWidth="1"/>
    <col min="1545" max="1545" width="17.7109375" customWidth="1"/>
    <col min="1793" max="1793" width="4.7109375" customWidth="1"/>
    <col min="1794" max="1794" width="45" customWidth="1"/>
    <col min="1795" max="1795" width="8.42578125" customWidth="1"/>
    <col min="1796" max="1796" width="14.28515625" customWidth="1"/>
    <col min="1797" max="1797" width="9.28515625" bestFit="1" customWidth="1"/>
    <col min="1798" max="1798" width="12.140625" customWidth="1"/>
    <col min="1799" max="1799" width="14.42578125" customWidth="1"/>
    <col min="1800" max="1800" width="12.5703125" customWidth="1"/>
    <col min="1801" max="1801" width="17.7109375" customWidth="1"/>
    <col min="2049" max="2049" width="4.7109375" customWidth="1"/>
    <col min="2050" max="2050" width="45" customWidth="1"/>
    <col min="2051" max="2051" width="8.42578125" customWidth="1"/>
    <col min="2052" max="2052" width="14.28515625" customWidth="1"/>
    <col min="2053" max="2053" width="9.28515625" bestFit="1" customWidth="1"/>
    <col min="2054" max="2054" width="12.140625" customWidth="1"/>
    <col min="2055" max="2055" width="14.42578125" customWidth="1"/>
    <col min="2056" max="2056" width="12.5703125" customWidth="1"/>
    <col min="2057" max="2057" width="17.7109375" customWidth="1"/>
    <col min="2305" max="2305" width="4.7109375" customWidth="1"/>
    <col min="2306" max="2306" width="45" customWidth="1"/>
    <col min="2307" max="2307" width="8.42578125" customWidth="1"/>
    <col min="2308" max="2308" width="14.28515625" customWidth="1"/>
    <col min="2309" max="2309" width="9.28515625" bestFit="1" customWidth="1"/>
    <col min="2310" max="2310" width="12.140625" customWidth="1"/>
    <col min="2311" max="2311" width="14.42578125" customWidth="1"/>
    <col min="2312" max="2312" width="12.5703125" customWidth="1"/>
    <col min="2313" max="2313" width="17.7109375" customWidth="1"/>
    <col min="2561" max="2561" width="4.7109375" customWidth="1"/>
    <col min="2562" max="2562" width="45" customWidth="1"/>
    <col min="2563" max="2563" width="8.42578125" customWidth="1"/>
    <col min="2564" max="2564" width="14.28515625" customWidth="1"/>
    <col min="2565" max="2565" width="9.28515625" bestFit="1" customWidth="1"/>
    <col min="2566" max="2566" width="12.140625" customWidth="1"/>
    <col min="2567" max="2567" width="14.42578125" customWidth="1"/>
    <col min="2568" max="2568" width="12.5703125" customWidth="1"/>
    <col min="2569" max="2569" width="17.7109375" customWidth="1"/>
    <col min="2817" max="2817" width="4.7109375" customWidth="1"/>
    <col min="2818" max="2818" width="45" customWidth="1"/>
    <col min="2819" max="2819" width="8.42578125" customWidth="1"/>
    <col min="2820" max="2820" width="14.28515625" customWidth="1"/>
    <col min="2821" max="2821" width="9.28515625" bestFit="1" customWidth="1"/>
    <col min="2822" max="2822" width="12.140625" customWidth="1"/>
    <col min="2823" max="2823" width="14.42578125" customWidth="1"/>
    <col min="2824" max="2824" width="12.5703125" customWidth="1"/>
    <col min="2825" max="2825" width="17.7109375" customWidth="1"/>
    <col min="3073" max="3073" width="4.7109375" customWidth="1"/>
    <col min="3074" max="3074" width="45" customWidth="1"/>
    <col min="3075" max="3075" width="8.42578125" customWidth="1"/>
    <col min="3076" max="3076" width="14.28515625" customWidth="1"/>
    <col min="3077" max="3077" width="9.28515625" bestFit="1" customWidth="1"/>
    <col min="3078" max="3078" width="12.140625" customWidth="1"/>
    <col min="3079" max="3079" width="14.42578125" customWidth="1"/>
    <col min="3080" max="3080" width="12.5703125" customWidth="1"/>
    <col min="3081" max="3081" width="17.7109375" customWidth="1"/>
    <col min="3329" max="3329" width="4.7109375" customWidth="1"/>
    <col min="3330" max="3330" width="45" customWidth="1"/>
    <col min="3331" max="3331" width="8.42578125" customWidth="1"/>
    <col min="3332" max="3332" width="14.28515625" customWidth="1"/>
    <col min="3333" max="3333" width="9.28515625" bestFit="1" customWidth="1"/>
    <col min="3334" max="3334" width="12.140625" customWidth="1"/>
    <col min="3335" max="3335" width="14.42578125" customWidth="1"/>
    <col min="3336" max="3336" width="12.5703125" customWidth="1"/>
    <col min="3337" max="3337" width="17.7109375" customWidth="1"/>
    <col min="3585" max="3585" width="4.7109375" customWidth="1"/>
    <col min="3586" max="3586" width="45" customWidth="1"/>
    <col min="3587" max="3587" width="8.42578125" customWidth="1"/>
    <col min="3588" max="3588" width="14.28515625" customWidth="1"/>
    <col min="3589" max="3589" width="9.28515625" bestFit="1" customWidth="1"/>
    <col min="3590" max="3590" width="12.140625" customWidth="1"/>
    <col min="3591" max="3591" width="14.42578125" customWidth="1"/>
    <col min="3592" max="3592" width="12.5703125" customWidth="1"/>
    <col min="3593" max="3593" width="17.7109375" customWidth="1"/>
    <col min="3841" max="3841" width="4.7109375" customWidth="1"/>
    <col min="3842" max="3842" width="45" customWidth="1"/>
    <col min="3843" max="3843" width="8.42578125" customWidth="1"/>
    <col min="3844" max="3844" width="14.28515625" customWidth="1"/>
    <col min="3845" max="3845" width="9.28515625" bestFit="1" customWidth="1"/>
    <col min="3846" max="3846" width="12.140625" customWidth="1"/>
    <col min="3847" max="3847" width="14.42578125" customWidth="1"/>
    <col min="3848" max="3848" width="12.5703125" customWidth="1"/>
    <col min="3849" max="3849" width="17.7109375" customWidth="1"/>
    <col min="4097" max="4097" width="4.7109375" customWidth="1"/>
    <col min="4098" max="4098" width="45" customWidth="1"/>
    <col min="4099" max="4099" width="8.42578125" customWidth="1"/>
    <col min="4100" max="4100" width="14.28515625" customWidth="1"/>
    <col min="4101" max="4101" width="9.28515625" bestFit="1" customWidth="1"/>
    <col min="4102" max="4102" width="12.140625" customWidth="1"/>
    <col min="4103" max="4103" width="14.42578125" customWidth="1"/>
    <col min="4104" max="4104" width="12.5703125" customWidth="1"/>
    <col min="4105" max="4105" width="17.7109375" customWidth="1"/>
    <col min="4353" max="4353" width="4.7109375" customWidth="1"/>
    <col min="4354" max="4354" width="45" customWidth="1"/>
    <col min="4355" max="4355" width="8.42578125" customWidth="1"/>
    <col min="4356" max="4356" width="14.28515625" customWidth="1"/>
    <col min="4357" max="4357" width="9.28515625" bestFit="1" customWidth="1"/>
    <col min="4358" max="4358" width="12.140625" customWidth="1"/>
    <col min="4359" max="4359" width="14.42578125" customWidth="1"/>
    <col min="4360" max="4360" width="12.5703125" customWidth="1"/>
    <col min="4361" max="4361" width="17.7109375" customWidth="1"/>
    <col min="4609" max="4609" width="4.7109375" customWidth="1"/>
    <col min="4610" max="4610" width="45" customWidth="1"/>
    <col min="4611" max="4611" width="8.42578125" customWidth="1"/>
    <col min="4612" max="4612" width="14.28515625" customWidth="1"/>
    <col min="4613" max="4613" width="9.28515625" bestFit="1" customWidth="1"/>
    <col min="4614" max="4614" width="12.140625" customWidth="1"/>
    <col min="4615" max="4615" width="14.42578125" customWidth="1"/>
    <col min="4616" max="4616" width="12.5703125" customWidth="1"/>
    <col min="4617" max="4617" width="17.7109375" customWidth="1"/>
    <col min="4865" max="4865" width="4.7109375" customWidth="1"/>
    <col min="4866" max="4866" width="45" customWidth="1"/>
    <col min="4867" max="4867" width="8.42578125" customWidth="1"/>
    <col min="4868" max="4868" width="14.28515625" customWidth="1"/>
    <col min="4869" max="4869" width="9.28515625" bestFit="1" customWidth="1"/>
    <col min="4870" max="4870" width="12.140625" customWidth="1"/>
    <col min="4871" max="4871" width="14.42578125" customWidth="1"/>
    <col min="4872" max="4872" width="12.5703125" customWidth="1"/>
    <col min="4873" max="4873" width="17.7109375" customWidth="1"/>
    <col min="5121" max="5121" width="4.7109375" customWidth="1"/>
    <col min="5122" max="5122" width="45" customWidth="1"/>
    <col min="5123" max="5123" width="8.42578125" customWidth="1"/>
    <col min="5124" max="5124" width="14.28515625" customWidth="1"/>
    <col min="5125" max="5125" width="9.28515625" bestFit="1" customWidth="1"/>
    <col min="5126" max="5126" width="12.140625" customWidth="1"/>
    <col min="5127" max="5127" width="14.42578125" customWidth="1"/>
    <col min="5128" max="5128" width="12.5703125" customWidth="1"/>
    <col min="5129" max="5129" width="17.7109375" customWidth="1"/>
    <col min="5377" max="5377" width="4.7109375" customWidth="1"/>
    <col min="5378" max="5378" width="45" customWidth="1"/>
    <col min="5379" max="5379" width="8.42578125" customWidth="1"/>
    <col min="5380" max="5380" width="14.28515625" customWidth="1"/>
    <col min="5381" max="5381" width="9.28515625" bestFit="1" customWidth="1"/>
    <col min="5382" max="5382" width="12.140625" customWidth="1"/>
    <col min="5383" max="5383" width="14.42578125" customWidth="1"/>
    <col min="5384" max="5384" width="12.5703125" customWidth="1"/>
    <col min="5385" max="5385" width="17.7109375" customWidth="1"/>
    <col min="5633" max="5633" width="4.7109375" customWidth="1"/>
    <col min="5634" max="5634" width="45" customWidth="1"/>
    <col min="5635" max="5635" width="8.42578125" customWidth="1"/>
    <col min="5636" max="5636" width="14.28515625" customWidth="1"/>
    <col min="5637" max="5637" width="9.28515625" bestFit="1" customWidth="1"/>
    <col min="5638" max="5638" width="12.140625" customWidth="1"/>
    <col min="5639" max="5639" width="14.42578125" customWidth="1"/>
    <col min="5640" max="5640" width="12.5703125" customWidth="1"/>
    <col min="5641" max="5641" width="17.7109375" customWidth="1"/>
    <col min="5889" max="5889" width="4.7109375" customWidth="1"/>
    <col min="5890" max="5890" width="45" customWidth="1"/>
    <col min="5891" max="5891" width="8.42578125" customWidth="1"/>
    <col min="5892" max="5892" width="14.28515625" customWidth="1"/>
    <col min="5893" max="5893" width="9.28515625" bestFit="1" customWidth="1"/>
    <col min="5894" max="5894" width="12.140625" customWidth="1"/>
    <col min="5895" max="5895" width="14.42578125" customWidth="1"/>
    <col min="5896" max="5896" width="12.5703125" customWidth="1"/>
    <col min="5897" max="5897" width="17.7109375" customWidth="1"/>
    <col min="6145" max="6145" width="4.7109375" customWidth="1"/>
    <col min="6146" max="6146" width="45" customWidth="1"/>
    <col min="6147" max="6147" width="8.42578125" customWidth="1"/>
    <col min="6148" max="6148" width="14.28515625" customWidth="1"/>
    <col min="6149" max="6149" width="9.28515625" bestFit="1" customWidth="1"/>
    <col min="6150" max="6150" width="12.140625" customWidth="1"/>
    <col min="6151" max="6151" width="14.42578125" customWidth="1"/>
    <col min="6152" max="6152" width="12.5703125" customWidth="1"/>
    <col min="6153" max="6153" width="17.7109375" customWidth="1"/>
    <col min="6401" max="6401" width="4.7109375" customWidth="1"/>
    <col min="6402" max="6402" width="45" customWidth="1"/>
    <col min="6403" max="6403" width="8.42578125" customWidth="1"/>
    <col min="6404" max="6404" width="14.28515625" customWidth="1"/>
    <col min="6405" max="6405" width="9.28515625" bestFit="1" customWidth="1"/>
    <col min="6406" max="6406" width="12.140625" customWidth="1"/>
    <col min="6407" max="6407" width="14.42578125" customWidth="1"/>
    <col min="6408" max="6408" width="12.5703125" customWidth="1"/>
    <col min="6409" max="6409" width="17.7109375" customWidth="1"/>
    <col min="6657" max="6657" width="4.7109375" customWidth="1"/>
    <col min="6658" max="6658" width="45" customWidth="1"/>
    <col min="6659" max="6659" width="8.42578125" customWidth="1"/>
    <col min="6660" max="6660" width="14.28515625" customWidth="1"/>
    <col min="6661" max="6661" width="9.28515625" bestFit="1" customWidth="1"/>
    <col min="6662" max="6662" width="12.140625" customWidth="1"/>
    <col min="6663" max="6663" width="14.42578125" customWidth="1"/>
    <col min="6664" max="6664" width="12.5703125" customWidth="1"/>
    <col min="6665" max="6665" width="17.7109375" customWidth="1"/>
    <col min="6913" max="6913" width="4.7109375" customWidth="1"/>
    <col min="6914" max="6914" width="45" customWidth="1"/>
    <col min="6915" max="6915" width="8.42578125" customWidth="1"/>
    <col min="6916" max="6916" width="14.28515625" customWidth="1"/>
    <col min="6917" max="6917" width="9.28515625" bestFit="1" customWidth="1"/>
    <col min="6918" max="6918" width="12.140625" customWidth="1"/>
    <col min="6919" max="6919" width="14.42578125" customWidth="1"/>
    <col min="6920" max="6920" width="12.5703125" customWidth="1"/>
    <col min="6921" max="6921" width="17.7109375" customWidth="1"/>
    <col min="7169" max="7169" width="4.7109375" customWidth="1"/>
    <col min="7170" max="7170" width="45" customWidth="1"/>
    <col min="7171" max="7171" width="8.42578125" customWidth="1"/>
    <col min="7172" max="7172" width="14.28515625" customWidth="1"/>
    <col min="7173" max="7173" width="9.28515625" bestFit="1" customWidth="1"/>
    <col min="7174" max="7174" width="12.140625" customWidth="1"/>
    <col min="7175" max="7175" width="14.42578125" customWidth="1"/>
    <col min="7176" max="7176" width="12.5703125" customWidth="1"/>
    <col min="7177" max="7177" width="17.7109375" customWidth="1"/>
    <col min="7425" max="7425" width="4.7109375" customWidth="1"/>
    <col min="7426" max="7426" width="45" customWidth="1"/>
    <col min="7427" max="7427" width="8.42578125" customWidth="1"/>
    <col min="7428" max="7428" width="14.28515625" customWidth="1"/>
    <col min="7429" max="7429" width="9.28515625" bestFit="1" customWidth="1"/>
    <col min="7430" max="7430" width="12.140625" customWidth="1"/>
    <col min="7431" max="7431" width="14.42578125" customWidth="1"/>
    <col min="7432" max="7432" width="12.5703125" customWidth="1"/>
    <col min="7433" max="7433" width="17.7109375" customWidth="1"/>
    <col min="7681" max="7681" width="4.7109375" customWidth="1"/>
    <col min="7682" max="7682" width="45" customWidth="1"/>
    <col min="7683" max="7683" width="8.42578125" customWidth="1"/>
    <col min="7684" max="7684" width="14.28515625" customWidth="1"/>
    <col min="7685" max="7685" width="9.28515625" bestFit="1" customWidth="1"/>
    <col min="7686" max="7686" width="12.140625" customWidth="1"/>
    <col min="7687" max="7687" width="14.42578125" customWidth="1"/>
    <col min="7688" max="7688" width="12.5703125" customWidth="1"/>
    <col min="7689" max="7689" width="17.7109375" customWidth="1"/>
    <col min="7937" max="7937" width="4.7109375" customWidth="1"/>
    <col min="7938" max="7938" width="45" customWidth="1"/>
    <col min="7939" max="7939" width="8.42578125" customWidth="1"/>
    <col min="7940" max="7940" width="14.28515625" customWidth="1"/>
    <col min="7941" max="7941" width="9.28515625" bestFit="1" customWidth="1"/>
    <col min="7942" max="7942" width="12.140625" customWidth="1"/>
    <col min="7943" max="7943" width="14.42578125" customWidth="1"/>
    <col min="7944" max="7944" width="12.5703125" customWidth="1"/>
    <col min="7945" max="7945" width="17.7109375" customWidth="1"/>
    <col min="8193" max="8193" width="4.7109375" customWidth="1"/>
    <col min="8194" max="8194" width="45" customWidth="1"/>
    <col min="8195" max="8195" width="8.42578125" customWidth="1"/>
    <col min="8196" max="8196" width="14.28515625" customWidth="1"/>
    <col min="8197" max="8197" width="9.28515625" bestFit="1" customWidth="1"/>
    <col min="8198" max="8198" width="12.140625" customWidth="1"/>
    <col min="8199" max="8199" width="14.42578125" customWidth="1"/>
    <col min="8200" max="8200" width="12.5703125" customWidth="1"/>
    <col min="8201" max="8201" width="17.7109375" customWidth="1"/>
    <col min="8449" max="8449" width="4.7109375" customWidth="1"/>
    <col min="8450" max="8450" width="45" customWidth="1"/>
    <col min="8451" max="8451" width="8.42578125" customWidth="1"/>
    <col min="8452" max="8452" width="14.28515625" customWidth="1"/>
    <col min="8453" max="8453" width="9.28515625" bestFit="1" customWidth="1"/>
    <col min="8454" max="8454" width="12.140625" customWidth="1"/>
    <col min="8455" max="8455" width="14.42578125" customWidth="1"/>
    <col min="8456" max="8456" width="12.5703125" customWidth="1"/>
    <col min="8457" max="8457" width="17.7109375" customWidth="1"/>
    <col min="8705" max="8705" width="4.7109375" customWidth="1"/>
    <col min="8706" max="8706" width="45" customWidth="1"/>
    <col min="8707" max="8707" width="8.42578125" customWidth="1"/>
    <col min="8708" max="8708" width="14.28515625" customWidth="1"/>
    <col min="8709" max="8709" width="9.28515625" bestFit="1" customWidth="1"/>
    <col min="8710" max="8710" width="12.140625" customWidth="1"/>
    <col min="8711" max="8711" width="14.42578125" customWidth="1"/>
    <col min="8712" max="8712" width="12.5703125" customWidth="1"/>
    <col min="8713" max="8713" width="17.7109375" customWidth="1"/>
    <col min="8961" max="8961" width="4.7109375" customWidth="1"/>
    <col min="8962" max="8962" width="45" customWidth="1"/>
    <col min="8963" max="8963" width="8.42578125" customWidth="1"/>
    <col min="8964" max="8964" width="14.28515625" customWidth="1"/>
    <col min="8965" max="8965" width="9.28515625" bestFit="1" customWidth="1"/>
    <col min="8966" max="8966" width="12.140625" customWidth="1"/>
    <col min="8967" max="8967" width="14.42578125" customWidth="1"/>
    <col min="8968" max="8968" width="12.5703125" customWidth="1"/>
    <col min="8969" max="8969" width="17.7109375" customWidth="1"/>
    <col min="9217" max="9217" width="4.7109375" customWidth="1"/>
    <col min="9218" max="9218" width="45" customWidth="1"/>
    <col min="9219" max="9219" width="8.42578125" customWidth="1"/>
    <col min="9220" max="9220" width="14.28515625" customWidth="1"/>
    <col min="9221" max="9221" width="9.28515625" bestFit="1" customWidth="1"/>
    <col min="9222" max="9222" width="12.140625" customWidth="1"/>
    <col min="9223" max="9223" width="14.42578125" customWidth="1"/>
    <col min="9224" max="9224" width="12.5703125" customWidth="1"/>
    <col min="9225" max="9225" width="17.7109375" customWidth="1"/>
    <col min="9473" max="9473" width="4.7109375" customWidth="1"/>
    <col min="9474" max="9474" width="45" customWidth="1"/>
    <col min="9475" max="9475" width="8.42578125" customWidth="1"/>
    <col min="9476" max="9476" width="14.28515625" customWidth="1"/>
    <col min="9477" max="9477" width="9.28515625" bestFit="1" customWidth="1"/>
    <col min="9478" max="9478" width="12.140625" customWidth="1"/>
    <col min="9479" max="9479" width="14.42578125" customWidth="1"/>
    <col min="9480" max="9480" width="12.5703125" customWidth="1"/>
    <col min="9481" max="9481" width="17.7109375" customWidth="1"/>
    <col min="9729" max="9729" width="4.7109375" customWidth="1"/>
    <col min="9730" max="9730" width="45" customWidth="1"/>
    <col min="9731" max="9731" width="8.42578125" customWidth="1"/>
    <col min="9732" max="9732" width="14.28515625" customWidth="1"/>
    <col min="9733" max="9733" width="9.28515625" bestFit="1" customWidth="1"/>
    <col min="9734" max="9734" width="12.140625" customWidth="1"/>
    <col min="9735" max="9735" width="14.42578125" customWidth="1"/>
    <col min="9736" max="9736" width="12.5703125" customWidth="1"/>
    <col min="9737" max="9737" width="17.7109375" customWidth="1"/>
    <col min="9985" max="9985" width="4.7109375" customWidth="1"/>
    <col min="9986" max="9986" width="45" customWidth="1"/>
    <col min="9987" max="9987" width="8.42578125" customWidth="1"/>
    <col min="9988" max="9988" width="14.28515625" customWidth="1"/>
    <col min="9989" max="9989" width="9.28515625" bestFit="1" customWidth="1"/>
    <col min="9990" max="9990" width="12.140625" customWidth="1"/>
    <col min="9991" max="9991" width="14.42578125" customWidth="1"/>
    <col min="9992" max="9992" width="12.5703125" customWidth="1"/>
    <col min="9993" max="9993" width="17.7109375" customWidth="1"/>
    <col min="10241" max="10241" width="4.7109375" customWidth="1"/>
    <col min="10242" max="10242" width="45" customWidth="1"/>
    <col min="10243" max="10243" width="8.42578125" customWidth="1"/>
    <col min="10244" max="10244" width="14.28515625" customWidth="1"/>
    <col min="10245" max="10245" width="9.28515625" bestFit="1" customWidth="1"/>
    <col min="10246" max="10246" width="12.140625" customWidth="1"/>
    <col min="10247" max="10247" width="14.42578125" customWidth="1"/>
    <col min="10248" max="10248" width="12.5703125" customWidth="1"/>
    <col min="10249" max="10249" width="17.7109375" customWidth="1"/>
    <col min="10497" max="10497" width="4.7109375" customWidth="1"/>
    <col min="10498" max="10498" width="45" customWidth="1"/>
    <col min="10499" max="10499" width="8.42578125" customWidth="1"/>
    <col min="10500" max="10500" width="14.28515625" customWidth="1"/>
    <col min="10501" max="10501" width="9.28515625" bestFit="1" customWidth="1"/>
    <col min="10502" max="10502" width="12.140625" customWidth="1"/>
    <col min="10503" max="10503" width="14.42578125" customWidth="1"/>
    <col min="10504" max="10504" width="12.5703125" customWidth="1"/>
    <col min="10505" max="10505" width="17.7109375" customWidth="1"/>
    <col min="10753" max="10753" width="4.7109375" customWidth="1"/>
    <col min="10754" max="10754" width="45" customWidth="1"/>
    <col min="10755" max="10755" width="8.42578125" customWidth="1"/>
    <col min="10756" max="10756" width="14.28515625" customWidth="1"/>
    <col min="10757" max="10757" width="9.28515625" bestFit="1" customWidth="1"/>
    <col min="10758" max="10758" width="12.140625" customWidth="1"/>
    <col min="10759" max="10759" width="14.42578125" customWidth="1"/>
    <col min="10760" max="10760" width="12.5703125" customWidth="1"/>
    <col min="10761" max="10761" width="17.7109375" customWidth="1"/>
    <col min="11009" max="11009" width="4.7109375" customWidth="1"/>
    <col min="11010" max="11010" width="45" customWidth="1"/>
    <col min="11011" max="11011" width="8.42578125" customWidth="1"/>
    <col min="11012" max="11012" width="14.28515625" customWidth="1"/>
    <col min="11013" max="11013" width="9.28515625" bestFit="1" customWidth="1"/>
    <col min="11014" max="11014" width="12.140625" customWidth="1"/>
    <col min="11015" max="11015" width="14.42578125" customWidth="1"/>
    <col min="11016" max="11016" width="12.5703125" customWidth="1"/>
    <col min="11017" max="11017" width="17.7109375" customWidth="1"/>
    <col min="11265" max="11265" width="4.7109375" customWidth="1"/>
    <col min="11266" max="11266" width="45" customWidth="1"/>
    <col min="11267" max="11267" width="8.42578125" customWidth="1"/>
    <col min="11268" max="11268" width="14.28515625" customWidth="1"/>
    <col min="11269" max="11269" width="9.28515625" bestFit="1" customWidth="1"/>
    <col min="11270" max="11270" width="12.140625" customWidth="1"/>
    <col min="11271" max="11271" width="14.42578125" customWidth="1"/>
    <col min="11272" max="11272" width="12.5703125" customWidth="1"/>
    <col min="11273" max="11273" width="17.7109375" customWidth="1"/>
    <col min="11521" max="11521" width="4.7109375" customWidth="1"/>
    <col min="11522" max="11522" width="45" customWidth="1"/>
    <col min="11523" max="11523" width="8.42578125" customWidth="1"/>
    <col min="11524" max="11524" width="14.28515625" customWidth="1"/>
    <col min="11525" max="11525" width="9.28515625" bestFit="1" customWidth="1"/>
    <col min="11526" max="11526" width="12.140625" customWidth="1"/>
    <col min="11527" max="11527" width="14.42578125" customWidth="1"/>
    <col min="11528" max="11528" width="12.5703125" customWidth="1"/>
    <col min="11529" max="11529" width="17.7109375" customWidth="1"/>
    <col min="11777" max="11777" width="4.7109375" customWidth="1"/>
    <col min="11778" max="11778" width="45" customWidth="1"/>
    <col min="11779" max="11779" width="8.42578125" customWidth="1"/>
    <col min="11780" max="11780" width="14.28515625" customWidth="1"/>
    <col min="11781" max="11781" width="9.28515625" bestFit="1" customWidth="1"/>
    <col min="11782" max="11782" width="12.140625" customWidth="1"/>
    <col min="11783" max="11783" width="14.42578125" customWidth="1"/>
    <col min="11784" max="11784" width="12.5703125" customWidth="1"/>
    <col min="11785" max="11785" width="17.7109375" customWidth="1"/>
    <col min="12033" max="12033" width="4.7109375" customWidth="1"/>
    <col min="12034" max="12034" width="45" customWidth="1"/>
    <col min="12035" max="12035" width="8.42578125" customWidth="1"/>
    <col min="12036" max="12036" width="14.28515625" customWidth="1"/>
    <col min="12037" max="12037" width="9.28515625" bestFit="1" customWidth="1"/>
    <col min="12038" max="12038" width="12.140625" customWidth="1"/>
    <col min="12039" max="12039" width="14.42578125" customWidth="1"/>
    <col min="12040" max="12040" width="12.5703125" customWidth="1"/>
    <col min="12041" max="12041" width="17.7109375" customWidth="1"/>
    <col min="12289" max="12289" width="4.7109375" customWidth="1"/>
    <col min="12290" max="12290" width="45" customWidth="1"/>
    <col min="12291" max="12291" width="8.42578125" customWidth="1"/>
    <col min="12292" max="12292" width="14.28515625" customWidth="1"/>
    <col min="12293" max="12293" width="9.28515625" bestFit="1" customWidth="1"/>
    <col min="12294" max="12294" width="12.140625" customWidth="1"/>
    <col min="12295" max="12295" width="14.42578125" customWidth="1"/>
    <col min="12296" max="12296" width="12.5703125" customWidth="1"/>
    <col min="12297" max="12297" width="17.7109375" customWidth="1"/>
    <col min="12545" max="12545" width="4.7109375" customWidth="1"/>
    <col min="12546" max="12546" width="45" customWidth="1"/>
    <col min="12547" max="12547" width="8.42578125" customWidth="1"/>
    <col min="12548" max="12548" width="14.28515625" customWidth="1"/>
    <col min="12549" max="12549" width="9.28515625" bestFit="1" customWidth="1"/>
    <col min="12550" max="12550" width="12.140625" customWidth="1"/>
    <col min="12551" max="12551" width="14.42578125" customWidth="1"/>
    <col min="12552" max="12552" width="12.5703125" customWidth="1"/>
    <col min="12553" max="12553" width="17.7109375" customWidth="1"/>
    <col min="12801" max="12801" width="4.7109375" customWidth="1"/>
    <col min="12802" max="12802" width="45" customWidth="1"/>
    <col min="12803" max="12803" width="8.42578125" customWidth="1"/>
    <col min="12804" max="12804" width="14.28515625" customWidth="1"/>
    <col min="12805" max="12805" width="9.28515625" bestFit="1" customWidth="1"/>
    <col min="12806" max="12806" width="12.140625" customWidth="1"/>
    <col min="12807" max="12807" width="14.42578125" customWidth="1"/>
    <col min="12808" max="12808" width="12.5703125" customWidth="1"/>
    <col min="12809" max="12809" width="17.7109375" customWidth="1"/>
    <col min="13057" max="13057" width="4.7109375" customWidth="1"/>
    <col min="13058" max="13058" width="45" customWidth="1"/>
    <col min="13059" max="13059" width="8.42578125" customWidth="1"/>
    <col min="13060" max="13060" width="14.28515625" customWidth="1"/>
    <col min="13061" max="13061" width="9.28515625" bestFit="1" customWidth="1"/>
    <col min="13062" max="13062" width="12.140625" customWidth="1"/>
    <col min="13063" max="13063" width="14.42578125" customWidth="1"/>
    <col min="13064" max="13064" width="12.5703125" customWidth="1"/>
    <col min="13065" max="13065" width="17.7109375" customWidth="1"/>
    <col min="13313" max="13313" width="4.7109375" customWidth="1"/>
    <col min="13314" max="13314" width="45" customWidth="1"/>
    <col min="13315" max="13315" width="8.42578125" customWidth="1"/>
    <col min="13316" max="13316" width="14.28515625" customWidth="1"/>
    <col min="13317" max="13317" width="9.28515625" bestFit="1" customWidth="1"/>
    <col min="13318" max="13318" width="12.140625" customWidth="1"/>
    <col min="13319" max="13319" width="14.42578125" customWidth="1"/>
    <col min="13320" max="13320" width="12.5703125" customWidth="1"/>
    <col min="13321" max="13321" width="17.7109375" customWidth="1"/>
    <col min="13569" max="13569" width="4.7109375" customWidth="1"/>
    <col min="13570" max="13570" width="45" customWidth="1"/>
    <col min="13571" max="13571" width="8.42578125" customWidth="1"/>
    <col min="13572" max="13572" width="14.28515625" customWidth="1"/>
    <col min="13573" max="13573" width="9.28515625" bestFit="1" customWidth="1"/>
    <col min="13574" max="13574" width="12.140625" customWidth="1"/>
    <col min="13575" max="13575" width="14.42578125" customWidth="1"/>
    <col min="13576" max="13576" width="12.5703125" customWidth="1"/>
    <col min="13577" max="13577" width="17.7109375" customWidth="1"/>
    <col min="13825" max="13825" width="4.7109375" customWidth="1"/>
    <col min="13826" max="13826" width="45" customWidth="1"/>
    <col min="13827" max="13827" width="8.42578125" customWidth="1"/>
    <col min="13828" max="13828" width="14.28515625" customWidth="1"/>
    <col min="13829" max="13829" width="9.28515625" bestFit="1" customWidth="1"/>
    <col min="13830" max="13830" width="12.140625" customWidth="1"/>
    <col min="13831" max="13831" width="14.42578125" customWidth="1"/>
    <col min="13832" max="13832" width="12.5703125" customWidth="1"/>
    <col min="13833" max="13833" width="17.7109375" customWidth="1"/>
    <col min="14081" max="14081" width="4.7109375" customWidth="1"/>
    <col min="14082" max="14082" width="45" customWidth="1"/>
    <col min="14083" max="14083" width="8.42578125" customWidth="1"/>
    <col min="14084" max="14084" width="14.28515625" customWidth="1"/>
    <col min="14085" max="14085" width="9.28515625" bestFit="1" customWidth="1"/>
    <col min="14086" max="14086" width="12.140625" customWidth="1"/>
    <col min="14087" max="14087" width="14.42578125" customWidth="1"/>
    <col min="14088" max="14088" width="12.5703125" customWidth="1"/>
    <col min="14089" max="14089" width="17.7109375" customWidth="1"/>
    <col min="14337" max="14337" width="4.7109375" customWidth="1"/>
    <col min="14338" max="14338" width="45" customWidth="1"/>
    <col min="14339" max="14339" width="8.42578125" customWidth="1"/>
    <col min="14340" max="14340" width="14.28515625" customWidth="1"/>
    <col min="14341" max="14341" width="9.28515625" bestFit="1" customWidth="1"/>
    <col min="14342" max="14342" width="12.140625" customWidth="1"/>
    <col min="14343" max="14343" width="14.42578125" customWidth="1"/>
    <col min="14344" max="14344" width="12.5703125" customWidth="1"/>
    <col min="14345" max="14345" width="17.7109375" customWidth="1"/>
    <col min="14593" max="14593" width="4.7109375" customWidth="1"/>
    <col min="14594" max="14594" width="45" customWidth="1"/>
    <col min="14595" max="14595" width="8.42578125" customWidth="1"/>
    <col min="14596" max="14596" width="14.28515625" customWidth="1"/>
    <col min="14597" max="14597" width="9.28515625" bestFit="1" customWidth="1"/>
    <col min="14598" max="14598" width="12.140625" customWidth="1"/>
    <col min="14599" max="14599" width="14.42578125" customWidth="1"/>
    <col min="14600" max="14600" width="12.5703125" customWidth="1"/>
    <col min="14601" max="14601" width="17.7109375" customWidth="1"/>
    <col min="14849" max="14849" width="4.7109375" customWidth="1"/>
    <col min="14850" max="14850" width="45" customWidth="1"/>
    <col min="14851" max="14851" width="8.42578125" customWidth="1"/>
    <col min="14852" max="14852" width="14.28515625" customWidth="1"/>
    <col min="14853" max="14853" width="9.28515625" bestFit="1" customWidth="1"/>
    <col min="14854" max="14854" width="12.140625" customWidth="1"/>
    <col min="14855" max="14855" width="14.42578125" customWidth="1"/>
    <col min="14856" max="14856" width="12.5703125" customWidth="1"/>
    <col min="14857" max="14857" width="17.7109375" customWidth="1"/>
    <col min="15105" max="15105" width="4.7109375" customWidth="1"/>
    <col min="15106" max="15106" width="45" customWidth="1"/>
    <col min="15107" max="15107" width="8.42578125" customWidth="1"/>
    <col min="15108" max="15108" width="14.28515625" customWidth="1"/>
    <col min="15109" max="15109" width="9.28515625" bestFit="1" customWidth="1"/>
    <col min="15110" max="15110" width="12.140625" customWidth="1"/>
    <col min="15111" max="15111" width="14.42578125" customWidth="1"/>
    <col min="15112" max="15112" width="12.5703125" customWidth="1"/>
    <col min="15113" max="15113" width="17.7109375" customWidth="1"/>
    <col min="15361" max="15361" width="4.7109375" customWidth="1"/>
    <col min="15362" max="15362" width="45" customWidth="1"/>
    <col min="15363" max="15363" width="8.42578125" customWidth="1"/>
    <col min="15364" max="15364" width="14.28515625" customWidth="1"/>
    <col min="15365" max="15365" width="9.28515625" bestFit="1" customWidth="1"/>
    <col min="15366" max="15366" width="12.140625" customWidth="1"/>
    <col min="15367" max="15367" width="14.42578125" customWidth="1"/>
    <col min="15368" max="15368" width="12.5703125" customWidth="1"/>
    <col min="15369" max="15369" width="17.7109375" customWidth="1"/>
    <col min="15617" max="15617" width="4.7109375" customWidth="1"/>
    <col min="15618" max="15618" width="45" customWidth="1"/>
    <col min="15619" max="15619" width="8.42578125" customWidth="1"/>
    <col min="15620" max="15620" width="14.28515625" customWidth="1"/>
    <col min="15621" max="15621" width="9.28515625" bestFit="1" customWidth="1"/>
    <col min="15622" max="15622" width="12.140625" customWidth="1"/>
    <col min="15623" max="15623" width="14.42578125" customWidth="1"/>
    <col min="15624" max="15624" width="12.5703125" customWidth="1"/>
    <col min="15625" max="15625" width="17.7109375" customWidth="1"/>
    <col min="15873" max="15873" width="4.7109375" customWidth="1"/>
    <col min="15874" max="15874" width="45" customWidth="1"/>
    <col min="15875" max="15875" width="8.42578125" customWidth="1"/>
    <col min="15876" max="15876" width="14.28515625" customWidth="1"/>
    <col min="15877" max="15877" width="9.28515625" bestFit="1" customWidth="1"/>
    <col min="15878" max="15878" width="12.140625" customWidth="1"/>
    <col min="15879" max="15879" width="14.42578125" customWidth="1"/>
    <col min="15880" max="15880" width="12.5703125" customWidth="1"/>
    <col min="15881" max="15881" width="17.7109375" customWidth="1"/>
    <col min="16129" max="16129" width="4.7109375" customWidth="1"/>
    <col min="16130" max="16130" width="45" customWidth="1"/>
    <col min="16131" max="16131" width="8.42578125" customWidth="1"/>
    <col min="16132" max="16132" width="14.28515625" customWidth="1"/>
    <col min="16133" max="16133" width="9.28515625" bestFit="1" customWidth="1"/>
    <col min="16134" max="16134" width="12.140625" customWidth="1"/>
    <col min="16135" max="16135" width="14.42578125" customWidth="1"/>
    <col min="16136" max="16136" width="12.5703125" customWidth="1"/>
    <col min="16137" max="16137" width="17.7109375" customWidth="1"/>
  </cols>
  <sheetData>
    <row r="1" spans="1:14" x14ac:dyDescent="0.2">
      <c r="A1" s="103" t="s">
        <v>265</v>
      </c>
    </row>
    <row r="2" spans="1:14" x14ac:dyDescent="0.2">
      <c r="A2" s="103" t="str">
        <f>'[2]Planilha Global'!A2</f>
        <v>PREFEITURA MUNICIPAL DE MAMANGUAPE</v>
      </c>
      <c r="G2" t="s">
        <v>421</v>
      </c>
      <c r="H2">
        <v>108.51</v>
      </c>
    </row>
    <row r="3" spans="1:14" ht="5.0999999999999996" customHeight="1" x14ac:dyDescent="0.2"/>
    <row r="4" spans="1:14" s="202" customFormat="1" ht="12.75" customHeight="1" x14ac:dyDescent="0.25">
      <c r="A4" s="729" t="s">
        <v>422</v>
      </c>
      <c r="B4" s="737"/>
      <c r="C4" s="737"/>
      <c r="D4" s="737"/>
      <c r="E4" s="737"/>
      <c r="F4" s="737"/>
      <c r="H4" s="202" t="s">
        <v>423</v>
      </c>
      <c r="I4" s="202" t="s">
        <v>424</v>
      </c>
      <c r="J4" s="202" t="s">
        <v>425</v>
      </c>
      <c r="K4" s="202" t="s">
        <v>426</v>
      </c>
      <c r="L4" s="202" t="s">
        <v>427</v>
      </c>
      <c r="M4" s="202" t="s">
        <v>428</v>
      </c>
      <c r="N4" s="202" t="s">
        <v>429</v>
      </c>
    </row>
    <row r="5" spans="1:14" s="202" customFormat="1" ht="7.5" customHeight="1" x14ac:dyDescent="0.25">
      <c r="A5" s="434"/>
      <c r="B5" s="435"/>
      <c r="C5" s="435"/>
      <c r="D5" s="435"/>
      <c r="E5" s="435"/>
      <c r="F5" s="435"/>
    </row>
    <row r="6" spans="1:14" s="202" customFormat="1" ht="15" customHeight="1" x14ac:dyDescent="0.25">
      <c r="A6" s="258" t="s">
        <v>708</v>
      </c>
      <c r="B6" s="258"/>
      <c r="C6" s="258"/>
      <c r="D6" s="258"/>
      <c r="E6" s="258"/>
      <c r="F6" s="103"/>
      <c r="G6" s="53"/>
      <c r="H6" s="663">
        <f>(7.33+6.17)/2</f>
        <v>6.75</v>
      </c>
      <c r="I6" s="202">
        <v>27.08</v>
      </c>
      <c r="J6" s="230">
        <f t="shared" ref="J6:J12" si="0">H6*I6</f>
        <v>182.79</v>
      </c>
    </row>
    <row r="7" spans="1:14" s="202" customFormat="1" ht="21" customHeight="1" x14ac:dyDescent="0.25">
      <c r="A7" s="258" t="s">
        <v>525</v>
      </c>
      <c r="B7" s="436"/>
      <c r="C7" s="437"/>
      <c r="D7" s="437"/>
      <c r="E7" s="257"/>
      <c r="F7" s="257"/>
      <c r="G7" s="53"/>
      <c r="H7" s="663">
        <f>(6.17+5.47)/2</f>
        <v>5.82</v>
      </c>
      <c r="I7" s="202">
        <v>12.27</v>
      </c>
      <c r="J7" s="230">
        <f t="shared" si="0"/>
        <v>71.41</v>
      </c>
    </row>
    <row r="8" spans="1:14" s="202" customFormat="1" ht="15" customHeight="1" x14ac:dyDescent="0.25">
      <c r="A8" s="103" t="s">
        <v>740</v>
      </c>
      <c r="B8" s="436"/>
      <c r="C8" s="736" t="s">
        <v>743</v>
      </c>
      <c r="D8" s="736"/>
      <c r="E8" s="736"/>
      <c r="F8" s="736"/>
      <c r="G8" s="53"/>
      <c r="H8" s="663">
        <f>(5.47+6.01)/2</f>
        <v>5.74</v>
      </c>
      <c r="I8" s="202">
        <v>10.97</v>
      </c>
      <c r="J8" s="230">
        <f t="shared" si="0"/>
        <v>62.97</v>
      </c>
      <c r="K8" s="202">
        <f>20.57+26.99+9+10.1+9.94+8.02+23.94+23.67+7.66+9.02+7.69+2.12+3.82+3.27+2.68+10.1+3.16+13.88+13.69</f>
        <v>209.32</v>
      </c>
      <c r="L8" s="202">
        <f>5.68+4.08+6.31+26.94+12.7+10.5+13.15+2.22+7.65+20.38+25.33+25.4+36.7+29.26+18.73+19.08+9.01+14.58+11.42+7.25+4.36+26.66+12.33+10.58+14.04+3.07+7.89+20.45+25.67+25.67+37.03+29.56+19.1+18.96+8.89+14.81+11.96</f>
        <v>597.4</v>
      </c>
      <c r="M8" s="202">
        <v>4</v>
      </c>
      <c r="N8" s="202">
        <v>1.2</v>
      </c>
    </row>
    <row r="9" spans="1:14" s="202" customFormat="1" ht="15" customHeight="1" x14ac:dyDescent="0.2">
      <c r="A9" s="103" t="s">
        <v>741</v>
      </c>
      <c r="B9" s="438"/>
      <c r="C9" s="736" t="s">
        <v>744</v>
      </c>
      <c r="D9" s="736"/>
      <c r="E9" s="736"/>
      <c r="F9" s="736"/>
      <c r="G9" s="53"/>
      <c r="H9" s="663">
        <f>(6.01+5.6)/2</f>
        <v>5.8049999999999997</v>
      </c>
      <c r="I9" s="230">
        <v>23.26</v>
      </c>
      <c r="J9" s="230">
        <f t="shared" si="0"/>
        <v>135.02000000000001</v>
      </c>
      <c r="K9" s="230"/>
      <c r="L9" s="202">
        <f>2.43+3.39+2.31+2.97+2.01+3.07</f>
        <v>16.18</v>
      </c>
    </row>
    <row r="10" spans="1:14" s="202" customFormat="1" ht="14.25" customHeight="1" x14ac:dyDescent="0.2">
      <c r="A10" s="103" t="s">
        <v>742</v>
      </c>
      <c r="B10" s="438"/>
      <c r="C10" s="736" t="s">
        <v>745</v>
      </c>
      <c r="D10" s="736"/>
      <c r="E10" s="736"/>
      <c r="F10" s="736"/>
      <c r="H10" s="663">
        <f>(5.6+5.07)/2</f>
        <v>5.335</v>
      </c>
      <c r="I10" s="230">
        <v>8.61</v>
      </c>
      <c r="J10" s="230">
        <f t="shared" si="0"/>
        <v>45.93</v>
      </c>
      <c r="K10" s="230"/>
    </row>
    <row r="11" spans="1:14" s="202" customFormat="1" ht="14.25" customHeight="1" x14ac:dyDescent="0.2">
      <c r="A11" s="103" t="s">
        <v>746</v>
      </c>
      <c r="B11" s="438"/>
      <c r="C11" s="103" t="s">
        <v>747</v>
      </c>
      <c r="D11" s="437"/>
      <c r="E11" s="437"/>
      <c r="F11" s="437"/>
      <c r="H11" s="663">
        <f>(5.07+5)/2</f>
        <v>5.0350000000000001</v>
      </c>
      <c r="I11" s="230">
        <v>12.54</v>
      </c>
      <c r="J11" s="230">
        <f t="shared" si="0"/>
        <v>63.14</v>
      </c>
    </row>
    <row r="12" spans="1:14" s="202" customFormat="1" ht="14.25" customHeight="1" x14ac:dyDescent="0.2">
      <c r="A12" s="103"/>
      <c r="B12" s="438"/>
      <c r="C12" s="103"/>
      <c r="D12" s="437"/>
      <c r="E12" s="103"/>
      <c r="F12" s="103"/>
      <c r="H12" s="663">
        <v>5</v>
      </c>
      <c r="I12" s="230">
        <v>13.78</v>
      </c>
      <c r="J12" s="230">
        <f t="shared" si="0"/>
        <v>68.900000000000006</v>
      </c>
    </row>
    <row r="13" spans="1:14" s="202" customFormat="1" ht="15" customHeight="1" x14ac:dyDescent="0.25">
      <c r="A13" s="103" t="s">
        <v>748</v>
      </c>
      <c r="B13" s="436"/>
      <c r="C13" s="736" t="s">
        <v>752</v>
      </c>
      <c r="D13" s="736"/>
      <c r="E13" s="736"/>
      <c r="F13" s="736"/>
      <c r="G13" s="53"/>
      <c r="J13" s="230">
        <v>29.86</v>
      </c>
      <c r="L13" s="202">
        <f>5.68+4.08+6.31+26.94+12.7+10.5+13.15+2.22+7.65+20.38+25.33+25.4+36.7+29.26+18.73+19.08+9.01+14.58+11.42+7.25+4.36+26.66+12.33+10.58+14.04+3.07+7.89+20.45+25.67+25.67+37.03+29.56+19.1+18.96+8.89+14.81+11.96</f>
        <v>597.4</v>
      </c>
      <c r="M13" s="202">
        <v>4</v>
      </c>
      <c r="N13" s="202">
        <v>1.2</v>
      </c>
    </row>
    <row r="14" spans="1:14" s="202" customFormat="1" ht="15" customHeight="1" x14ac:dyDescent="0.2">
      <c r="A14" s="103" t="s">
        <v>749</v>
      </c>
      <c r="B14" s="438"/>
      <c r="C14" s="736" t="s">
        <v>753</v>
      </c>
      <c r="D14" s="736"/>
      <c r="E14" s="736"/>
      <c r="F14" s="736"/>
      <c r="G14" s="53"/>
      <c r="H14" s="230"/>
      <c r="I14" s="230"/>
      <c r="J14" s="230">
        <f>SUM(J6:J13)</f>
        <v>660.02</v>
      </c>
      <c r="K14" s="230"/>
      <c r="L14" s="202">
        <f>2.43+3.39+2.31+2.97+2.01+3.07</f>
        <v>16.18</v>
      </c>
    </row>
    <row r="15" spans="1:14" s="202" customFormat="1" ht="14.25" customHeight="1" x14ac:dyDescent="0.2">
      <c r="A15" s="103" t="s">
        <v>750</v>
      </c>
      <c r="B15" s="438"/>
      <c r="C15" s="736" t="s">
        <v>754</v>
      </c>
      <c r="D15" s="736"/>
      <c r="E15" s="736"/>
      <c r="F15" s="736"/>
      <c r="H15" s="230"/>
      <c r="I15" s="230"/>
      <c r="J15" s="230"/>
      <c r="K15" s="230"/>
    </row>
    <row r="16" spans="1:14" s="202" customFormat="1" ht="14.25" customHeight="1" x14ac:dyDescent="0.2">
      <c r="A16" s="103" t="s">
        <v>751</v>
      </c>
      <c r="B16" s="438"/>
      <c r="C16" s="103" t="s">
        <v>761</v>
      </c>
      <c r="D16" s="437"/>
      <c r="E16" s="437"/>
      <c r="F16" s="437"/>
      <c r="H16" s="230"/>
      <c r="I16" s="230"/>
      <c r="J16" s="230"/>
    </row>
    <row r="17" spans="1:14" s="202" customFormat="1" ht="14.25" customHeight="1" x14ac:dyDescent="0.2">
      <c r="A17" s="103"/>
      <c r="B17" s="438"/>
      <c r="C17" s="103"/>
      <c r="D17" s="437"/>
      <c r="E17" s="103"/>
      <c r="F17" s="103"/>
      <c r="I17" s="230"/>
      <c r="J17" s="230"/>
    </row>
    <row r="18" spans="1:14" s="202" customFormat="1" ht="15" customHeight="1" x14ac:dyDescent="0.25">
      <c r="A18" s="103" t="s">
        <v>755</v>
      </c>
      <c r="B18" s="436"/>
      <c r="C18" s="736" t="s">
        <v>758</v>
      </c>
      <c r="D18" s="736"/>
      <c r="E18" s="736"/>
      <c r="F18" s="736"/>
      <c r="G18" s="53"/>
      <c r="J18" s="230"/>
      <c r="L18" s="202">
        <f>5.68+4.08+6.31+26.94+12.7+10.5+13.15+2.22+7.65+20.38+25.33+25.4+36.7+29.26+18.73+19.08+9.01+14.58+11.42+7.25+4.36+26.66+12.33+10.58+14.04+3.07+7.89+20.45+25.67+25.67+37.03+29.56+19.1+18.96+8.89+14.81+11.96</f>
        <v>597.4</v>
      </c>
      <c r="M18" s="202">
        <v>4</v>
      </c>
      <c r="N18" s="202">
        <v>1.2</v>
      </c>
    </row>
    <row r="19" spans="1:14" s="202" customFormat="1" ht="15" customHeight="1" x14ac:dyDescent="0.2">
      <c r="A19" s="103" t="s">
        <v>756</v>
      </c>
      <c r="B19" s="438"/>
      <c r="C19" s="736" t="s">
        <v>759</v>
      </c>
      <c r="D19" s="736"/>
      <c r="E19" s="736"/>
      <c r="F19" s="736"/>
      <c r="G19" s="53"/>
      <c r="H19" s="230"/>
      <c r="I19" s="230"/>
      <c r="J19" s="230"/>
      <c r="K19" s="230"/>
      <c r="L19" s="202">
        <f>2.43+3.39+2.31+2.97+2.01+3.07</f>
        <v>16.18</v>
      </c>
    </row>
    <row r="20" spans="1:14" s="202" customFormat="1" ht="14.25" customHeight="1" x14ac:dyDescent="0.2">
      <c r="A20" s="103" t="s">
        <v>757</v>
      </c>
      <c r="B20" s="438"/>
      <c r="C20" s="736" t="s">
        <v>760</v>
      </c>
      <c r="D20" s="736"/>
      <c r="E20" s="736"/>
      <c r="F20" s="736"/>
      <c r="H20" s="230"/>
      <c r="I20" s="230"/>
      <c r="J20" s="230"/>
      <c r="K20" s="230"/>
    </row>
    <row r="21" spans="1:14" s="202" customFormat="1" ht="14.25" customHeight="1" x14ac:dyDescent="0.2">
      <c r="A21" s="103" t="s">
        <v>762</v>
      </c>
      <c r="B21" s="438"/>
      <c r="C21" s="103" t="s">
        <v>763</v>
      </c>
      <c r="D21" s="437"/>
      <c r="E21" s="437"/>
      <c r="F21" s="437"/>
      <c r="H21" s="230"/>
      <c r="I21" s="230"/>
      <c r="J21" s="230"/>
    </row>
    <row r="22" spans="1:14" s="202" customFormat="1" ht="14.25" customHeight="1" x14ac:dyDescent="0.2">
      <c r="A22" s="103"/>
      <c r="B22" s="438"/>
      <c r="C22" s="103"/>
      <c r="D22" s="437"/>
      <c r="E22" s="103"/>
      <c r="F22" s="103"/>
      <c r="I22" s="230"/>
      <c r="J22" s="230"/>
    </row>
    <row r="23" spans="1:14" s="202" customFormat="1" ht="15" customHeight="1" x14ac:dyDescent="0.25">
      <c r="A23" s="515" t="s">
        <v>767</v>
      </c>
      <c r="B23" s="436"/>
      <c r="C23" s="736" t="s">
        <v>770</v>
      </c>
      <c r="D23" s="736"/>
      <c r="E23" s="736"/>
      <c r="F23" s="736"/>
      <c r="G23" s="53"/>
      <c r="I23" s="230"/>
      <c r="J23" s="230"/>
    </row>
    <row r="24" spans="1:14" s="202" customFormat="1" ht="15" customHeight="1" x14ac:dyDescent="0.2">
      <c r="A24" s="515" t="s">
        <v>768</v>
      </c>
      <c r="B24" s="438"/>
      <c r="C24" s="736" t="s">
        <v>771</v>
      </c>
      <c r="D24" s="736"/>
      <c r="E24" s="736"/>
      <c r="F24" s="736"/>
      <c r="G24" s="53"/>
      <c r="H24" s="230"/>
      <c r="I24" s="230"/>
      <c r="J24" s="230"/>
      <c r="K24" s="230"/>
    </row>
    <row r="25" spans="1:14" s="202" customFormat="1" ht="14.25" customHeight="1" x14ac:dyDescent="0.2">
      <c r="A25" s="515" t="s">
        <v>587</v>
      </c>
      <c r="B25" s="438"/>
      <c r="C25" s="736" t="s">
        <v>772</v>
      </c>
      <c r="D25" s="736"/>
      <c r="E25" s="736"/>
      <c r="F25" s="736"/>
      <c r="H25" s="230"/>
      <c r="I25" s="230"/>
      <c r="J25" s="230"/>
      <c r="K25" s="230"/>
    </row>
    <row r="26" spans="1:14" s="202" customFormat="1" ht="14.25" customHeight="1" x14ac:dyDescent="0.2">
      <c r="A26" s="103" t="s">
        <v>769</v>
      </c>
      <c r="B26" s="438"/>
      <c r="C26" s="103" t="s">
        <v>773</v>
      </c>
      <c r="D26" s="437"/>
      <c r="E26" s="437"/>
      <c r="F26" s="437"/>
      <c r="H26" s="230"/>
      <c r="I26" s="230"/>
      <c r="J26" s="230"/>
    </row>
    <row r="27" spans="1:14" s="202" customFormat="1" ht="14.25" customHeight="1" x14ac:dyDescent="0.2">
      <c r="A27" s="515"/>
      <c r="B27" s="438"/>
      <c r="C27" s="515"/>
      <c r="D27" s="437"/>
      <c r="E27" s="103"/>
      <c r="F27" s="103"/>
      <c r="I27" s="230"/>
      <c r="J27" s="230"/>
    </row>
    <row r="28" spans="1:14" s="103" customFormat="1" ht="12.75" customHeight="1" x14ac:dyDescent="0.2">
      <c r="A28" s="722" t="s">
        <v>832</v>
      </c>
      <c r="B28" s="722"/>
      <c r="C28" s="440"/>
      <c r="D28" s="440"/>
      <c r="E28" s="441"/>
      <c r="F28" s="452"/>
    </row>
    <row r="29" spans="1:14" s="103" customFormat="1" ht="26.25" customHeight="1" x14ac:dyDescent="0.2">
      <c r="A29" s="664" t="s">
        <v>86</v>
      </c>
      <c r="B29" s="724" t="s">
        <v>775</v>
      </c>
      <c r="C29" s="724"/>
      <c r="D29" s="724"/>
      <c r="E29" s="452">
        <f>H2</f>
        <v>108.51</v>
      </c>
      <c r="F29" s="438" t="s">
        <v>11</v>
      </c>
    </row>
    <row r="30" spans="1:14" s="202" customFormat="1" ht="5.0999999999999996" customHeight="1" x14ac:dyDescent="0.25">
      <c r="B30" s="453"/>
      <c r="C30" s="453"/>
      <c r="D30" s="453"/>
      <c r="E30" s="454"/>
      <c r="F30" s="455"/>
    </row>
    <row r="31" spans="1:14" s="103" customFormat="1" ht="12.75" customHeight="1" x14ac:dyDescent="0.2">
      <c r="A31" s="738" t="s">
        <v>510</v>
      </c>
      <c r="B31" s="738"/>
      <c r="C31" s="450"/>
      <c r="D31" s="440"/>
      <c r="E31" s="308"/>
      <c r="F31" s="451"/>
      <c r="J31" s="230"/>
    </row>
    <row r="32" spans="1:14" s="103" customFormat="1" ht="39" customHeight="1" x14ac:dyDescent="0.2">
      <c r="A32" s="664" t="s">
        <v>7</v>
      </c>
      <c r="B32" s="724" t="s">
        <v>774</v>
      </c>
      <c r="C32" s="724"/>
      <c r="D32" s="724"/>
      <c r="E32" s="452">
        <f>J14</f>
        <v>660.02</v>
      </c>
      <c r="F32" s="438" t="s">
        <v>13</v>
      </c>
    </row>
    <row r="33" spans="1:19" s="202" customFormat="1" ht="5.0999999999999996" customHeight="1" x14ac:dyDescent="0.25">
      <c r="B33" s="453"/>
      <c r="C33" s="453"/>
      <c r="D33" s="453"/>
      <c r="E33" s="454"/>
      <c r="F33" s="455"/>
    </row>
    <row r="34" spans="1:19" s="103" customFormat="1" ht="12.75" customHeight="1" x14ac:dyDescent="0.2">
      <c r="A34" s="738" t="s">
        <v>431</v>
      </c>
      <c r="B34" s="738"/>
      <c r="C34" s="450"/>
      <c r="D34" s="440"/>
      <c r="E34" s="308"/>
      <c r="F34" s="451"/>
      <c r="J34" s="230"/>
    </row>
    <row r="35" spans="1:19" s="103" customFormat="1" ht="79.5" customHeight="1" x14ac:dyDescent="0.2">
      <c r="A35" s="664" t="s">
        <v>9</v>
      </c>
      <c r="B35" s="721" t="s">
        <v>776</v>
      </c>
      <c r="C35" s="721"/>
      <c r="D35" s="721"/>
      <c r="E35" s="452">
        <f>K8</f>
        <v>209.32</v>
      </c>
      <c r="F35" s="438" t="s">
        <v>11</v>
      </c>
    </row>
    <row r="36" spans="1:19" s="202" customFormat="1" ht="5.0999999999999996" customHeight="1" x14ac:dyDescent="0.2">
      <c r="B36" s="445"/>
      <c r="C36" s="446"/>
      <c r="D36" s="447"/>
      <c r="E36" s="256"/>
      <c r="F36" s="256"/>
      <c r="G36" s="103"/>
      <c r="H36" s="103"/>
      <c r="I36" s="103"/>
      <c r="J36" s="103"/>
      <c r="K36" s="103"/>
      <c r="L36" s="103"/>
      <c r="M36" s="103"/>
      <c r="N36" s="103"/>
      <c r="O36" s="103"/>
      <c r="P36" s="103"/>
      <c r="Q36" s="103"/>
      <c r="R36" s="103"/>
      <c r="S36" s="103"/>
    </row>
    <row r="37" spans="1:19" s="103" customFormat="1" ht="51.75" customHeight="1" x14ac:dyDescent="0.2">
      <c r="A37" s="664" t="s">
        <v>12</v>
      </c>
      <c r="B37" s="721" t="s">
        <v>777</v>
      </c>
      <c r="C37" s="721"/>
      <c r="D37" s="721"/>
      <c r="E37" s="452">
        <f>E32</f>
        <v>660.02</v>
      </c>
      <c r="F37" s="438" t="s">
        <v>13</v>
      </c>
    </row>
    <row r="38" spans="1:19" s="202" customFormat="1" ht="5.0999999999999996" customHeight="1" x14ac:dyDescent="0.2">
      <c r="B38" s="445"/>
      <c r="C38" s="446"/>
      <c r="D38" s="447"/>
      <c r="E38" s="256"/>
      <c r="F38" s="256"/>
      <c r="G38" s="103"/>
      <c r="H38" s="103"/>
      <c r="I38" s="103"/>
      <c r="J38" s="103"/>
      <c r="K38" s="103"/>
      <c r="L38" s="103"/>
      <c r="M38" s="103"/>
      <c r="N38" s="103"/>
      <c r="O38" s="103"/>
      <c r="P38" s="103"/>
      <c r="Q38" s="103"/>
      <c r="R38" s="103"/>
      <c r="S38" s="103"/>
    </row>
    <row r="39" spans="1:19" s="103" customFormat="1" ht="39.75" customHeight="1" x14ac:dyDescent="0.2">
      <c r="A39" s="664" t="s">
        <v>108</v>
      </c>
      <c r="B39" s="721" t="s">
        <v>778</v>
      </c>
      <c r="C39" s="721"/>
      <c r="D39" s="721"/>
      <c r="E39" s="452">
        <f>7.33+5.74+5</f>
        <v>18.07</v>
      </c>
      <c r="F39" s="438" t="s">
        <v>11</v>
      </c>
    </row>
    <row r="40" spans="1:19" s="103" customFormat="1" ht="5.0999999999999996" customHeight="1" x14ac:dyDescent="0.2">
      <c r="B40" s="456"/>
      <c r="C40" s="456"/>
      <c r="D40" s="456"/>
      <c r="E40" s="457"/>
      <c r="F40" s="458"/>
    </row>
    <row r="41" spans="1:19" s="103" customFormat="1" ht="12.75" customHeight="1" x14ac:dyDescent="0.2">
      <c r="A41" s="739" t="s">
        <v>602</v>
      </c>
      <c r="B41" s="739"/>
      <c r="C41" s="440"/>
      <c r="D41" s="440"/>
      <c r="E41" s="441"/>
      <c r="F41" s="442"/>
    </row>
    <row r="42" spans="1:19" s="103" customFormat="1" ht="78.75" customHeight="1" x14ac:dyDescent="0.2">
      <c r="A42" s="664" t="s">
        <v>15</v>
      </c>
      <c r="B42" s="721" t="s">
        <v>779</v>
      </c>
      <c r="C42" s="721"/>
      <c r="D42" s="721"/>
      <c r="E42" s="637">
        <f>H42</f>
        <v>28.98</v>
      </c>
      <c r="F42" s="442" t="s">
        <v>13</v>
      </c>
      <c r="G42" s="103">
        <f>1.2+1.2+26.96+10.09+8+23.95+7.66+8.67+3.73+1.2+7.69+10.06+1.2+3.34+13.92+13.65+1.2+1.2</f>
        <v>144.91999999999999</v>
      </c>
      <c r="H42" s="461">
        <f>G42*0.2</f>
        <v>28.98</v>
      </c>
    </row>
    <row r="43" spans="1:19" s="202" customFormat="1" ht="5.0999999999999996" customHeight="1" x14ac:dyDescent="0.2">
      <c r="B43" s="445"/>
      <c r="C43" s="446"/>
      <c r="D43" s="447"/>
      <c r="E43" s="256"/>
      <c r="F43" s="256"/>
      <c r="G43" s="103"/>
      <c r="H43" s="103"/>
      <c r="I43" s="103"/>
      <c r="J43" s="103"/>
      <c r="K43" s="103"/>
      <c r="L43" s="103"/>
      <c r="M43" s="103"/>
      <c r="N43" s="103"/>
      <c r="O43" s="103"/>
      <c r="P43" s="103"/>
      <c r="Q43" s="103"/>
      <c r="R43" s="103"/>
      <c r="S43" s="103"/>
    </row>
    <row r="44" spans="1:19" s="103" customFormat="1" ht="154.5" customHeight="1" x14ac:dyDescent="0.2">
      <c r="A44" s="664" t="s">
        <v>129</v>
      </c>
      <c r="B44" s="725" t="s">
        <v>781</v>
      </c>
      <c r="C44" s="724"/>
      <c r="D44" s="724"/>
      <c r="E44" s="638">
        <f>M44</f>
        <v>12.2</v>
      </c>
      <c r="F44" s="438" t="s">
        <v>128</v>
      </c>
      <c r="G44" s="460">
        <f>(20.57+26.99+9+10.1+9.94+8.02+23.94+23.67+7.66+9.02+7.69+2.12+3.82+3.27+2.68+10.1+3.16+13.88+13.69)*1.2</f>
        <v>251.18</v>
      </c>
      <c r="H44" s="460">
        <f>G44-E55</f>
        <v>215.18</v>
      </c>
      <c r="I44" s="460"/>
      <c r="J44" s="460">
        <f>H44*0.06</f>
        <v>12.91</v>
      </c>
      <c r="K44" s="460">
        <f>5.51+5.99+7.09+13.97+9.01+10.05+10.09+8+23.95+23.75+7.66+9+7.67+1.38+3.64+3.72+1.33+10.07+3.11+3.74+3.54+2.63+2.66</f>
        <v>177.56</v>
      </c>
      <c r="L44" s="460">
        <f>K44*0.2*0.02</f>
        <v>0.71</v>
      </c>
      <c r="M44" s="460">
        <f>J44-L44</f>
        <v>12.2</v>
      </c>
    </row>
    <row r="45" spans="1:19" s="202" customFormat="1" ht="5.0999999999999996" customHeight="1" x14ac:dyDescent="0.2">
      <c r="B45" s="445"/>
      <c r="C45" s="446"/>
      <c r="D45" s="447"/>
      <c r="E45" s="256"/>
      <c r="F45" s="256"/>
      <c r="G45" s="448"/>
      <c r="H45" s="448"/>
    </row>
    <row r="46" spans="1:19" s="103" customFormat="1" ht="79.5" customHeight="1" x14ac:dyDescent="0.2">
      <c r="A46" s="664" t="s">
        <v>131</v>
      </c>
      <c r="B46" s="721" t="s">
        <v>782</v>
      </c>
      <c r="C46" s="721"/>
      <c r="D46" s="721"/>
      <c r="E46" s="639">
        <f>G46</f>
        <v>35.51</v>
      </c>
      <c r="F46" s="640" t="s">
        <v>13</v>
      </c>
      <c r="G46" s="648">
        <f>K44*0.2</f>
        <v>35.51</v>
      </c>
      <c r="H46" s="438"/>
      <c r="J46" s="460"/>
      <c r="K46" s="460"/>
      <c r="L46" s="461"/>
      <c r="M46" s="461"/>
      <c r="N46" s="460"/>
      <c r="O46" s="460"/>
      <c r="Q46" s="460"/>
    </row>
    <row r="47" spans="1:19" s="103" customFormat="1" ht="5.0999999999999996" customHeight="1" x14ac:dyDescent="0.2">
      <c r="B47" s="456"/>
      <c r="C47" s="456"/>
      <c r="D47" s="456"/>
      <c r="E47" s="457"/>
      <c r="F47" s="458"/>
    </row>
    <row r="48" spans="1:19" s="103" customFormat="1" ht="12.75" customHeight="1" x14ac:dyDescent="0.2">
      <c r="A48" s="739" t="s">
        <v>603</v>
      </c>
      <c r="B48" s="739"/>
      <c r="C48" s="440"/>
      <c r="D48" s="440"/>
      <c r="E48" s="441"/>
      <c r="F48" s="442"/>
    </row>
    <row r="49" spans="1:18" s="103" customFormat="1" ht="78" customHeight="1" x14ac:dyDescent="0.2">
      <c r="A49" s="664" t="s">
        <v>158</v>
      </c>
      <c r="B49" s="721" t="s">
        <v>700</v>
      </c>
      <c r="C49" s="721"/>
      <c r="D49" s="721"/>
      <c r="E49" s="637">
        <f>K49</f>
        <v>2.1</v>
      </c>
      <c r="F49" s="641" t="s">
        <v>128</v>
      </c>
      <c r="G49" s="460">
        <f>7.5*N8*M8*0.06</f>
        <v>2.16</v>
      </c>
      <c r="H49" s="461">
        <f>(1.2*2+1.5)*M8</f>
        <v>15.6</v>
      </c>
      <c r="I49" s="461"/>
      <c r="J49" s="461">
        <f>H49*0.2*0.02</f>
        <v>0.06</v>
      </c>
      <c r="K49" s="460">
        <f>G49-J49</f>
        <v>2.1</v>
      </c>
      <c r="N49" s="103">
        <f>(7.5*1.2)*7+5.75+6.31+5.25+6.11+5.71+5.24+5.25+7.18+7.07+5.2+5.25+5.15</f>
        <v>132.47</v>
      </c>
      <c r="O49" s="461">
        <f>N49*0.06</f>
        <v>7.95</v>
      </c>
      <c r="P49" s="461">
        <f>(1.2*3*7+1.05+2.42+1.05+4.76+1.42/2+2+1.05+3+1.05+2.66+1.05+2.01+1.05+3+1.05+1.05+1.05+1.05+1.05+1.05+1.05+2+1.05+2+1.05+2+0.99)</f>
        <v>68.5</v>
      </c>
      <c r="Q49" s="461">
        <f>P49*0.2*0.02</f>
        <v>0.27</v>
      </c>
      <c r="R49" s="103">
        <f>P49*0.2</f>
        <v>13.7</v>
      </c>
    </row>
    <row r="50" spans="1:18" s="202" customFormat="1" ht="5.0999999999999996" customHeight="1" x14ac:dyDescent="0.25">
      <c r="B50" s="445"/>
      <c r="C50" s="446"/>
      <c r="D50" s="447"/>
      <c r="E50" s="207"/>
      <c r="F50" s="642"/>
      <c r="G50" s="448"/>
      <c r="H50" s="448"/>
    </row>
    <row r="51" spans="1:18" s="103" customFormat="1" ht="78" customHeight="1" x14ac:dyDescent="0.2">
      <c r="A51" s="664" t="s">
        <v>170</v>
      </c>
      <c r="B51" s="721" t="s">
        <v>701</v>
      </c>
      <c r="C51" s="721"/>
      <c r="D51" s="721"/>
      <c r="E51" s="637">
        <f>E49</f>
        <v>2.1</v>
      </c>
      <c r="F51" s="641" t="s">
        <v>128</v>
      </c>
      <c r="G51" s="438"/>
      <c r="H51" s="438"/>
      <c r="I51" s="460"/>
      <c r="J51" s="461"/>
      <c r="K51" s="461"/>
      <c r="L51" s="461"/>
      <c r="M51" s="460"/>
    </row>
    <row r="52" spans="1:18" s="202" customFormat="1" ht="5.0999999999999996" customHeight="1" x14ac:dyDescent="0.2">
      <c r="B52" s="445"/>
      <c r="C52" s="446"/>
      <c r="D52" s="447"/>
      <c r="E52" s="256"/>
      <c r="F52" s="256"/>
      <c r="G52" s="448"/>
      <c r="H52" s="448"/>
    </row>
    <row r="53" spans="1:18" s="103" customFormat="1" ht="53.25" customHeight="1" x14ac:dyDescent="0.2">
      <c r="A53" s="664" t="s">
        <v>203</v>
      </c>
      <c r="B53" s="721" t="s">
        <v>702</v>
      </c>
      <c r="C53" s="721"/>
      <c r="D53" s="721"/>
      <c r="E53" s="637">
        <f>G53</f>
        <v>3.12</v>
      </c>
      <c r="F53" s="640" t="s">
        <v>13</v>
      </c>
      <c r="G53" s="645">
        <f>(N8*2+1.5)*M8*0.2</f>
        <v>3.12</v>
      </c>
      <c r="H53" s="438"/>
      <c r="J53" s="460"/>
      <c r="K53" s="460"/>
      <c r="L53" s="461"/>
      <c r="M53" s="461"/>
      <c r="N53" s="460"/>
      <c r="O53" s="460"/>
      <c r="Q53" s="460"/>
    </row>
    <row r="54" spans="1:18" s="202" customFormat="1" ht="5.0999999999999996" customHeight="1" x14ac:dyDescent="0.2">
      <c r="B54" s="445"/>
      <c r="C54" s="446"/>
      <c r="D54" s="447"/>
      <c r="E54" s="256"/>
      <c r="F54" s="256"/>
      <c r="G54" s="448"/>
      <c r="H54" s="448"/>
    </row>
    <row r="55" spans="1:18" s="103" customFormat="1" ht="40.5" customHeight="1" x14ac:dyDescent="0.2">
      <c r="A55" s="664" t="s">
        <v>181</v>
      </c>
      <c r="B55" s="726" t="s">
        <v>703</v>
      </c>
      <c r="C55" s="726"/>
      <c r="D55" s="726"/>
      <c r="E55" s="647">
        <f>G55</f>
        <v>36</v>
      </c>
      <c r="F55" s="641" t="s">
        <v>13</v>
      </c>
      <c r="G55" s="646">
        <f>7.5*N8*M8:M8</f>
        <v>36</v>
      </c>
      <c r="H55" s="438"/>
      <c r="J55" s="460"/>
      <c r="K55" s="460"/>
    </row>
    <row r="56" spans="1:18" s="103" customFormat="1" ht="5.0999999999999996" customHeight="1" x14ac:dyDescent="0.2">
      <c r="B56" s="456"/>
      <c r="C56" s="456"/>
      <c r="D56" s="456"/>
      <c r="E56" s="457"/>
      <c r="F56" s="458"/>
      <c r="G56" s="458"/>
      <c r="H56" s="458"/>
    </row>
    <row r="57" spans="1:18" s="103" customFormat="1" ht="12.75" customHeight="1" x14ac:dyDescent="0.2">
      <c r="A57" s="738" t="s">
        <v>704</v>
      </c>
      <c r="B57" s="738"/>
      <c r="C57" s="440"/>
      <c r="D57" s="440"/>
      <c r="E57" s="441"/>
      <c r="F57" s="442"/>
    </row>
    <row r="58" spans="1:18" s="103" customFormat="1" ht="39" customHeight="1" x14ac:dyDescent="0.2">
      <c r="A58" s="664" t="s">
        <v>175</v>
      </c>
      <c r="B58" s="721" t="s">
        <v>850</v>
      </c>
      <c r="C58" s="721"/>
      <c r="D58" s="721"/>
      <c r="E58" s="459">
        <v>1</v>
      </c>
      <c r="F58" s="438" t="s">
        <v>279</v>
      </c>
    </row>
    <row r="59" spans="1:18" s="202" customFormat="1" ht="5.0999999999999996" customHeight="1" x14ac:dyDescent="0.2">
      <c r="B59" s="445"/>
      <c r="C59" s="446"/>
      <c r="D59" s="447"/>
      <c r="E59" s="256"/>
      <c r="F59" s="256"/>
      <c r="G59" s="448"/>
      <c r="H59" s="448"/>
    </row>
    <row r="60" spans="1:18" s="103" customFormat="1" ht="39" customHeight="1" x14ac:dyDescent="0.2">
      <c r="A60" s="664" t="s">
        <v>246</v>
      </c>
      <c r="B60" s="721" t="s">
        <v>851</v>
      </c>
      <c r="C60" s="721"/>
      <c r="D60" s="721"/>
      <c r="E60" s="459">
        <v>1</v>
      </c>
      <c r="F60" s="438" t="s">
        <v>279</v>
      </c>
    </row>
    <row r="61" spans="1:18" s="103" customFormat="1" ht="5.0999999999999996" customHeight="1" x14ac:dyDescent="0.2">
      <c r="B61" s="456"/>
      <c r="C61" s="456"/>
      <c r="D61" s="456"/>
      <c r="E61" s="457"/>
      <c r="F61" s="458"/>
      <c r="G61" s="458"/>
      <c r="H61" s="458"/>
    </row>
    <row r="62" spans="1:18" s="103" customFormat="1" ht="12.75" customHeight="1" x14ac:dyDescent="0.2">
      <c r="A62" s="738" t="s">
        <v>846</v>
      </c>
      <c r="B62" s="738"/>
      <c r="C62" s="440"/>
      <c r="D62" s="440"/>
      <c r="E62" s="441"/>
      <c r="F62" s="442"/>
    </row>
    <row r="63" spans="1:18" s="103" customFormat="1" ht="25.5" customHeight="1" x14ac:dyDescent="0.2">
      <c r="A63" s="664" t="s">
        <v>255</v>
      </c>
      <c r="B63" s="721" t="s">
        <v>783</v>
      </c>
      <c r="C63" s="721"/>
      <c r="D63" s="721"/>
      <c r="E63" s="459">
        <f>E35*(0.15+0.13)</f>
        <v>58.61</v>
      </c>
      <c r="F63" s="438" t="s">
        <v>13</v>
      </c>
      <c r="H63" s="103" t="e">
        <f>#REF!*0.28</f>
        <v>#REF!</v>
      </c>
    </row>
    <row r="64" spans="1:18" s="103" customFormat="1" ht="5.0999999999999996" customHeight="1" x14ac:dyDescent="0.2">
      <c r="B64" s="456"/>
      <c r="C64" s="456"/>
      <c r="D64" s="456"/>
      <c r="E64" s="457"/>
      <c r="F64" s="458"/>
      <c r="G64" s="458"/>
      <c r="H64" s="458"/>
    </row>
    <row r="65" spans="1:9" s="202" customFormat="1" ht="24.75" customHeight="1" x14ac:dyDescent="0.2">
      <c r="A65" s="664" t="s">
        <v>853</v>
      </c>
      <c r="B65" s="721" t="s">
        <v>707</v>
      </c>
      <c r="C65" s="721"/>
      <c r="D65" s="721"/>
      <c r="E65" s="442">
        <v>1</v>
      </c>
      <c r="F65" s="53" t="s">
        <v>279</v>
      </c>
      <c r="H65" s="202">
        <v>3.9</v>
      </c>
      <c r="I65" s="202">
        <v>216</v>
      </c>
    </row>
    <row r="66" spans="1:9" s="103" customFormat="1" ht="5.0999999999999996" customHeight="1" x14ac:dyDescent="0.2">
      <c r="B66" s="456"/>
      <c r="C66" s="456"/>
      <c r="D66" s="456"/>
      <c r="E66" s="457"/>
      <c r="F66" s="458"/>
      <c r="G66" s="458"/>
      <c r="H66" s="458"/>
    </row>
    <row r="67" spans="1:9" s="103" customFormat="1" ht="39" customHeight="1" x14ac:dyDescent="0.2">
      <c r="A67" s="664" t="s">
        <v>882</v>
      </c>
      <c r="B67" s="721" t="s">
        <v>883</v>
      </c>
      <c r="C67" s="721"/>
      <c r="D67" s="721"/>
      <c r="E67" s="459">
        <v>1</v>
      </c>
      <c r="F67" s="438" t="s">
        <v>279</v>
      </c>
    </row>
    <row r="68" spans="1:9" s="103" customFormat="1" ht="5.0999999999999996" customHeight="1" x14ac:dyDescent="0.2">
      <c r="E68" s="441"/>
      <c r="F68" s="442"/>
    </row>
    <row r="69" spans="1:9" x14ac:dyDescent="0.2">
      <c r="A69" s="103" t="s">
        <v>265</v>
      </c>
    </row>
    <row r="70" spans="1:9" x14ac:dyDescent="0.2">
      <c r="A70" s="103" t="str">
        <f>A2</f>
        <v>PREFEITURA MUNICIPAL DE MAMANGUAPE</v>
      </c>
    </row>
    <row r="71" spans="1:9" ht="5.0999999999999996" customHeight="1" x14ac:dyDescent="0.2"/>
    <row r="72" spans="1:9" s="103" customFormat="1" ht="12.75" customHeight="1" x14ac:dyDescent="0.25">
      <c r="A72" s="729" t="s">
        <v>433</v>
      </c>
      <c r="B72" s="729"/>
      <c r="C72" s="729"/>
      <c r="D72" s="729"/>
      <c r="E72" s="729"/>
      <c r="F72" s="729"/>
      <c r="H72" s="460"/>
    </row>
    <row r="73" spans="1:9" s="202" customFormat="1" ht="18" customHeight="1" x14ac:dyDescent="0.25">
      <c r="A73" s="735" t="str">
        <f>A6</f>
        <v>Rua Maria Livramento P. Lima (Trecho 02)</v>
      </c>
      <c r="B73" s="735"/>
      <c r="C73" s="735"/>
      <c r="D73" s="735"/>
      <c r="E73" s="735"/>
      <c r="F73" s="735"/>
      <c r="G73" s="53"/>
    </row>
    <row r="74" spans="1:9" s="202" customFormat="1" ht="5.0999999999999996" customHeight="1" x14ac:dyDescent="0.25">
      <c r="B74" s="436"/>
      <c r="C74" s="437"/>
      <c r="D74" s="437"/>
      <c r="E74" s="257"/>
      <c r="F74" s="257"/>
      <c r="G74" s="53"/>
    </row>
    <row r="75" spans="1:9" s="202" customFormat="1" ht="12.75" customHeight="1" x14ac:dyDescent="0.2">
      <c r="A75" s="730" t="s">
        <v>53</v>
      </c>
      <c r="B75" s="732" t="s">
        <v>267</v>
      </c>
      <c r="C75" s="732" t="s">
        <v>268</v>
      </c>
      <c r="D75" s="732" t="s">
        <v>434</v>
      </c>
      <c r="E75" s="732" t="s">
        <v>435</v>
      </c>
      <c r="F75" s="734"/>
    </row>
    <row r="76" spans="1:9" s="202" customFormat="1" ht="12.75" customHeight="1" x14ac:dyDescent="0.2">
      <c r="A76" s="731"/>
      <c r="B76" s="733"/>
      <c r="C76" s="733"/>
      <c r="D76" s="733"/>
      <c r="E76" s="462" t="s">
        <v>436</v>
      </c>
      <c r="F76" s="463" t="s">
        <v>437</v>
      </c>
    </row>
    <row r="77" spans="1:9" s="202" customFormat="1" ht="12.75" customHeight="1" x14ac:dyDescent="0.2">
      <c r="A77" s="464" t="s">
        <v>4</v>
      </c>
      <c r="B77" s="465" t="s">
        <v>438</v>
      </c>
      <c r="C77" s="466"/>
      <c r="D77" s="467"/>
      <c r="E77" s="467"/>
      <c r="F77" s="468">
        <f>F78</f>
        <v>61.85</v>
      </c>
    </row>
    <row r="78" spans="1:9" s="202" customFormat="1" ht="25.5" x14ac:dyDescent="0.2">
      <c r="A78" s="469" t="s">
        <v>86</v>
      </c>
      <c r="B78" s="470" t="str">
        <f>'Planilha Global'!B11</f>
        <v>Execução de linhas de referência em gabarito ou cavalete (locação de pavimentação)</v>
      </c>
      <c r="C78" s="490" t="str">
        <f>F29</f>
        <v>m</v>
      </c>
      <c r="D78" s="472">
        <f>E29</f>
        <v>108.51</v>
      </c>
      <c r="E78" s="473">
        <f>'Planilha Global'!N11</f>
        <v>0.56999999999999995</v>
      </c>
      <c r="F78" s="474">
        <f>ROUND(D78,2)*ROUND(E78,2)</f>
        <v>61.85</v>
      </c>
    </row>
    <row r="79" spans="1:9" s="202" customFormat="1" ht="6.75" customHeight="1" x14ac:dyDescent="0.2">
      <c r="A79" s="486"/>
      <c r="B79" s="487"/>
      <c r="C79" s="482"/>
      <c r="D79" s="472"/>
      <c r="E79" s="488"/>
      <c r="F79" s="474"/>
    </row>
    <row r="80" spans="1:9" s="202" customFormat="1" ht="12.75" customHeight="1" x14ac:dyDescent="0.2">
      <c r="A80" s="464" t="s">
        <v>6</v>
      </c>
      <c r="B80" s="465" t="s">
        <v>511</v>
      </c>
      <c r="C80" s="466"/>
      <c r="D80" s="467"/>
      <c r="E80" s="467"/>
      <c r="F80" s="468">
        <f>SUM(F81:F81)</f>
        <v>1650.05</v>
      </c>
    </row>
    <row r="81" spans="1:12" s="202" customFormat="1" ht="25.5" x14ac:dyDescent="0.2">
      <c r="A81" s="469" t="s">
        <v>7</v>
      </c>
      <c r="B81" s="470" t="str">
        <f>'Planilha Global'!B14</f>
        <v>Regularização e compactação do subleito até 20 cm de espessura</v>
      </c>
      <c r="C81" s="482" t="str">
        <f>F32</f>
        <v>m²</v>
      </c>
      <c r="D81" s="472">
        <f>E32</f>
        <v>660.02</v>
      </c>
      <c r="E81" s="473">
        <f>'Planilha Global'!N14</f>
        <v>2.5</v>
      </c>
      <c r="F81" s="474">
        <f>ROUND(D81,2)*ROUND(E81,2)</f>
        <v>1650.05</v>
      </c>
      <c r="H81" s="485"/>
    </row>
    <row r="82" spans="1:12" s="202" customFormat="1" ht="6.75" customHeight="1" x14ac:dyDescent="0.2">
      <c r="A82" s="486"/>
      <c r="B82" s="487"/>
      <c r="C82" s="482"/>
      <c r="D82" s="472"/>
      <c r="E82" s="488"/>
      <c r="F82" s="474"/>
    </row>
    <row r="83" spans="1:12" s="202" customFormat="1" ht="12.75" customHeight="1" thickBot="1" x14ac:dyDescent="0.25">
      <c r="A83" s="464" t="s">
        <v>8</v>
      </c>
      <c r="B83" s="465" t="s">
        <v>439</v>
      </c>
      <c r="C83" s="466"/>
      <c r="D83" s="467"/>
      <c r="E83" s="489"/>
      <c r="F83" s="468">
        <f>SUM(F84:F86)</f>
        <v>82649.960000000006</v>
      </c>
    </row>
    <row r="84" spans="1:12" s="226" customFormat="1" ht="63.75" x14ac:dyDescent="0.2">
      <c r="A84" s="469" t="s">
        <v>9</v>
      </c>
      <c r="B84" s="470" t="str">
        <f>'Planilha Global'!B17</f>
        <v>Assentamento de guia (meio-fio) em trecho reto, confeccionada em concreto pré-fabricado, dimensões 100x15x13x30 cm (comprimento x base inferior x base superior x altura), para vias urbanas (uso viário)</v>
      </c>
      <c r="C84" s="482" t="str">
        <f>F35</f>
        <v>m</v>
      </c>
      <c r="D84" s="472">
        <f>E35</f>
        <v>209.32</v>
      </c>
      <c r="E84" s="473">
        <f>'Planilha Global'!N17</f>
        <v>49.53</v>
      </c>
      <c r="F84" s="474">
        <f>ROUND(D84,2)*ROUND(E84,2)</f>
        <v>10367.620000000001</v>
      </c>
      <c r="H84" s="492"/>
      <c r="I84" s="493"/>
      <c r="J84" s="494"/>
    </row>
    <row r="85" spans="1:12" s="226" customFormat="1" ht="42.75" customHeight="1" thickBot="1" x14ac:dyDescent="0.25">
      <c r="A85" s="469" t="s">
        <v>12</v>
      </c>
      <c r="B85" s="470" t="str">
        <f>'Planilha Global'!B18</f>
        <v>Execução de pavimento em paralelepípedos, rejuntamento com argamassa traço 1:3 (cimento e areia)</v>
      </c>
      <c r="C85" s="482" t="str">
        <f>F37</f>
        <v>m²</v>
      </c>
      <c r="D85" s="472">
        <f>E37</f>
        <v>660.02</v>
      </c>
      <c r="E85" s="473">
        <f>'Planilha Global'!N18</f>
        <v>107.81</v>
      </c>
      <c r="F85" s="474">
        <f>ROUND(D85,2)*ROUND(E85,2)</f>
        <v>71156.759999999995</v>
      </c>
      <c r="H85" s="495"/>
      <c r="I85" s="496"/>
      <c r="J85" s="497"/>
    </row>
    <row r="86" spans="1:12" s="226" customFormat="1" ht="26.25" customHeight="1" x14ac:dyDescent="0.2">
      <c r="A86" s="469" t="s">
        <v>108</v>
      </c>
      <c r="B86" s="470" t="str">
        <f>'Planilha Global'!B19</f>
        <v>Assentamento de guia (meio-fio) para cordão de travamento do pavimento, em pedra granítica</v>
      </c>
      <c r="C86" s="482" t="str">
        <f>F39</f>
        <v>m</v>
      </c>
      <c r="D86" s="472">
        <f>E39</f>
        <v>18.07</v>
      </c>
      <c r="E86" s="473">
        <f>'Planilha Global'!N19</f>
        <v>62.29</v>
      </c>
      <c r="F86" s="474">
        <f>ROUND(D86,2)*ROUND(E86,2)</f>
        <v>1125.58</v>
      </c>
      <c r="H86" s="492"/>
      <c r="I86" s="493"/>
      <c r="J86" s="494"/>
    </row>
    <row r="87" spans="1:12" s="202" customFormat="1" ht="6.75" customHeight="1" x14ac:dyDescent="0.2">
      <c r="A87" s="486"/>
      <c r="B87" s="487"/>
      <c r="C87" s="482"/>
      <c r="D87" s="472"/>
      <c r="E87" s="488"/>
      <c r="F87" s="474"/>
    </row>
    <row r="88" spans="1:12" s="258" customFormat="1" ht="15" customHeight="1" thickBot="1" x14ac:dyDescent="0.3">
      <c r="A88" s="498" t="s">
        <v>14</v>
      </c>
      <c r="B88" s="499" t="s">
        <v>605</v>
      </c>
      <c r="C88" s="466"/>
      <c r="D88" s="467"/>
      <c r="E88" s="500"/>
      <c r="F88" s="468">
        <f>SUM(F89:F91)</f>
        <v>20564.14</v>
      </c>
      <c r="I88" s="501"/>
      <c r="J88" s="502"/>
      <c r="K88" s="502"/>
      <c r="L88" s="503"/>
    </row>
    <row r="89" spans="1:12" s="226" customFormat="1" ht="51" x14ac:dyDescent="0.2">
      <c r="A89" s="469" t="s">
        <v>15</v>
      </c>
      <c r="B89" s="661" t="str">
        <f>'Planilha Global'!B22</f>
        <v>Alvenaria de blocos cerâmicos furados na horizontal de 9x19x19 cm (espessura 9 cm) e argamassa de assentamento com preparo manual (para contenção das calçadas)</v>
      </c>
      <c r="C89" s="490" t="str">
        <f>F42</f>
        <v>m²</v>
      </c>
      <c r="D89" s="472">
        <f>E42</f>
        <v>28.98</v>
      </c>
      <c r="E89" s="473">
        <f>'Planilha Global'!N22</f>
        <v>107.24</v>
      </c>
      <c r="F89" s="474">
        <f>ROUND(D89,2)*ROUND(E89,2)</f>
        <v>3107.82</v>
      </c>
      <c r="H89" s="226">
        <v>73.06</v>
      </c>
    </row>
    <row r="90" spans="1:12" s="226" customFormat="1" ht="38.25" x14ac:dyDescent="0.2">
      <c r="A90" s="469" t="s">
        <v>129</v>
      </c>
      <c r="B90" s="661" t="str">
        <f>'Planilha Global'!B23</f>
        <v>Execução de passeio (calçada) ou piso de concreto com concreto moldado in loco, feito em obra, acabamento convencional, não armado</v>
      </c>
      <c r="C90" s="490" t="str">
        <f>F44</f>
        <v>m³</v>
      </c>
      <c r="D90" s="472">
        <f>'Maria Livramento - T2'!E44</f>
        <v>12.2</v>
      </c>
      <c r="E90" s="473">
        <f>'Planilha Global'!N23</f>
        <v>943.02</v>
      </c>
      <c r="F90" s="474">
        <f>ROUND(D90,2)*ROUND(E90,2)</f>
        <v>11504.84</v>
      </c>
      <c r="H90" s="226">
        <v>703.2</v>
      </c>
    </row>
    <row r="91" spans="1:12" s="226" customFormat="1" ht="25.5" x14ac:dyDescent="0.2">
      <c r="A91" s="469" t="s">
        <v>131</v>
      </c>
      <c r="B91" s="661" t="str">
        <f>'Planilha Global'!B24</f>
        <v>Piso podotátil de alerta ou direcional, de concreto, assentado sobre argamassa</v>
      </c>
      <c r="C91" s="490" t="str">
        <f>F46</f>
        <v>m²</v>
      </c>
      <c r="D91" s="472">
        <f>E46</f>
        <v>35.51</v>
      </c>
      <c r="E91" s="473">
        <f>'Planilha Global'!N24</f>
        <v>167.6</v>
      </c>
      <c r="F91" s="474">
        <f>ROUND(D91,2)*ROUND(E91,2)</f>
        <v>5951.48</v>
      </c>
      <c r="H91" s="226">
        <v>109.78</v>
      </c>
    </row>
    <row r="92" spans="1:12" s="202" customFormat="1" ht="6.75" customHeight="1" x14ac:dyDescent="0.2">
      <c r="A92" s="486"/>
      <c r="B92" s="487"/>
      <c r="C92" s="482"/>
      <c r="D92" s="472"/>
      <c r="E92" s="488"/>
      <c r="F92" s="474"/>
    </row>
    <row r="93" spans="1:12" s="258" customFormat="1" ht="15" customHeight="1" thickBot="1" x14ac:dyDescent="0.3">
      <c r="A93" s="498" t="s">
        <v>157</v>
      </c>
      <c r="B93" s="499" t="s">
        <v>606</v>
      </c>
      <c r="C93" s="466"/>
      <c r="D93" s="467"/>
      <c r="E93" s="500"/>
      <c r="F93" s="468">
        <f>SUM(F94:F97)</f>
        <v>3246.79</v>
      </c>
      <c r="I93" s="501"/>
      <c r="J93" s="502"/>
      <c r="K93" s="502"/>
      <c r="L93" s="503"/>
    </row>
    <row r="94" spans="1:12" s="226" customFormat="1" ht="39" thickBot="1" x14ac:dyDescent="0.25">
      <c r="A94" s="469" t="s">
        <v>158</v>
      </c>
      <c r="B94" s="661" t="str">
        <f>'Planilha Global'!B27</f>
        <v>Concreto Fck = 15mpa, traço 1:3,4:3,5 (em massa seca de cimento/ areia média/ brita 1), preparo mecânico com betoneira 400 L</v>
      </c>
      <c r="C94" s="490" t="str">
        <f>F49</f>
        <v>m³</v>
      </c>
      <c r="D94" s="472">
        <f>E49</f>
        <v>2.1</v>
      </c>
      <c r="E94" s="473">
        <f>'Planilha Global'!N27</f>
        <v>553.16</v>
      </c>
      <c r="F94" s="474">
        <f>ROUND(D94,2)*ROUND(E94,2)</f>
        <v>1161.6400000000001</v>
      </c>
      <c r="H94" s="226">
        <v>410.85</v>
      </c>
    </row>
    <row r="95" spans="1:12" s="202" customFormat="1" ht="25.5" x14ac:dyDescent="0.2">
      <c r="A95" s="469" t="s">
        <v>170</v>
      </c>
      <c r="B95" s="661" t="str">
        <f>'Planilha Global'!B28</f>
        <v>Lançamento com uso de baldes, adensamento e acabamento de concreto em estruturas</v>
      </c>
      <c r="C95" s="490" t="str">
        <f>F51</f>
        <v>m³</v>
      </c>
      <c r="D95" s="472">
        <f>E51</f>
        <v>2.1</v>
      </c>
      <c r="E95" s="473">
        <f>'Planilha Global'!N28</f>
        <v>324.95</v>
      </c>
      <c r="F95" s="474">
        <f>ROUND(D95,2)*ROUND(E95,2)</f>
        <v>682.4</v>
      </c>
      <c r="H95" s="202">
        <v>223.25</v>
      </c>
      <c r="I95" s="506"/>
      <c r="J95" s="507"/>
      <c r="K95" s="507"/>
      <c r="L95" s="508"/>
    </row>
    <row r="96" spans="1:12" s="226" customFormat="1" ht="25.5" x14ac:dyDescent="0.2">
      <c r="A96" s="469" t="s">
        <v>203</v>
      </c>
      <c r="B96" s="661" t="str">
        <f>'Planilha Global'!B29</f>
        <v>Piso podotátil de alerta ou direcional, de concreto, assentado sobre argamassa</v>
      </c>
      <c r="C96" s="490" t="str">
        <f>F53</f>
        <v>m²</v>
      </c>
      <c r="D96" s="472">
        <f>E53</f>
        <v>3.12</v>
      </c>
      <c r="E96" s="473">
        <f>'Planilha Global'!N29</f>
        <v>167.6</v>
      </c>
      <c r="F96" s="474">
        <f>ROUND(D96,2)*ROUND(E96,2)</f>
        <v>522.91</v>
      </c>
      <c r="H96" s="226">
        <v>109.78</v>
      </c>
    </row>
    <row r="97" spans="1:11" s="226" customFormat="1" ht="25.5" x14ac:dyDescent="0.2">
      <c r="A97" s="469" t="s">
        <v>181</v>
      </c>
      <c r="B97" s="661" t="str">
        <f>'Planilha Global'!B30</f>
        <v>Pintura de piso com tinta acrílica, aplicação manual, 2 demãos, incluso fundo preparador</v>
      </c>
      <c r="C97" s="490" t="str">
        <f>F55</f>
        <v>m²</v>
      </c>
      <c r="D97" s="472">
        <f>E55</f>
        <v>36</v>
      </c>
      <c r="E97" s="473">
        <f>'Planilha Global'!N30</f>
        <v>24.44</v>
      </c>
      <c r="F97" s="474">
        <f>ROUND(D97,2)*ROUND(E97,2)</f>
        <v>879.84</v>
      </c>
      <c r="H97" s="226">
        <v>14.87</v>
      </c>
    </row>
    <row r="98" spans="1:11" s="202" customFormat="1" ht="6.75" customHeight="1" x14ac:dyDescent="0.2">
      <c r="A98" s="486"/>
      <c r="B98" s="487"/>
      <c r="C98" s="482"/>
      <c r="D98" s="472"/>
      <c r="E98" s="488"/>
      <c r="F98" s="474"/>
    </row>
    <row r="99" spans="1:11" s="258" customFormat="1" ht="15" customHeight="1" thickBot="1" x14ac:dyDescent="0.3">
      <c r="A99" s="498" t="s">
        <v>174</v>
      </c>
      <c r="B99" s="499" t="s">
        <v>706</v>
      </c>
      <c r="C99" s="466"/>
      <c r="D99" s="467"/>
      <c r="E99" s="500"/>
      <c r="F99" s="468">
        <f>SUM(F100:F101)</f>
        <v>464.45</v>
      </c>
      <c r="H99" s="501"/>
      <c r="I99" s="502"/>
      <c r="J99" s="502"/>
      <c r="K99" s="503"/>
    </row>
    <row r="100" spans="1:11" s="202" customFormat="1" ht="38.25" x14ac:dyDescent="0.2">
      <c r="A100" s="469" t="s">
        <v>175</v>
      </c>
      <c r="B100" s="661" t="str">
        <f>'Planilha Global'!B33</f>
        <v>Fornecimento e instalação de suporte de madeira para placas de sinalização, em solo, com h= de 2,0 m e seção de 7,5 x 7,5 cm</v>
      </c>
      <c r="C100" s="490" t="s">
        <v>279</v>
      </c>
      <c r="D100" s="472">
        <f>E58</f>
        <v>1</v>
      </c>
      <c r="E100" s="473">
        <f>'Planilha Global'!N33</f>
        <v>120.58</v>
      </c>
      <c r="F100" s="474">
        <f t="shared" ref="F100:F101" si="1">ROUND(D100*E100,2)</f>
        <v>120.58</v>
      </c>
      <c r="H100" s="665"/>
    </row>
    <row r="101" spans="1:11" s="226" customFormat="1" ht="38.25" x14ac:dyDescent="0.2">
      <c r="A101" s="469" t="s">
        <v>246</v>
      </c>
      <c r="B101" s="661" t="str">
        <f>'Planilha Global'!B34</f>
        <v>Placa de advertência em aço, lado de 0,60 m - película retrorrefletiva tipo I + SI - fornecimento e implantação</v>
      </c>
      <c r="C101" s="490" t="s">
        <v>279</v>
      </c>
      <c r="D101" s="472">
        <f>E60</f>
        <v>1</v>
      </c>
      <c r="E101" s="473">
        <f>'Planilha Global'!N34</f>
        <v>343.87</v>
      </c>
      <c r="F101" s="505">
        <f t="shared" si="1"/>
        <v>343.87</v>
      </c>
      <c r="H101" s="226">
        <v>349.41</v>
      </c>
    </row>
    <row r="102" spans="1:11" s="202" customFormat="1" ht="6.75" customHeight="1" x14ac:dyDescent="0.2">
      <c r="A102" s="509"/>
      <c r="B102" s="41"/>
      <c r="C102" s="482"/>
      <c r="D102" s="472"/>
      <c r="E102" s="510"/>
      <c r="F102" s="474"/>
      <c r="H102" s="511"/>
      <c r="K102" s="512"/>
    </row>
    <row r="103" spans="1:11" s="258" customFormat="1" ht="15" customHeight="1" thickBot="1" x14ac:dyDescent="0.3">
      <c r="A103" s="498" t="s">
        <v>254</v>
      </c>
      <c r="B103" s="499" t="s">
        <v>849</v>
      </c>
      <c r="C103" s="466"/>
      <c r="D103" s="467"/>
      <c r="E103" s="500"/>
      <c r="F103" s="468">
        <f>SUM(F104:F106)</f>
        <v>405.84</v>
      </c>
      <c r="H103" s="501"/>
      <c r="I103" s="502"/>
      <c r="J103" s="502"/>
      <c r="K103" s="503"/>
    </row>
    <row r="104" spans="1:11" s="202" customFormat="1" ht="26.25" thickBot="1" x14ac:dyDescent="0.25">
      <c r="A104" s="469" t="s">
        <v>255</v>
      </c>
      <c r="B104" s="661" t="str">
        <f>'Planilha Global'!B37</f>
        <v>Pintura de meio-fio com tinta branca a base de cal (caiação)</v>
      </c>
      <c r="C104" s="490" t="str">
        <f>F63</f>
        <v>m²</v>
      </c>
      <c r="D104" s="472">
        <f>E63</f>
        <v>58.61</v>
      </c>
      <c r="E104" s="473">
        <f>'Planilha Global'!N37</f>
        <v>1.78</v>
      </c>
      <c r="F104" s="474">
        <f>ROUND(D104,2)*ROUND(E104,2)</f>
        <v>104.33</v>
      </c>
      <c r="H104" s="506"/>
      <c r="I104" s="507"/>
      <c r="J104" s="507"/>
      <c r="K104" s="508"/>
    </row>
    <row r="105" spans="1:11" s="202" customFormat="1" ht="25.5" x14ac:dyDescent="0.2">
      <c r="A105" s="469" t="s">
        <v>853</v>
      </c>
      <c r="B105" s="661" t="str">
        <f>'Planilha Global'!B38</f>
        <v>Placa esmaltada para identificação de nome de rua, dimensões 45x20cm</v>
      </c>
      <c r="C105" s="490" t="str">
        <f>F65</f>
        <v>unid</v>
      </c>
      <c r="D105" s="472">
        <f>E65</f>
        <v>1</v>
      </c>
      <c r="E105" s="473">
        <f>'Planilha Global'!N38</f>
        <v>180.93</v>
      </c>
      <c r="F105" s="474">
        <f>ROUND(D105,2)*ROUND(E105,2)</f>
        <v>180.93</v>
      </c>
      <c r="H105" s="506"/>
      <c r="I105" s="507"/>
      <c r="J105" s="507"/>
      <c r="K105" s="508"/>
    </row>
    <row r="106" spans="1:11" s="202" customFormat="1" ht="38.25" x14ac:dyDescent="0.2">
      <c r="A106" s="469" t="s">
        <v>882</v>
      </c>
      <c r="B106" s="661" t="str">
        <f>'Planilha Global'!B39</f>
        <v>Fornecimento e instalação de suporte de madeira para placas de identificação de rua, em solo, com h= de 2,0 m e seção de 7,5 x 7,5 cm</v>
      </c>
      <c r="C106" s="490" t="s">
        <v>279</v>
      </c>
      <c r="D106" s="472">
        <f>E67</f>
        <v>1</v>
      </c>
      <c r="E106" s="473">
        <f>'Planilha Global'!N39</f>
        <v>120.58</v>
      </c>
      <c r="F106" s="474">
        <f t="shared" ref="F106" si="2">ROUND(D106*E106,2)</f>
        <v>120.58</v>
      </c>
      <c r="H106" s="665"/>
    </row>
    <row r="107" spans="1:11" s="202" customFormat="1" ht="6.75" customHeight="1" x14ac:dyDescent="0.2">
      <c r="A107" s="509"/>
      <c r="B107" s="41"/>
      <c r="C107" s="482"/>
      <c r="D107" s="472"/>
      <c r="E107" s="510"/>
      <c r="F107" s="474"/>
      <c r="H107" s="511"/>
      <c r="K107" s="512"/>
    </row>
    <row r="108" spans="1:11" s="202" customFormat="1" ht="12.75" customHeight="1" x14ac:dyDescent="0.2">
      <c r="A108" s="727" t="s">
        <v>440</v>
      </c>
      <c r="B108" s="728"/>
      <c r="C108" s="728"/>
      <c r="D108" s="728"/>
      <c r="E108" s="728"/>
      <c r="F108" s="543">
        <f>F77+F80+F83+F88+F93+F99+F103</f>
        <v>109043.08</v>
      </c>
    </row>
    <row r="109" spans="1:11" s="202" customFormat="1" ht="5.25" customHeight="1" x14ac:dyDescent="0.2">
      <c r="B109" s="256"/>
      <c r="C109" s="281"/>
      <c r="E109" s="281"/>
    </row>
    <row r="110" spans="1:11" s="202" customFormat="1" ht="12.75" customHeight="1" x14ac:dyDescent="0.2">
      <c r="A110" s="64" t="s">
        <v>1052</v>
      </c>
      <c r="B110" s="256"/>
      <c r="C110" s="281"/>
      <c r="E110" s="281"/>
      <c r="F110" s="513"/>
      <c r="G110" s="202">
        <f>175162.63/D85</f>
        <v>265.38988212478398</v>
      </c>
    </row>
    <row r="111" spans="1:11" s="202" customFormat="1" ht="12.75" customHeight="1" x14ac:dyDescent="0.2">
      <c r="A111" s="64" t="str">
        <f>'Composição Custos Unit'!G37</f>
        <v>Referência: SINAPI PB Fevereiro/25; DER PB Jan-Mar/25</v>
      </c>
      <c r="B111" s="256"/>
      <c r="C111" s="636" t="str">
        <f>'Planilha Global'!A43</f>
        <v>BDI: 28,99%</v>
      </c>
      <c r="E111" s="281"/>
    </row>
    <row r="112" spans="1:11" s="202" customFormat="1" ht="12.75" customHeight="1" x14ac:dyDescent="0.2">
      <c r="E112" s="281"/>
      <c r="F112" s="662">
        <f>'Maria Livramento - T1'!F106+'Maria Livramento - T2'!F108</f>
        <v>245812.81</v>
      </c>
    </row>
    <row r="113" spans="6:7" ht="12.75" customHeight="1" x14ac:dyDescent="0.2">
      <c r="G113">
        <f>F108/D78</f>
        <v>1004.91272693761</v>
      </c>
    </row>
    <row r="114" spans="6:7" ht="12.75" customHeight="1" x14ac:dyDescent="0.2">
      <c r="F114" s="514">
        <f>F108/D81</f>
        <v>165.21</v>
      </c>
    </row>
  </sheetData>
  <mergeCells count="45">
    <mergeCell ref="B65:D65"/>
    <mergeCell ref="A62:B62"/>
    <mergeCell ref="B58:D58"/>
    <mergeCell ref="B60:D60"/>
    <mergeCell ref="A108:E108"/>
    <mergeCell ref="A72:F72"/>
    <mergeCell ref="A73:F73"/>
    <mergeCell ref="A75:A76"/>
    <mergeCell ref="B75:B76"/>
    <mergeCell ref="C75:C76"/>
    <mergeCell ref="D75:D76"/>
    <mergeCell ref="E75:F75"/>
    <mergeCell ref="B63:D63"/>
    <mergeCell ref="B67:D67"/>
    <mergeCell ref="B53:D53"/>
    <mergeCell ref="B55:D55"/>
    <mergeCell ref="A57:B57"/>
    <mergeCell ref="B42:D42"/>
    <mergeCell ref="A31:B31"/>
    <mergeCell ref="B32:D32"/>
    <mergeCell ref="A34:B34"/>
    <mergeCell ref="B35:D35"/>
    <mergeCell ref="B37:D37"/>
    <mergeCell ref="B39:D39"/>
    <mergeCell ref="A41:B41"/>
    <mergeCell ref="B44:D44"/>
    <mergeCell ref="B46:D46"/>
    <mergeCell ref="A48:B48"/>
    <mergeCell ref="B49:D49"/>
    <mergeCell ref="B51:D51"/>
    <mergeCell ref="A4:F4"/>
    <mergeCell ref="C8:F8"/>
    <mergeCell ref="C9:F9"/>
    <mergeCell ref="C10:F10"/>
    <mergeCell ref="B29:D29"/>
    <mergeCell ref="C13:F13"/>
    <mergeCell ref="C14:F14"/>
    <mergeCell ref="C15:F15"/>
    <mergeCell ref="C25:F25"/>
    <mergeCell ref="C18:F18"/>
    <mergeCell ref="C19:F19"/>
    <mergeCell ref="C20:F20"/>
    <mergeCell ref="C23:F23"/>
    <mergeCell ref="C24:F24"/>
    <mergeCell ref="A28:B28"/>
  </mergeCells>
  <printOptions horizontalCentered="1"/>
  <pageMargins left="0.51181102362204722" right="0.51181102362204722" top="0.39370078740157483" bottom="0.59055118110236227" header="0.31496062992125984" footer="0.31496062992125984"/>
  <pageSetup paperSize="9" scale="90" orientation="portrait" r:id="rId1"/>
  <rowBreaks count="1" manualBreakCount="1">
    <brk id="68" max="5" man="1"/>
  </rowBreaks>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EC8EFE-F672-44CB-8995-472A2A64F6D8}">
  <dimension ref="A1:S120"/>
  <sheetViews>
    <sheetView view="pageBreakPreview" zoomScaleNormal="100" zoomScaleSheetLayoutView="100" workbookViewId="0">
      <selection activeCell="O28" activeCellId="1" sqref="R15 O28"/>
    </sheetView>
  </sheetViews>
  <sheetFormatPr defaultRowHeight="12.75" x14ac:dyDescent="0.2"/>
  <cols>
    <col min="1" max="1" width="4.7109375" customWidth="1"/>
    <col min="2" max="2" width="45" customWidth="1"/>
    <col min="3" max="3" width="8.42578125" customWidth="1"/>
    <col min="4" max="4" width="14.28515625" customWidth="1"/>
    <col min="5" max="5" width="9.28515625" bestFit="1" customWidth="1"/>
    <col min="6" max="6" width="12.140625" customWidth="1"/>
    <col min="7" max="7" width="14.42578125" customWidth="1"/>
    <col min="8" max="8" width="12.5703125" customWidth="1"/>
    <col min="9" max="9" width="17.7109375" customWidth="1"/>
    <col min="257" max="257" width="4.7109375" customWidth="1"/>
    <col min="258" max="258" width="45" customWidth="1"/>
    <col min="259" max="259" width="8.42578125" customWidth="1"/>
    <col min="260" max="260" width="14.28515625" customWidth="1"/>
    <col min="261" max="261" width="9.28515625" bestFit="1" customWidth="1"/>
    <col min="262" max="262" width="12.140625" customWidth="1"/>
    <col min="263" max="263" width="14.42578125" customWidth="1"/>
    <col min="264" max="264" width="12.5703125" customWidth="1"/>
    <col min="265" max="265" width="17.7109375" customWidth="1"/>
    <col min="513" max="513" width="4.7109375" customWidth="1"/>
    <col min="514" max="514" width="45" customWidth="1"/>
    <col min="515" max="515" width="8.42578125" customWidth="1"/>
    <col min="516" max="516" width="14.28515625" customWidth="1"/>
    <col min="517" max="517" width="9.28515625" bestFit="1" customWidth="1"/>
    <col min="518" max="518" width="12.140625" customWidth="1"/>
    <col min="519" max="519" width="14.42578125" customWidth="1"/>
    <col min="520" max="520" width="12.5703125" customWidth="1"/>
    <col min="521" max="521" width="17.7109375" customWidth="1"/>
    <col min="769" max="769" width="4.7109375" customWidth="1"/>
    <col min="770" max="770" width="45" customWidth="1"/>
    <col min="771" max="771" width="8.42578125" customWidth="1"/>
    <col min="772" max="772" width="14.28515625" customWidth="1"/>
    <col min="773" max="773" width="9.28515625" bestFit="1" customWidth="1"/>
    <col min="774" max="774" width="12.140625" customWidth="1"/>
    <col min="775" max="775" width="14.42578125" customWidth="1"/>
    <col min="776" max="776" width="12.5703125" customWidth="1"/>
    <col min="777" max="777" width="17.7109375" customWidth="1"/>
    <col min="1025" max="1025" width="4.7109375" customWidth="1"/>
    <col min="1026" max="1026" width="45" customWidth="1"/>
    <col min="1027" max="1027" width="8.42578125" customWidth="1"/>
    <col min="1028" max="1028" width="14.28515625" customWidth="1"/>
    <col min="1029" max="1029" width="9.28515625" bestFit="1" customWidth="1"/>
    <col min="1030" max="1030" width="12.140625" customWidth="1"/>
    <col min="1031" max="1031" width="14.42578125" customWidth="1"/>
    <col min="1032" max="1032" width="12.5703125" customWidth="1"/>
    <col min="1033" max="1033" width="17.7109375" customWidth="1"/>
    <col min="1281" max="1281" width="4.7109375" customWidth="1"/>
    <col min="1282" max="1282" width="45" customWidth="1"/>
    <col min="1283" max="1283" width="8.42578125" customWidth="1"/>
    <col min="1284" max="1284" width="14.28515625" customWidth="1"/>
    <col min="1285" max="1285" width="9.28515625" bestFit="1" customWidth="1"/>
    <col min="1286" max="1286" width="12.140625" customWidth="1"/>
    <col min="1287" max="1287" width="14.42578125" customWidth="1"/>
    <col min="1288" max="1288" width="12.5703125" customWidth="1"/>
    <col min="1289" max="1289" width="17.7109375" customWidth="1"/>
    <col min="1537" max="1537" width="4.7109375" customWidth="1"/>
    <col min="1538" max="1538" width="45" customWidth="1"/>
    <col min="1539" max="1539" width="8.42578125" customWidth="1"/>
    <col min="1540" max="1540" width="14.28515625" customWidth="1"/>
    <col min="1541" max="1541" width="9.28515625" bestFit="1" customWidth="1"/>
    <col min="1542" max="1542" width="12.140625" customWidth="1"/>
    <col min="1543" max="1543" width="14.42578125" customWidth="1"/>
    <col min="1544" max="1544" width="12.5703125" customWidth="1"/>
    <col min="1545" max="1545" width="17.7109375" customWidth="1"/>
    <col min="1793" max="1793" width="4.7109375" customWidth="1"/>
    <col min="1794" max="1794" width="45" customWidth="1"/>
    <col min="1795" max="1795" width="8.42578125" customWidth="1"/>
    <col min="1796" max="1796" width="14.28515625" customWidth="1"/>
    <col min="1797" max="1797" width="9.28515625" bestFit="1" customWidth="1"/>
    <col min="1798" max="1798" width="12.140625" customWidth="1"/>
    <col min="1799" max="1799" width="14.42578125" customWidth="1"/>
    <col min="1800" max="1800" width="12.5703125" customWidth="1"/>
    <col min="1801" max="1801" width="17.7109375" customWidth="1"/>
    <col min="2049" max="2049" width="4.7109375" customWidth="1"/>
    <col min="2050" max="2050" width="45" customWidth="1"/>
    <col min="2051" max="2051" width="8.42578125" customWidth="1"/>
    <col min="2052" max="2052" width="14.28515625" customWidth="1"/>
    <col min="2053" max="2053" width="9.28515625" bestFit="1" customWidth="1"/>
    <col min="2054" max="2054" width="12.140625" customWidth="1"/>
    <col min="2055" max="2055" width="14.42578125" customWidth="1"/>
    <col min="2056" max="2056" width="12.5703125" customWidth="1"/>
    <col min="2057" max="2057" width="17.7109375" customWidth="1"/>
    <col min="2305" max="2305" width="4.7109375" customWidth="1"/>
    <col min="2306" max="2306" width="45" customWidth="1"/>
    <col min="2307" max="2307" width="8.42578125" customWidth="1"/>
    <col min="2308" max="2308" width="14.28515625" customWidth="1"/>
    <col min="2309" max="2309" width="9.28515625" bestFit="1" customWidth="1"/>
    <col min="2310" max="2310" width="12.140625" customWidth="1"/>
    <col min="2311" max="2311" width="14.42578125" customWidth="1"/>
    <col min="2312" max="2312" width="12.5703125" customWidth="1"/>
    <col min="2313" max="2313" width="17.7109375" customWidth="1"/>
    <col min="2561" max="2561" width="4.7109375" customWidth="1"/>
    <col min="2562" max="2562" width="45" customWidth="1"/>
    <col min="2563" max="2563" width="8.42578125" customWidth="1"/>
    <col min="2564" max="2564" width="14.28515625" customWidth="1"/>
    <col min="2565" max="2565" width="9.28515625" bestFit="1" customWidth="1"/>
    <col min="2566" max="2566" width="12.140625" customWidth="1"/>
    <col min="2567" max="2567" width="14.42578125" customWidth="1"/>
    <col min="2568" max="2568" width="12.5703125" customWidth="1"/>
    <col min="2569" max="2569" width="17.7109375" customWidth="1"/>
    <col min="2817" max="2817" width="4.7109375" customWidth="1"/>
    <col min="2818" max="2818" width="45" customWidth="1"/>
    <col min="2819" max="2819" width="8.42578125" customWidth="1"/>
    <col min="2820" max="2820" width="14.28515625" customWidth="1"/>
    <col min="2821" max="2821" width="9.28515625" bestFit="1" customWidth="1"/>
    <col min="2822" max="2822" width="12.140625" customWidth="1"/>
    <col min="2823" max="2823" width="14.42578125" customWidth="1"/>
    <col min="2824" max="2824" width="12.5703125" customWidth="1"/>
    <col min="2825" max="2825" width="17.7109375" customWidth="1"/>
    <col min="3073" max="3073" width="4.7109375" customWidth="1"/>
    <col min="3074" max="3074" width="45" customWidth="1"/>
    <col min="3075" max="3075" width="8.42578125" customWidth="1"/>
    <col min="3076" max="3076" width="14.28515625" customWidth="1"/>
    <col min="3077" max="3077" width="9.28515625" bestFit="1" customWidth="1"/>
    <col min="3078" max="3078" width="12.140625" customWidth="1"/>
    <col min="3079" max="3079" width="14.42578125" customWidth="1"/>
    <col min="3080" max="3080" width="12.5703125" customWidth="1"/>
    <col min="3081" max="3081" width="17.7109375" customWidth="1"/>
    <col min="3329" max="3329" width="4.7109375" customWidth="1"/>
    <col min="3330" max="3330" width="45" customWidth="1"/>
    <col min="3331" max="3331" width="8.42578125" customWidth="1"/>
    <col min="3332" max="3332" width="14.28515625" customWidth="1"/>
    <col min="3333" max="3333" width="9.28515625" bestFit="1" customWidth="1"/>
    <col min="3334" max="3334" width="12.140625" customWidth="1"/>
    <col min="3335" max="3335" width="14.42578125" customWidth="1"/>
    <col min="3336" max="3336" width="12.5703125" customWidth="1"/>
    <col min="3337" max="3337" width="17.7109375" customWidth="1"/>
    <col min="3585" max="3585" width="4.7109375" customWidth="1"/>
    <col min="3586" max="3586" width="45" customWidth="1"/>
    <col min="3587" max="3587" width="8.42578125" customWidth="1"/>
    <col min="3588" max="3588" width="14.28515625" customWidth="1"/>
    <col min="3589" max="3589" width="9.28515625" bestFit="1" customWidth="1"/>
    <col min="3590" max="3590" width="12.140625" customWidth="1"/>
    <col min="3591" max="3591" width="14.42578125" customWidth="1"/>
    <col min="3592" max="3592" width="12.5703125" customWidth="1"/>
    <col min="3593" max="3593" width="17.7109375" customWidth="1"/>
    <col min="3841" max="3841" width="4.7109375" customWidth="1"/>
    <col min="3842" max="3842" width="45" customWidth="1"/>
    <col min="3843" max="3843" width="8.42578125" customWidth="1"/>
    <col min="3844" max="3844" width="14.28515625" customWidth="1"/>
    <col min="3845" max="3845" width="9.28515625" bestFit="1" customWidth="1"/>
    <col min="3846" max="3846" width="12.140625" customWidth="1"/>
    <col min="3847" max="3847" width="14.42578125" customWidth="1"/>
    <col min="3848" max="3848" width="12.5703125" customWidth="1"/>
    <col min="3849" max="3849" width="17.7109375" customWidth="1"/>
    <col min="4097" max="4097" width="4.7109375" customWidth="1"/>
    <col min="4098" max="4098" width="45" customWidth="1"/>
    <col min="4099" max="4099" width="8.42578125" customWidth="1"/>
    <col min="4100" max="4100" width="14.28515625" customWidth="1"/>
    <col min="4101" max="4101" width="9.28515625" bestFit="1" customWidth="1"/>
    <col min="4102" max="4102" width="12.140625" customWidth="1"/>
    <col min="4103" max="4103" width="14.42578125" customWidth="1"/>
    <col min="4104" max="4104" width="12.5703125" customWidth="1"/>
    <col min="4105" max="4105" width="17.7109375" customWidth="1"/>
    <col min="4353" max="4353" width="4.7109375" customWidth="1"/>
    <col min="4354" max="4354" width="45" customWidth="1"/>
    <col min="4355" max="4355" width="8.42578125" customWidth="1"/>
    <col min="4356" max="4356" width="14.28515625" customWidth="1"/>
    <col min="4357" max="4357" width="9.28515625" bestFit="1" customWidth="1"/>
    <col min="4358" max="4358" width="12.140625" customWidth="1"/>
    <col min="4359" max="4359" width="14.42578125" customWidth="1"/>
    <col min="4360" max="4360" width="12.5703125" customWidth="1"/>
    <col min="4361" max="4361" width="17.7109375" customWidth="1"/>
    <col min="4609" max="4609" width="4.7109375" customWidth="1"/>
    <col min="4610" max="4610" width="45" customWidth="1"/>
    <col min="4611" max="4611" width="8.42578125" customWidth="1"/>
    <col min="4612" max="4612" width="14.28515625" customWidth="1"/>
    <col min="4613" max="4613" width="9.28515625" bestFit="1" customWidth="1"/>
    <col min="4614" max="4614" width="12.140625" customWidth="1"/>
    <col min="4615" max="4615" width="14.42578125" customWidth="1"/>
    <col min="4616" max="4616" width="12.5703125" customWidth="1"/>
    <col min="4617" max="4617" width="17.7109375" customWidth="1"/>
    <col min="4865" max="4865" width="4.7109375" customWidth="1"/>
    <col min="4866" max="4866" width="45" customWidth="1"/>
    <col min="4867" max="4867" width="8.42578125" customWidth="1"/>
    <col min="4868" max="4868" width="14.28515625" customWidth="1"/>
    <col min="4869" max="4869" width="9.28515625" bestFit="1" customWidth="1"/>
    <col min="4870" max="4870" width="12.140625" customWidth="1"/>
    <col min="4871" max="4871" width="14.42578125" customWidth="1"/>
    <col min="4872" max="4872" width="12.5703125" customWidth="1"/>
    <col min="4873" max="4873" width="17.7109375" customWidth="1"/>
    <col min="5121" max="5121" width="4.7109375" customWidth="1"/>
    <col min="5122" max="5122" width="45" customWidth="1"/>
    <col min="5123" max="5123" width="8.42578125" customWidth="1"/>
    <col min="5124" max="5124" width="14.28515625" customWidth="1"/>
    <col min="5125" max="5125" width="9.28515625" bestFit="1" customWidth="1"/>
    <col min="5126" max="5126" width="12.140625" customWidth="1"/>
    <col min="5127" max="5127" width="14.42578125" customWidth="1"/>
    <col min="5128" max="5128" width="12.5703125" customWidth="1"/>
    <col min="5129" max="5129" width="17.7109375" customWidth="1"/>
    <col min="5377" max="5377" width="4.7109375" customWidth="1"/>
    <col min="5378" max="5378" width="45" customWidth="1"/>
    <col min="5379" max="5379" width="8.42578125" customWidth="1"/>
    <col min="5380" max="5380" width="14.28515625" customWidth="1"/>
    <col min="5381" max="5381" width="9.28515625" bestFit="1" customWidth="1"/>
    <col min="5382" max="5382" width="12.140625" customWidth="1"/>
    <col min="5383" max="5383" width="14.42578125" customWidth="1"/>
    <col min="5384" max="5384" width="12.5703125" customWidth="1"/>
    <col min="5385" max="5385" width="17.7109375" customWidth="1"/>
    <col min="5633" max="5633" width="4.7109375" customWidth="1"/>
    <col min="5634" max="5634" width="45" customWidth="1"/>
    <col min="5635" max="5635" width="8.42578125" customWidth="1"/>
    <col min="5636" max="5636" width="14.28515625" customWidth="1"/>
    <col min="5637" max="5637" width="9.28515625" bestFit="1" customWidth="1"/>
    <col min="5638" max="5638" width="12.140625" customWidth="1"/>
    <col min="5639" max="5639" width="14.42578125" customWidth="1"/>
    <col min="5640" max="5640" width="12.5703125" customWidth="1"/>
    <col min="5641" max="5641" width="17.7109375" customWidth="1"/>
    <col min="5889" max="5889" width="4.7109375" customWidth="1"/>
    <col min="5890" max="5890" width="45" customWidth="1"/>
    <col min="5891" max="5891" width="8.42578125" customWidth="1"/>
    <col min="5892" max="5892" width="14.28515625" customWidth="1"/>
    <col min="5893" max="5893" width="9.28515625" bestFit="1" customWidth="1"/>
    <col min="5894" max="5894" width="12.140625" customWidth="1"/>
    <col min="5895" max="5895" width="14.42578125" customWidth="1"/>
    <col min="5896" max="5896" width="12.5703125" customWidth="1"/>
    <col min="5897" max="5897" width="17.7109375" customWidth="1"/>
    <col min="6145" max="6145" width="4.7109375" customWidth="1"/>
    <col min="6146" max="6146" width="45" customWidth="1"/>
    <col min="6147" max="6147" width="8.42578125" customWidth="1"/>
    <col min="6148" max="6148" width="14.28515625" customWidth="1"/>
    <col min="6149" max="6149" width="9.28515625" bestFit="1" customWidth="1"/>
    <col min="6150" max="6150" width="12.140625" customWidth="1"/>
    <col min="6151" max="6151" width="14.42578125" customWidth="1"/>
    <col min="6152" max="6152" width="12.5703125" customWidth="1"/>
    <col min="6153" max="6153" width="17.7109375" customWidth="1"/>
    <col min="6401" max="6401" width="4.7109375" customWidth="1"/>
    <col min="6402" max="6402" width="45" customWidth="1"/>
    <col min="6403" max="6403" width="8.42578125" customWidth="1"/>
    <col min="6404" max="6404" width="14.28515625" customWidth="1"/>
    <col min="6405" max="6405" width="9.28515625" bestFit="1" customWidth="1"/>
    <col min="6406" max="6406" width="12.140625" customWidth="1"/>
    <col min="6407" max="6407" width="14.42578125" customWidth="1"/>
    <col min="6408" max="6408" width="12.5703125" customWidth="1"/>
    <col min="6409" max="6409" width="17.7109375" customWidth="1"/>
    <col min="6657" max="6657" width="4.7109375" customWidth="1"/>
    <col min="6658" max="6658" width="45" customWidth="1"/>
    <col min="6659" max="6659" width="8.42578125" customWidth="1"/>
    <col min="6660" max="6660" width="14.28515625" customWidth="1"/>
    <col min="6661" max="6661" width="9.28515625" bestFit="1" customWidth="1"/>
    <col min="6662" max="6662" width="12.140625" customWidth="1"/>
    <col min="6663" max="6663" width="14.42578125" customWidth="1"/>
    <col min="6664" max="6664" width="12.5703125" customWidth="1"/>
    <col min="6665" max="6665" width="17.7109375" customWidth="1"/>
    <col min="6913" max="6913" width="4.7109375" customWidth="1"/>
    <col min="6914" max="6914" width="45" customWidth="1"/>
    <col min="6915" max="6915" width="8.42578125" customWidth="1"/>
    <col min="6916" max="6916" width="14.28515625" customWidth="1"/>
    <col min="6917" max="6917" width="9.28515625" bestFit="1" customWidth="1"/>
    <col min="6918" max="6918" width="12.140625" customWidth="1"/>
    <col min="6919" max="6919" width="14.42578125" customWidth="1"/>
    <col min="6920" max="6920" width="12.5703125" customWidth="1"/>
    <col min="6921" max="6921" width="17.7109375" customWidth="1"/>
    <col min="7169" max="7169" width="4.7109375" customWidth="1"/>
    <col min="7170" max="7170" width="45" customWidth="1"/>
    <col min="7171" max="7171" width="8.42578125" customWidth="1"/>
    <col min="7172" max="7172" width="14.28515625" customWidth="1"/>
    <col min="7173" max="7173" width="9.28515625" bestFit="1" customWidth="1"/>
    <col min="7174" max="7174" width="12.140625" customWidth="1"/>
    <col min="7175" max="7175" width="14.42578125" customWidth="1"/>
    <col min="7176" max="7176" width="12.5703125" customWidth="1"/>
    <col min="7177" max="7177" width="17.7109375" customWidth="1"/>
    <col min="7425" max="7425" width="4.7109375" customWidth="1"/>
    <col min="7426" max="7426" width="45" customWidth="1"/>
    <col min="7427" max="7427" width="8.42578125" customWidth="1"/>
    <col min="7428" max="7428" width="14.28515625" customWidth="1"/>
    <col min="7429" max="7429" width="9.28515625" bestFit="1" customWidth="1"/>
    <col min="7430" max="7430" width="12.140625" customWidth="1"/>
    <col min="7431" max="7431" width="14.42578125" customWidth="1"/>
    <col min="7432" max="7432" width="12.5703125" customWidth="1"/>
    <col min="7433" max="7433" width="17.7109375" customWidth="1"/>
    <col min="7681" max="7681" width="4.7109375" customWidth="1"/>
    <col min="7682" max="7682" width="45" customWidth="1"/>
    <col min="7683" max="7683" width="8.42578125" customWidth="1"/>
    <col min="7684" max="7684" width="14.28515625" customWidth="1"/>
    <col min="7685" max="7685" width="9.28515625" bestFit="1" customWidth="1"/>
    <col min="7686" max="7686" width="12.140625" customWidth="1"/>
    <col min="7687" max="7687" width="14.42578125" customWidth="1"/>
    <col min="7688" max="7688" width="12.5703125" customWidth="1"/>
    <col min="7689" max="7689" width="17.7109375" customWidth="1"/>
    <col min="7937" max="7937" width="4.7109375" customWidth="1"/>
    <col min="7938" max="7938" width="45" customWidth="1"/>
    <col min="7939" max="7939" width="8.42578125" customWidth="1"/>
    <col min="7940" max="7940" width="14.28515625" customWidth="1"/>
    <col min="7941" max="7941" width="9.28515625" bestFit="1" customWidth="1"/>
    <col min="7942" max="7942" width="12.140625" customWidth="1"/>
    <col min="7943" max="7943" width="14.42578125" customWidth="1"/>
    <col min="7944" max="7944" width="12.5703125" customWidth="1"/>
    <col min="7945" max="7945" width="17.7109375" customWidth="1"/>
    <col min="8193" max="8193" width="4.7109375" customWidth="1"/>
    <col min="8194" max="8194" width="45" customWidth="1"/>
    <col min="8195" max="8195" width="8.42578125" customWidth="1"/>
    <col min="8196" max="8196" width="14.28515625" customWidth="1"/>
    <col min="8197" max="8197" width="9.28515625" bestFit="1" customWidth="1"/>
    <col min="8198" max="8198" width="12.140625" customWidth="1"/>
    <col min="8199" max="8199" width="14.42578125" customWidth="1"/>
    <col min="8200" max="8200" width="12.5703125" customWidth="1"/>
    <col min="8201" max="8201" width="17.7109375" customWidth="1"/>
    <col min="8449" max="8449" width="4.7109375" customWidth="1"/>
    <col min="8450" max="8450" width="45" customWidth="1"/>
    <col min="8451" max="8451" width="8.42578125" customWidth="1"/>
    <col min="8452" max="8452" width="14.28515625" customWidth="1"/>
    <col min="8453" max="8453" width="9.28515625" bestFit="1" customWidth="1"/>
    <col min="8454" max="8454" width="12.140625" customWidth="1"/>
    <col min="8455" max="8455" width="14.42578125" customWidth="1"/>
    <col min="8456" max="8456" width="12.5703125" customWidth="1"/>
    <col min="8457" max="8457" width="17.7109375" customWidth="1"/>
    <col min="8705" max="8705" width="4.7109375" customWidth="1"/>
    <col min="8706" max="8706" width="45" customWidth="1"/>
    <col min="8707" max="8707" width="8.42578125" customWidth="1"/>
    <col min="8708" max="8708" width="14.28515625" customWidth="1"/>
    <col min="8709" max="8709" width="9.28515625" bestFit="1" customWidth="1"/>
    <col min="8710" max="8710" width="12.140625" customWidth="1"/>
    <col min="8711" max="8711" width="14.42578125" customWidth="1"/>
    <col min="8712" max="8712" width="12.5703125" customWidth="1"/>
    <col min="8713" max="8713" width="17.7109375" customWidth="1"/>
    <col min="8961" max="8961" width="4.7109375" customWidth="1"/>
    <col min="8962" max="8962" width="45" customWidth="1"/>
    <col min="8963" max="8963" width="8.42578125" customWidth="1"/>
    <col min="8964" max="8964" width="14.28515625" customWidth="1"/>
    <col min="8965" max="8965" width="9.28515625" bestFit="1" customWidth="1"/>
    <col min="8966" max="8966" width="12.140625" customWidth="1"/>
    <col min="8967" max="8967" width="14.42578125" customWidth="1"/>
    <col min="8968" max="8968" width="12.5703125" customWidth="1"/>
    <col min="8969" max="8969" width="17.7109375" customWidth="1"/>
    <col min="9217" max="9217" width="4.7109375" customWidth="1"/>
    <col min="9218" max="9218" width="45" customWidth="1"/>
    <col min="9219" max="9219" width="8.42578125" customWidth="1"/>
    <col min="9220" max="9220" width="14.28515625" customWidth="1"/>
    <col min="9221" max="9221" width="9.28515625" bestFit="1" customWidth="1"/>
    <col min="9222" max="9222" width="12.140625" customWidth="1"/>
    <col min="9223" max="9223" width="14.42578125" customWidth="1"/>
    <col min="9224" max="9224" width="12.5703125" customWidth="1"/>
    <col min="9225" max="9225" width="17.7109375" customWidth="1"/>
    <col min="9473" max="9473" width="4.7109375" customWidth="1"/>
    <col min="9474" max="9474" width="45" customWidth="1"/>
    <col min="9475" max="9475" width="8.42578125" customWidth="1"/>
    <col min="9476" max="9476" width="14.28515625" customWidth="1"/>
    <col min="9477" max="9477" width="9.28515625" bestFit="1" customWidth="1"/>
    <col min="9478" max="9478" width="12.140625" customWidth="1"/>
    <col min="9479" max="9479" width="14.42578125" customWidth="1"/>
    <col min="9480" max="9480" width="12.5703125" customWidth="1"/>
    <col min="9481" max="9481" width="17.7109375" customWidth="1"/>
    <col min="9729" max="9729" width="4.7109375" customWidth="1"/>
    <col min="9730" max="9730" width="45" customWidth="1"/>
    <col min="9731" max="9731" width="8.42578125" customWidth="1"/>
    <col min="9732" max="9732" width="14.28515625" customWidth="1"/>
    <col min="9733" max="9733" width="9.28515625" bestFit="1" customWidth="1"/>
    <col min="9734" max="9734" width="12.140625" customWidth="1"/>
    <col min="9735" max="9735" width="14.42578125" customWidth="1"/>
    <col min="9736" max="9736" width="12.5703125" customWidth="1"/>
    <col min="9737" max="9737" width="17.7109375" customWidth="1"/>
    <col min="9985" max="9985" width="4.7109375" customWidth="1"/>
    <col min="9986" max="9986" width="45" customWidth="1"/>
    <col min="9987" max="9987" width="8.42578125" customWidth="1"/>
    <col min="9988" max="9988" width="14.28515625" customWidth="1"/>
    <col min="9989" max="9989" width="9.28515625" bestFit="1" customWidth="1"/>
    <col min="9990" max="9990" width="12.140625" customWidth="1"/>
    <col min="9991" max="9991" width="14.42578125" customWidth="1"/>
    <col min="9992" max="9992" width="12.5703125" customWidth="1"/>
    <col min="9993" max="9993" width="17.7109375" customWidth="1"/>
    <col min="10241" max="10241" width="4.7109375" customWidth="1"/>
    <col min="10242" max="10242" width="45" customWidth="1"/>
    <col min="10243" max="10243" width="8.42578125" customWidth="1"/>
    <col min="10244" max="10244" width="14.28515625" customWidth="1"/>
    <col min="10245" max="10245" width="9.28515625" bestFit="1" customWidth="1"/>
    <col min="10246" max="10246" width="12.140625" customWidth="1"/>
    <col min="10247" max="10247" width="14.42578125" customWidth="1"/>
    <col min="10248" max="10248" width="12.5703125" customWidth="1"/>
    <col min="10249" max="10249" width="17.7109375" customWidth="1"/>
    <col min="10497" max="10497" width="4.7109375" customWidth="1"/>
    <col min="10498" max="10498" width="45" customWidth="1"/>
    <col min="10499" max="10499" width="8.42578125" customWidth="1"/>
    <col min="10500" max="10500" width="14.28515625" customWidth="1"/>
    <col min="10501" max="10501" width="9.28515625" bestFit="1" customWidth="1"/>
    <col min="10502" max="10502" width="12.140625" customWidth="1"/>
    <col min="10503" max="10503" width="14.42578125" customWidth="1"/>
    <col min="10504" max="10504" width="12.5703125" customWidth="1"/>
    <col min="10505" max="10505" width="17.7109375" customWidth="1"/>
    <col min="10753" max="10753" width="4.7109375" customWidth="1"/>
    <col min="10754" max="10754" width="45" customWidth="1"/>
    <col min="10755" max="10755" width="8.42578125" customWidth="1"/>
    <col min="10756" max="10756" width="14.28515625" customWidth="1"/>
    <col min="10757" max="10757" width="9.28515625" bestFit="1" customWidth="1"/>
    <col min="10758" max="10758" width="12.140625" customWidth="1"/>
    <col min="10759" max="10759" width="14.42578125" customWidth="1"/>
    <col min="10760" max="10760" width="12.5703125" customWidth="1"/>
    <col min="10761" max="10761" width="17.7109375" customWidth="1"/>
    <col min="11009" max="11009" width="4.7109375" customWidth="1"/>
    <col min="11010" max="11010" width="45" customWidth="1"/>
    <col min="11011" max="11011" width="8.42578125" customWidth="1"/>
    <col min="11012" max="11012" width="14.28515625" customWidth="1"/>
    <col min="11013" max="11013" width="9.28515625" bestFit="1" customWidth="1"/>
    <col min="11014" max="11014" width="12.140625" customWidth="1"/>
    <col min="11015" max="11015" width="14.42578125" customWidth="1"/>
    <col min="11016" max="11016" width="12.5703125" customWidth="1"/>
    <col min="11017" max="11017" width="17.7109375" customWidth="1"/>
    <col min="11265" max="11265" width="4.7109375" customWidth="1"/>
    <col min="11266" max="11266" width="45" customWidth="1"/>
    <col min="11267" max="11267" width="8.42578125" customWidth="1"/>
    <col min="11268" max="11268" width="14.28515625" customWidth="1"/>
    <col min="11269" max="11269" width="9.28515625" bestFit="1" customWidth="1"/>
    <col min="11270" max="11270" width="12.140625" customWidth="1"/>
    <col min="11271" max="11271" width="14.42578125" customWidth="1"/>
    <col min="11272" max="11272" width="12.5703125" customWidth="1"/>
    <col min="11273" max="11273" width="17.7109375" customWidth="1"/>
    <col min="11521" max="11521" width="4.7109375" customWidth="1"/>
    <col min="11522" max="11522" width="45" customWidth="1"/>
    <col min="11523" max="11523" width="8.42578125" customWidth="1"/>
    <col min="11524" max="11524" width="14.28515625" customWidth="1"/>
    <col min="11525" max="11525" width="9.28515625" bestFit="1" customWidth="1"/>
    <col min="11526" max="11526" width="12.140625" customWidth="1"/>
    <col min="11527" max="11527" width="14.42578125" customWidth="1"/>
    <col min="11528" max="11528" width="12.5703125" customWidth="1"/>
    <col min="11529" max="11529" width="17.7109375" customWidth="1"/>
    <col min="11777" max="11777" width="4.7109375" customWidth="1"/>
    <col min="11778" max="11778" width="45" customWidth="1"/>
    <col min="11779" max="11779" width="8.42578125" customWidth="1"/>
    <col min="11780" max="11780" width="14.28515625" customWidth="1"/>
    <col min="11781" max="11781" width="9.28515625" bestFit="1" customWidth="1"/>
    <col min="11782" max="11782" width="12.140625" customWidth="1"/>
    <col min="11783" max="11783" width="14.42578125" customWidth="1"/>
    <col min="11784" max="11784" width="12.5703125" customWidth="1"/>
    <col min="11785" max="11785" width="17.7109375" customWidth="1"/>
    <col min="12033" max="12033" width="4.7109375" customWidth="1"/>
    <col min="12034" max="12034" width="45" customWidth="1"/>
    <col min="12035" max="12035" width="8.42578125" customWidth="1"/>
    <col min="12036" max="12036" width="14.28515625" customWidth="1"/>
    <col min="12037" max="12037" width="9.28515625" bestFit="1" customWidth="1"/>
    <col min="12038" max="12038" width="12.140625" customWidth="1"/>
    <col min="12039" max="12039" width="14.42578125" customWidth="1"/>
    <col min="12040" max="12040" width="12.5703125" customWidth="1"/>
    <col min="12041" max="12041" width="17.7109375" customWidth="1"/>
    <col min="12289" max="12289" width="4.7109375" customWidth="1"/>
    <col min="12290" max="12290" width="45" customWidth="1"/>
    <col min="12291" max="12291" width="8.42578125" customWidth="1"/>
    <col min="12292" max="12292" width="14.28515625" customWidth="1"/>
    <col min="12293" max="12293" width="9.28515625" bestFit="1" customWidth="1"/>
    <col min="12294" max="12294" width="12.140625" customWidth="1"/>
    <col min="12295" max="12295" width="14.42578125" customWidth="1"/>
    <col min="12296" max="12296" width="12.5703125" customWidth="1"/>
    <col min="12297" max="12297" width="17.7109375" customWidth="1"/>
    <col min="12545" max="12545" width="4.7109375" customWidth="1"/>
    <col min="12546" max="12546" width="45" customWidth="1"/>
    <col min="12547" max="12547" width="8.42578125" customWidth="1"/>
    <col min="12548" max="12548" width="14.28515625" customWidth="1"/>
    <col min="12549" max="12549" width="9.28515625" bestFit="1" customWidth="1"/>
    <col min="12550" max="12550" width="12.140625" customWidth="1"/>
    <col min="12551" max="12551" width="14.42578125" customWidth="1"/>
    <col min="12552" max="12552" width="12.5703125" customWidth="1"/>
    <col min="12553" max="12553" width="17.7109375" customWidth="1"/>
    <col min="12801" max="12801" width="4.7109375" customWidth="1"/>
    <col min="12802" max="12802" width="45" customWidth="1"/>
    <col min="12803" max="12803" width="8.42578125" customWidth="1"/>
    <col min="12804" max="12804" width="14.28515625" customWidth="1"/>
    <col min="12805" max="12805" width="9.28515625" bestFit="1" customWidth="1"/>
    <col min="12806" max="12806" width="12.140625" customWidth="1"/>
    <col min="12807" max="12807" width="14.42578125" customWidth="1"/>
    <col min="12808" max="12808" width="12.5703125" customWidth="1"/>
    <col min="12809" max="12809" width="17.7109375" customWidth="1"/>
    <col min="13057" max="13057" width="4.7109375" customWidth="1"/>
    <col min="13058" max="13058" width="45" customWidth="1"/>
    <col min="13059" max="13059" width="8.42578125" customWidth="1"/>
    <col min="13060" max="13060" width="14.28515625" customWidth="1"/>
    <col min="13061" max="13061" width="9.28515625" bestFit="1" customWidth="1"/>
    <col min="13062" max="13062" width="12.140625" customWidth="1"/>
    <col min="13063" max="13063" width="14.42578125" customWidth="1"/>
    <col min="13064" max="13064" width="12.5703125" customWidth="1"/>
    <col min="13065" max="13065" width="17.7109375" customWidth="1"/>
    <col min="13313" max="13313" width="4.7109375" customWidth="1"/>
    <col min="13314" max="13314" width="45" customWidth="1"/>
    <col min="13315" max="13315" width="8.42578125" customWidth="1"/>
    <col min="13316" max="13316" width="14.28515625" customWidth="1"/>
    <col min="13317" max="13317" width="9.28515625" bestFit="1" customWidth="1"/>
    <col min="13318" max="13318" width="12.140625" customWidth="1"/>
    <col min="13319" max="13319" width="14.42578125" customWidth="1"/>
    <col min="13320" max="13320" width="12.5703125" customWidth="1"/>
    <col min="13321" max="13321" width="17.7109375" customWidth="1"/>
    <col min="13569" max="13569" width="4.7109375" customWidth="1"/>
    <col min="13570" max="13570" width="45" customWidth="1"/>
    <col min="13571" max="13571" width="8.42578125" customWidth="1"/>
    <col min="13572" max="13572" width="14.28515625" customWidth="1"/>
    <col min="13573" max="13573" width="9.28515625" bestFit="1" customWidth="1"/>
    <col min="13574" max="13574" width="12.140625" customWidth="1"/>
    <col min="13575" max="13575" width="14.42578125" customWidth="1"/>
    <col min="13576" max="13576" width="12.5703125" customWidth="1"/>
    <col min="13577" max="13577" width="17.7109375" customWidth="1"/>
    <col min="13825" max="13825" width="4.7109375" customWidth="1"/>
    <col min="13826" max="13826" width="45" customWidth="1"/>
    <col min="13827" max="13827" width="8.42578125" customWidth="1"/>
    <col min="13828" max="13828" width="14.28515625" customWidth="1"/>
    <col min="13829" max="13829" width="9.28515625" bestFit="1" customWidth="1"/>
    <col min="13830" max="13830" width="12.140625" customWidth="1"/>
    <col min="13831" max="13831" width="14.42578125" customWidth="1"/>
    <col min="13832" max="13832" width="12.5703125" customWidth="1"/>
    <col min="13833" max="13833" width="17.7109375" customWidth="1"/>
    <col min="14081" max="14081" width="4.7109375" customWidth="1"/>
    <col min="14082" max="14082" width="45" customWidth="1"/>
    <col min="14083" max="14083" width="8.42578125" customWidth="1"/>
    <col min="14084" max="14084" width="14.28515625" customWidth="1"/>
    <col min="14085" max="14085" width="9.28515625" bestFit="1" customWidth="1"/>
    <col min="14086" max="14086" width="12.140625" customWidth="1"/>
    <col min="14087" max="14087" width="14.42578125" customWidth="1"/>
    <col min="14088" max="14088" width="12.5703125" customWidth="1"/>
    <col min="14089" max="14089" width="17.7109375" customWidth="1"/>
    <col min="14337" max="14337" width="4.7109375" customWidth="1"/>
    <col min="14338" max="14338" width="45" customWidth="1"/>
    <col min="14339" max="14339" width="8.42578125" customWidth="1"/>
    <col min="14340" max="14340" width="14.28515625" customWidth="1"/>
    <col min="14341" max="14341" width="9.28515625" bestFit="1" customWidth="1"/>
    <col min="14342" max="14342" width="12.140625" customWidth="1"/>
    <col min="14343" max="14343" width="14.42578125" customWidth="1"/>
    <col min="14344" max="14344" width="12.5703125" customWidth="1"/>
    <col min="14345" max="14345" width="17.7109375" customWidth="1"/>
    <col min="14593" max="14593" width="4.7109375" customWidth="1"/>
    <col min="14594" max="14594" width="45" customWidth="1"/>
    <col min="14595" max="14595" width="8.42578125" customWidth="1"/>
    <col min="14596" max="14596" width="14.28515625" customWidth="1"/>
    <col min="14597" max="14597" width="9.28515625" bestFit="1" customWidth="1"/>
    <col min="14598" max="14598" width="12.140625" customWidth="1"/>
    <col min="14599" max="14599" width="14.42578125" customWidth="1"/>
    <col min="14600" max="14600" width="12.5703125" customWidth="1"/>
    <col min="14601" max="14601" width="17.7109375" customWidth="1"/>
    <col min="14849" max="14849" width="4.7109375" customWidth="1"/>
    <col min="14850" max="14850" width="45" customWidth="1"/>
    <col min="14851" max="14851" width="8.42578125" customWidth="1"/>
    <col min="14852" max="14852" width="14.28515625" customWidth="1"/>
    <col min="14853" max="14853" width="9.28515625" bestFit="1" customWidth="1"/>
    <col min="14854" max="14854" width="12.140625" customWidth="1"/>
    <col min="14855" max="14855" width="14.42578125" customWidth="1"/>
    <col min="14856" max="14856" width="12.5703125" customWidth="1"/>
    <col min="14857" max="14857" width="17.7109375" customWidth="1"/>
    <col min="15105" max="15105" width="4.7109375" customWidth="1"/>
    <col min="15106" max="15106" width="45" customWidth="1"/>
    <col min="15107" max="15107" width="8.42578125" customWidth="1"/>
    <col min="15108" max="15108" width="14.28515625" customWidth="1"/>
    <col min="15109" max="15109" width="9.28515625" bestFit="1" customWidth="1"/>
    <col min="15110" max="15110" width="12.140625" customWidth="1"/>
    <col min="15111" max="15111" width="14.42578125" customWidth="1"/>
    <col min="15112" max="15112" width="12.5703125" customWidth="1"/>
    <col min="15113" max="15113" width="17.7109375" customWidth="1"/>
    <col min="15361" max="15361" width="4.7109375" customWidth="1"/>
    <col min="15362" max="15362" width="45" customWidth="1"/>
    <col min="15363" max="15363" width="8.42578125" customWidth="1"/>
    <col min="15364" max="15364" width="14.28515625" customWidth="1"/>
    <col min="15365" max="15365" width="9.28515625" bestFit="1" customWidth="1"/>
    <col min="15366" max="15366" width="12.140625" customWidth="1"/>
    <col min="15367" max="15367" width="14.42578125" customWidth="1"/>
    <col min="15368" max="15368" width="12.5703125" customWidth="1"/>
    <col min="15369" max="15369" width="17.7109375" customWidth="1"/>
    <col min="15617" max="15617" width="4.7109375" customWidth="1"/>
    <col min="15618" max="15618" width="45" customWidth="1"/>
    <col min="15619" max="15619" width="8.42578125" customWidth="1"/>
    <col min="15620" max="15620" width="14.28515625" customWidth="1"/>
    <col min="15621" max="15621" width="9.28515625" bestFit="1" customWidth="1"/>
    <col min="15622" max="15622" width="12.140625" customWidth="1"/>
    <col min="15623" max="15623" width="14.42578125" customWidth="1"/>
    <col min="15624" max="15624" width="12.5703125" customWidth="1"/>
    <col min="15625" max="15625" width="17.7109375" customWidth="1"/>
    <col min="15873" max="15873" width="4.7109375" customWidth="1"/>
    <col min="15874" max="15874" width="45" customWidth="1"/>
    <col min="15875" max="15875" width="8.42578125" customWidth="1"/>
    <col min="15876" max="15876" width="14.28515625" customWidth="1"/>
    <col min="15877" max="15877" width="9.28515625" bestFit="1" customWidth="1"/>
    <col min="15878" max="15878" width="12.140625" customWidth="1"/>
    <col min="15879" max="15879" width="14.42578125" customWidth="1"/>
    <col min="15880" max="15880" width="12.5703125" customWidth="1"/>
    <col min="15881" max="15881" width="17.7109375" customWidth="1"/>
    <col min="16129" max="16129" width="4.7109375" customWidth="1"/>
    <col min="16130" max="16130" width="45" customWidth="1"/>
    <col min="16131" max="16131" width="8.42578125" customWidth="1"/>
    <col min="16132" max="16132" width="14.28515625" customWidth="1"/>
    <col min="16133" max="16133" width="9.28515625" bestFit="1" customWidth="1"/>
    <col min="16134" max="16134" width="12.140625" customWidth="1"/>
    <col min="16135" max="16135" width="14.42578125" customWidth="1"/>
    <col min="16136" max="16136" width="12.5703125" customWidth="1"/>
    <col min="16137" max="16137" width="17.7109375" customWidth="1"/>
  </cols>
  <sheetData>
    <row r="1" spans="1:14" x14ac:dyDescent="0.2">
      <c r="A1" s="103" t="s">
        <v>265</v>
      </c>
    </row>
    <row r="2" spans="1:14" x14ac:dyDescent="0.2">
      <c r="A2" s="103" t="str">
        <f>'[2]Planilha Global'!A2</f>
        <v>PREFEITURA MUNICIPAL DE MAMANGUAPE</v>
      </c>
      <c r="G2" t="s">
        <v>421</v>
      </c>
      <c r="H2">
        <v>129.91999999999999</v>
      </c>
    </row>
    <row r="3" spans="1:14" ht="5.0999999999999996" customHeight="1" x14ac:dyDescent="0.2"/>
    <row r="4" spans="1:14" s="202" customFormat="1" ht="12.75" customHeight="1" x14ac:dyDescent="0.25">
      <c r="A4" s="729" t="s">
        <v>422</v>
      </c>
      <c r="B4" s="737"/>
      <c r="C4" s="737"/>
      <c r="D4" s="737"/>
      <c r="E4" s="737"/>
      <c r="F4" s="737"/>
      <c r="H4" s="202" t="s">
        <v>423</v>
      </c>
      <c r="I4" s="202" t="s">
        <v>424</v>
      </c>
      <c r="J4" s="202" t="s">
        <v>425</v>
      </c>
      <c r="K4" s="202" t="s">
        <v>426</v>
      </c>
      <c r="L4" s="202" t="s">
        <v>427</v>
      </c>
      <c r="M4" s="202" t="s">
        <v>428</v>
      </c>
      <c r="N4" s="202" t="s">
        <v>429</v>
      </c>
    </row>
    <row r="5" spans="1:14" s="202" customFormat="1" ht="7.5" customHeight="1" x14ac:dyDescent="0.25">
      <c r="A5" s="434"/>
      <c r="B5" s="435"/>
      <c r="C5" s="435"/>
      <c r="D5" s="435"/>
      <c r="E5" s="435"/>
      <c r="F5" s="435"/>
    </row>
    <row r="6" spans="1:14" s="202" customFormat="1" ht="15" customHeight="1" x14ac:dyDescent="0.25">
      <c r="A6" s="258" t="s">
        <v>709</v>
      </c>
      <c r="B6" s="258"/>
      <c r="C6" s="258"/>
      <c r="D6" s="258"/>
      <c r="E6" s="258"/>
      <c r="F6" s="103"/>
      <c r="G6" s="53"/>
      <c r="H6" s="202">
        <f>(7.77+5.48)/2</f>
        <v>6.625</v>
      </c>
      <c r="I6" s="202">
        <v>10</v>
      </c>
      <c r="J6" s="230">
        <f t="shared" ref="J6:J15" si="0">H6*I6</f>
        <v>66.25</v>
      </c>
    </row>
    <row r="7" spans="1:14" s="202" customFormat="1" ht="21" customHeight="1" x14ac:dyDescent="0.25">
      <c r="A7" s="258" t="s">
        <v>525</v>
      </c>
      <c r="B7" s="436"/>
      <c r="C7" s="437"/>
      <c r="D7" s="437"/>
      <c r="E7" s="257"/>
      <c r="F7" s="257"/>
      <c r="G7" s="53"/>
      <c r="H7" s="202">
        <f>(5.48+5.43)/2</f>
        <v>5.4550000000000001</v>
      </c>
      <c r="I7" s="202">
        <v>17.78</v>
      </c>
      <c r="J7" s="230">
        <f t="shared" si="0"/>
        <v>96.99</v>
      </c>
    </row>
    <row r="8" spans="1:14" s="202" customFormat="1" ht="15" customHeight="1" x14ac:dyDescent="0.25">
      <c r="A8" s="103" t="s">
        <v>785</v>
      </c>
      <c r="B8" s="436"/>
      <c r="C8" s="736" t="s">
        <v>788</v>
      </c>
      <c r="D8" s="736"/>
      <c r="E8" s="736"/>
      <c r="F8" s="736"/>
      <c r="G8" s="53"/>
      <c r="H8" s="663">
        <f>(5.43+5.33)/2</f>
        <v>5.38</v>
      </c>
      <c r="I8" s="202">
        <v>12.22</v>
      </c>
      <c r="J8" s="230">
        <f t="shared" si="0"/>
        <v>65.739999999999995</v>
      </c>
      <c r="K8" s="202">
        <f>9.92+10.22+17.76+18.38+11.62+11.79+47.53+12.6+12.22+11.07+23.03+13.04+3.16+6.64+11.05+21.69+18.23</f>
        <v>259.95</v>
      </c>
      <c r="L8" s="202">
        <f>5.68+4.08+6.31+26.94+12.7+10.5+13.15+2.22+7.65+20.38+25.33+25.4+36.7+29.26+18.73+19.08+9.01+14.58+11.42+7.25+4.36+26.66+12.33+10.58+14.04+3.07+7.89+20.45+25.67+25.67+37.03+29.56+19.1+18.96+8.89+14.81+11.96</f>
        <v>597.4</v>
      </c>
      <c r="M8" s="202">
        <v>4</v>
      </c>
      <c r="N8" s="202">
        <v>1.2</v>
      </c>
    </row>
    <row r="9" spans="1:14" s="202" customFormat="1" ht="15" customHeight="1" x14ac:dyDescent="0.2">
      <c r="A9" s="103" t="s">
        <v>786</v>
      </c>
      <c r="B9" s="438"/>
      <c r="C9" s="736" t="s">
        <v>790</v>
      </c>
      <c r="D9" s="736"/>
      <c r="E9" s="736"/>
      <c r="F9" s="736"/>
      <c r="G9" s="53"/>
      <c r="H9" s="663">
        <f>(5.33+5.79)/2</f>
        <v>5.56</v>
      </c>
      <c r="I9" s="230">
        <v>24.41</v>
      </c>
      <c r="J9" s="230">
        <f t="shared" si="0"/>
        <v>135.72</v>
      </c>
      <c r="K9" s="230"/>
      <c r="L9" s="202">
        <f>2.43+3.39+2.31+2.97+2.01+3.07</f>
        <v>16.18</v>
      </c>
    </row>
    <row r="10" spans="1:14" s="202" customFormat="1" ht="14.25" customHeight="1" x14ac:dyDescent="0.2">
      <c r="A10" s="103" t="s">
        <v>784</v>
      </c>
      <c r="B10" s="438"/>
      <c r="C10" s="736" t="s">
        <v>789</v>
      </c>
      <c r="D10" s="736"/>
      <c r="E10" s="736"/>
      <c r="F10" s="736"/>
      <c r="H10" s="663">
        <f>(5.79+5.54)/2</f>
        <v>5.665</v>
      </c>
      <c r="I10" s="230">
        <v>10.98</v>
      </c>
      <c r="J10" s="230">
        <f t="shared" si="0"/>
        <v>62.2</v>
      </c>
      <c r="K10" s="230"/>
    </row>
    <row r="11" spans="1:14" s="202" customFormat="1" ht="14.25" customHeight="1" x14ac:dyDescent="0.2">
      <c r="A11" s="103" t="s">
        <v>787</v>
      </c>
      <c r="B11" s="438"/>
      <c r="C11" s="437" t="s">
        <v>791</v>
      </c>
      <c r="D11" s="437"/>
      <c r="E11" s="437"/>
      <c r="F11" s="437"/>
      <c r="H11" s="663">
        <f>(5.54+5.38)/2</f>
        <v>5.46</v>
      </c>
      <c r="I11" s="230">
        <v>12.25</v>
      </c>
      <c r="J11" s="230">
        <f t="shared" si="0"/>
        <v>66.89</v>
      </c>
    </row>
    <row r="12" spans="1:14" s="202" customFormat="1" ht="14.25" customHeight="1" x14ac:dyDescent="0.2">
      <c r="A12" s="103"/>
      <c r="B12" s="438"/>
      <c r="C12" s="103"/>
      <c r="D12" s="437"/>
      <c r="E12" s="103"/>
      <c r="F12" s="103"/>
      <c r="H12" s="663">
        <f>(5.38+5.34)/2</f>
        <v>5.36</v>
      </c>
      <c r="I12" s="230">
        <v>13.92</v>
      </c>
      <c r="J12" s="230">
        <f t="shared" si="0"/>
        <v>74.61</v>
      </c>
    </row>
    <row r="13" spans="1:14" s="202" customFormat="1" ht="15" customHeight="1" x14ac:dyDescent="0.25">
      <c r="A13" s="515" t="s">
        <v>792</v>
      </c>
      <c r="B13" s="436"/>
      <c r="C13" s="736" t="s">
        <v>796</v>
      </c>
      <c r="D13" s="736"/>
      <c r="E13" s="736"/>
      <c r="F13" s="736"/>
      <c r="G13" s="53"/>
      <c r="H13" s="663">
        <f>(5.34+5)/2</f>
        <v>5.17</v>
      </c>
      <c r="I13" s="230">
        <v>6.63</v>
      </c>
      <c r="J13" s="230">
        <f t="shared" si="0"/>
        <v>34.28</v>
      </c>
    </row>
    <row r="14" spans="1:14" s="202" customFormat="1" ht="15" customHeight="1" x14ac:dyDescent="0.2">
      <c r="A14" s="515" t="s">
        <v>793</v>
      </c>
      <c r="B14" s="438"/>
      <c r="C14" s="736" t="s">
        <v>797</v>
      </c>
      <c r="D14" s="736"/>
      <c r="E14" s="736"/>
      <c r="F14" s="736"/>
      <c r="G14" s="53"/>
      <c r="H14" s="663">
        <f>(5+5.05)/2</f>
        <v>5.0250000000000004</v>
      </c>
      <c r="I14" s="230">
        <v>3.59</v>
      </c>
      <c r="J14" s="230">
        <f t="shared" si="0"/>
        <v>18.04</v>
      </c>
      <c r="K14" s="230"/>
    </row>
    <row r="15" spans="1:14" s="202" customFormat="1" ht="14.25" customHeight="1" x14ac:dyDescent="0.2">
      <c r="A15" s="515" t="s">
        <v>794</v>
      </c>
      <c r="B15" s="438"/>
      <c r="C15" s="736" t="s">
        <v>798</v>
      </c>
      <c r="D15" s="736"/>
      <c r="E15" s="736"/>
      <c r="F15" s="736"/>
      <c r="H15" s="663">
        <f>(5.05+6.54)/2</f>
        <v>5.7949999999999999</v>
      </c>
      <c r="I15" s="230">
        <v>18.14</v>
      </c>
      <c r="J15" s="230">
        <f t="shared" si="0"/>
        <v>105.12</v>
      </c>
      <c r="K15" s="230"/>
    </row>
    <row r="16" spans="1:14" s="202" customFormat="1" ht="14.25" customHeight="1" x14ac:dyDescent="0.2">
      <c r="A16" s="515" t="s">
        <v>795</v>
      </c>
      <c r="B16" s="438"/>
      <c r="C16" s="437" t="s">
        <v>799</v>
      </c>
      <c r="D16" s="437"/>
      <c r="E16" s="437"/>
      <c r="F16" s="437"/>
      <c r="H16" s="230"/>
      <c r="I16" s="230"/>
      <c r="J16" s="230">
        <f>SUM(J6:J15)</f>
        <v>725.84</v>
      </c>
    </row>
    <row r="17" spans="1:11" s="202" customFormat="1" ht="14.25" customHeight="1" x14ac:dyDescent="0.2">
      <c r="A17" s="515"/>
      <c r="B17" s="438"/>
      <c r="C17" s="515"/>
      <c r="D17" s="437"/>
      <c r="E17" s="103"/>
      <c r="F17" s="103"/>
      <c r="I17" s="230"/>
      <c r="J17" s="230"/>
    </row>
    <row r="18" spans="1:11" s="202" customFormat="1" ht="15" customHeight="1" x14ac:dyDescent="0.25">
      <c r="A18" s="515" t="s">
        <v>800</v>
      </c>
      <c r="B18" s="436"/>
      <c r="C18" s="736" t="s">
        <v>804</v>
      </c>
      <c r="D18" s="736"/>
      <c r="E18" s="736"/>
      <c r="F18" s="736"/>
      <c r="G18" s="53"/>
      <c r="I18" s="230"/>
      <c r="J18" s="230"/>
    </row>
    <row r="19" spans="1:11" s="202" customFormat="1" ht="15" customHeight="1" x14ac:dyDescent="0.2">
      <c r="A19" s="515" t="s">
        <v>801</v>
      </c>
      <c r="B19" s="438"/>
      <c r="C19" s="736" t="s">
        <v>805</v>
      </c>
      <c r="D19" s="736"/>
      <c r="E19" s="736"/>
      <c r="F19" s="736"/>
      <c r="G19" s="53"/>
      <c r="H19" s="230"/>
      <c r="I19" s="230"/>
      <c r="J19" s="230"/>
      <c r="K19" s="230"/>
    </row>
    <row r="20" spans="1:11" s="202" customFormat="1" ht="14.25" customHeight="1" x14ac:dyDescent="0.2">
      <c r="A20" s="515" t="s">
        <v>802</v>
      </c>
      <c r="B20" s="438"/>
      <c r="C20" s="736" t="s">
        <v>806</v>
      </c>
      <c r="D20" s="736"/>
      <c r="E20" s="736"/>
      <c r="F20" s="736"/>
      <c r="H20" s="230"/>
      <c r="I20" s="230"/>
      <c r="J20" s="230"/>
      <c r="K20" s="230"/>
    </row>
    <row r="21" spans="1:11" s="202" customFormat="1" ht="14.25" customHeight="1" x14ac:dyDescent="0.2">
      <c r="A21" s="515" t="s">
        <v>803</v>
      </c>
      <c r="B21" s="438"/>
      <c r="C21" s="437" t="s">
        <v>807</v>
      </c>
      <c r="D21" s="437"/>
      <c r="E21" s="437"/>
      <c r="F21" s="437"/>
      <c r="H21" s="230"/>
      <c r="I21" s="230"/>
      <c r="J21" s="230"/>
    </row>
    <row r="22" spans="1:11" s="202" customFormat="1" ht="14.25" customHeight="1" x14ac:dyDescent="0.2">
      <c r="A22" s="515"/>
      <c r="B22" s="438"/>
      <c r="C22" s="515"/>
      <c r="D22" s="437"/>
      <c r="E22" s="103"/>
      <c r="F22" s="103"/>
      <c r="I22" s="230"/>
      <c r="J22" s="230"/>
    </row>
    <row r="23" spans="1:11" s="202" customFormat="1" ht="15" customHeight="1" x14ac:dyDescent="0.25">
      <c r="A23" s="515" t="s">
        <v>808</v>
      </c>
      <c r="B23" s="436"/>
      <c r="C23" s="736" t="s">
        <v>813</v>
      </c>
      <c r="D23" s="736"/>
      <c r="E23" s="736"/>
      <c r="F23" s="736"/>
      <c r="G23" s="53"/>
      <c r="I23" s="230"/>
      <c r="J23" s="230"/>
    </row>
    <row r="24" spans="1:11" s="202" customFormat="1" ht="15" customHeight="1" x14ac:dyDescent="0.2">
      <c r="A24" s="515" t="s">
        <v>809</v>
      </c>
      <c r="B24" s="438"/>
      <c r="C24" s="736" t="s">
        <v>814</v>
      </c>
      <c r="D24" s="736"/>
      <c r="E24" s="736"/>
      <c r="F24" s="736"/>
      <c r="G24" s="53"/>
      <c r="H24" s="230"/>
      <c r="I24" s="230"/>
      <c r="J24" s="230"/>
      <c r="K24" s="230"/>
    </row>
    <row r="25" spans="1:11" s="202" customFormat="1" ht="14.25" customHeight="1" x14ac:dyDescent="0.2">
      <c r="A25" s="515" t="s">
        <v>810</v>
      </c>
      <c r="B25" s="438"/>
      <c r="C25" s="736" t="s">
        <v>812</v>
      </c>
      <c r="D25" s="736"/>
      <c r="E25" s="736"/>
      <c r="F25" s="736"/>
      <c r="H25" s="230"/>
      <c r="I25" s="230"/>
      <c r="J25" s="230"/>
      <c r="K25" s="230"/>
    </row>
    <row r="26" spans="1:11" s="202" customFormat="1" ht="14.25" customHeight="1" x14ac:dyDescent="0.2">
      <c r="A26" s="515" t="s">
        <v>811</v>
      </c>
      <c r="B26" s="438"/>
      <c r="C26" s="437" t="s">
        <v>815</v>
      </c>
      <c r="D26" s="437"/>
      <c r="E26" s="437"/>
      <c r="F26" s="437"/>
      <c r="H26" s="230"/>
      <c r="I26" s="230"/>
      <c r="J26" s="230"/>
    </row>
    <row r="27" spans="1:11" s="202" customFormat="1" ht="14.25" customHeight="1" x14ac:dyDescent="0.2">
      <c r="A27" s="515"/>
      <c r="B27" s="438"/>
      <c r="C27" s="515"/>
      <c r="D27" s="437"/>
      <c r="E27" s="103"/>
      <c r="F27" s="103"/>
      <c r="I27" s="230"/>
      <c r="J27" s="230"/>
    </row>
    <row r="28" spans="1:11" s="202" customFormat="1" ht="15" customHeight="1" x14ac:dyDescent="0.25">
      <c r="A28" s="515" t="s">
        <v>817</v>
      </c>
      <c r="B28" s="436"/>
      <c r="C28" s="736" t="s">
        <v>820</v>
      </c>
      <c r="D28" s="736"/>
      <c r="E28" s="736"/>
      <c r="F28" s="736"/>
      <c r="G28" s="53"/>
      <c r="I28" s="230"/>
      <c r="J28" s="230"/>
    </row>
    <row r="29" spans="1:11" s="202" customFormat="1" ht="15" customHeight="1" x14ac:dyDescent="0.2">
      <c r="A29" s="515" t="s">
        <v>818</v>
      </c>
      <c r="B29" s="438"/>
      <c r="C29" s="736" t="s">
        <v>821</v>
      </c>
      <c r="D29" s="736"/>
      <c r="E29" s="736"/>
      <c r="F29" s="736"/>
      <c r="G29" s="53"/>
      <c r="H29" s="230"/>
      <c r="I29" s="230"/>
      <c r="J29" s="230"/>
      <c r="K29" s="230"/>
    </row>
    <row r="30" spans="1:11" s="202" customFormat="1" ht="14.25" customHeight="1" x14ac:dyDescent="0.2">
      <c r="A30" s="515" t="s">
        <v>816</v>
      </c>
      <c r="B30" s="438"/>
      <c r="C30" s="736" t="s">
        <v>822</v>
      </c>
      <c r="D30" s="736"/>
      <c r="E30" s="736"/>
      <c r="F30" s="736"/>
      <c r="H30" s="230"/>
      <c r="I30" s="230"/>
      <c r="J30" s="230"/>
      <c r="K30" s="230"/>
    </row>
    <row r="31" spans="1:11" s="202" customFormat="1" ht="14.25" customHeight="1" x14ac:dyDescent="0.2">
      <c r="A31" s="515" t="s">
        <v>819</v>
      </c>
      <c r="B31" s="438"/>
      <c r="C31" s="437" t="s">
        <v>823</v>
      </c>
      <c r="D31" s="437"/>
      <c r="E31" s="437"/>
      <c r="F31" s="437"/>
      <c r="H31" s="230"/>
      <c r="I31" s="230"/>
      <c r="J31" s="230"/>
    </row>
    <row r="32" spans="1:11" s="202" customFormat="1" ht="14.25" customHeight="1" x14ac:dyDescent="0.2">
      <c r="A32" s="515"/>
      <c r="B32" s="438"/>
      <c r="C32" s="515"/>
      <c r="D32" s="437"/>
      <c r="E32" s="103"/>
      <c r="F32" s="103"/>
      <c r="I32" s="230"/>
      <c r="J32" s="230"/>
    </row>
    <row r="33" spans="1:19" s="103" customFormat="1" ht="12.75" customHeight="1" x14ac:dyDescent="0.2">
      <c r="A33" s="722" t="s">
        <v>832</v>
      </c>
      <c r="B33" s="722"/>
      <c r="C33" s="440"/>
      <c r="D33" s="440"/>
      <c r="E33" s="441"/>
      <c r="F33" s="452"/>
    </row>
    <row r="34" spans="1:19" s="103" customFormat="1" ht="26.25" customHeight="1" x14ac:dyDescent="0.2">
      <c r="A34" s="664" t="s">
        <v>86</v>
      </c>
      <c r="B34" s="724" t="s">
        <v>710</v>
      </c>
      <c r="C34" s="724"/>
      <c r="D34" s="724"/>
      <c r="E34" s="452">
        <f>H2</f>
        <v>129.91999999999999</v>
      </c>
      <c r="F34" s="438" t="s">
        <v>11</v>
      </c>
    </row>
    <row r="35" spans="1:19" s="202" customFormat="1" ht="5.0999999999999996" customHeight="1" x14ac:dyDescent="0.25">
      <c r="B35" s="453"/>
      <c r="C35" s="453"/>
      <c r="D35" s="453"/>
      <c r="E35" s="454"/>
      <c r="F35" s="455"/>
    </row>
    <row r="36" spans="1:19" s="103" customFormat="1" ht="12.75" customHeight="1" x14ac:dyDescent="0.2">
      <c r="A36" s="738" t="s">
        <v>510</v>
      </c>
      <c r="B36" s="738"/>
      <c r="C36" s="450"/>
      <c r="D36" s="440"/>
      <c r="E36" s="308"/>
      <c r="F36" s="451"/>
      <c r="J36" s="230">
        <f>SUM(J8:J17)</f>
        <v>1288.44</v>
      </c>
    </row>
    <row r="37" spans="1:19" s="103" customFormat="1" ht="38.25" customHeight="1" x14ac:dyDescent="0.2">
      <c r="A37" s="664" t="s">
        <v>7</v>
      </c>
      <c r="B37" s="724" t="s">
        <v>824</v>
      </c>
      <c r="C37" s="724"/>
      <c r="D37" s="724"/>
      <c r="E37" s="452">
        <f>J16</f>
        <v>725.84</v>
      </c>
      <c r="F37" s="438" t="s">
        <v>13</v>
      </c>
    </row>
    <row r="38" spans="1:19" s="202" customFormat="1" ht="5.0999999999999996" customHeight="1" x14ac:dyDescent="0.25">
      <c r="B38" s="453"/>
      <c r="C38" s="453"/>
      <c r="D38" s="453"/>
      <c r="E38" s="454"/>
      <c r="F38" s="455"/>
    </row>
    <row r="39" spans="1:19" s="103" customFormat="1" ht="12.75" customHeight="1" x14ac:dyDescent="0.2">
      <c r="A39" s="738" t="s">
        <v>431</v>
      </c>
      <c r="B39" s="738"/>
      <c r="C39" s="450"/>
      <c r="D39" s="440"/>
      <c r="E39" s="308"/>
      <c r="F39" s="451"/>
      <c r="J39" s="230">
        <f>SUM(J11:J17)</f>
        <v>1024.78</v>
      </c>
    </row>
    <row r="40" spans="1:19" s="103" customFormat="1" ht="79.5" customHeight="1" x14ac:dyDescent="0.2">
      <c r="A40" s="664" t="s">
        <v>9</v>
      </c>
      <c r="B40" s="721" t="s">
        <v>826</v>
      </c>
      <c r="C40" s="721"/>
      <c r="D40" s="721"/>
      <c r="E40" s="452">
        <f>K8</f>
        <v>259.95</v>
      </c>
      <c r="F40" s="438" t="s">
        <v>11</v>
      </c>
    </row>
    <row r="41" spans="1:19" s="202" customFormat="1" ht="5.0999999999999996" customHeight="1" x14ac:dyDescent="0.2">
      <c r="B41" s="445"/>
      <c r="C41" s="446"/>
      <c r="D41" s="447"/>
      <c r="E41" s="256"/>
      <c r="F41" s="256"/>
      <c r="G41" s="103"/>
      <c r="H41" s="103"/>
      <c r="I41" s="103"/>
      <c r="J41" s="103"/>
      <c r="K41" s="103"/>
      <c r="L41" s="103"/>
      <c r="M41" s="103"/>
      <c r="N41" s="103"/>
      <c r="O41" s="103"/>
      <c r="P41" s="103"/>
      <c r="Q41" s="103"/>
      <c r="R41" s="103"/>
      <c r="S41" s="103"/>
    </row>
    <row r="42" spans="1:19" s="103" customFormat="1" ht="52.5" customHeight="1" x14ac:dyDescent="0.2">
      <c r="A42" s="664" t="s">
        <v>12</v>
      </c>
      <c r="B42" s="721" t="s">
        <v>825</v>
      </c>
      <c r="C42" s="721"/>
      <c r="D42" s="721"/>
      <c r="E42" s="452">
        <f>E37</f>
        <v>725.84</v>
      </c>
      <c r="F42" s="438" t="s">
        <v>13</v>
      </c>
    </row>
    <row r="43" spans="1:19" s="202" customFormat="1" ht="5.0999999999999996" customHeight="1" x14ac:dyDescent="0.2">
      <c r="B43" s="445"/>
      <c r="C43" s="446"/>
      <c r="D43" s="447"/>
      <c r="E43" s="256"/>
      <c r="F43" s="256"/>
      <c r="G43" s="103"/>
      <c r="H43" s="103"/>
      <c r="I43" s="103"/>
      <c r="J43" s="103"/>
      <c r="K43" s="103"/>
      <c r="L43" s="103"/>
      <c r="M43" s="103"/>
      <c r="N43" s="103"/>
      <c r="O43" s="103"/>
      <c r="P43" s="103"/>
      <c r="Q43" s="103"/>
      <c r="R43" s="103"/>
      <c r="S43" s="103"/>
    </row>
    <row r="44" spans="1:19" s="103" customFormat="1" ht="39.75" customHeight="1" x14ac:dyDescent="0.2">
      <c r="A44" s="664" t="s">
        <v>108</v>
      </c>
      <c r="B44" s="721" t="s">
        <v>827</v>
      </c>
      <c r="C44" s="721"/>
      <c r="D44" s="721"/>
      <c r="E44" s="452">
        <f>7.77+6.54</f>
        <v>14.31</v>
      </c>
      <c r="F44" s="438" t="s">
        <v>11</v>
      </c>
    </row>
    <row r="45" spans="1:19" s="103" customFormat="1" ht="5.0999999999999996" customHeight="1" x14ac:dyDescent="0.2">
      <c r="B45" s="456"/>
      <c r="C45" s="456"/>
      <c r="D45" s="456"/>
      <c r="E45" s="457"/>
      <c r="F45" s="458"/>
    </row>
    <row r="46" spans="1:19" s="103" customFormat="1" ht="12.75" customHeight="1" x14ac:dyDescent="0.2">
      <c r="A46" s="739" t="s">
        <v>602</v>
      </c>
      <c r="B46" s="739"/>
      <c r="C46" s="440"/>
      <c r="D46" s="440"/>
      <c r="E46" s="441"/>
      <c r="F46" s="442"/>
    </row>
    <row r="47" spans="1:19" s="103" customFormat="1" ht="64.5" customHeight="1" x14ac:dyDescent="0.2">
      <c r="A47" s="664" t="s">
        <v>15</v>
      </c>
      <c r="B47" s="721" t="s">
        <v>828</v>
      </c>
      <c r="C47" s="721"/>
      <c r="D47" s="721"/>
      <c r="E47" s="637">
        <f>H47</f>
        <v>20.8</v>
      </c>
      <c r="F47" s="442" t="s">
        <v>13</v>
      </c>
      <c r="G47" s="103">
        <f>47.48+11.07+3.19+21.65+18.2+1.2+1.2</f>
        <v>103.99</v>
      </c>
      <c r="H47" s="461">
        <f>G47*0.2</f>
        <v>20.8</v>
      </c>
    </row>
    <row r="48" spans="1:19" s="202" customFormat="1" ht="5.0999999999999996" customHeight="1" x14ac:dyDescent="0.2">
      <c r="B48" s="445"/>
      <c r="C48" s="446"/>
      <c r="D48" s="447"/>
      <c r="E48" s="256"/>
      <c r="F48" s="256"/>
      <c r="G48" s="103"/>
      <c r="H48" s="103"/>
      <c r="I48" s="103"/>
      <c r="J48" s="103"/>
      <c r="K48" s="103"/>
      <c r="L48" s="103"/>
      <c r="M48" s="103"/>
      <c r="N48" s="103"/>
      <c r="O48" s="103"/>
      <c r="P48" s="103"/>
      <c r="Q48" s="103"/>
      <c r="R48" s="103"/>
      <c r="S48" s="103"/>
    </row>
    <row r="49" spans="1:18" s="103" customFormat="1" ht="153.75" customHeight="1" x14ac:dyDescent="0.2">
      <c r="A49" s="664" t="s">
        <v>129</v>
      </c>
      <c r="B49" s="725" t="s">
        <v>829</v>
      </c>
      <c r="C49" s="724"/>
      <c r="D49" s="724"/>
      <c r="E49" s="638">
        <f>M49</f>
        <v>14.94</v>
      </c>
      <c r="F49" s="438" t="s">
        <v>128</v>
      </c>
      <c r="G49" s="460">
        <f>(9.84*1.2)/2+(10.15*1.2)/2+(17.76+18.38+11.62+11.79+47.53+12.6+12.22+11.07+23.03+13.04+3.16+6.64+11.05+21.69+18.23)*1.2</f>
        <v>299.77</v>
      </c>
      <c r="H49" s="460">
        <f>G49-E60</f>
        <v>263.77</v>
      </c>
      <c r="I49" s="460"/>
      <c r="J49" s="460">
        <f>H49*0.06</f>
        <v>15.83</v>
      </c>
      <c r="K49" s="460">
        <f>6.15+5.84+6.53+6.57+3.7+4.31+11.6+23.76+11.78+12.62+23.76+12.25+11.07+23.02+13.03+3.19+6.63+11.01+6.85+2.45+7.32+8.27</f>
        <v>221.71</v>
      </c>
      <c r="L49" s="460">
        <f>K49*0.2*0.02</f>
        <v>0.89</v>
      </c>
      <c r="M49" s="460">
        <f>J49-L49</f>
        <v>14.94</v>
      </c>
    </row>
    <row r="50" spans="1:18" s="202" customFormat="1" ht="5.0999999999999996" customHeight="1" x14ac:dyDescent="0.2">
      <c r="B50" s="445"/>
      <c r="C50" s="446"/>
      <c r="D50" s="447"/>
      <c r="E50" s="256"/>
      <c r="F50" s="256"/>
      <c r="G50" s="448"/>
      <c r="H50" s="448"/>
    </row>
    <row r="51" spans="1:18" s="103" customFormat="1" ht="79.5" customHeight="1" x14ac:dyDescent="0.2">
      <c r="A51" s="664" t="s">
        <v>131</v>
      </c>
      <c r="B51" s="721" t="s">
        <v>830</v>
      </c>
      <c r="C51" s="721"/>
      <c r="D51" s="721"/>
      <c r="E51" s="639">
        <f>G51</f>
        <v>44.34</v>
      </c>
      <c r="F51" s="640" t="s">
        <v>13</v>
      </c>
      <c r="G51" s="648">
        <f>K49*0.2</f>
        <v>44.34</v>
      </c>
      <c r="H51" s="438"/>
      <c r="J51" s="460"/>
      <c r="K51" s="460"/>
      <c r="L51" s="461"/>
      <c r="M51" s="461"/>
      <c r="N51" s="460"/>
      <c r="O51" s="460"/>
      <c r="Q51" s="460"/>
    </row>
    <row r="52" spans="1:18" s="103" customFormat="1" ht="5.0999999999999996" customHeight="1" x14ac:dyDescent="0.2">
      <c r="B52" s="456"/>
      <c r="C52" s="456"/>
      <c r="D52" s="456"/>
      <c r="E52" s="457"/>
      <c r="F52" s="458"/>
    </row>
    <row r="53" spans="1:18" s="103" customFormat="1" ht="12.75" customHeight="1" x14ac:dyDescent="0.2">
      <c r="A53" s="739" t="s">
        <v>603</v>
      </c>
      <c r="B53" s="739"/>
      <c r="C53" s="440"/>
      <c r="D53" s="440"/>
      <c r="E53" s="441"/>
      <c r="F53" s="442"/>
    </row>
    <row r="54" spans="1:18" s="103" customFormat="1" ht="78" customHeight="1" x14ac:dyDescent="0.2">
      <c r="A54" s="664" t="s">
        <v>158</v>
      </c>
      <c r="B54" s="721" t="s">
        <v>700</v>
      </c>
      <c r="C54" s="721"/>
      <c r="D54" s="721"/>
      <c r="E54" s="637">
        <f>K54</f>
        <v>2.1</v>
      </c>
      <c r="F54" s="641" t="s">
        <v>128</v>
      </c>
      <c r="G54" s="460">
        <f>7.5*N8*M8*0.06</f>
        <v>2.16</v>
      </c>
      <c r="H54" s="461">
        <f>(1.2*2+1.5)*M8</f>
        <v>15.6</v>
      </c>
      <c r="I54" s="461"/>
      <c r="J54" s="461">
        <f>H54*0.2*0.02</f>
        <v>0.06</v>
      </c>
      <c r="K54" s="460">
        <f>G54-J54</f>
        <v>2.1</v>
      </c>
      <c r="N54" s="103">
        <f>(7.5*1.2)*7+5.75+6.31+5.25+6.11+5.71+5.24+5.25+7.18+7.07+5.2+5.25+5.15</f>
        <v>132.47</v>
      </c>
      <c r="O54" s="461">
        <f>N54*0.06</f>
        <v>7.95</v>
      </c>
      <c r="P54" s="461">
        <f>(1.2*3*7+1.05+2.42+1.05+4.76+1.42/2+2+1.05+3+1.05+2.66+1.05+2.01+1.05+3+1.05+1.05+1.05+1.05+1.05+1.05+1.05+2+1.05+2+1.05+2+0.99)</f>
        <v>68.5</v>
      </c>
      <c r="Q54" s="461">
        <f>P54*0.2*0.02</f>
        <v>0.27</v>
      </c>
      <c r="R54" s="103">
        <f>P54*0.2</f>
        <v>13.7</v>
      </c>
    </row>
    <row r="55" spans="1:18" s="202" customFormat="1" ht="5.0999999999999996" customHeight="1" x14ac:dyDescent="0.25">
      <c r="B55" s="445"/>
      <c r="C55" s="446"/>
      <c r="D55" s="447"/>
      <c r="E55" s="207"/>
      <c r="F55" s="642"/>
      <c r="G55" s="448"/>
      <c r="H55" s="448"/>
    </row>
    <row r="56" spans="1:18" s="103" customFormat="1" ht="78" customHeight="1" x14ac:dyDescent="0.2">
      <c r="A56" s="664" t="s">
        <v>170</v>
      </c>
      <c r="B56" s="721" t="s">
        <v>701</v>
      </c>
      <c r="C56" s="721"/>
      <c r="D56" s="721"/>
      <c r="E56" s="637">
        <f>E54</f>
        <v>2.1</v>
      </c>
      <c r="F56" s="641" t="s">
        <v>128</v>
      </c>
      <c r="G56" s="438"/>
      <c r="H56" s="438"/>
      <c r="I56" s="460"/>
      <c r="J56" s="461"/>
      <c r="K56" s="461"/>
      <c r="L56" s="461"/>
      <c r="M56" s="460"/>
    </row>
    <row r="57" spans="1:18" s="202" customFormat="1" ht="5.0999999999999996" customHeight="1" x14ac:dyDescent="0.2">
      <c r="B57" s="445"/>
      <c r="C57" s="446"/>
      <c r="D57" s="447"/>
      <c r="E57" s="256"/>
      <c r="F57" s="256"/>
      <c r="G57" s="448"/>
      <c r="H57" s="448"/>
    </row>
    <row r="58" spans="1:18" s="103" customFormat="1" ht="53.25" customHeight="1" x14ac:dyDescent="0.2">
      <c r="A58" s="664" t="s">
        <v>203</v>
      </c>
      <c r="B58" s="721" t="s">
        <v>702</v>
      </c>
      <c r="C58" s="721"/>
      <c r="D58" s="721"/>
      <c r="E58" s="637">
        <f>G58</f>
        <v>3.12</v>
      </c>
      <c r="F58" s="640" t="s">
        <v>13</v>
      </c>
      <c r="G58" s="645">
        <f>(N8*2+1.5)*M8*0.2</f>
        <v>3.12</v>
      </c>
      <c r="H58" s="438"/>
      <c r="J58" s="460"/>
      <c r="K58" s="460"/>
      <c r="L58" s="461"/>
      <c r="M58" s="461"/>
      <c r="N58" s="460"/>
      <c r="O58" s="460"/>
      <c r="Q58" s="460"/>
    </row>
    <row r="59" spans="1:18" s="202" customFormat="1" ht="5.0999999999999996" customHeight="1" x14ac:dyDescent="0.2">
      <c r="B59" s="445"/>
      <c r="C59" s="446"/>
      <c r="D59" s="447"/>
      <c r="E59" s="256"/>
      <c r="F59" s="256"/>
      <c r="G59" s="448"/>
      <c r="H59" s="448"/>
    </row>
    <row r="60" spans="1:18" s="103" customFormat="1" ht="40.5" customHeight="1" x14ac:dyDescent="0.2">
      <c r="A60" s="664" t="s">
        <v>181</v>
      </c>
      <c r="B60" s="726" t="s">
        <v>703</v>
      </c>
      <c r="C60" s="726"/>
      <c r="D60" s="726"/>
      <c r="E60" s="647">
        <f>G60</f>
        <v>36</v>
      </c>
      <c r="F60" s="641" t="s">
        <v>13</v>
      </c>
      <c r="G60" s="646">
        <f>7.5*N8*M8:M8</f>
        <v>36</v>
      </c>
      <c r="H60" s="438"/>
      <c r="J60" s="460"/>
      <c r="K60" s="460"/>
    </row>
    <row r="61" spans="1:18" s="103" customFormat="1" ht="5.0999999999999996" customHeight="1" x14ac:dyDescent="0.2">
      <c r="B61" s="456"/>
      <c r="C61" s="456"/>
      <c r="D61" s="456"/>
      <c r="E61" s="457"/>
      <c r="F61" s="458"/>
      <c r="G61" s="458"/>
      <c r="H61" s="458"/>
    </row>
    <row r="62" spans="1:18" s="103" customFormat="1" ht="12.75" customHeight="1" x14ac:dyDescent="0.2">
      <c r="A62" s="738" t="s">
        <v>704</v>
      </c>
      <c r="B62" s="738"/>
      <c r="C62" s="440"/>
      <c r="D62" s="440"/>
      <c r="E62" s="441"/>
      <c r="F62" s="442"/>
    </row>
    <row r="63" spans="1:18" s="103" customFormat="1" ht="39" customHeight="1" x14ac:dyDescent="0.2">
      <c r="A63" s="664" t="s">
        <v>175</v>
      </c>
      <c r="B63" s="721" t="s">
        <v>844</v>
      </c>
      <c r="C63" s="721"/>
      <c r="D63" s="721"/>
      <c r="E63" s="459">
        <v>2</v>
      </c>
      <c r="F63" s="438" t="s">
        <v>279</v>
      </c>
    </row>
    <row r="64" spans="1:18" s="202" customFormat="1" ht="5.0999999999999996" customHeight="1" x14ac:dyDescent="0.2">
      <c r="B64" s="445"/>
      <c r="C64" s="446"/>
      <c r="D64" s="447"/>
      <c r="E64" s="256"/>
      <c r="F64" s="256"/>
      <c r="G64" s="448"/>
      <c r="H64" s="448"/>
    </row>
    <row r="65" spans="1:9" s="103" customFormat="1" ht="39" customHeight="1" x14ac:dyDescent="0.2">
      <c r="A65" s="664" t="s">
        <v>246</v>
      </c>
      <c r="B65" s="721" t="s">
        <v>845</v>
      </c>
      <c r="C65" s="721"/>
      <c r="D65" s="721"/>
      <c r="E65" s="459">
        <v>2</v>
      </c>
      <c r="F65" s="438" t="s">
        <v>279</v>
      </c>
    </row>
    <row r="66" spans="1:9" s="103" customFormat="1" ht="5.0999999999999996" customHeight="1" x14ac:dyDescent="0.2">
      <c r="B66" s="456"/>
      <c r="C66" s="456"/>
      <c r="D66" s="456"/>
      <c r="E66" s="457"/>
      <c r="F66" s="458"/>
      <c r="G66" s="458"/>
      <c r="H66" s="458"/>
    </row>
    <row r="67" spans="1:9" s="103" customFormat="1" ht="12.75" customHeight="1" x14ac:dyDescent="0.2">
      <c r="A67" s="738" t="s">
        <v>846</v>
      </c>
      <c r="B67" s="738"/>
      <c r="C67" s="440"/>
      <c r="D67" s="440"/>
      <c r="E67" s="441"/>
      <c r="F67" s="442"/>
    </row>
    <row r="68" spans="1:9" s="103" customFormat="1" ht="25.5" customHeight="1" x14ac:dyDescent="0.2">
      <c r="A68" s="664" t="s">
        <v>255</v>
      </c>
      <c r="B68" s="721" t="s">
        <v>831</v>
      </c>
      <c r="C68" s="721"/>
      <c r="D68" s="721"/>
      <c r="E68" s="459">
        <f>E40*(0.15+0.13)</f>
        <v>72.790000000000006</v>
      </c>
      <c r="F68" s="438" t="s">
        <v>13</v>
      </c>
      <c r="H68" s="103" t="e">
        <f>#REF!*0.28</f>
        <v>#REF!</v>
      </c>
    </row>
    <row r="69" spans="1:9" s="202" customFormat="1" ht="5.0999999999999996" customHeight="1" x14ac:dyDescent="0.2">
      <c r="B69" s="445"/>
      <c r="C69" s="446"/>
      <c r="D69" s="447"/>
      <c r="E69" s="256"/>
      <c r="F69" s="256"/>
      <c r="G69" s="448"/>
      <c r="H69" s="448"/>
    </row>
    <row r="70" spans="1:9" s="202" customFormat="1" ht="24.75" customHeight="1" x14ac:dyDescent="0.2">
      <c r="A70" s="664" t="s">
        <v>853</v>
      </c>
      <c r="B70" s="721" t="s">
        <v>707</v>
      </c>
      <c r="C70" s="721"/>
      <c r="D70" s="721"/>
      <c r="E70" s="442">
        <v>1</v>
      </c>
      <c r="F70" s="53" t="s">
        <v>279</v>
      </c>
      <c r="H70" s="202">
        <v>3.9</v>
      </c>
      <c r="I70" s="202">
        <v>216</v>
      </c>
    </row>
    <row r="71" spans="1:9" s="103" customFormat="1" ht="5.0999999999999996" customHeight="1" x14ac:dyDescent="0.2">
      <c r="B71" s="456"/>
      <c r="C71" s="456"/>
      <c r="D71" s="456"/>
      <c r="E71" s="457"/>
      <c r="F71" s="458"/>
      <c r="G71" s="458"/>
      <c r="H71" s="458"/>
    </row>
    <row r="72" spans="1:9" s="103" customFormat="1" ht="39" customHeight="1" x14ac:dyDescent="0.2">
      <c r="A72" s="664" t="s">
        <v>882</v>
      </c>
      <c r="B72" s="721" t="s">
        <v>883</v>
      </c>
      <c r="C72" s="721"/>
      <c r="D72" s="721"/>
      <c r="E72" s="459">
        <v>1</v>
      </c>
      <c r="F72" s="438" t="s">
        <v>279</v>
      </c>
    </row>
    <row r="73" spans="1:9" s="103" customFormat="1" ht="5.0999999999999996" customHeight="1" x14ac:dyDescent="0.2">
      <c r="E73" s="441"/>
      <c r="F73" s="442"/>
    </row>
    <row r="74" spans="1:9" s="202" customFormat="1" ht="5.0999999999999996" customHeight="1" x14ac:dyDescent="0.2">
      <c r="B74" s="445"/>
      <c r="C74" s="446"/>
      <c r="D74" s="447"/>
      <c r="E74" s="256"/>
      <c r="F74" s="256"/>
      <c r="G74" s="448"/>
      <c r="H74" s="448"/>
    </row>
    <row r="75" spans="1:9" x14ac:dyDescent="0.2">
      <c r="A75" s="103" t="s">
        <v>265</v>
      </c>
    </row>
    <row r="76" spans="1:9" x14ac:dyDescent="0.2">
      <c r="A76" s="103" t="str">
        <f>A2</f>
        <v>PREFEITURA MUNICIPAL DE MAMANGUAPE</v>
      </c>
    </row>
    <row r="77" spans="1:9" ht="5.0999999999999996" customHeight="1" x14ac:dyDescent="0.2"/>
    <row r="78" spans="1:9" s="103" customFormat="1" ht="12.75" customHeight="1" x14ac:dyDescent="0.25">
      <c r="A78" s="729" t="s">
        <v>433</v>
      </c>
      <c r="B78" s="729"/>
      <c r="C78" s="729"/>
      <c r="D78" s="729"/>
      <c r="E78" s="729"/>
      <c r="F78" s="729"/>
      <c r="H78" s="460"/>
    </row>
    <row r="79" spans="1:9" s="202" customFormat="1" ht="18" customHeight="1" x14ac:dyDescent="0.25">
      <c r="A79" s="735" t="str">
        <f>A6</f>
        <v>Rua Fábio Barbosa Vaz (Trecho 01)</v>
      </c>
      <c r="B79" s="735"/>
      <c r="C79" s="735"/>
      <c r="D79" s="735"/>
      <c r="E79" s="735"/>
      <c r="F79" s="735"/>
      <c r="G79" s="53"/>
    </row>
    <row r="80" spans="1:9" s="202" customFormat="1" ht="5.0999999999999996" customHeight="1" x14ac:dyDescent="0.25">
      <c r="B80" s="436"/>
      <c r="C80" s="437"/>
      <c r="D80" s="437"/>
      <c r="E80" s="257"/>
      <c r="F80" s="257"/>
      <c r="G80" s="53"/>
    </row>
    <row r="81" spans="1:12" s="202" customFormat="1" ht="12.75" customHeight="1" x14ac:dyDescent="0.2">
      <c r="A81" s="730" t="s">
        <v>53</v>
      </c>
      <c r="B81" s="732" t="s">
        <v>267</v>
      </c>
      <c r="C81" s="732" t="s">
        <v>268</v>
      </c>
      <c r="D81" s="732" t="s">
        <v>434</v>
      </c>
      <c r="E81" s="732" t="s">
        <v>435</v>
      </c>
      <c r="F81" s="734"/>
    </row>
    <row r="82" spans="1:12" s="202" customFormat="1" ht="12.75" customHeight="1" x14ac:dyDescent="0.2">
      <c r="A82" s="731"/>
      <c r="B82" s="733"/>
      <c r="C82" s="733"/>
      <c r="D82" s="733"/>
      <c r="E82" s="462" t="s">
        <v>436</v>
      </c>
      <c r="F82" s="463" t="s">
        <v>437</v>
      </c>
    </row>
    <row r="83" spans="1:12" s="202" customFormat="1" ht="12.75" customHeight="1" x14ac:dyDescent="0.2">
      <c r="A83" s="464" t="s">
        <v>4</v>
      </c>
      <c r="B83" s="465" t="s">
        <v>438</v>
      </c>
      <c r="C83" s="466"/>
      <c r="D83" s="467"/>
      <c r="E83" s="467"/>
      <c r="F83" s="468">
        <f>F84</f>
        <v>74.05</v>
      </c>
    </row>
    <row r="84" spans="1:12" s="202" customFormat="1" ht="25.5" x14ac:dyDescent="0.2">
      <c r="A84" s="469" t="s">
        <v>86</v>
      </c>
      <c r="B84" s="470" t="str">
        <f>'Planilha Global'!B11</f>
        <v>Execução de linhas de referência em gabarito ou cavalete (locação de pavimentação)</v>
      </c>
      <c r="C84" s="490" t="str">
        <f>F34</f>
        <v>m</v>
      </c>
      <c r="D84" s="472">
        <f>E34</f>
        <v>129.91999999999999</v>
      </c>
      <c r="E84" s="473">
        <f>'Planilha Global'!N11</f>
        <v>0.56999999999999995</v>
      </c>
      <c r="F84" s="474">
        <f>ROUND(D84,2)*ROUND(E84,2)</f>
        <v>74.05</v>
      </c>
    </row>
    <row r="85" spans="1:12" s="202" customFormat="1" ht="6.75" customHeight="1" x14ac:dyDescent="0.2">
      <c r="A85" s="486"/>
      <c r="B85" s="487"/>
      <c r="C85" s="482"/>
      <c r="D85" s="472"/>
      <c r="E85" s="488"/>
      <c r="F85" s="474"/>
    </row>
    <row r="86" spans="1:12" s="202" customFormat="1" ht="12.75" customHeight="1" x14ac:dyDescent="0.2">
      <c r="A86" s="464" t="s">
        <v>6</v>
      </c>
      <c r="B86" s="465" t="s">
        <v>511</v>
      </c>
      <c r="C86" s="466"/>
      <c r="D86" s="467"/>
      <c r="E86" s="467"/>
      <c r="F86" s="468">
        <f>SUM(F87:F87)</f>
        <v>1814.6</v>
      </c>
    </row>
    <row r="87" spans="1:12" s="202" customFormat="1" ht="25.5" x14ac:dyDescent="0.2">
      <c r="A87" s="469" t="s">
        <v>7</v>
      </c>
      <c r="B87" s="470" t="str">
        <f>'Planilha Global'!B14</f>
        <v>Regularização e compactação do subleito até 20 cm de espessura</v>
      </c>
      <c r="C87" s="482" t="str">
        <f>F37</f>
        <v>m²</v>
      </c>
      <c r="D87" s="472">
        <f>E37</f>
        <v>725.84</v>
      </c>
      <c r="E87" s="473">
        <f>'Planilha Global'!N14</f>
        <v>2.5</v>
      </c>
      <c r="F87" s="474">
        <f>ROUND(D87,2)*ROUND(E87,2)</f>
        <v>1814.6</v>
      </c>
      <c r="H87" s="485"/>
    </row>
    <row r="88" spans="1:12" s="202" customFormat="1" ht="6.75" customHeight="1" x14ac:dyDescent="0.2">
      <c r="A88" s="486"/>
      <c r="B88" s="487"/>
      <c r="C88" s="482"/>
      <c r="D88" s="472"/>
      <c r="E88" s="488"/>
      <c r="F88" s="474"/>
    </row>
    <row r="89" spans="1:12" s="202" customFormat="1" ht="12.75" customHeight="1" thickBot="1" x14ac:dyDescent="0.25">
      <c r="A89" s="464" t="s">
        <v>8</v>
      </c>
      <c r="B89" s="465" t="s">
        <v>439</v>
      </c>
      <c r="C89" s="466"/>
      <c r="D89" s="467"/>
      <c r="E89" s="489"/>
      <c r="F89" s="468">
        <f>SUM(F90:F92)</f>
        <v>92019.5</v>
      </c>
    </row>
    <row r="90" spans="1:12" s="226" customFormat="1" ht="53.25" customHeight="1" x14ac:dyDescent="0.2">
      <c r="A90" s="469" t="s">
        <v>9</v>
      </c>
      <c r="B90" s="470" t="str">
        <f>'Planilha Global'!B17</f>
        <v>Assentamento de guia (meio-fio) em trecho reto, confeccionada em concreto pré-fabricado, dimensões 100x15x13x30 cm (comprimento x base inferior x base superior x altura), para vias urbanas (uso viário)</v>
      </c>
      <c r="C90" s="482" t="str">
        <f>F40</f>
        <v>m</v>
      </c>
      <c r="D90" s="472">
        <f>E40</f>
        <v>259.95</v>
      </c>
      <c r="E90" s="473">
        <f>'Planilha Global'!N17</f>
        <v>49.53</v>
      </c>
      <c r="F90" s="474">
        <f>ROUND(D90,2)*ROUND(E90,2)</f>
        <v>12875.32</v>
      </c>
      <c r="H90" s="492"/>
      <c r="I90" s="493"/>
      <c r="J90" s="494"/>
    </row>
    <row r="91" spans="1:12" s="226" customFormat="1" ht="42.75" customHeight="1" thickBot="1" x14ac:dyDescent="0.25">
      <c r="A91" s="469" t="s">
        <v>12</v>
      </c>
      <c r="B91" s="470" t="str">
        <f>'Planilha Global'!B18</f>
        <v>Execução de pavimento em paralelepípedos, rejuntamento com argamassa traço 1:3 (cimento e areia)</v>
      </c>
      <c r="C91" s="482" t="str">
        <f>F42</f>
        <v>m²</v>
      </c>
      <c r="D91" s="472">
        <f>E42</f>
        <v>725.84</v>
      </c>
      <c r="E91" s="473">
        <f>'Planilha Global'!N18</f>
        <v>107.81</v>
      </c>
      <c r="F91" s="474">
        <f>ROUND(D91,2)*ROUND(E91,2)</f>
        <v>78252.81</v>
      </c>
      <c r="H91" s="495"/>
      <c r="I91" s="496"/>
      <c r="J91" s="497"/>
    </row>
    <row r="92" spans="1:12" s="226" customFormat="1" ht="26.25" customHeight="1" x14ac:dyDescent="0.2">
      <c r="A92" s="469" t="s">
        <v>108</v>
      </c>
      <c r="B92" s="470" t="str">
        <f>'Planilha Global'!B19</f>
        <v>Assentamento de guia (meio-fio) para cordão de travamento do pavimento, em pedra granítica</v>
      </c>
      <c r="C92" s="482" t="str">
        <f>F44</f>
        <v>m</v>
      </c>
      <c r="D92" s="472">
        <f>E44</f>
        <v>14.31</v>
      </c>
      <c r="E92" s="473">
        <f>'Planilha Global'!N19</f>
        <v>62.29</v>
      </c>
      <c r="F92" s="474">
        <f>ROUND(D92,2)*ROUND(E92,2)</f>
        <v>891.37</v>
      </c>
      <c r="H92" s="492"/>
      <c r="I92" s="493"/>
      <c r="J92" s="494"/>
    </row>
    <row r="93" spans="1:12" s="202" customFormat="1" ht="6.75" customHeight="1" x14ac:dyDescent="0.2">
      <c r="A93" s="486"/>
      <c r="B93" s="487"/>
      <c r="C93" s="482"/>
      <c r="D93" s="472"/>
      <c r="E93" s="488"/>
      <c r="F93" s="474"/>
    </row>
    <row r="94" spans="1:12" s="258" customFormat="1" ht="15" customHeight="1" thickBot="1" x14ac:dyDescent="0.3">
      <c r="A94" s="498" t="s">
        <v>14</v>
      </c>
      <c r="B94" s="499" t="s">
        <v>605</v>
      </c>
      <c r="C94" s="466"/>
      <c r="D94" s="467"/>
      <c r="E94" s="500"/>
      <c r="F94" s="468">
        <f>SUM(F95:F97)</f>
        <v>23750.69</v>
      </c>
      <c r="I94" s="501"/>
      <c r="J94" s="502"/>
      <c r="K94" s="502"/>
      <c r="L94" s="503"/>
    </row>
    <row r="95" spans="1:12" s="226" customFormat="1" ht="51" x14ac:dyDescent="0.2">
      <c r="A95" s="469" t="s">
        <v>15</v>
      </c>
      <c r="B95" s="504" t="s">
        <v>644</v>
      </c>
      <c r="C95" s="490" t="str">
        <f>F47</f>
        <v>m²</v>
      </c>
      <c r="D95" s="472">
        <f>E47</f>
        <v>20.8</v>
      </c>
      <c r="E95" s="473">
        <f>'Planilha Global'!N22</f>
        <v>107.24</v>
      </c>
      <c r="F95" s="474">
        <f>ROUND(D95,2)*ROUND(E95,2)</f>
        <v>2230.59</v>
      </c>
      <c r="H95" s="226">
        <v>73.06</v>
      </c>
    </row>
    <row r="96" spans="1:12" s="226" customFormat="1" ht="38.25" x14ac:dyDescent="0.2">
      <c r="A96" s="469" t="s">
        <v>129</v>
      </c>
      <c r="B96" s="504" t="s">
        <v>127</v>
      </c>
      <c r="C96" s="490" t="str">
        <f>F49</f>
        <v>m³</v>
      </c>
      <c r="D96" s="472">
        <f>'Fábio Vaz - T1'!E49</f>
        <v>14.94</v>
      </c>
      <c r="E96" s="473">
        <f>'Planilha Global'!N23</f>
        <v>943.02</v>
      </c>
      <c r="F96" s="474">
        <f>ROUND(D96,2)*ROUND(E96,2)</f>
        <v>14088.72</v>
      </c>
      <c r="H96" s="226">
        <v>703.2</v>
      </c>
    </row>
    <row r="97" spans="1:12" s="226" customFormat="1" ht="51" x14ac:dyDescent="0.2">
      <c r="A97" s="469" t="s">
        <v>131</v>
      </c>
      <c r="B97" s="504" t="s">
        <v>494</v>
      </c>
      <c r="C97" s="490" t="str">
        <f>F51</f>
        <v>m²</v>
      </c>
      <c r="D97" s="472">
        <f>E51</f>
        <v>44.34</v>
      </c>
      <c r="E97" s="473">
        <f>'Planilha Global'!N24</f>
        <v>167.6</v>
      </c>
      <c r="F97" s="474">
        <f>ROUND(D97,2)*ROUND(E97,2)</f>
        <v>7431.38</v>
      </c>
      <c r="H97" s="226">
        <v>109.78</v>
      </c>
    </row>
    <row r="98" spans="1:12" s="202" customFormat="1" ht="6.75" customHeight="1" x14ac:dyDescent="0.2">
      <c r="A98" s="486"/>
      <c r="B98" s="487"/>
      <c r="C98" s="482"/>
      <c r="D98" s="472"/>
      <c r="E98" s="488"/>
      <c r="F98" s="474"/>
    </row>
    <row r="99" spans="1:12" s="258" customFormat="1" ht="15" customHeight="1" thickBot="1" x14ac:dyDescent="0.3">
      <c r="A99" s="498" t="s">
        <v>157</v>
      </c>
      <c r="B99" s="499" t="s">
        <v>606</v>
      </c>
      <c r="C99" s="466"/>
      <c r="D99" s="467"/>
      <c r="E99" s="500"/>
      <c r="F99" s="468">
        <f>SUM(F100:F103)</f>
        <v>3246.79</v>
      </c>
      <c r="I99" s="501"/>
      <c r="J99" s="502"/>
      <c r="K99" s="502"/>
      <c r="L99" s="503"/>
    </row>
    <row r="100" spans="1:12" s="226" customFormat="1" ht="39" thickBot="1" x14ac:dyDescent="0.25">
      <c r="A100" s="469" t="s">
        <v>158</v>
      </c>
      <c r="B100" s="504" t="s">
        <v>607</v>
      </c>
      <c r="C100" s="490" t="str">
        <f>F54</f>
        <v>m³</v>
      </c>
      <c r="D100" s="472">
        <f>E54</f>
        <v>2.1</v>
      </c>
      <c r="E100" s="473">
        <f>'Planilha Global'!N27</f>
        <v>553.16</v>
      </c>
      <c r="F100" s="474">
        <f>ROUND(D100,2)*ROUND(E100,2)</f>
        <v>1161.6400000000001</v>
      </c>
      <c r="H100" s="226">
        <v>410.85</v>
      </c>
    </row>
    <row r="101" spans="1:12" s="202" customFormat="1" ht="25.5" x14ac:dyDescent="0.2">
      <c r="A101" s="469" t="s">
        <v>170</v>
      </c>
      <c r="B101" s="504" t="s">
        <v>608</v>
      </c>
      <c r="C101" s="490" t="str">
        <f>F56</f>
        <v>m³</v>
      </c>
      <c r="D101" s="472">
        <f>E56</f>
        <v>2.1</v>
      </c>
      <c r="E101" s="473">
        <f>'Planilha Global'!N28</f>
        <v>324.95</v>
      </c>
      <c r="F101" s="474">
        <f>ROUND(D101,2)*ROUND(E101,2)</f>
        <v>682.4</v>
      </c>
      <c r="H101" s="202">
        <v>223.25</v>
      </c>
      <c r="I101" s="506"/>
      <c r="J101" s="507"/>
      <c r="K101" s="507"/>
      <c r="L101" s="508"/>
    </row>
    <row r="102" spans="1:12" s="226" customFormat="1" ht="53.25" customHeight="1" x14ac:dyDescent="0.2">
      <c r="A102" s="469" t="s">
        <v>203</v>
      </c>
      <c r="B102" s="504" t="s">
        <v>494</v>
      </c>
      <c r="C102" s="490" t="str">
        <f>F58</f>
        <v>m²</v>
      </c>
      <c r="D102" s="472">
        <f>E58</f>
        <v>3.12</v>
      </c>
      <c r="E102" s="473">
        <f>'Planilha Global'!N29</f>
        <v>167.6</v>
      </c>
      <c r="F102" s="474">
        <f>ROUND(D102,2)*ROUND(E102,2)</f>
        <v>522.91</v>
      </c>
      <c r="H102" s="226">
        <v>109.78</v>
      </c>
    </row>
    <row r="103" spans="1:12" s="226" customFormat="1" ht="25.5" x14ac:dyDescent="0.2">
      <c r="A103" s="469" t="s">
        <v>181</v>
      </c>
      <c r="B103" s="504" t="s">
        <v>609</v>
      </c>
      <c r="C103" s="490" t="str">
        <f>F60</f>
        <v>m²</v>
      </c>
      <c r="D103" s="472">
        <f>E60</f>
        <v>36</v>
      </c>
      <c r="E103" s="473">
        <f>'Planilha Global'!N30</f>
        <v>24.44</v>
      </c>
      <c r="F103" s="474">
        <f>ROUND(D103,2)*ROUND(E103,2)</f>
        <v>879.84</v>
      </c>
      <c r="H103" s="226">
        <v>14.87</v>
      </c>
    </row>
    <row r="104" spans="1:12" s="202" customFormat="1" ht="6.75" customHeight="1" x14ac:dyDescent="0.2">
      <c r="A104" s="486"/>
      <c r="B104" s="487"/>
      <c r="C104" s="482"/>
      <c r="D104" s="472"/>
      <c r="E104" s="488"/>
      <c r="F104" s="474"/>
    </row>
    <row r="105" spans="1:12" s="258" customFormat="1" ht="15" customHeight="1" thickBot="1" x14ac:dyDescent="0.3">
      <c r="A105" s="498" t="s">
        <v>174</v>
      </c>
      <c r="B105" s="499" t="s">
        <v>706</v>
      </c>
      <c r="C105" s="466"/>
      <c r="D105" s="467"/>
      <c r="E105" s="500"/>
      <c r="F105" s="468">
        <f>SUM(F106:F107)</f>
        <v>928.9</v>
      </c>
      <c r="H105" s="501"/>
      <c r="I105" s="502"/>
      <c r="J105" s="502"/>
      <c r="K105" s="503"/>
    </row>
    <row r="106" spans="1:12" s="202" customFormat="1" ht="38.25" x14ac:dyDescent="0.2">
      <c r="A106" s="469" t="s">
        <v>175</v>
      </c>
      <c r="B106" s="661" t="str">
        <f>'Planilha Global'!B33</f>
        <v>Fornecimento e instalação de suporte de madeira para placas de sinalização, em solo, com h= de 2,0 m e seção de 7,5 x 7,5 cm</v>
      </c>
      <c r="C106" s="490" t="s">
        <v>279</v>
      </c>
      <c r="D106" s="472">
        <f>E63</f>
        <v>2</v>
      </c>
      <c r="E106" s="473">
        <f>'Planilha Global'!N33</f>
        <v>120.58</v>
      </c>
      <c r="F106" s="474">
        <f t="shared" ref="F106:F107" si="1">ROUND(D106*E106,2)</f>
        <v>241.16</v>
      </c>
      <c r="H106" s="665"/>
    </row>
    <row r="107" spans="1:12" s="226" customFormat="1" ht="38.25" x14ac:dyDescent="0.2">
      <c r="A107" s="469" t="s">
        <v>246</v>
      </c>
      <c r="B107" s="661" t="str">
        <f>'Planilha Global'!B34</f>
        <v>Placa de advertência em aço, lado de 0,60 m - película retrorrefletiva tipo I + SI - fornecimento e implantação</v>
      </c>
      <c r="C107" s="490" t="s">
        <v>279</v>
      </c>
      <c r="D107" s="472">
        <f>E65</f>
        <v>2</v>
      </c>
      <c r="E107" s="473">
        <f>'Planilha Global'!N34</f>
        <v>343.87</v>
      </c>
      <c r="F107" s="505">
        <f t="shared" si="1"/>
        <v>687.74</v>
      </c>
      <c r="H107" s="226">
        <v>349.41</v>
      </c>
    </row>
    <row r="108" spans="1:12" s="202" customFormat="1" ht="6.75" customHeight="1" x14ac:dyDescent="0.2">
      <c r="A108" s="509"/>
      <c r="B108" s="41"/>
      <c r="C108" s="482"/>
      <c r="D108" s="472"/>
      <c r="E108" s="510"/>
      <c r="F108" s="474"/>
      <c r="H108" s="511"/>
      <c r="K108" s="512"/>
    </row>
    <row r="109" spans="1:12" s="258" customFormat="1" ht="15" customHeight="1" thickBot="1" x14ac:dyDescent="0.3">
      <c r="A109" s="498" t="s">
        <v>254</v>
      </c>
      <c r="B109" s="499" t="s">
        <v>849</v>
      </c>
      <c r="C109" s="466"/>
      <c r="D109" s="467"/>
      <c r="E109" s="500"/>
      <c r="F109" s="468">
        <f>SUM(F110:F112)</f>
        <v>431.08</v>
      </c>
      <c r="H109" s="501"/>
      <c r="I109" s="502"/>
      <c r="J109" s="502"/>
      <c r="K109" s="503"/>
    </row>
    <row r="110" spans="1:12" s="202" customFormat="1" ht="15" thickBot="1" x14ac:dyDescent="0.25">
      <c r="A110" s="469" t="s">
        <v>255</v>
      </c>
      <c r="B110" s="504" t="s">
        <v>419</v>
      </c>
      <c r="C110" s="490" t="str">
        <f>F68</f>
        <v>m²</v>
      </c>
      <c r="D110" s="472">
        <f>E68</f>
        <v>72.790000000000006</v>
      </c>
      <c r="E110" s="473">
        <f>'Planilha Global'!N37</f>
        <v>1.78</v>
      </c>
      <c r="F110" s="474">
        <f>ROUND(D110,2)*ROUND(E110,2)</f>
        <v>129.57</v>
      </c>
      <c r="H110" s="506"/>
      <c r="I110" s="507"/>
      <c r="J110" s="507"/>
      <c r="K110" s="508"/>
    </row>
    <row r="111" spans="1:12" s="202" customFormat="1" ht="25.5" x14ac:dyDescent="0.2">
      <c r="A111" s="469" t="s">
        <v>853</v>
      </c>
      <c r="B111" s="661" t="str">
        <f>'Planilha Global'!B38</f>
        <v>Placa esmaltada para identificação de nome de rua, dimensões 45x20cm</v>
      </c>
      <c r="C111" s="490" t="str">
        <f>F70</f>
        <v>unid</v>
      </c>
      <c r="D111" s="472">
        <f>E70</f>
        <v>1</v>
      </c>
      <c r="E111" s="473">
        <f>'Planilha Global'!N38</f>
        <v>180.93</v>
      </c>
      <c r="F111" s="474">
        <f>ROUND(D111,2)*ROUND(E111,2)</f>
        <v>180.93</v>
      </c>
      <c r="H111" s="506"/>
      <c r="I111" s="507"/>
      <c r="J111" s="507"/>
      <c r="K111" s="508"/>
    </row>
    <row r="112" spans="1:12" s="202" customFormat="1" ht="38.25" x14ac:dyDescent="0.2">
      <c r="A112" s="469" t="s">
        <v>882</v>
      </c>
      <c r="B112" s="661" t="str">
        <f>'Planilha Global'!B39</f>
        <v>Fornecimento e instalação de suporte de madeira para placas de identificação de rua, em solo, com h= de 2,0 m e seção de 7,5 x 7,5 cm</v>
      </c>
      <c r="C112" s="490" t="s">
        <v>279</v>
      </c>
      <c r="D112" s="472">
        <f>E72</f>
        <v>1</v>
      </c>
      <c r="E112" s="473">
        <f>'Planilha Global'!N39</f>
        <v>120.58</v>
      </c>
      <c r="F112" s="474">
        <f t="shared" ref="F112" si="2">ROUND(D112*E112,2)</f>
        <v>120.58</v>
      </c>
      <c r="H112" s="665"/>
    </row>
    <row r="113" spans="1:11" s="202" customFormat="1" ht="6.75" customHeight="1" x14ac:dyDescent="0.2">
      <c r="A113" s="509"/>
      <c r="B113" s="41"/>
      <c r="C113" s="482"/>
      <c r="D113" s="472"/>
      <c r="E113" s="510"/>
      <c r="F113" s="474"/>
      <c r="H113" s="511"/>
      <c r="K113" s="512"/>
    </row>
    <row r="114" spans="1:11" s="202" customFormat="1" ht="12.75" customHeight="1" x14ac:dyDescent="0.2">
      <c r="A114" s="727" t="s">
        <v>440</v>
      </c>
      <c r="B114" s="728"/>
      <c r="C114" s="728"/>
      <c r="D114" s="728"/>
      <c r="E114" s="728"/>
      <c r="F114" s="543">
        <f>F83+F86+F89+F94+F99+F105+F109</f>
        <v>122265.61</v>
      </c>
    </row>
    <row r="115" spans="1:11" s="202" customFormat="1" ht="5.25" customHeight="1" x14ac:dyDescent="0.2">
      <c r="B115" s="256"/>
      <c r="C115" s="281"/>
      <c r="E115" s="281"/>
    </row>
    <row r="116" spans="1:11" s="202" customFormat="1" ht="12.75" customHeight="1" x14ac:dyDescent="0.2">
      <c r="A116" s="64" t="s">
        <v>1052</v>
      </c>
      <c r="B116" s="256"/>
      <c r="C116" s="281"/>
      <c r="E116" s="281"/>
      <c r="F116" s="513"/>
      <c r="G116" s="202">
        <f>175162.63/D91</f>
        <v>241.324024578419</v>
      </c>
    </row>
    <row r="117" spans="1:11" s="202" customFormat="1" ht="12.75" customHeight="1" x14ac:dyDescent="0.2">
      <c r="A117" s="64" t="str">
        <f>'Composição Custos Unit'!G37</f>
        <v>Referência: SINAPI PB Fevereiro/25; DER PB Jan-Mar/25</v>
      </c>
      <c r="B117" s="256"/>
      <c r="C117" s="636" t="str">
        <f>'Planilha Global'!A43</f>
        <v>BDI: 28,99%</v>
      </c>
      <c r="E117" s="281"/>
    </row>
    <row r="118" spans="1:11" s="202" customFormat="1" ht="12.75" customHeight="1" x14ac:dyDescent="0.2">
      <c r="E118" s="281"/>
      <c r="F118" s="247"/>
    </row>
    <row r="119" spans="1:11" ht="12.75" customHeight="1" x14ac:dyDescent="0.2">
      <c r="G119" t="e">
        <f>F114/#REF!</f>
        <v>#REF!</v>
      </c>
    </row>
    <row r="120" spans="1:11" ht="12.75" customHeight="1" x14ac:dyDescent="0.2">
      <c r="F120" s="514">
        <f>F114/D87</f>
        <v>168.45</v>
      </c>
    </row>
  </sheetData>
  <mergeCells count="48">
    <mergeCell ref="B72:D72"/>
    <mergeCell ref="A114:E114"/>
    <mergeCell ref="A78:F78"/>
    <mergeCell ref="A79:F79"/>
    <mergeCell ref="A81:A82"/>
    <mergeCell ref="B81:B82"/>
    <mergeCell ref="C81:C82"/>
    <mergeCell ref="D81:D82"/>
    <mergeCell ref="E81:F81"/>
    <mergeCell ref="B54:D54"/>
    <mergeCell ref="B65:D65"/>
    <mergeCell ref="B70:D70"/>
    <mergeCell ref="A67:B67"/>
    <mergeCell ref="B47:D47"/>
    <mergeCell ref="B56:D56"/>
    <mergeCell ref="B58:D58"/>
    <mergeCell ref="B60:D60"/>
    <mergeCell ref="A62:B62"/>
    <mergeCell ref="B63:D63"/>
    <mergeCell ref="B68:D68"/>
    <mergeCell ref="B49:D49"/>
    <mergeCell ref="B51:D51"/>
    <mergeCell ref="A53:B53"/>
    <mergeCell ref="C15:F15"/>
    <mergeCell ref="A36:B36"/>
    <mergeCell ref="B37:D37"/>
    <mergeCell ref="A39:B39"/>
    <mergeCell ref="B34:D34"/>
    <mergeCell ref="C28:F28"/>
    <mergeCell ref="C29:F29"/>
    <mergeCell ref="C30:F30"/>
    <mergeCell ref="B40:D40"/>
    <mergeCell ref="B42:D42"/>
    <mergeCell ref="B44:D44"/>
    <mergeCell ref="A46:B46"/>
    <mergeCell ref="C18:F18"/>
    <mergeCell ref="C19:F19"/>
    <mergeCell ref="C20:F20"/>
    <mergeCell ref="C23:F23"/>
    <mergeCell ref="C24:F24"/>
    <mergeCell ref="C25:F25"/>
    <mergeCell ref="A33:B33"/>
    <mergeCell ref="C14:F14"/>
    <mergeCell ref="A4:F4"/>
    <mergeCell ref="C8:F8"/>
    <mergeCell ref="C9:F9"/>
    <mergeCell ref="C10:F10"/>
    <mergeCell ref="C13:F13"/>
  </mergeCells>
  <printOptions horizontalCentered="1"/>
  <pageMargins left="0.51181102362204722" right="0.51181102362204722" top="0.39370078740157483" bottom="0.59055118110236227" header="0.31496062992125984" footer="0.31496062992125984"/>
  <pageSetup paperSize="9" scale="89" orientation="portrait" r:id="rId1"/>
  <rowBreaks count="1" manualBreakCount="1">
    <brk id="74" max="5" man="1"/>
  </rowBreaks>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72F64D-136C-4A48-8525-B0912650070D}">
  <dimension ref="A1:S107"/>
  <sheetViews>
    <sheetView view="pageBreakPreview" zoomScale="110" zoomScaleNormal="100" zoomScaleSheetLayoutView="110" workbookViewId="0">
      <selection activeCell="O28" activeCellId="1" sqref="R15 O28"/>
    </sheetView>
  </sheetViews>
  <sheetFormatPr defaultRowHeight="12.75" x14ac:dyDescent="0.2"/>
  <cols>
    <col min="1" max="1" width="4.7109375" customWidth="1"/>
    <col min="2" max="2" width="45" customWidth="1"/>
    <col min="3" max="3" width="8.42578125" customWidth="1"/>
    <col min="4" max="4" width="14.28515625" customWidth="1"/>
    <col min="5" max="5" width="9.28515625" bestFit="1" customWidth="1"/>
    <col min="6" max="6" width="12.140625" customWidth="1"/>
    <col min="7" max="7" width="14.42578125" customWidth="1"/>
    <col min="8" max="8" width="12.5703125" customWidth="1"/>
    <col min="9" max="9" width="17.7109375" customWidth="1"/>
    <col min="257" max="257" width="4.7109375" customWidth="1"/>
    <col min="258" max="258" width="45" customWidth="1"/>
    <col min="259" max="259" width="8.42578125" customWidth="1"/>
    <col min="260" max="260" width="14.28515625" customWidth="1"/>
    <col min="261" max="261" width="9.28515625" bestFit="1" customWidth="1"/>
    <col min="262" max="262" width="12.140625" customWidth="1"/>
    <col min="263" max="263" width="14.42578125" customWidth="1"/>
    <col min="264" max="264" width="12.5703125" customWidth="1"/>
    <col min="265" max="265" width="17.7109375" customWidth="1"/>
    <col min="513" max="513" width="4.7109375" customWidth="1"/>
    <col min="514" max="514" width="45" customWidth="1"/>
    <col min="515" max="515" width="8.42578125" customWidth="1"/>
    <col min="516" max="516" width="14.28515625" customWidth="1"/>
    <col min="517" max="517" width="9.28515625" bestFit="1" customWidth="1"/>
    <col min="518" max="518" width="12.140625" customWidth="1"/>
    <col min="519" max="519" width="14.42578125" customWidth="1"/>
    <col min="520" max="520" width="12.5703125" customWidth="1"/>
    <col min="521" max="521" width="17.7109375" customWidth="1"/>
    <col min="769" max="769" width="4.7109375" customWidth="1"/>
    <col min="770" max="770" width="45" customWidth="1"/>
    <col min="771" max="771" width="8.42578125" customWidth="1"/>
    <col min="772" max="772" width="14.28515625" customWidth="1"/>
    <col min="773" max="773" width="9.28515625" bestFit="1" customWidth="1"/>
    <col min="774" max="774" width="12.140625" customWidth="1"/>
    <col min="775" max="775" width="14.42578125" customWidth="1"/>
    <col min="776" max="776" width="12.5703125" customWidth="1"/>
    <col min="777" max="777" width="17.7109375" customWidth="1"/>
    <col min="1025" max="1025" width="4.7109375" customWidth="1"/>
    <col min="1026" max="1026" width="45" customWidth="1"/>
    <col min="1027" max="1027" width="8.42578125" customWidth="1"/>
    <col min="1028" max="1028" width="14.28515625" customWidth="1"/>
    <col min="1029" max="1029" width="9.28515625" bestFit="1" customWidth="1"/>
    <col min="1030" max="1030" width="12.140625" customWidth="1"/>
    <col min="1031" max="1031" width="14.42578125" customWidth="1"/>
    <col min="1032" max="1032" width="12.5703125" customWidth="1"/>
    <col min="1033" max="1033" width="17.7109375" customWidth="1"/>
    <col min="1281" max="1281" width="4.7109375" customWidth="1"/>
    <col min="1282" max="1282" width="45" customWidth="1"/>
    <col min="1283" max="1283" width="8.42578125" customWidth="1"/>
    <col min="1284" max="1284" width="14.28515625" customWidth="1"/>
    <col min="1285" max="1285" width="9.28515625" bestFit="1" customWidth="1"/>
    <col min="1286" max="1286" width="12.140625" customWidth="1"/>
    <col min="1287" max="1287" width="14.42578125" customWidth="1"/>
    <col min="1288" max="1288" width="12.5703125" customWidth="1"/>
    <col min="1289" max="1289" width="17.7109375" customWidth="1"/>
    <col min="1537" max="1537" width="4.7109375" customWidth="1"/>
    <col min="1538" max="1538" width="45" customWidth="1"/>
    <col min="1539" max="1539" width="8.42578125" customWidth="1"/>
    <col min="1540" max="1540" width="14.28515625" customWidth="1"/>
    <col min="1541" max="1541" width="9.28515625" bestFit="1" customWidth="1"/>
    <col min="1542" max="1542" width="12.140625" customWidth="1"/>
    <col min="1543" max="1543" width="14.42578125" customWidth="1"/>
    <col min="1544" max="1544" width="12.5703125" customWidth="1"/>
    <col min="1545" max="1545" width="17.7109375" customWidth="1"/>
    <col min="1793" max="1793" width="4.7109375" customWidth="1"/>
    <col min="1794" max="1794" width="45" customWidth="1"/>
    <col min="1795" max="1795" width="8.42578125" customWidth="1"/>
    <col min="1796" max="1796" width="14.28515625" customWidth="1"/>
    <col min="1797" max="1797" width="9.28515625" bestFit="1" customWidth="1"/>
    <col min="1798" max="1798" width="12.140625" customWidth="1"/>
    <col min="1799" max="1799" width="14.42578125" customWidth="1"/>
    <col min="1800" max="1800" width="12.5703125" customWidth="1"/>
    <col min="1801" max="1801" width="17.7109375" customWidth="1"/>
    <col min="2049" max="2049" width="4.7109375" customWidth="1"/>
    <col min="2050" max="2050" width="45" customWidth="1"/>
    <col min="2051" max="2051" width="8.42578125" customWidth="1"/>
    <col min="2052" max="2052" width="14.28515625" customWidth="1"/>
    <col min="2053" max="2053" width="9.28515625" bestFit="1" customWidth="1"/>
    <col min="2054" max="2054" width="12.140625" customWidth="1"/>
    <col min="2055" max="2055" width="14.42578125" customWidth="1"/>
    <col min="2056" max="2056" width="12.5703125" customWidth="1"/>
    <col min="2057" max="2057" width="17.7109375" customWidth="1"/>
    <col min="2305" max="2305" width="4.7109375" customWidth="1"/>
    <col min="2306" max="2306" width="45" customWidth="1"/>
    <col min="2307" max="2307" width="8.42578125" customWidth="1"/>
    <col min="2308" max="2308" width="14.28515625" customWidth="1"/>
    <col min="2309" max="2309" width="9.28515625" bestFit="1" customWidth="1"/>
    <col min="2310" max="2310" width="12.140625" customWidth="1"/>
    <col min="2311" max="2311" width="14.42578125" customWidth="1"/>
    <col min="2312" max="2312" width="12.5703125" customWidth="1"/>
    <col min="2313" max="2313" width="17.7109375" customWidth="1"/>
    <col min="2561" max="2561" width="4.7109375" customWidth="1"/>
    <col min="2562" max="2562" width="45" customWidth="1"/>
    <col min="2563" max="2563" width="8.42578125" customWidth="1"/>
    <col min="2564" max="2564" width="14.28515625" customWidth="1"/>
    <col min="2565" max="2565" width="9.28515625" bestFit="1" customWidth="1"/>
    <col min="2566" max="2566" width="12.140625" customWidth="1"/>
    <col min="2567" max="2567" width="14.42578125" customWidth="1"/>
    <col min="2568" max="2568" width="12.5703125" customWidth="1"/>
    <col min="2569" max="2569" width="17.7109375" customWidth="1"/>
    <col min="2817" max="2817" width="4.7109375" customWidth="1"/>
    <col min="2818" max="2818" width="45" customWidth="1"/>
    <col min="2819" max="2819" width="8.42578125" customWidth="1"/>
    <col min="2820" max="2820" width="14.28515625" customWidth="1"/>
    <col min="2821" max="2821" width="9.28515625" bestFit="1" customWidth="1"/>
    <col min="2822" max="2822" width="12.140625" customWidth="1"/>
    <col min="2823" max="2823" width="14.42578125" customWidth="1"/>
    <col min="2824" max="2824" width="12.5703125" customWidth="1"/>
    <col min="2825" max="2825" width="17.7109375" customWidth="1"/>
    <col min="3073" max="3073" width="4.7109375" customWidth="1"/>
    <col min="3074" max="3074" width="45" customWidth="1"/>
    <col min="3075" max="3075" width="8.42578125" customWidth="1"/>
    <col min="3076" max="3076" width="14.28515625" customWidth="1"/>
    <col min="3077" max="3077" width="9.28515625" bestFit="1" customWidth="1"/>
    <col min="3078" max="3078" width="12.140625" customWidth="1"/>
    <col min="3079" max="3079" width="14.42578125" customWidth="1"/>
    <col min="3080" max="3080" width="12.5703125" customWidth="1"/>
    <col min="3081" max="3081" width="17.7109375" customWidth="1"/>
    <col min="3329" max="3329" width="4.7109375" customWidth="1"/>
    <col min="3330" max="3330" width="45" customWidth="1"/>
    <col min="3331" max="3331" width="8.42578125" customWidth="1"/>
    <col min="3332" max="3332" width="14.28515625" customWidth="1"/>
    <col min="3333" max="3333" width="9.28515625" bestFit="1" customWidth="1"/>
    <col min="3334" max="3334" width="12.140625" customWidth="1"/>
    <col min="3335" max="3335" width="14.42578125" customWidth="1"/>
    <col min="3336" max="3336" width="12.5703125" customWidth="1"/>
    <col min="3337" max="3337" width="17.7109375" customWidth="1"/>
    <col min="3585" max="3585" width="4.7109375" customWidth="1"/>
    <col min="3586" max="3586" width="45" customWidth="1"/>
    <col min="3587" max="3587" width="8.42578125" customWidth="1"/>
    <col min="3588" max="3588" width="14.28515625" customWidth="1"/>
    <col min="3589" max="3589" width="9.28515625" bestFit="1" customWidth="1"/>
    <col min="3590" max="3590" width="12.140625" customWidth="1"/>
    <col min="3591" max="3591" width="14.42578125" customWidth="1"/>
    <col min="3592" max="3592" width="12.5703125" customWidth="1"/>
    <col min="3593" max="3593" width="17.7109375" customWidth="1"/>
    <col min="3841" max="3841" width="4.7109375" customWidth="1"/>
    <col min="3842" max="3842" width="45" customWidth="1"/>
    <col min="3843" max="3843" width="8.42578125" customWidth="1"/>
    <col min="3844" max="3844" width="14.28515625" customWidth="1"/>
    <col min="3845" max="3845" width="9.28515625" bestFit="1" customWidth="1"/>
    <col min="3846" max="3846" width="12.140625" customWidth="1"/>
    <col min="3847" max="3847" width="14.42578125" customWidth="1"/>
    <col min="3848" max="3848" width="12.5703125" customWidth="1"/>
    <col min="3849" max="3849" width="17.7109375" customWidth="1"/>
    <col min="4097" max="4097" width="4.7109375" customWidth="1"/>
    <col min="4098" max="4098" width="45" customWidth="1"/>
    <col min="4099" max="4099" width="8.42578125" customWidth="1"/>
    <col min="4100" max="4100" width="14.28515625" customWidth="1"/>
    <col min="4101" max="4101" width="9.28515625" bestFit="1" customWidth="1"/>
    <col min="4102" max="4102" width="12.140625" customWidth="1"/>
    <col min="4103" max="4103" width="14.42578125" customWidth="1"/>
    <col min="4104" max="4104" width="12.5703125" customWidth="1"/>
    <col min="4105" max="4105" width="17.7109375" customWidth="1"/>
    <col min="4353" max="4353" width="4.7109375" customWidth="1"/>
    <col min="4354" max="4354" width="45" customWidth="1"/>
    <col min="4355" max="4355" width="8.42578125" customWidth="1"/>
    <col min="4356" max="4356" width="14.28515625" customWidth="1"/>
    <col min="4357" max="4357" width="9.28515625" bestFit="1" customWidth="1"/>
    <col min="4358" max="4358" width="12.140625" customWidth="1"/>
    <col min="4359" max="4359" width="14.42578125" customWidth="1"/>
    <col min="4360" max="4360" width="12.5703125" customWidth="1"/>
    <col min="4361" max="4361" width="17.7109375" customWidth="1"/>
    <col min="4609" max="4609" width="4.7109375" customWidth="1"/>
    <col min="4610" max="4610" width="45" customWidth="1"/>
    <col min="4611" max="4611" width="8.42578125" customWidth="1"/>
    <col min="4612" max="4612" width="14.28515625" customWidth="1"/>
    <col min="4613" max="4613" width="9.28515625" bestFit="1" customWidth="1"/>
    <col min="4614" max="4614" width="12.140625" customWidth="1"/>
    <col min="4615" max="4615" width="14.42578125" customWidth="1"/>
    <col min="4616" max="4616" width="12.5703125" customWidth="1"/>
    <col min="4617" max="4617" width="17.7109375" customWidth="1"/>
    <col min="4865" max="4865" width="4.7109375" customWidth="1"/>
    <col min="4866" max="4866" width="45" customWidth="1"/>
    <col min="4867" max="4867" width="8.42578125" customWidth="1"/>
    <col min="4868" max="4868" width="14.28515625" customWidth="1"/>
    <col min="4869" max="4869" width="9.28515625" bestFit="1" customWidth="1"/>
    <col min="4870" max="4870" width="12.140625" customWidth="1"/>
    <col min="4871" max="4871" width="14.42578125" customWidth="1"/>
    <col min="4872" max="4872" width="12.5703125" customWidth="1"/>
    <col min="4873" max="4873" width="17.7109375" customWidth="1"/>
    <col min="5121" max="5121" width="4.7109375" customWidth="1"/>
    <col min="5122" max="5122" width="45" customWidth="1"/>
    <col min="5123" max="5123" width="8.42578125" customWidth="1"/>
    <col min="5124" max="5124" width="14.28515625" customWidth="1"/>
    <col min="5125" max="5125" width="9.28515625" bestFit="1" customWidth="1"/>
    <col min="5126" max="5126" width="12.140625" customWidth="1"/>
    <col min="5127" max="5127" width="14.42578125" customWidth="1"/>
    <col min="5128" max="5128" width="12.5703125" customWidth="1"/>
    <col min="5129" max="5129" width="17.7109375" customWidth="1"/>
    <col min="5377" max="5377" width="4.7109375" customWidth="1"/>
    <col min="5378" max="5378" width="45" customWidth="1"/>
    <col min="5379" max="5379" width="8.42578125" customWidth="1"/>
    <col min="5380" max="5380" width="14.28515625" customWidth="1"/>
    <col min="5381" max="5381" width="9.28515625" bestFit="1" customWidth="1"/>
    <col min="5382" max="5382" width="12.140625" customWidth="1"/>
    <col min="5383" max="5383" width="14.42578125" customWidth="1"/>
    <col min="5384" max="5384" width="12.5703125" customWidth="1"/>
    <col min="5385" max="5385" width="17.7109375" customWidth="1"/>
    <col min="5633" max="5633" width="4.7109375" customWidth="1"/>
    <col min="5634" max="5634" width="45" customWidth="1"/>
    <col min="5635" max="5635" width="8.42578125" customWidth="1"/>
    <col min="5636" max="5636" width="14.28515625" customWidth="1"/>
    <col min="5637" max="5637" width="9.28515625" bestFit="1" customWidth="1"/>
    <col min="5638" max="5638" width="12.140625" customWidth="1"/>
    <col min="5639" max="5639" width="14.42578125" customWidth="1"/>
    <col min="5640" max="5640" width="12.5703125" customWidth="1"/>
    <col min="5641" max="5641" width="17.7109375" customWidth="1"/>
    <col min="5889" max="5889" width="4.7109375" customWidth="1"/>
    <col min="5890" max="5890" width="45" customWidth="1"/>
    <col min="5891" max="5891" width="8.42578125" customWidth="1"/>
    <col min="5892" max="5892" width="14.28515625" customWidth="1"/>
    <col min="5893" max="5893" width="9.28515625" bestFit="1" customWidth="1"/>
    <col min="5894" max="5894" width="12.140625" customWidth="1"/>
    <col min="5895" max="5895" width="14.42578125" customWidth="1"/>
    <col min="5896" max="5896" width="12.5703125" customWidth="1"/>
    <col min="5897" max="5897" width="17.7109375" customWidth="1"/>
    <col min="6145" max="6145" width="4.7109375" customWidth="1"/>
    <col min="6146" max="6146" width="45" customWidth="1"/>
    <col min="6147" max="6147" width="8.42578125" customWidth="1"/>
    <col min="6148" max="6148" width="14.28515625" customWidth="1"/>
    <col min="6149" max="6149" width="9.28515625" bestFit="1" customWidth="1"/>
    <col min="6150" max="6150" width="12.140625" customWidth="1"/>
    <col min="6151" max="6151" width="14.42578125" customWidth="1"/>
    <col min="6152" max="6152" width="12.5703125" customWidth="1"/>
    <col min="6153" max="6153" width="17.7109375" customWidth="1"/>
    <col min="6401" max="6401" width="4.7109375" customWidth="1"/>
    <col min="6402" max="6402" width="45" customWidth="1"/>
    <col min="6403" max="6403" width="8.42578125" customWidth="1"/>
    <col min="6404" max="6404" width="14.28515625" customWidth="1"/>
    <col min="6405" max="6405" width="9.28515625" bestFit="1" customWidth="1"/>
    <col min="6406" max="6406" width="12.140625" customWidth="1"/>
    <col min="6407" max="6407" width="14.42578125" customWidth="1"/>
    <col min="6408" max="6408" width="12.5703125" customWidth="1"/>
    <col min="6409" max="6409" width="17.7109375" customWidth="1"/>
    <col min="6657" max="6657" width="4.7109375" customWidth="1"/>
    <col min="6658" max="6658" width="45" customWidth="1"/>
    <col min="6659" max="6659" width="8.42578125" customWidth="1"/>
    <col min="6660" max="6660" width="14.28515625" customWidth="1"/>
    <col min="6661" max="6661" width="9.28515625" bestFit="1" customWidth="1"/>
    <col min="6662" max="6662" width="12.140625" customWidth="1"/>
    <col min="6663" max="6663" width="14.42578125" customWidth="1"/>
    <col min="6664" max="6664" width="12.5703125" customWidth="1"/>
    <col min="6665" max="6665" width="17.7109375" customWidth="1"/>
    <col min="6913" max="6913" width="4.7109375" customWidth="1"/>
    <col min="6914" max="6914" width="45" customWidth="1"/>
    <col min="6915" max="6915" width="8.42578125" customWidth="1"/>
    <col min="6916" max="6916" width="14.28515625" customWidth="1"/>
    <col min="6917" max="6917" width="9.28515625" bestFit="1" customWidth="1"/>
    <col min="6918" max="6918" width="12.140625" customWidth="1"/>
    <col min="6919" max="6919" width="14.42578125" customWidth="1"/>
    <col min="6920" max="6920" width="12.5703125" customWidth="1"/>
    <col min="6921" max="6921" width="17.7109375" customWidth="1"/>
    <col min="7169" max="7169" width="4.7109375" customWidth="1"/>
    <col min="7170" max="7170" width="45" customWidth="1"/>
    <col min="7171" max="7171" width="8.42578125" customWidth="1"/>
    <col min="7172" max="7172" width="14.28515625" customWidth="1"/>
    <col min="7173" max="7173" width="9.28515625" bestFit="1" customWidth="1"/>
    <col min="7174" max="7174" width="12.140625" customWidth="1"/>
    <col min="7175" max="7175" width="14.42578125" customWidth="1"/>
    <col min="7176" max="7176" width="12.5703125" customWidth="1"/>
    <col min="7177" max="7177" width="17.7109375" customWidth="1"/>
    <col min="7425" max="7425" width="4.7109375" customWidth="1"/>
    <col min="7426" max="7426" width="45" customWidth="1"/>
    <col min="7427" max="7427" width="8.42578125" customWidth="1"/>
    <col min="7428" max="7428" width="14.28515625" customWidth="1"/>
    <col min="7429" max="7429" width="9.28515625" bestFit="1" customWidth="1"/>
    <col min="7430" max="7430" width="12.140625" customWidth="1"/>
    <col min="7431" max="7431" width="14.42578125" customWidth="1"/>
    <col min="7432" max="7432" width="12.5703125" customWidth="1"/>
    <col min="7433" max="7433" width="17.7109375" customWidth="1"/>
    <col min="7681" max="7681" width="4.7109375" customWidth="1"/>
    <col min="7682" max="7682" width="45" customWidth="1"/>
    <col min="7683" max="7683" width="8.42578125" customWidth="1"/>
    <col min="7684" max="7684" width="14.28515625" customWidth="1"/>
    <col min="7685" max="7685" width="9.28515625" bestFit="1" customWidth="1"/>
    <col min="7686" max="7686" width="12.140625" customWidth="1"/>
    <col min="7687" max="7687" width="14.42578125" customWidth="1"/>
    <col min="7688" max="7688" width="12.5703125" customWidth="1"/>
    <col min="7689" max="7689" width="17.7109375" customWidth="1"/>
    <col min="7937" max="7937" width="4.7109375" customWidth="1"/>
    <col min="7938" max="7938" width="45" customWidth="1"/>
    <col min="7939" max="7939" width="8.42578125" customWidth="1"/>
    <col min="7940" max="7940" width="14.28515625" customWidth="1"/>
    <col min="7941" max="7941" width="9.28515625" bestFit="1" customWidth="1"/>
    <col min="7942" max="7942" width="12.140625" customWidth="1"/>
    <col min="7943" max="7943" width="14.42578125" customWidth="1"/>
    <col min="7944" max="7944" width="12.5703125" customWidth="1"/>
    <col min="7945" max="7945" width="17.7109375" customWidth="1"/>
    <col min="8193" max="8193" width="4.7109375" customWidth="1"/>
    <col min="8194" max="8194" width="45" customWidth="1"/>
    <col min="8195" max="8195" width="8.42578125" customWidth="1"/>
    <col min="8196" max="8196" width="14.28515625" customWidth="1"/>
    <col min="8197" max="8197" width="9.28515625" bestFit="1" customWidth="1"/>
    <col min="8198" max="8198" width="12.140625" customWidth="1"/>
    <col min="8199" max="8199" width="14.42578125" customWidth="1"/>
    <col min="8200" max="8200" width="12.5703125" customWidth="1"/>
    <col min="8201" max="8201" width="17.7109375" customWidth="1"/>
    <col min="8449" max="8449" width="4.7109375" customWidth="1"/>
    <col min="8450" max="8450" width="45" customWidth="1"/>
    <col min="8451" max="8451" width="8.42578125" customWidth="1"/>
    <col min="8452" max="8452" width="14.28515625" customWidth="1"/>
    <col min="8453" max="8453" width="9.28515625" bestFit="1" customWidth="1"/>
    <col min="8454" max="8454" width="12.140625" customWidth="1"/>
    <col min="8455" max="8455" width="14.42578125" customWidth="1"/>
    <col min="8456" max="8456" width="12.5703125" customWidth="1"/>
    <col min="8457" max="8457" width="17.7109375" customWidth="1"/>
    <col min="8705" max="8705" width="4.7109375" customWidth="1"/>
    <col min="8706" max="8706" width="45" customWidth="1"/>
    <col min="8707" max="8707" width="8.42578125" customWidth="1"/>
    <col min="8708" max="8708" width="14.28515625" customWidth="1"/>
    <col min="8709" max="8709" width="9.28515625" bestFit="1" customWidth="1"/>
    <col min="8710" max="8710" width="12.140625" customWidth="1"/>
    <col min="8711" max="8711" width="14.42578125" customWidth="1"/>
    <col min="8712" max="8712" width="12.5703125" customWidth="1"/>
    <col min="8713" max="8713" width="17.7109375" customWidth="1"/>
    <col min="8961" max="8961" width="4.7109375" customWidth="1"/>
    <col min="8962" max="8962" width="45" customWidth="1"/>
    <col min="8963" max="8963" width="8.42578125" customWidth="1"/>
    <col min="8964" max="8964" width="14.28515625" customWidth="1"/>
    <col min="8965" max="8965" width="9.28515625" bestFit="1" customWidth="1"/>
    <col min="8966" max="8966" width="12.140625" customWidth="1"/>
    <col min="8967" max="8967" width="14.42578125" customWidth="1"/>
    <col min="8968" max="8968" width="12.5703125" customWidth="1"/>
    <col min="8969" max="8969" width="17.7109375" customWidth="1"/>
    <col min="9217" max="9217" width="4.7109375" customWidth="1"/>
    <col min="9218" max="9218" width="45" customWidth="1"/>
    <col min="9219" max="9219" width="8.42578125" customWidth="1"/>
    <col min="9220" max="9220" width="14.28515625" customWidth="1"/>
    <col min="9221" max="9221" width="9.28515625" bestFit="1" customWidth="1"/>
    <col min="9222" max="9222" width="12.140625" customWidth="1"/>
    <col min="9223" max="9223" width="14.42578125" customWidth="1"/>
    <col min="9224" max="9224" width="12.5703125" customWidth="1"/>
    <col min="9225" max="9225" width="17.7109375" customWidth="1"/>
    <col min="9473" max="9473" width="4.7109375" customWidth="1"/>
    <col min="9474" max="9474" width="45" customWidth="1"/>
    <col min="9475" max="9475" width="8.42578125" customWidth="1"/>
    <col min="9476" max="9476" width="14.28515625" customWidth="1"/>
    <col min="9477" max="9477" width="9.28515625" bestFit="1" customWidth="1"/>
    <col min="9478" max="9478" width="12.140625" customWidth="1"/>
    <col min="9479" max="9479" width="14.42578125" customWidth="1"/>
    <col min="9480" max="9480" width="12.5703125" customWidth="1"/>
    <col min="9481" max="9481" width="17.7109375" customWidth="1"/>
    <col min="9729" max="9729" width="4.7109375" customWidth="1"/>
    <col min="9730" max="9730" width="45" customWidth="1"/>
    <col min="9731" max="9731" width="8.42578125" customWidth="1"/>
    <col min="9732" max="9732" width="14.28515625" customWidth="1"/>
    <col min="9733" max="9733" width="9.28515625" bestFit="1" customWidth="1"/>
    <col min="9734" max="9734" width="12.140625" customWidth="1"/>
    <col min="9735" max="9735" width="14.42578125" customWidth="1"/>
    <col min="9736" max="9736" width="12.5703125" customWidth="1"/>
    <col min="9737" max="9737" width="17.7109375" customWidth="1"/>
    <col min="9985" max="9985" width="4.7109375" customWidth="1"/>
    <col min="9986" max="9986" width="45" customWidth="1"/>
    <col min="9987" max="9987" width="8.42578125" customWidth="1"/>
    <col min="9988" max="9988" width="14.28515625" customWidth="1"/>
    <col min="9989" max="9989" width="9.28515625" bestFit="1" customWidth="1"/>
    <col min="9990" max="9990" width="12.140625" customWidth="1"/>
    <col min="9991" max="9991" width="14.42578125" customWidth="1"/>
    <col min="9992" max="9992" width="12.5703125" customWidth="1"/>
    <col min="9993" max="9993" width="17.7109375" customWidth="1"/>
    <col min="10241" max="10241" width="4.7109375" customWidth="1"/>
    <col min="10242" max="10242" width="45" customWidth="1"/>
    <col min="10243" max="10243" width="8.42578125" customWidth="1"/>
    <col min="10244" max="10244" width="14.28515625" customWidth="1"/>
    <col min="10245" max="10245" width="9.28515625" bestFit="1" customWidth="1"/>
    <col min="10246" max="10246" width="12.140625" customWidth="1"/>
    <col min="10247" max="10247" width="14.42578125" customWidth="1"/>
    <col min="10248" max="10248" width="12.5703125" customWidth="1"/>
    <col min="10249" max="10249" width="17.7109375" customWidth="1"/>
    <col min="10497" max="10497" width="4.7109375" customWidth="1"/>
    <col min="10498" max="10498" width="45" customWidth="1"/>
    <col min="10499" max="10499" width="8.42578125" customWidth="1"/>
    <col min="10500" max="10500" width="14.28515625" customWidth="1"/>
    <col min="10501" max="10501" width="9.28515625" bestFit="1" customWidth="1"/>
    <col min="10502" max="10502" width="12.140625" customWidth="1"/>
    <col min="10503" max="10503" width="14.42578125" customWidth="1"/>
    <col min="10504" max="10504" width="12.5703125" customWidth="1"/>
    <col min="10505" max="10505" width="17.7109375" customWidth="1"/>
    <col min="10753" max="10753" width="4.7109375" customWidth="1"/>
    <col min="10754" max="10754" width="45" customWidth="1"/>
    <col min="10755" max="10755" width="8.42578125" customWidth="1"/>
    <col min="10756" max="10756" width="14.28515625" customWidth="1"/>
    <col min="10757" max="10757" width="9.28515625" bestFit="1" customWidth="1"/>
    <col min="10758" max="10758" width="12.140625" customWidth="1"/>
    <col min="10759" max="10759" width="14.42578125" customWidth="1"/>
    <col min="10760" max="10760" width="12.5703125" customWidth="1"/>
    <col min="10761" max="10761" width="17.7109375" customWidth="1"/>
    <col min="11009" max="11009" width="4.7109375" customWidth="1"/>
    <col min="11010" max="11010" width="45" customWidth="1"/>
    <col min="11011" max="11011" width="8.42578125" customWidth="1"/>
    <col min="11012" max="11012" width="14.28515625" customWidth="1"/>
    <col min="11013" max="11013" width="9.28515625" bestFit="1" customWidth="1"/>
    <col min="11014" max="11014" width="12.140625" customWidth="1"/>
    <col min="11015" max="11015" width="14.42578125" customWidth="1"/>
    <col min="11016" max="11016" width="12.5703125" customWidth="1"/>
    <col min="11017" max="11017" width="17.7109375" customWidth="1"/>
    <col min="11265" max="11265" width="4.7109375" customWidth="1"/>
    <col min="11266" max="11266" width="45" customWidth="1"/>
    <col min="11267" max="11267" width="8.42578125" customWidth="1"/>
    <col min="11268" max="11268" width="14.28515625" customWidth="1"/>
    <col min="11269" max="11269" width="9.28515625" bestFit="1" customWidth="1"/>
    <col min="11270" max="11270" width="12.140625" customWidth="1"/>
    <col min="11271" max="11271" width="14.42578125" customWidth="1"/>
    <col min="11272" max="11272" width="12.5703125" customWidth="1"/>
    <col min="11273" max="11273" width="17.7109375" customWidth="1"/>
    <col min="11521" max="11521" width="4.7109375" customWidth="1"/>
    <col min="11522" max="11522" width="45" customWidth="1"/>
    <col min="11523" max="11523" width="8.42578125" customWidth="1"/>
    <col min="11524" max="11524" width="14.28515625" customWidth="1"/>
    <col min="11525" max="11525" width="9.28515625" bestFit="1" customWidth="1"/>
    <col min="11526" max="11526" width="12.140625" customWidth="1"/>
    <col min="11527" max="11527" width="14.42578125" customWidth="1"/>
    <col min="11528" max="11528" width="12.5703125" customWidth="1"/>
    <col min="11529" max="11529" width="17.7109375" customWidth="1"/>
    <col min="11777" max="11777" width="4.7109375" customWidth="1"/>
    <col min="11778" max="11778" width="45" customWidth="1"/>
    <col min="11779" max="11779" width="8.42578125" customWidth="1"/>
    <col min="11780" max="11780" width="14.28515625" customWidth="1"/>
    <col min="11781" max="11781" width="9.28515625" bestFit="1" customWidth="1"/>
    <col min="11782" max="11782" width="12.140625" customWidth="1"/>
    <col min="11783" max="11783" width="14.42578125" customWidth="1"/>
    <col min="11784" max="11784" width="12.5703125" customWidth="1"/>
    <col min="11785" max="11785" width="17.7109375" customWidth="1"/>
    <col min="12033" max="12033" width="4.7109375" customWidth="1"/>
    <col min="12034" max="12034" width="45" customWidth="1"/>
    <col min="12035" max="12035" width="8.42578125" customWidth="1"/>
    <col min="12036" max="12036" width="14.28515625" customWidth="1"/>
    <col min="12037" max="12037" width="9.28515625" bestFit="1" customWidth="1"/>
    <col min="12038" max="12038" width="12.140625" customWidth="1"/>
    <col min="12039" max="12039" width="14.42578125" customWidth="1"/>
    <col min="12040" max="12040" width="12.5703125" customWidth="1"/>
    <col min="12041" max="12041" width="17.7109375" customWidth="1"/>
    <col min="12289" max="12289" width="4.7109375" customWidth="1"/>
    <col min="12290" max="12290" width="45" customWidth="1"/>
    <col min="12291" max="12291" width="8.42578125" customWidth="1"/>
    <col min="12292" max="12292" width="14.28515625" customWidth="1"/>
    <col min="12293" max="12293" width="9.28515625" bestFit="1" customWidth="1"/>
    <col min="12294" max="12294" width="12.140625" customWidth="1"/>
    <col min="12295" max="12295" width="14.42578125" customWidth="1"/>
    <col min="12296" max="12296" width="12.5703125" customWidth="1"/>
    <col min="12297" max="12297" width="17.7109375" customWidth="1"/>
    <col min="12545" max="12545" width="4.7109375" customWidth="1"/>
    <col min="12546" max="12546" width="45" customWidth="1"/>
    <col min="12547" max="12547" width="8.42578125" customWidth="1"/>
    <col min="12548" max="12548" width="14.28515625" customWidth="1"/>
    <col min="12549" max="12549" width="9.28515625" bestFit="1" customWidth="1"/>
    <col min="12550" max="12550" width="12.140625" customWidth="1"/>
    <col min="12551" max="12551" width="14.42578125" customWidth="1"/>
    <col min="12552" max="12552" width="12.5703125" customWidth="1"/>
    <col min="12553" max="12553" width="17.7109375" customWidth="1"/>
    <col min="12801" max="12801" width="4.7109375" customWidth="1"/>
    <col min="12802" max="12802" width="45" customWidth="1"/>
    <col min="12803" max="12803" width="8.42578125" customWidth="1"/>
    <col min="12804" max="12804" width="14.28515625" customWidth="1"/>
    <col min="12805" max="12805" width="9.28515625" bestFit="1" customWidth="1"/>
    <col min="12806" max="12806" width="12.140625" customWidth="1"/>
    <col min="12807" max="12807" width="14.42578125" customWidth="1"/>
    <col min="12808" max="12808" width="12.5703125" customWidth="1"/>
    <col min="12809" max="12809" width="17.7109375" customWidth="1"/>
    <col min="13057" max="13057" width="4.7109375" customWidth="1"/>
    <col min="13058" max="13058" width="45" customWidth="1"/>
    <col min="13059" max="13059" width="8.42578125" customWidth="1"/>
    <col min="13060" max="13060" width="14.28515625" customWidth="1"/>
    <col min="13061" max="13061" width="9.28515625" bestFit="1" customWidth="1"/>
    <col min="13062" max="13062" width="12.140625" customWidth="1"/>
    <col min="13063" max="13063" width="14.42578125" customWidth="1"/>
    <col min="13064" max="13064" width="12.5703125" customWidth="1"/>
    <col min="13065" max="13065" width="17.7109375" customWidth="1"/>
    <col min="13313" max="13313" width="4.7109375" customWidth="1"/>
    <col min="13314" max="13314" width="45" customWidth="1"/>
    <col min="13315" max="13315" width="8.42578125" customWidth="1"/>
    <col min="13316" max="13316" width="14.28515625" customWidth="1"/>
    <col min="13317" max="13317" width="9.28515625" bestFit="1" customWidth="1"/>
    <col min="13318" max="13318" width="12.140625" customWidth="1"/>
    <col min="13319" max="13319" width="14.42578125" customWidth="1"/>
    <col min="13320" max="13320" width="12.5703125" customWidth="1"/>
    <col min="13321" max="13321" width="17.7109375" customWidth="1"/>
    <col min="13569" max="13569" width="4.7109375" customWidth="1"/>
    <col min="13570" max="13570" width="45" customWidth="1"/>
    <col min="13571" max="13571" width="8.42578125" customWidth="1"/>
    <col min="13572" max="13572" width="14.28515625" customWidth="1"/>
    <col min="13573" max="13573" width="9.28515625" bestFit="1" customWidth="1"/>
    <col min="13574" max="13574" width="12.140625" customWidth="1"/>
    <col min="13575" max="13575" width="14.42578125" customWidth="1"/>
    <col min="13576" max="13576" width="12.5703125" customWidth="1"/>
    <col min="13577" max="13577" width="17.7109375" customWidth="1"/>
    <col min="13825" max="13825" width="4.7109375" customWidth="1"/>
    <col min="13826" max="13826" width="45" customWidth="1"/>
    <col min="13827" max="13827" width="8.42578125" customWidth="1"/>
    <col min="13828" max="13828" width="14.28515625" customWidth="1"/>
    <col min="13829" max="13829" width="9.28515625" bestFit="1" customWidth="1"/>
    <col min="13830" max="13830" width="12.140625" customWidth="1"/>
    <col min="13831" max="13831" width="14.42578125" customWidth="1"/>
    <col min="13832" max="13832" width="12.5703125" customWidth="1"/>
    <col min="13833" max="13833" width="17.7109375" customWidth="1"/>
    <col min="14081" max="14081" width="4.7109375" customWidth="1"/>
    <col min="14082" max="14082" width="45" customWidth="1"/>
    <col min="14083" max="14083" width="8.42578125" customWidth="1"/>
    <col min="14084" max="14084" width="14.28515625" customWidth="1"/>
    <col min="14085" max="14085" width="9.28515625" bestFit="1" customWidth="1"/>
    <col min="14086" max="14086" width="12.140625" customWidth="1"/>
    <col min="14087" max="14087" width="14.42578125" customWidth="1"/>
    <col min="14088" max="14088" width="12.5703125" customWidth="1"/>
    <col min="14089" max="14089" width="17.7109375" customWidth="1"/>
    <col min="14337" max="14337" width="4.7109375" customWidth="1"/>
    <col min="14338" max="14338" width="45" customWidth="1"/>
    <col min="14339" max="14339" width="8.42578125" customWidth="1"/>
    <col min="14340" max="14340" width="14.28515625" customWidth="1"/>
    <col min="14341" max="14341" width="9.28515625" bestFit="1" customWidth="1"/>
    <col min="14342" max="14342" width="12.140625" customWidth="1"/>
    <col min="14343" max="14343" width="14.42578125" customWidth="1"/>
    <col min="14344" max="14344" width="12.5703125" customWidth="1"/>
    <col min="14345" max="14345" width="17.7109375" customWidth="1"/>
    <col min="14593" max="14593" width="4.7109375" customWidth="1"/>
    <col min="14594" max="14594" width="45" customWidth="1"/>
    <col min="14595" max="14595" width="8.42578125" customWidth="1"/>
    <col min="14596" max="14596" width="14.28515625" customWidth="1"/>
    <col min="14597" max="14597" width="9.28515625" bestFit="1" customWidth="1"/>
    <col min="14598" max="14598" width="12.140625" customWidth="1"/>
    <col min="14599" max="14599" width="14.42578125" customWidth="1"/>
    <col min="14600" max="14600" width="12.5703125" customWidth="1"/>
    <col min="14601" max="14601" width="17.7109375" customWidth="1"/>
    <col min="14849" max="14849" width="4.7109375" customWidth="1"/>
    <col min="14850" max="14850" width="45" customWidth="1"/>
    <col min="14851" max="14851" width="8.42578125" customWidth="1"/>
    <col min="14852" max="14852" width="14.28515625" customWidth="1"/>
    <col min="14853" max="14853" width="9.28515625" bestFit="1" customWidth="1"/>
    <col min="14854" max="14854" width="12.140625" customWidth="1"/>
    <col min="14855" max="14855" width="14.42578125" customWidth="1"/>
    <col min="14856" max="14856" width="12.5703125" customWidth="1"/>
    <col min="14857" max="14857" width="17.7109375" customWidth="1"/>
    <col min="15105" max="15105" width="4.7109375" customWidth="1"/>
    <col min="15106" max="15106" width="45" customWidth="1"/>
    <col min="15107" max="15107" width="8.42578125" customWidth="1"/>
    <col min="15108" max="15108" width="14.28515625" customWidth="1"/>
    <col min="15109" max="15109" width="9.28515625" bestFit="1" customWidth="1"/>
    <col min="15110" max="15110" width="12.140625" customWidth="1"/>
    <col min="15111" max="15111" width="14.42578125" customWidth="1"/>
    <col min="15112" max="15112" width="12.5703125" customWidth="1"/>
    <col min="15113" max="15113" width="17.7109375" customWidth="1"/>
    <col min="15361" max="15361" width="4.7109375" customWidth="1"/>
    <col min="15362" max="15362" width="45" customWidth="1"/>
    <col min="15363" max="15363" width="8.42578125" customWidth="1"/>
    <col min="15364" max="15364" width="14.28515625" customWidth="1"/>
    <col min="15365" max="15365" width="9.28515625" bestFit="1" customWidth="1"/>
    <col min="15366" max="15366" width="12.140625" customWidth="1"/>
    <col min="15367" max="15367" width="14.42578125" customWidth="1"/>
    <col min="15368" max="15368" width="12.5703125" customWidth="1"/>
    <col min="15369" max="15369" width="17.7109375" customWidth="1"/>
    <col min="15617" max="15617" width="4.7109375" customWidth="1"/>
    <col min="15618" max="15618" width="45" customWidth="1"/>
    <col min="15619" max="15619" width="8.42578125" customWidth="1"/>
    <col min="15620" max="15620" width="14.28515625" customWidth="1"/>
    <col min="15621" max="15621" width="9.28515625" bestFit="1" customWidth="1"/>
    <col min="15622" max="15622" width="12.140625" customWidth="1"/>
    <col min="15623" max="15623" width="14.42578125" customWidth="1"/>
    <col min="15624" max="15624" width="12.5703125" customWidth="1"/>
    <col min="15625" max="15625" width="17.7109375" customWidth="1"/>
    <col min="15873" max="15873" width="4.7109375" customWidth="1"/>
    <col min="15874" max="15874" width="45" customWidth="1"/>
    <col min="15875" max="15875" width="8.42578125" customWidth="1"/>
    <col min="15876" max="15876" width="14.28515625" customWidth="1"/>
    <col min="15877" max="15877" width="9.28515625" bestFit="1" customWidth="1"/>
    <col min="15878" max="15878" width="12.140625" customWidth="1"/>
    <col min="15879" max="15879" width="14.42578125" customWidth="1"/>
    <col min="15880" max="15880" width="12.5703125" customWidth="1"/>
    <col min="15881" max="15881" width="17.7109375" customWidth="1"/>
    <col min="16129" max="16129" width="4.7109375" customWidth="1"/>
    <col min="16130" max="16130" width="45" customWidth="1"/>
    <col min="16131" max="16131" width="8.42578125" customWidth="1"/>
    <col min="16132" max="16132" width="14.28515625" customWidth="1"/>
    <col min="16133" max="16133" width="9.28515625" bestFit="1" customWidth="1"/>
    <col min="16134" max="16134" width="12.140625" customWidth="1"/>
    <col min="16135" max="16135" width="14.42578125" customWidth="1"/>
    <col min="16136" max="16136" width="12.5703125" customWidth="1"/>
    <col min="16137" max="16137" width="17.7109375" customWidth="1"/>
  </cols>
  <sheetData>
    <row r="1" spans="1:14" x14ac:dyDescent="0.2">
      <c r="A1" s="103" t="s">
        <v>265</v>
      </c>
    </row>
    <row r="2" spans="1:14" x14ac:dyDescent="0.2">
      <c r="A2" s="103" t="str">
        <f>'[2]Planilha Global'!A2</f>
        <v>PREFEITURA MUNICIPAL DE MAMANGUAPE</v>
      </c>
      <c r="G2" t="s">
        <v>421</v>
      </c>
      <c r="H2">
        <v>128.16</v>
      </c>
    </row>
    <row r="3" spans="1:14" ht="5.0999999999999996" customHeight="1" x14ac:dyDescent="0.2"/>
    <row r="4" spans="1:14" s="202" customFormat="1" ht="12.75" customHeight="1" x14ac:dyDescent="0.25">
      <c r="A4" s="729" t="s">
        <v>422</v>
      </c>
      <c r="B4" s="737"/>
      <c r="C4" s="737"/>
      <c r="D4" s="737"/>
      <c r="E4" s="737"/>
      <c r="F4" s="737"/>
      <c r="H4" s="202" t="s">
        <v>423</v>
      </c>
      <c r="I4" s="202" t="s">
        <v>424</v>
      </c>
      <c r="J4" s="202" t="s">
        <v>425</v>
      </c>
      <c r="K4" s="202" t="s">
        <v>426</v>
      </c>
      <c r="L4" s="202" t="s">
        <v>427</v>
      </c>
      <c r="M4" s="202" t="s">
        <v>428</v>
      </c>
      <c r="N4" s="202" t="s">
        <v>429</v>
      </c>
    </row>
    <row r="5" spans="1:14" s="202" customFormat="1" ht="7.5" customHeight="1" x14ac:dyDescent="0.25">
      <c r="A5" s="434"/>
      <c r="B5" s="435"/>
      <c r="C5" s="435"/>
      <c r="D5" s="435"/>
      <c r="E5" s="435"/>
      <c r="F5" s="435"/>
    </row>
    <row r="6" spans="1:14" s="202" customFormat="1" ht="15" customHeight="1" x14ac:dyDescent="0.25">
      <c r="A6" s="258" t="s">
        <v>857</v>
      </c>
      <c r="B6" s="258"/>
      <c r="C6" s="258"/>
      <c r="D6" s="258"/>
      <c r="E6" s="258"/>
      <c r="F6" s="103"/>
      <c r="G6" s="53"/>
      <c r="H6" s="202">
        <v>5</v>
      </c>
      <c r="I6" s="202">
        <v>53.94</v>
      </c>
      <c r="J6" s="230">
        <f t="shared" ref="J6:J15" si="0">H6*I6</f>
        <v>269.7</v>
      </c>
    </row>
    <row r="7" spans="1:14" s="202" customFormat="1" ht="21" customHeight="1" x14ac:dyDescent="0.25">
      <c r="A7" s="258" t="s">
        <v>525</v>
      </c>
      <c r="B7" s="436"/>
      <c r="C7" s="437"/>
      <c r="D7" s="437"/>
      <c r="E7" s="257"/>
      <c r="F7" s="257"/>
      <c r="G7" s="53"/>
      <c r="J7" s="230">
        <v>36.58</v>
      </c>
    </row>
    <row r="8" spans="1:14" s="202" customFormat="1" ht="15" customHeight="1" x14ac:dyDescent="0.25">
      <c r="A8" s="103" t="s">
        <v>855</v>
      </c>
      <c r="B8" s="436"/>
      <c r="C8" s="736" t="s">
        <v>858</v>
      </c>
      <c r="D8" s="736"/>
      <c r="E8" s="736"/>
      <c r="F8" s="736"/>
      <c r="G8" s="53"/>
      <c r="H8" s="663">
        <v>5</v>
      </c>
      <c r="I8" s="202">
        <v>66.88</v>
      </c>
      <c r="J8" s="230">
        <f t="shared" si="0"/>
        <v>334.4</v>
      </c>
      <c r="K8" s="202">
        <f>5.1+5.14+13.42+13.59+9.57+9.78+17.75+17.91+6.25+1.21+6.79+6.19+2.23+2.22+4.56+64.93+65.86+2.18+2.53</f>
        <v>257.20999999999998</v>
      </c>
      <c r="L8" s="202">
        <f>5.68+4.08+6.31+26.94+12.7+10.5+13.15+2.22+7.65+20.38+25.33+25.4+36.7+29.26+18.73+19.08+9.01+14.58+11.42+7.25+4.36+26.66+12.33+10.58+14.04+3.07+7.89+20.45+25.67+25.67+37.03+29.56+19.1+18.96+8.89+14.81+11.96</f>
        <v>597.4</v>
      </c>
      <c r="M8" s="202">
        <v>6</v>
      </c>
      <c r="N8" s="202">
        <v>1.2</v>
      </c>
    </row>
    <row r="9" spans="1:14" s="202" customFormat="1" ht="15" customHeight="1" x14ac:dyDescent="0.2">
      <c r="A9" s="103" t="s">
        <v>856</v>
      </c>
      <c r="B9" s="438"/>
      <c r="C9" s="736" t="s">
        <v>859</v>
      </c>
      <c r="D9" s="736"/>
      <c r="E9" s="736"/>
      <c r="F9" s="736"/>
      <c r="G9" s="53"/>
      <c r="H9" s="663"/>
      <c r="I9" s="230"/>
      <c r="J9" s="230">
        <v>2.93</v>
      </c>
      <c r="K9" s="230"/>
      <c r="L9" s="202">
        <f>2.43+3.39+2.31+2.97+2.01+3.07</f>
        <v>16.18</v>
      </c>
    </row>
    <row r="10" spans="1:14" s="202" customFormat="1" ht="14.25" customHeight="1" x14ac:dyDescent="0.2">
      <c r="A10" s="103" t="s">
        <v>587</v>
      </c>
      <c r="B10" s="438"/>
      <c r="C10" s="736" t="s">
        <v>860</v>
      </c>
      <c r="D10" s="736"/>
      <c r="E10" s="736"/>
      <c r="F10" s="736"/>
      <c r="H10" s="663"/>
      <c r="I10" s="230"/>
      <c r="J10" s="230">
        <v>1.74</v>
      </c>
      <c r="K10" s="230"/>
    </row>
    <row r="11" spans="1:14" s="202" customFormat="1" ht="14.25" customHeight="1" x14ac:dyDescent="0.2">
      <c r="A11" s="103" t="s">
        <v>861</v>
      </c>
      <c r="B11" s="438"/>
      <c r="C11" s="103" t="s">
        <v>866</v>
      </c>
      <c r="D11" s="437"/>
      <c r="E11" s="437"/>
      <c r="F11" s="437"/>
      <c r="H11" s="663"/>
      <c r="I11" s="230"/>
      <c r="J11" s="230">
        <v>0.37</v>
      </c>
    </row>
    <row r="12" spans="1:14" s="202" customFormat="1" ht="14.25" customHeight="1" x14ac:dyDescent="0.2">
      <c r="A12" s="103"/>
      <c r="B12" s="438"/>
      <c r="C12" s="103"/>
      <c r="D12" s="437"/>
      <c r="E12" s="103"/>
      <c r="F12" s="103"/>
      <c r="H12" s="663"/>
      <c r="I12" s="230"/>
      <c r="J12" s="230">
        <v>0.62</v>
      </c>
    </row>
    <row r="13" spans="1:14" s="202" customFormat="1" ht="15" customHeight="1" x14ac:dyDescent="0.25">
      <c r="A13" s="515" t="s">
        <v>862</v>
      </c>
      <c r="B13" s="436"/>
      <c r="C13" s="736" t="s">
        <v>864</v>
      </c>
      <c r="D13" s="736"/>
      <c r="E13" s="736"/>
      <c r="F13" s="736"/>
      <c r="G13" s="53"/>
      <c r="H13" s="663"/>
      <c r="I13" s="230"/>
      <c r="J13" s="230">
        <f t="shared" si="0"/>
        <v>0</v>
      </c>
    </row>
    <row r="14" spans="1:14" s="202" customFormat="1" ht="15" customHeight="1" x14ac:dyDescent="0.2">
      <c r="A14" s="515" t="s">
        <v>863</v>
      </c>
      <c r="B14" s="438"/>
      <c r="C14" s="736" t="s">
        <v>865</v>
      </c>
      <c r="D14" s="736"/>
      <c r="E14" s="736"/>
      <c r="F14" s="736"/>
      <c r="G14" s="53"/>
      <c r="H14" s="663"/>
      <c r="I14" s="230"/>
      <c r="J14" s="230">
        <f t="shared" si="0"/>
        <v>0</v>
      </c>
      <c r="K14" s="230"/>
    </row>
    <row r="15" spans="1:14" s="202" customFormat="1" ht="14.25" customHeight="1" x14ac:dyDescent="0.2">
      <c r="A15" s="515" t="s">
        <v>587</v>
      </c>
      <c r="B15" s="438"/>
      <c r="C15" s="666" t="s">
        <v>867</v>
      </c>
      <c r="D15" s="666"/>
      <c r="E15" s="666" t="s">
        <v>869</v>
      </c>
      <c r="F15" s="666"/>
      <c r="H15" s="663"/>
      <c r="I15" s="230"/>
      <c r="J15" s="230">
        <f t="shared" si="0"/>
        <v>0</v>
      </c>
      <c r="K15" s="230"/>
    </row>
    <row r="16" spans="1:14" s="202" customFormat="1" ht="14.25" customHeight="1" x14ac:dyDescent="0.2">
      <c r="A16" s="103" t="s">
        <v>872</v>
      </c>
      <c r="B16" s="438"/>
      <c r="C16" s="437" t="s">
        <v>868</v>
      </c>
      <c r="D16" s="437"/>
      <c r="E16" s="437" t="s">
        <v>870</v>
      </c>
      <c r="F16" s="437"/>
      <c r="H16" s="230"/>
      <c r="I16" s="230"/>
      <c r="J16" s="230">
        <f>SUM(J6:J15)</f>
        <v>646.34</v>
      </c>
    </row>
    <row r="17" spans="1:19" s="202" customFormat="1" ht="14.25" customHeight="1" x14ac:dyDescent="0.2">
      <c r="A17" s="515"/>
      <c r="B17" s="438"/>
      <c r="C17" s="103" t="s">
        <v>871</v>
      </c>
      <c r="D17" s="437"/>
      <c r="E17" s="103"/>
      <c r="F17" s="103"/>
      <c r="I17" s="230"/>
      <c r="J17" s="230"/>
    </row>
    <row r="18" spans="1:19" s="202" customFormat="1" ht="15" customHeight="1" x14ac:dyDescent="0.25">
      <c r="A18" s="515"/>
      <c r="B18" s="436"/>
      <c r="C18" s="736"/>
      <c r="D18" s="736"/>
      <c r="E18" s="736"/>
      <c r="F18" s="736"/>
      <c r="G18" s="53"/>
      <c r="I18" s="230"/>
      <c r="J18" s="230"/>
    </row>
    <row r="19" spans="1:19" s="103" customFormat="1" ht="12.75" customHeight="1" x14ac:dyDescent="0.2">
      <c r="A19" s="722" t="s">
        <v>832</v>
      </c>
      <c r="B19" s="722"/>
      <c r="C19" s="440"/>
      <c r="D19" s="440"/>
      <c r="E19" s="441"/>
      <c r="F19" s="452"/>
    </row>
    <row r="20" spans="1:19" s="103" customFormat="1" ht="26.25" customHeight="1" x14ac:dyDescent="0.2">
      <c r="A20" s="664" t="s">
        <v>86</v>
      </c>
      <c r="B20" s="724" t="s">
        <v>873</v>
      </c>
      <c r="C20" s="724"/>
      <c r="D20" s="724"/>
      <c r="E20" s="452">
        <f>H2</f>
        <v>128.16</v>
      </c>
      <c r="F20" s="438" t="s">
        <v>11</v>
      </c>
    </row>
    <row r="21" spans="1:19" s="202" customFormat="1" ht="5.0999999999999996" customHeight="1" x14ac:dyDescent="0.2">
      <c r="B21" s="445"/>
      <c r="C21" s="446"/>
      <c r="D21" s="447"/>
      <c r="E21" s="256"/>
      <c r="F21" s="256"/>
      <c r="G21" s="103"/>
      <c r="H21" s="103"/>
      <c r="I21" s="103"/>
      <c r="J21" s="103"/>
      <c r="K21" s="103"/>
      <c r="L21" s="103"/>
      <c r="M21" s="103"/>
      <c r="N21" s="103"/>
      <c r="O21" s="103"/>
      <c r="P21" s="103"/>
      <c r="Q21" s="103"/>
      <c r="R21" s="103"/>
      <c r="S21" s="103"/>
    </row>
    <row r="22" spans="1:19" s="103" customFormat="1" ht="12.75" customHeight="1" x14ac:dyDescent="0.2">
      <c r="A22" s="738" t="s">
        <v>833</v>
      </c>
      <c r="B22" s="738"/>
      <c r="C22" s="450"/>
      <c r="D22" s="440"/>
      <c r="E22" s="308"/>
      <c r="F22" s="451"/>
      <c r="J22" s="230">
        <f>SUM(J8:J17)</f>
        <v>986.4</v>
      </c>
    </row>
    <row r="23" spans="1:19" s="103" customFormat="1" ht="27" customHeight="1" x14ac:dyDescent="0.2">
      <c r="A23" s="664" t="s">
        <v>7</v>
      </c>
      <c r="B23" s="724" t="s">
        <v>874</v>
      </c>
      <c r="C23" s="724"/>
      <c r="D23" s="724"/>
      <c r="E23" s="452">
        <f>J16</f>
        <v>646.34</v>
      </c>
      <c r="F23" s="438" t="s">
        <v>13</v>
      </c>
    </row>
    <row r="24" spans="1:19" s="202" customFormat="1" ht="5.0999999999999996" customHeight="1" x14ac:dyDescent="0.25">
      <c r="B24" s="453"/>
      <c r="C24" s="453"/>
      <c r="D24" s="453"/>
      <c r="E24" s="454"/>
      <c r="F24" s="455"/>
    </row>
    <row r="25" spans="1:19" s="103" customFormat="1" ht="12.75" customHeight="1" x14ac:dyDescent="0.2">
      <c r="A25" s="738" t="s">
        <v>834</v>
      </c>
      <c r="B25" s="738"/>
      <c r="C25" s="450"/>
      <c r="D25" s="440"/>
      <c r="E25" s="308"/>
      <c r="F25" s="451"/>
      <c r="J25" s="230">
        <f>SUM(J11:J17)</f>
        <v>647.33000000000004</v>
      </c>
    </row>
    <row r="26" spans="1:19" s="103" customFormat="1" ht="77.25" customHeight="1" x14ac:dyDescent="0.2">
      <c r="A26" s="664" t="s">
        <v>9</v>
      </c>
      <c r="B26" s="721" t="s">
        <v>878</v>
      </c>
      <c r="C26" s="721"/>
      <c r="D26" s="721"/>
      <c r="E26" s="452">
        <f>K8</f>
        <v>257.20999999999998</v>
      </c>
      <c r="F26" s="438" t="s">
        <v>11</v>
      </c>
    </row>
    <row r="27" spans="1:19" s="202" customFormat="1" ht="5.0999999999999996" customHeight="1" x14ac:dyDescent="0.2">
      <c r="B27" s="445"/>
      <c r="C27" s="446"/>
      <c r="D27" s="447"/>
      <c r="E27" s="256"/>
      <c r="F27" s="256"/>
      <c r="G27" s="103"/>
      <c r="H27" s="103"/>
      <c r="I27" s="103"/>
      <c r="J27" s="103"/>
      <c r="K27" s="103"/>
      <c r="L27" s="103"/>
      <c r="M27" s="103"/>
      <c r="N27" s="103"/>
      <c r="O27" s="103"/>
      <c r="P27" s="103"/>
      <c r="Q27" s="103"/>
      <c r="R27" s="103"/>
      <c r="S27" s="103"/>
    </row>
    <row r="28" spans="1:19" s="103" customFormat="1" ht="39" customHeight="1" x14ac:dyDescent="0.2">
      <c r="A28" s="664" t="s">
        <v>12</v>
      </c>
      <c r="B28" s="721" t="s">
        <v>875</v>
      </c>
      <c r="C28" s="721"/>
      <c r="D28" s="721"/>
      <c r="E28" s="452">
        <f>E23</f>
        <v>646.34</v>
      </c>
      <c r="F28" s="438" t="s">
        <v>13</v>
      </c>
    </row>
    <row r="29" spans="1:19" s="202" customFormat="1" ht="5.0999999999999996" customHeight="1" x14ac:dyDescent="0.2">
      <c r="B29" s="445"/>
      <c r="C29" s="446"/>
      <c r="D29" s="447"/>
      <c r="E29" s="256"/>
      <c r="F29" s="256"/>
      <c r="G29" s="103"/>
      <c r="H29" s="103"/>
      <c r="I29" s="103"/>
      <c r="J29" s="103"/>
      <c r="K29" s="103"/>
      <c r="L29" s="103"/>
      <c r="M29" s="103"/>
      <c r="N29" s="103"/>
      <c r="O29" s="103"/>
      <c r="P29" s="103"/>
      <c r="Q29" s="103"/>
      <c r="R29" s="103"/>
      <c r="S29" s="103"/>
    </row>
    <row r="30" spans="1:19" s="103" customFormat="1" ht="39.75" customHeight="1" x14ac:dyDescent="0.2">
      <c r="A30" s="664" t="s">
        <v>108</v>
      </c>
      <c r="B30" s="721" t="s">
        <v>876</v>
      </c>
      <c r="C30" s="721"/>
      <c r="D30" s="721"/>
      <c r="E30" s="452">
        <f>6.86+8.04</f>
        <v>14.9</v>
      </c>
      <c r="F30" s="438" t="s">
        <v>11</v>
      </c>
    </row>
    <row r="31" spans="1:19" s="103" customFormat="1" ht="5.0999999999999996" customHeight="1" x14ac:dyDescent="0.2">
      <c r="B31" s="456"/>
      <c r="C31" s="456"/>
      <c r="D31" s="456"/>
      <c r="E31" s="457"/>
      <c r="F31" s="458"/>
    </row>
    <row r="32" spans="1:19" s="103" customFormat="1" ht="12.75" customHeight="1" x14ac:dyDescent="0.2">
      <c r="A32" s="739" t="s">
        <v>835</v>
      </c>
      <c r="B32" s="739"/>
      <c r="C32" s="440"/>
      <c r="D32" s="440"/>
      <c r="E32" s="441"/>
      <c r="F32" s="442"/>
    </row>
    <row r="33" spans="1:19" s="103" customFormat="1" ht="64.5" customHeight="1" x14ac:dyDescent="0.2">
      <c r="A33" s="664" t="s">
        <v>15</v>
      </c>
      <c r="B33" s="721" t="s">
        <v>877</v>
      </c>
      <c r="C33" s="721"/>
      <c r="D33" s="721"/>
      <c r="E33" s="637">
        <f>H33</f>
        <v>43.28</v>
      </c>
      <c r="F33" s="442" t="s">
        <v>13</v>
      </c>
      <c r="G33" s="103">
        <f>0.72+2.53+13.29+9.52+17.97+17.71+6.13+1.24+8.9+66.13+72.26</f>
        <v>216.4</v>
      </c>
      <c r="H33" s="461">
        <f>G33*0.2</f>
        <v>43.28</v>
      </c>
    </row>
    <row r="34" spans="1:19" s="202" customFormat="1" ht="5.0999999999999996" customHeight="1" x14ac:dyDescent="0.2">
      <c r="B34" s="445"/>
      <c r="C34" s="446"/>
      <c r="D34" s="447"/>
      <c r="E34" s="256"/>
      <c r="F34" s="256"/>
      <c r="G34" s="103"/>
      <c r="H34" s="103"/>
      <c r="I34" s="103"/>
      <c r="J34" s="103"/>
      <c r="K34" s="103"/>
      <c r="L34" s="103"/>
      <c r="M34" s="103"/>
      <c r="N34" s="103"/>
      <c r="O34" s="103"/>
      <c r="P34" s="103"/>
      <c r="Q34" s="103"/>
      <c r="R34" s="103"/>
      <c r="S34" s="103"/>
    </row>
    <row r="35" spans="1:19" s="103" customFormat="1" ht="165.75" customHeight="1" x14ac:dyDescent="0.2">
      <c r="A35" s="664" t="s">
        <v>129</v>
      </c>
      <c r="B35" s="725" t="s">
        <v>881</v>
      </c>
      <c r="C35" s="724"/>
      <c r="D35" s="724"/>
      <c r="E35" s="638">
        <f>M35</f>
        <v>13.75</v>
      </c>
      <c r="F35" s="438" t="s">
        <v>128</v>
      </c>
      <c r="G35" s="460">
        <f>5.14*1.2/2+(0.72+1.2)*2.48/2+(2.62+13.42+13.59+9.57+9.78+17.75+17.91+6.25+6.79+1.21+6.19)*1.2+(1.2*1.2)/2+(1.2*1.2)/2+(4.56+64.93+65.86)*1.2+(1.2*1.2)/2+(1.2*1.2)/2</f>
        <v>296.86</v>
      </c>
      <c r="H35" s="460">
        <f>G35-E46</f>
        <v>242.86</v>
      </c>
      <c r="I35" s="460"/>
      <c r="J35" s="460">
        <f>H35*0.06</f>
        <v>14.57</v>
      </c>
      <c r="K35" s="460">
        <f>5.12+2.58+1.59+1.67+4.26+4.39+9.54+9.76+17.73+17.98+6.82+6.19+1.27+1.22+5.92+1.94+1.35+12.1+7.04+37.02+37.22+6.67+5.89</f>
        <v>205.27</v>
      </c>
      <c r="L35" s="460">
        <f>K35*0.2*0.02</f>
        <v>0.82</v>
      </c>
      <c r="M35" s="460">
        <f>J35-L35</f>
        <v>13.75</v>
      </c>
    </row>
    <row r="36" spans="1:19" s="202" customFormat="1" ht="5.0999999999999996" customHeight="1" x14ac:dyDescent="0.2">
      <c r="B36" s="445"/>
      <c r="C36" s="446"/>
      <c r="D36" s="447"/>
      <c r="E36" s="256"/>
      <c r="F36" s="256"/>
      <c r="G36" s="448"/>
      <c r="H36" s="448"/>
    </row>
    <row r="37" spans="1:19" s="103" customFormat="1" ht="79.5" customHeight="1" x14ac:dyDescent="0.2">
      <c r="A37" s="664" t="s">
        <v>131</v>
      </c>
      <c r="B37" s="721" t="s">
        <v>879</v>
      </c>
      <c r="C37" s="721"/>
      <c r="D37" s="721"/>
      <c r="E37" s="639">
        <f>G37</f>
        <v>41.05</v>
      </c>
      <c r="F37" s="640" t="s">
        <v>13</v>
      </c>
      <c r="G37" s="648">
        <f>K35*0.2</f>
        <v>41.05</v>
      </c>
      <c r="H37" s="438"/>
      <c r="J37" s="460"/>
      <c r="K37" s="460"/>
      <c r="L37" s="461"/>
      <c r="M37" s="461"/>
      <c r="N37" s="460"/>
      <c r="O37" s="460"/>
      <c r="Q37" s="460"/>
    </row>
    <row r="38" spans="1:19" s="103" customFormat="1" ht="5.0999999999999996" customHeight="1" x14ac:dyDescent="0.2">
      <c r="B38" s="456"/>
      <c r="C38" s="456"/>
      <c r="D38" s="456"/>
      <c r="E38" s="457"/>
      <c r="F38" s="458"/>
    </row>
    <row r="39" spans="1:19" s="103" customFormat="1" ht="12.75" customHeight="1" x14ac:dyDescent="0.2">
      <c r="A39" s="739" t="s">
        <v>836</v>
      </c>
      <c r="B39" s="739"/>
      <c r="C39" s="440"/>
      <c r="D39" s="440"/>
      <c r="E39" s="441"/>
      <c r="F39" s="442"/>
    </row>
    <row r="40" spans="1:19" s="103" customFormat="1" ht="78" customHeight="1" x14ac:dyDescent="0.2">
      <c r="A40" s="664" t="s">
        <v>158</v>
      </c>
      <c r="B40" s="721" t="s">
        <v>669</v>
      </c>
      <c r="C40" s="721"/>
      <c r="D40" s="721"/>
      <c r="E40" s="637">
        <f>K40</f>
        <v>3.15</v>
      </c>
      <c r="F40" s="641" t="s">
        <v>128</v>
      </c>
      <c r="G40" s="460">
        <f>7.5*N8*M8*0.06</f>
        <v>3.24</v>
      </c>
      <c r="H40" s="461">
        <f>(1.2*2+1.5)*M8</f>
        <v>23.4</v>
      </c>
      <c r="I40" s="461"/>
      <c r="J40" s="461">
        <f>H40*0.2*0.02</f>
        <v>0.09</v>
      </c>
      <c r="K40" s="460">
        <f>G40-J40</f>
        <v>3.15</v>
      </c>
      <c r="N40" s="103">
        <f>(7.5*1.2)*7+5.75+6.31+5.25+6.11+5.71+5.24+5.25+7.18+7.07+5.2+5.25+5.15</f>
        <v>132.47</v>
      </c>
      <c r="O40" s="461">
        <f>N40*0.06</f>
        <v>7.95</v>
      </c>
      <c r="P40" s="461">
        <f>(1.2*3*7+1.05+2.42+1.05+4.76+1.42/2+2+1.05+3+1.05+2.66+1.05+2.01+1.05+3+1.05+1.05+1.05+1.05+1.05+1.05+1.05+2+1.05+2+1.05+2+0.99)</f>
        <v>68.5</v>
      </c>
      <c r="Q40" s="461">
        <f>P40*0.2*0.02</f>
        <v>0.27</v>
      </c>
      <c r="R40" s="103">
        <f>P40*0.2</f>
        <v>13.7</v>
      </c>
    </row>
    <row r="41" spans="1:19" s="202" customFormat="1" ht="5.0999999999999996" customHeight="1" x14ac:dyDescent="0.25">
      <c r="B41" s="445"/>
      <c r="C41" s="446"/>
      <c r="D41" s="447"/>
      <c r="E41" s="207"/>
      <c r="F41" s="642"/>
      <c r="G41" s="448"/>
      <c r="H41" s="448"/>
    </row>
    <row r="42" spans="1:19" s="103" customFormat="1" ht="78" customHeight="1" x14ac:dyDescent="0.2">
      <c r="A42" s="664" t="s">
        <v>170</v>
      </c>
      <c r="B42" s="721" t="s">
        <v>670</v>
      </c>
      <c r="C42" s="721"/>
      <c r="D42" s="721"/>
      <c r="E42" s="637">
        <f>E40</f>
        <v>3.15</v>
      </c>
      <c r="F42" s="641" t="s">
        <v>128</v>
      </c>
      <c r="G42" s="438"/>
      <c r="H42" s="438"/>
      <c r="I42" s="460"/>
      <c r="J42" s="461"/>
      <c r="K42" s="461"/>
      <c r="L42" s="461"/>
      <c r="M42" s="460"/>
    </row>
    <row r="43" spans="1:19" s="202" customFormat="1" ht="5.0999999999999996" customHeight="1" x14ac:dyDescent="0.2">
      <c r="B43" s="445"/>
      <c r="C43" s="446"/>
      <c r="D43" s="447"/>
      <c r="E43" s="256"/>
      <c r="F43" s="256"/>
      <c r="G43" s="448"/>
      <c r="H43" s="448"/>
    </row>
    <row r="44" spans="1:19" s="103" customFormat="1" ht="53.25" customHeight="1" x14ac:dyDescent="0.2">
      <c r="A44" s="664" t="s">
        <v>203</v>
      </c>
      <c r="B44" s="721" t="s">
        <v>671</v>
      </c>
      <c r="C44" s="721"/>
      <c r="D44" s="721"/>
      <c r="E44" s="637">
        <f>G44</f>
        <v>4.68</v>
      </c>
      <c r="F44" s="640" t="s">
        <v>13</v>
      </c>
      <c r="G44" s="645">
        <f>(N8*2+1.5)*M8*0.2</f>
        <v>4.68</v>
      </c>
      <c r="H44" s="438"/>
      <c r="J44" s="460"/>
      <c r="K44" s="460"/>
      <c r="L44" s="461"/>
      <c r="M44" s="461"/>
      <c r="N44" s="460"/>
      <c r="O44" s="460"/>
      <c r="Q44" s="460"/>
    </row>
    <row r="45" spans="1:19" s="202" customFormat="1" ht="5.0999999999999996" customHeight="1" x14ac:dyDescent="0.2">
      <c r="B45" s="445"/>
      <c r="C45" s="446"/>
      <c r="D45" s="447"/>
      <c r="E45" s="256"/>
      <c r="F45" s="256"/>
      <c r="G45" s="448"/>
      <c r="H45" s="448"/>
    </row>
    <row r="46" spans="1:19" s="103" customFormat="1" ht="40.5" customHeight="1" x14ac:dyDescent="0.2">
      <c r="A46" s="664" t="s">
        <v>181</v>
      </c>
      <c r="B46" s="726" t="s">
        <v>672</v>
      </c>
      <c r="C46" s="726"/>
      <c r="D46" s="726"/>
      <c r="E46" s="647">
        <f>G46</f>
        <v>54</v>
      </c>
      <c r="F46" s="641" t="s">
        <v>13</v>
      </c>
      <c r="G46" s="646">
        <f>7.5*N8*M8:M8</f>
        <v>54</v>
      </c>
      <c r="H46" s="438"/>
      <c r="J46" s="460"/>
      <c r="K46" s="460"/>
    </row>
    <row r="47" spans="1:19" s="103" customFormat="1" ht="5.0999999999999996" customHeight="1" x14ac:dyDescent="0.2">
      <c r="B47" s="456"/>
      <c r="C47" s="456"/>
      <c r="D47" s="456"/>
      <c r="E47" s="457"/>
      <c r="F47" s="458"/>
      <c r="G47" s="458"/>
      <c r="H47" s="458"/>
    </row>
    <row r="48" spans="1:19" s="103" customFormat="1" ht="12.75" customHeight="1" x14ac:dyDescent="0.2">
      <c r="A48" s="738" t="s">
        <v>837</v>
      </c>
      <c r="B48" s="738"/>
      <c r="C48" s="440"/>
      <c r="D48" s="440"/>
      <c r="E48" s="441"/>
      <c r="F48" s="442"/>
    </row>
    <row r="49" spans="1:9" s="103" customFormat="1" ht="39" customHeight="1" x14ac:dyDescent="0.2">
      <c r="A49" s="664" t="s">
        <v>175</v>
      </c>
      <c r="B49" s="721" t="s">
        <v>844</v>
      </c>
      <c r="C49" s="721"/>
      <c r="D49" s="721"/>
      <c r="E49" s="459">
        <v>2</v>
      </c>
      <c r="F49" s="438" t="s">
        <v>279</v>
      </c>
    </row>
    <row r="50" spans="1:9" s="202" customFormat="1" ht="5.0999999999999996" customHeight="1" x14ac:dyDescent="0.2">
      <c r="B50" s="445"/>
      <c r="C50" s="446"/>
      <c r="D50" s="447"/>
      <c r="E50" s="256"/>
      <c r="F50" s="256"/>
      <c r="G50" s="448"/>
      <c r="H50" s="448"/>
    </row>
    <row r="51" spans="1:9" s="103" customFormat="1" ht="39" customHeight="1" x14ac:dyDescent="0.2">
      <c r="A51" s="664" t="s">
        <v>246</v>
      </c>
      <c r="B51" s="721" t="s">
        <v>845</v>
      </c>
      <c r="C51" s="721"/>
      <c r="D51" s="721"/>
      <c r="E51" s="459">
        <v>2</v>
      </c>
      <c r="F51" s="438" t="s">
        <v>279</v>
      </c>
    </row>
    <row r="52" spans="1:9" s="202" customFormat="1" ht="5.0999999999999996" customHeight="1" x14ac:dyDescent="0.2">
      <c r="B52" s="445"/>
      <c r="C52" s="446"/>
      <c r="D52" s="447"/>
      <c r="E52" s="256"/>
      <c r="F52" s="256"/>
      <c r="G52" s="448"/>
      <c r="H52" s="448"/>
    </row>
    <row r="53" spans="1:9" s="103" customFormat="1" ht="12.75" customHeight="1" x14ac:dyDescent="0.2">
      <c r="A53" s="738" t="s">
        <v>852</v>
      </c>
      <c r="B53" s="738"/>
      <c r="C53" s="440"/>
      <c r="D53" s="440"/>
      <c r="E53" s="441"/>
      <c r="F53" s="442"/>
    </row>
    <row r="54" spans="1:9" s="103" customFormat="1" ht="25.5" customHeight="1" x14ac:dyDescent="0.2">
      <c r="A54" s="664" t="s">
        <v>255</v>
      </c>
      <c r="B54" s="721" t="s">
        <v>880</v>
      </c>
      <c r="C54" s="721"/>
      <c r="D54" s="721"/>
      <c r="E54" s="459">
        <f>E26*(0.15+0.13)</f>
        <v>72.02</v>
      </c>
      <c r="F54" s="438" t="s">
        <v>13</v>
      </c>
      <c r="H54" s="103" t="e">
        <f>#REF!*0.28</f>
        <v>#REF!</v>
      </c>
    </row>
    <row r="55" spans="1:9" s="103" customFormat="1" ht="5.0999999999999996" customHeight="1" x14ac:dyDescent="0.2">
      <c r="E55" s="441"/>
      <c r="F55" s="442"/>
    </row>
    <row r="56" spans="1:9" s="202" customFormat="1" ht="24.75" customHeight="1" x14ac:dyDescent="0.2">
      <c r="A56" s="664" t="s">
        <v>853</v>
      </c>
      <c r="B56" s="721" t="s">
        <v>707</v>
      </c>
      <c r="C56" s="721"/>
      <c r="D56" s="721"/>
      <c r="E56" s="442">
        <v>1</v>
      </c>
      <c r="F56" s="53" t="s">
        <v>279</v>
      </c>
      <c r="H56" s="202">
        <v>3.9</v>
      </c>
      <c r="I56" s="202">
        <v>216</v>
      </c>
    </row>
    <row r="57" spans="1:9" s="103" customFormat="1" ht="5.0999999999999996" customHeight="1" x14ac:dyDescent="0.2">
      <c r="B57" s="456"/>
      <c r="C57" s="456"/>
      <c r="D57" s="456"/>
      <c r="E57" s="457"/>
      <c r="F57" s="458"/>
      <c r="G57" s="458"/>
      <c r="H57" s="458"/>
    </row>
    <row r="58" spans="1:9" s="103" customFormat="1" ht="39" customHeight="1" x14ac:dyDescent="0.2">
      <c r="A58" s="664" t="s">
        <v>882</v>
      </c>
      <c r="B58" s="721" t="s">
        <v>885</v>
      </c>
      <c r="C58" s="721"/>
      <c r="D58" s="721"/>
      <c r="E58" s="459">
        <v>1</v>
      </c>
      <c r="F58" s="438" t="s">
        <v>279</v>
      </c>
    </row>
    <row r="59" spans="1:9" s="202" customFormat="1" ht="5.0999999999999996" customHeight="1" x14ac:dyDescent="0.2">
      <c r="B59" s="445"/>
      <c r="C59" s="446"/>
      <c r="D59" s="447"/>
      <c r="E59" s="256"/>
      <c r="F59" s="256"/>
      <c r="G59" s="448"/>
      <c r="H59" s="448"/>
    </row>
    <row r="60" spans="1:9" x14ac:dyDescent="0.2">
      <c r="A60" s="103" t="s">
        <v>265</v>
      </c>
    </row>
    <row r="61" spans="1:9" x14ac:dyDescent="0.2">
      <c r="A61" s="103" t="str">
        <f>A2</f>
        <v>PREFEITURA MUNICIPAL DE MAMANGUAPE</v>
      </c>
    </row>
    <row r="62" spans="1:9" ht="5.0999999999999996" customHeight="1" x14ac:dyDescent="0.2"/>
    <row r="63" spans="1:9" s="103" customFormat="1" ht="12.75" customHeight="1" x14ac:dyDescent="0.25">
      <c r="A63" s="729" t="s">
        <v>433</v>
      </c>
      <c r="B63" s="729"/>
      <c r="C63" s="729"/>
      <c r="D63" s="729"/>
      <c r="E63" s="729"/>
      <c r="F63" s="729"/>
      <c r="H63" s="460"/>
    </row>
    <row r="64" spans="1:9" s="202" customFormat="1" ht="18" customHeight="1" x14ac:dyDescent="0.25">
      <c r="A64" s="735" t="str">
        <f>A6</f>
        <v>Rua Fábio Barbosa Vaz (Trecho 02)</v>
      </c>
      <c r="B64" s="735"/>
      <c r="C64" s="735"/>
      <c r="D64" s="735"/>
      <c r="E64" s="735"/>
      <c r="F64" s="735"/>
      <c r="G64" s="53"/>
    </row>
    <row r="65" spans="1:12" s="202" customFormat="1" ht="5.0999999999999996" customHeight="1" x14ac:dyDescent="0.25">
      <c r="B65" s="436"/>
      <c r="C65" s="437"/>
      <c r="D65" s="437"/>
      <c r="E65" s="257"/>
      <c r="F65" s="257"/>
      <c r="G65" s="53"/>
    </row>
    <row r="66" spans="1:12" s="202" customFormat="1" ht="12.75" customHeight="1" x14ac:dyDescent="0.2">
      <c r="A66" s="730" t="s">
        <v>53</v>
      </c>
      <c r="B66" s="732" t="s">
        <v>267</v>
      </c>
      <c r="C66" s="732" t="s">
        <v>268</v>
      </c>
      <c r="D66" s="732" t="s">
        <v>434</v>
      </c>
      <c r="E66" s="732" t="s">
        <v>435</v>
      </c>
      <c r="F66" s="734"/>
    </row>
    <row r="67" spans="1:12" s="202" customFormat="1" ht="12.75" customHeight="1" x14ac:dyDescent="0.2">
      <c r="A67" s="731"/>
      <c r="B67" s="733"/>
      <c r="C67" s="733"/>
      <c r="D67" s="733"/>
      <c r="E67" s="462" t="s">
        <v>436</v>
      </c>
      <c r="F67" s="463" t="s">
        <v>437</v>
      </c>
    </row>
    <row r="68" spans="1:12" s="202" customFormat="1" ht="12.75" customHeight="1" x14ac:dyDescent="0.2">
      <c r="A68" s="464" t="s">
        <v>4</v>
      </c>
      <c r="B68" s="465" t="s">
        <v>438</v>
      </c>
      <c r="C68" s="466"/>
      <c r="D68" s="467"/>
      <c r="E68" s="467"/>
      <c r="F68" s="468">
        <f>F69</f>
        <v>73.05</v>
      </c>
    </row>
    <row r="69" spans="1:12" s="202" customFormat="1" ht="25.5" x14ac:dyDescent="0.2">
      <c r="A69" s="469" t="s">
        <v>86</v>
      </c>
      <c r="B69" s="470" t="str">
        <f>'Planilha Global'!B11</f>
        <v>Execução de linhas de referência em gabarito ou cavalete (locação de pavimentação)</v>
      </c>
      <c r="C69" s="490" t="str">
        <f>F20</f>
        <v>m</v>
      </c>
      <c r="D69" s="472">
        <f>E20</f>
        <v>128.16</v>
      </c>
      <c r="E69" s="473">
        <f>'Planilha Global'!N11</f>
        <v>0.56999999999999995</v>
      </c>
      <c r="F69" s="474">
        <f>ROUND(D69,2)*ROUND(E69,2)</f>
        <v>73.05</v>
      </c>
    </row>
    <row r="70" spans="1:12" s="202" customFormat="1" ht="6.75" customHeight="1" x14ac:dyDescent="0.2">
      <c r="A70" s="486"/>
      <c r="B70" s="487"/>
      <c r="C70" s="482"/>
      <c r="D70" s="472"/>
      <c r="E70" s="488"/>
      <c r="F70" s="474"/>
    </row>
    <row r="71" spans="1:12" s="202" customFormat="1" ht="12.75" customHeight="1" x14ac:dyDescent="0.2">
      <c r="A71" s="464" t="s">
        <v>6</v>
      </c>
      <c r="B71" s="465" t="s">
        <v>511</v>
      </c>
      <c r="C71" s="466"/>
      <c r="D71" s="467"/>
      <c r="E71" s="467"/>
      <c r="F71" s="468">
        <f>SUM(F72:F72)</f>
        <v>1615.85</v>
      </c>
    </row>
    <row r="72" spans="1:12" s="202" customFormat="1" ht="25.5" x14ac:dyDescent="0.2">
      <c r="A72" s="469" t="s">
        <v>7</v>
      </c>
      <c r="B72" s="470" t="str">
        <f>'Planilha Global'!B14</f>
        <v>Regularização e compactação do subleito até 20 cm de espessura</v>
      </c>
      <c r="C72" s="482" t="str">
        <f>F23</f>
        <v>m²</v>
      </c>
      <c r="D72" s="472">
        <f>E23</f>
        <v>646.34</v>
      </c>
      <c r="E72" s="473">
        <f>'Planilha Global'!N14</f>
        <v>2.5</v>
      </c>
      <c r="F72" s="474">
        <f>ROUND(D72,2)*ROUND(E72,2)</f>
        <v>1615.85</v>
      </c>
      <c r="H72" s="485"/>
    </row>
    <row r="73" spans="1:12" s="202" customFormat="1" ht="6.75" customHeight="1" x14ac:dyDescent="0.2">
      <c r="A73" s="486"/>
      <c r="B73" s="487"/>
      <c r="C73" s="482"/>
      <c r="D73" s="472"/>
      <c r="E73" s="488"/>
      <c r="F73" s="474"/>
    </row>
    <row r="74" spans="1:12" s="202" customFormat="1" ht="12.75" customHeight="1" thickBot="1" x14ac:dyDescent="0.25">
      <c r="A74" s="464" t="s">
        <v>8</v>
      </c>
      <c r="B74" s="465" t="s">
        <v>439</v>
      </c>
      <c r="C74" s="466"/>
      <c r="D74" s="467"/>
      <c r="E74" s="489"/>
      <c r="F74" s="468">
        <f>SUM(F75:F77)</f>
        <v>83349.649999999994</v>
      </c>
    </row>
    <row r="75" spans="1:12" s="226" customFormat="1" ht="63.75" x14ac:dyDescent="0.2">
      <c r="A75" s="469" t="s">
        <v>9</v>
      </c>
      <c r="B75" s="470" t="str">
        <f>'Planilha Global'!B17</f>
        <v>Assentamento de guia (meio-fio) em trecho reto, confeccionada em concreto pré-fabricado, dimensões 100x15x13x30 cm (comprimento x base inferior x base superior x altura), para vias urbanas (uso viário)</v>
      </c>
      <c r="C75" s="482" t="str">
        <f>F26</f>
        <v>m</v>
      </c>
      <c r="D75" s="472">
        <f>E26</f>
        <v>257.20999999999998</v>
      </c>
      <c r="E75" s="473">
        <f>'Planilha Global'!N17</f>
        <v>49.53</v>
      </c>
      <c r="F75" s="474">
        <f>ROUND(D75,2)*ROUND(E75,2)</f>
        <v>12739.61</v>
      </c>
      <c r="H75" s="492"/>
      <c r="I75" s="493"/>
      <c r="J75" s="494"/>
    </row>
    <row r="76" spans="1:12" s="226" customFormat="1" ht="39" thickBot="1" x14ac:dyDescent="0.25">
      <c r="A76" s="469" t="s">
        <v>12</v>
      </c>
      <c r="B76" s="470" t="str">
        <f>'Planilha Global'!B18</f>
        <v>Execução de pavimento em paralelepípedos, rejuntamento com argamassa traço 1:3 (cimento e areia)</v>
      </c>
      <c r="C76" s="482" t="str">
        <f>F28</f>
        <v>m²</v>
      </c>
      <c r="D76" s="472">
        <f>E28</f>
        <v>646.34</v>
      </c>
      <c r="E76" s="473">
        <f>'Planilha Global'!N18</f>
        <v>107.81</v>
      </c>
      <c r="F76" s="474">
        <f>ROUND(D76,2)*ROUND(E76,2)</f>
        <v>69681.919999999998</v>
      </c>
      <c r="H76" s="495"/>
      <c r="I76" s="496"/>
      <c r="J76" s="497"/>
    </row>
    <row r="77" spans="1:12" s="226" customFormat="1" ht="26.25" customHeight="1" x14ac:dyDescent="0.2">
      <c r="A77" s="469" t="s">
        <v>108</v>
      </c>
      <c r="B77" s="470" t="str">
        <f>'Planilha Global'!B19</f>
        <v>Assentamento de guia (meio-fio) para cordão de travamento do pavimento, em pedra granítica</v>
      </c>
      <c r="C77" s="482" t="str">
        <f>F30</f>
        <v>m</v>
      </c>
      <c r="D77" s="472">
        <f>E30</f>
        <v>14.9</v>
      </c>
      <c r="E77" s="473">
        <f>'Planilha Global'!N19</f>
        <v>62.29</v>
      </c>
      <c r="F77" s="474">
        <f>ROUND(D77,2)*ROUND(E77,2)</f>
        <v>928.12</v>
      </c>
      <c r="H77" s="492"/>
      <c r="I77" s="493"/>
      <c r="J77" s="494"/>
    </row>
    <row r="78" spans="1:12" s="202" customFormat="1" ht="6.75" customHeight="1" x14ac:dyDescent="0.2">
      <c r="A78" s="486"/>
      <c r="B78" s="487"/>
      <c r="C78" s="482"/>
      <c r="D78" s="472"/>
      <c r="E78" s="488"/>
      <c r="F78" s="474"/>
    </row>
    <row r="79" spans="1:12" s="258" customFormat="1" ht="15" customHeight="1" thickBot="1" x14ac:dyDescent="0.3">
      <c r="A79" s="498" t="s">
        <v>14</v>
      </c>
      <c r="B79" s="499" t="s">
        <v>605</v>
      </c>
      <c r="C79" s="466"/>
      <c r="D79" s="467"/>
      <c r="E79" s="500"/>
      <c r="F79" s="468">
        <f>SUM(F80:F82)</f>
        <v>24487.86</v>
      </c>
      <c r="I79" s="501"/>
      <c r="J79" s="502"/>
      <c r="K79" s="502"/>
      <c r="L79" s="503"/>
    </row>
    <row r="80" spans="1:12" s="226" customFormat="1" ht="51" x14ac:dyDescent="0.2">
      <c r="A80" s="469" t="s">
        <v>15</v>
      </c>
      <c r="B80" s="661" t="str">
        <f>'Planilha Global'!B22</f>
        <v>Alvenaria de blocos cerâmicos furados na horizontal de 9x19x19 cm (espessura 9 cm) e argamassa de assentamento com preparo manual (para contenção das calçadas)</v>
      </c>
      <c r="C80" s="490" t="str">
        <f>F33</f>
        <v>m²</v>
      </c>
      <c r="D80" s="472">
        <f>E33</f>
        <v>43.28</v>
      </c>
      <c r="E80" s="473">
        <f>'Planilha Global'!N22</f>
        <v>107.24</v>
      </c>
      <c r="F80" s="474">
        <f>ROUND(D80,2)*ROUND(E80,2)</f>
        <v>4641.3500000000004</v>
      </c>
      <c r="H80" s="226">
        <v>73.06</v>
      </c>
    </row>
    <row r="81" spans="1:12" s="226" customFormat="1" ht="38.25" x14ac:dyDescent="0.2">
      <c r="A81" s="469" t="s">
        <v>129</v>
      </c>
      <c r="B81" s="661" t="str">
        <f>'Planilha Global'!B23</f>
        <v>Execução de passeio (calçada) ou piso de concreto com concreto moldado in loco, feito em obra, acabamento convencional, não armado</v>
      </c>
      <c r="C81" s="490" t="str">
        <f>F35</f>
        <v>m³</v>
      </c>
      <c r="D81" s="472">
        <f>'Fábio Vaz - T2'!E35</f>
        <v>13.75</v>
      </c>
      <c r="E81" s="473">
        <f>'Planilha Global'!N23</f>
        <v>943.02</v>
      </c>
      <c r="F81" s="474">
        <f>ROUND(D81,2)*ROUND(E81,2)</f>
        <v>12966.53</v>
      </c>
      <c r="H81" s="226">
        <v>703.2</v>
      </c>
    </row>
    <row r="82" spans="1:12" s="226" customFormat="1" ht="25.5" x14ac:dyDescent="0.2">
      <c r="A82" s="469" t="s">
        <v>131</v>
      </c>
      <c r="B82" s="661" t="str">
        <f>'Planilha Global'!B24</f>
        <v>Piso podotátil de alerta ou direcional, de concreto, assentado sobre argamassa</v>
      </c>
      <c r="C82" s="490" t="str">
        <f>F37</f>
        <v>m²</v>
      </c>
      <c r="D82" s="472">
        <f>E37</f>
        <v>41.05</v>
      </c>
      <c r="E82" s="473">
        <f>'Planilha Global'!N24</f>
        <v>167.6</v>
      </c>
      <c r="F82" s="474">
        <f>ROUND(D82,2)*ROUND(E82,2)</f>
        <v>6879.98</v>
      </c>
      <c r="H82" s="226">
        <v>109.78</v>
      </c>
    </row>
    <row r="83" spans="1:12" s="202" customFormat="1" ht="6.75" customHeight="1" x14ac:dyDescent="0.2">
      <c r="A83" s="486"/>
      <c r="B83" s="487"/>
      <c r="C83" s="482"/>
      <c r="D83" s="472"/>
      <c r="E83" s="488"/>
      <c r="F83" s="474"/>
    </row>
    <row r="84" spans="1:12" s="258" customFormat="1" ht="15" customHeight="1" thickBot="1" x14ac:dyDescent="0.3">
      <c r="A84" s="498" t="s">
        <v>157</v>
      </c>
      <c r="B84" s="499" t="s">
        <v>606</v>
      </c>
      <c r="C84" s="466"/>
      <c r="D84" s="467"/>
      <c r="E84" s="500"/>
      <c r="F84" s="468">
        <f>SUM(F85:F88)</f>
        <v>4870.17</v>
      </c>
      <c r="I84" s="501"/>
      <c r="J84" s="502"/>
      <c r="K84" s="502"/>
      <c r="L84" s="503"/>
    </row>
    <row r="85" spans="1:12" s="226" customFormat="1" ht="39" thickBot="1" x14ac:dyDescent="0.25">
      <c r="A85" s="469" t="s">
        <v>158</v>
      </c>
      <c r="B85" s="661" t="str">
        <f>'Planilha Global'!B27</f>
        <v>Concreto Fck = 15mpa, traço 1:3,4:3,5 (em massa seca de cimento/ areia média/ brita 1), preparo mecânico com betoneira 400 L</v>
      </c>
      <c r="C85" s="490" t="str">
        <f>F40</f>
        <v>m³</v>
      </c>
      <c r="D85" s="472">
        <f>E40</f>
        <v>3.15</v>
      </c>
      <c r="E85" s="473">
        <f>'Planilha Global'!N27</f>
        <v>553.16</v>
      </c>
      <c r="F85" s="474">
        <f>ROUND(D85,2)*ROUND(E85,2)</f>
        <v>1742.45</v>
      </c>
      <c r="H85" s="226">
        <v>410.85</v>
      </c>
    </row>
    <row r="86" spans="1:12" s="202" customFormat="1" ht="25.5" x14ac:dyDescent="0.2">
      <c r="A86" s="469" t="s">
        <v>170</v>
      </c>
      <c r="B86" s="661" t="str">
        <f>'Planilha Global'!B28</f>
        <v>Lançamento com uso de baldes, adensamento e acabamento de concreto em estruturas</v>
      </c>
      <c r="C86" s="490" t="str">
        <f>F42</f>
        <v>m³</v>
      </c>
      <c r="D86" s="472">
        <f>E42</f>
        <v>3.15</v>
      </c>
      <c r="E86" s="473">
        <f>'Planilha Global'!N28</f>
        <v>324.95</v>
      </c>
      <c r="F86" s="474">
        <f>ROUND(D86,2)*ROUND(E86,2)</f>
        <v>1023.59</v>
      </c>
      <c r="H86" s="202">
        <v>223.25</v>
      </c>
      <c r="I86" s="506"/>
      <c r="J86" s="507"/>
      <c r="K86" s="507"/>
      <c r="L86" s="508"/>
    </row>
    <row r="87" spans="1:12" s="226" customFormat="1" ht="25.5" x14ac:dyDescent="0.2">
      <c r="A87" s="469" t="s">
        <v>203</v>
      </c>
      <c r="B87" s="661" t="str">
        <f>'Planilha Global'!B29</f>
        <v>Piso podotátil de alerta ou direcional, de concreto, assentado sobre argamassa</v>
      </c>
      <c r="C87" s="490" t="str">
        <f>F44</f>
        <v>m²</v>
      </c>
      <c r="D87" s="472">
        <f>E44</f>
        <v>4.68</v>
      </c>
      <c r="E87" s="473">
        <f>'Planilha Global'!N29</f>
        <v>167.6</v>
      </c>
      <c r="F87" s="474">
        <f>ROUND(D87,2)*ROUND(E87,2)</f>
        <v>784.37</v>
      </c>
      <c r="H87" s="226">
        <v>109.78</v>
      </c>
    </row>
    <row r="88" spans="1:12" s="226" customFormat="1" ht="25.5" x14ac:dyDescent="0.2">
      <c r="A88" s="469" t="s">
        <v>181</v>
      </c>
      <c r="B88" s="661" t="str">
        <f>'Planilha Global'!B30</f>
        <v>Pintura de piso com tinta acrílica, aplicação manual, 2 demãos, incluso fundo preparador</v>
      </c>
      <c r="C88" s="490" t="str">
        <f>F46</f>
        <v>m²</v>
      </c>
      <c r="D88" s="472">
        <f>E46</f>
        <v>54</v>
      </c>
      <c r="E88" s="473">
        <f>'Planilha Global'!N30</f>
        <v>24.44</v>
      </c>
      <c r="F88" s="474">
        <f>ROUND(D88,2)*ROUND(E88,2)</f>
        <v>1319.76</v>
      </c>
      <c r="H88" s="226">
        <v>14.87</v>
      </c>
    </row>
    <row r="89" spans="1:12" s="202" customFormat="1" ht="6.75" customHeight="1" x14ac:dyDescent="0.2">
      <c r="A89" s="486"/>
      <c r="B89" s="487"/>
      <c r="C89" s="482"/>
      <c r="D89" s="472"/>
      <c r="E89" s="488"/>
      <c r="F89" s="474"/>
    </row>
    <row r="90" spans="1:12" s="258" customFormat="1" ht="15" customHeight="1" thickBot="1" x14ac:dyDescent="0.3">
      <c r="A90" s="498" t="s">
        <v>174</v>
      </c>
      <c r="B90" s="499" t="s">
        <v>706</v>
      </c>
      <c r="C90" s="466"/>
      <c r="D90" s="467"/>
      <c r="E90" s="500"/>
      <c r="F90" s="468">
        <f>SUM(F91:F92)</f>
        <v>928.9</v>
      </c>
      <c r="H90" s="501"/>
      <c r="I90" s="502"/>
      <c r="J90" s="502"/>
      <c r="K90" s="503"/>
    </row>
    <row r="91" spans="1:12" s="202" customFormat="1" ht="38.25" x14ac:dyDescent="0.2">
      <c r="A91" s="469" t="s">
        <v>175</v>
      </c>
      <c r="B91" s="661" t="str">
        <f>'Planilha Global'!B33</f>
        <v>Fornecimento e instalação de suporte de madeira para placas de sinalização, em solo, com h= de 2,0 m e seção de 7,5 x 7,5 cm</v>
      </c>
      <c r="C91" s="490" t="str">
        <f>F49</f>
        <v>unid</v>
      </c>
      <c r="D91" s="472">
        <f>E49</f>
        <v>2</v>
      </c>
      <c r="E91" s="473">
        <f>'Planilha Global'!N33</f>
        <v>120.58</v>
      </c>
      <c r="F91" s="474">
        <f t="shared" ref="F91:F92" si="1">ROUND(D91*E91,2)</f>
        <v>241.16</v>
      </c>
      <c r="H91" s="665"/>
    </row>
    <row r="92" spans="1:12" s="226" customFormat="1" ht="38.25" x14ac:dyDescent="0.2">
      <c r="A92" s="469" t="s">
        <v>246</v>
      </c>
      <c r="B92" s="661" t="str">
        <f>'Planilha Global'!B34</f>
        <v>Placa de advertência em aço, lado de 0,60 m - película retrorrefletiva tipo I + SI - fornecimento e implantação</v>
      </c>
      <c r="C92" s="490" t="str">
        <f>F51</f>
        <v>unid</v>
      </c>
      <c r="D92" s="472">
        <f>E51</f>
        <v>2</v>
      </c>
      <c r="E92" s="473">
        <f>'Planilha Global'!N34</f>
        <v>343.87</v>
      </c>
      <c r="F92" s="505">
        <f t="shared" si="1"/>
        <v>687.74</v>
      </c>
      <c r="H92" s="226">
        <v>349.41</v>
      </c>
    </row>
    <row r="93" spans="1:12" s="202" customFormat="1" ht="6.75" customHeight="1" x14ac:dyDescent="0.2">
      <c r="A93" s="509"/>
      <c r="B93" s="41"/>
      <c r="C93" s="482"/>
      <c r="D93" s="472"/>
      <c r="E93" s="510"/>
      <c r="F93" s="474"/>
      <c r="H93" s="511"/>
      <c r="K93" s="512"/>
    </row>
    <row r="94" spans="1:12" s="258" customFormat="1" ht="15" customHeight="1" thickBot="1" x14ac:dyDescent="0.3">
      <c r="A94" s="498" t="s">
        <v>254</v>
      </c>
      <c r="B94" s="499" t="s">
        <v>849</v>
      </c>
      <c r="C94" s="466"/>
      <c r="D94" s="467"/>
      <c r="E94" s="500"/>
      <c r="F94" s="468">
        <f>SUM(F95:F97)</f>
        <v>429.71</v>
      </c>
      <c r="H94" s="501"/>
      <c r="I94" s="502"/>
      <c r="J94" s="502"/>
      <c r="K94" s="503"/>
    </row>
    <row r="95" spans="1:12" s="202" customFormat="1" ht="26.25" thickBot="1" x14ac:dyDescent="0.25">
      <c r="A95" s="469" t="s">
        <v>255</v>
      </c>
      <c r="B95" s="661" t="str">
        <f>'Planilha Global'!B37</f>
        <v>Pintura de meio-fio com tinta branca a base de cal (caiação)</v>
      </c>
      <c r="C95" s="490" t="str">
        <f>F54</f>
        <v>m²</v>
      </c>
      <c r="D95" s="472">
        <f>E54</f>
        <v>72.02</v>
      </c>
      <c r="E95" s="473">
        <f>'Planilha Global'!N37</f>
        <v>1.78</v>
      </c>
      <c r="F95" s="474">
        <f>ROUND(D95,2)*ROUND(E95,2)</f>
        <v>128.19999999999999</v>
      </c>
      <c r="H95" s="506"/>
      <c r="I95" s="507"/>
      <c r="J95" s="507"/>
      <c r="K95" s="508"/>
    </row>
    <row r="96" spans="1:12" s="202" customFormat="1" ht="25.5" x14ac:dyDescent="0.2">
      <c r="A96" s="469" t="s">
        <v>853</v>
      </c>
      <c r="B96" s="661" t="str">
        <f>'Planilha Global'!B38</f>
        <v>Placa esmaltada para identificação de nome de rua, dimensões 45x20cm</v>
      </c>
      <c r="C96" s="490" t="str">
        <f>F56</f>
        <v>unid</v>
      </c>
      <c r="D96" s="472">
        <f>E56</f>
        <v>1</v>
      </c>
      <c r="E96" s="473">
        <f>'Planilha Global'!N38</f>
        <v>180.93</v>
      </c>
      <c r="F96" s="474">
        <f>ROUND(D96,2)*ROUND(E96,2)</f>
        <v>180.93</v>
      </c>
      <c r="H96" s="506"/>
      <c r="I96" s="507"/>
      <c r="J96" s="507"/>
      <c r="K96" s="508"/>
    </row>
    <row r="97" spans="1:11" s="202" customFormat="1" ht="38.25" x14ac:dyDescent="0.2">
      <c r="A97" s="469" t="s">
        <v>882</v>
      </c>
      <c r="B97" s="661" t="str">
        <f>'Planilha Global'!B39</f>
        <v>Fornecimento e instalação de suporte de madeira para placas de identificação de rua, em solo, com h= de 2,0 m e seção de 7,5 x 7,5 cm</v>
      </c>
      <c r="C97" s="490" t="str">
        <f>F58</f>
        <v>unid</v>
      </c>
      <c r="D97" s="472">
        <f>E58</f>
        <v>1</v>
      </c>
      <c r="E97" s="473">
        <f>'Planilha Global'!N39</f>
        <v>120.58</v>
      </c>
      <c r="F97" s="474">
        <f t="shared" ref="F97" si="2">ROUND(D97*E97,2)</f>
        <v>120.58</v>
      </c>
      <c r="H97" s="665"/>
    </row>
    <row r="98" spans="1:11" s="202" customFormat="1" ht="6.75" customHeight="1" x14ac:dyDescent="0.2">
      <c r="A98" s="509"/>
      <c r="B98" s="41"/>
      <c r="C98" s="482"/>
      <c r="D98" s="472"/>
      <c r="E98" s="510"/>
      <c r="F98" s="474"/>
      <c r="H98" s="511"/>
      <c r="K98" s="512"/>
    </row>
    <row r="99" spans="1:11" s="202" customFormat="1" ht="12.75" customHeight="1" x14ac:dyDescent="0.2">
      <c r="A99" s="727" t="s">
        <v>440</v>
      </c>
      <c r="B99" s="728"/>
      <c r="C99" s="728"/>
      <c r="D99" s="728"/>
      <c r="E99" s="728"/>
      <c r="F99" s="543">
        <f>F68+F71+F74+F79+F84+F90+F94</f>
        <v>115755.19</v>
      </c>
    </row>
    <row r="100" spans="1:11" s="202" customFormat="1" ht="5.25" customHeight="1" x14ac:dyDescent="0.2">
      <c r="B100" s="256"/>
      <c r="C100" s="281"/>
      <c r="E100" s="281"/>
    </row>
    <row r="101" spans="1:11" s="202" customFormat="1" ht="12.75" customHeight="1" x14ac:dyDescent="0.2">
      <c r="A101" s="64" t="s">
        <v>1052</v>
      </c>
      <c r="B101" s="256"/>
      <c r="C101" s="281"/>
      <c r="E101" s="281"/>
      <c r="F101" s="513"/>
      <c r="G101" s="202">
        <f>175162.63/D76</f>
        <v>271.006946808181</v>
      </c>
    </row>
    <row r="102" spans="1:11" s="202" customFormat="1" ht="12.75" customHeight="1" x14ac:dyDescent="0.2">
      <c r="A102" s="64" t="str">
        <f>'Composição Custos Unit'!G37</f>
        <v>Referência: SINAPI PB Fevereiro/25; DER PB Jan-Mar/25</v>
      </c>
      <c r="B102" s="256"/>
      <c r="C102" s="636" t="str">
        <f>'Planilha Global'!A43</f>
        <v>BDI: 28,99%</v>
      </c>
      <c r="E102" s="281"/>
    </row>
    <row r="103" spans="1:11" s="202" customFormat="1" ht="12.75" customHeight="1" x14ac:dyDescent="0.2">
      <c r="E103" s="281"/>
      <c r="F103" s="247"/>
    </row>
    <row r="104" spans="1:11" ht="12.75" customHeight="1" x14ac:dyDescent="0.2">
      <c r="G104">
        <f>F99/D69</f>
        <v>903.208411360799</v>
      </c>
    </row>
    <row r="105" spans="1:11" ht="12.75" customHeight="1" x14ac:dyDescent="0.2">
      <c r="F105" s="514">
        <f>F99/D72</f>
        <v>179.09</v>
      </c>
    </row>
    <row r="107" spans="1:11" x14ac:dyDescent="0.2">
      <c r="F107" s="514">
        <f>'Maria Livramento - T1'!F106+'Maria Livramento - T2'!F108+'Fábio Vaz - T1'!F114+'Fábio Vaz - T2'!F99</f>
        <v>483833.61</v>
      </c>
    </row>
  </sheetData>
  <mergeCells count="39">
    <mergeCell ref="A19:B19"/>
    <mergeCell ref="C18:F18"/>
    <mergeCell ref="A4:F4"/>
    <mergeCell ref="C8:F8"/>
    <mergeCell ref="C9:F9"/>
    <mergeCell ref="C10:F10"/>
    <mergeCell ref="C13:F13"/>
    <mergeCell ref="C14:F14"/>
    <mergeCell ref="B42:D42"/>
    <mergeCell ref="A25:B25"/>
    <mergeCell ref="B20:D20"/>
    <mergeCell ref="B26:D26"/>
    <mergeCell ref="B28:D28"/>
    <mergeCell ref="B30:D30"/>
    <mergeCell ref="A32:B32"/>
    <mergeCell ref="B33:D33"/>
    <mergeCell ref="B35:D35"/>
    <mergeCell ref="B37:D37"/>
    <mergeCell ref="A39:B39"/>
    <mergeCell ref="B40:D40"/>
    <mergeCell ref="A22:B22"/>
    <mergeCell ref="B23:D23"/>
    <mergeCell ref="B44:D44"/>
    <mergeCell ref="B46:D46"/>
    <mergeCell ref="A48:B48"/>
    <mergeCell ref="B56:D56"/>
    <mergeCell ref="A53:B53"/>
    <mergeCell ref="A99:E99"/>
    <mergeCell ref="B49:D49"/>
    <mergeCell ref="B51:D51"/>
    <mergeCell ref="B54:D54"/>
    <mergeCell ref="A63:F63"/>
    <mergeCell ref="A64:F64"/>
    <mergeCell ref="A66:A67"/>
    <mergeCell ref="B66:B67"/>
    <mergeCell ref="C66:C67"/>
    <mergeCell ref="D66:D67"/>
    <mergeCell ref="E66:F66"/>
    <mergeCell ref="B58:D58"/>
  </mergeCells>
  <printOptions horizontalCentered="1"/>
  <pageMargins left="0.51181102362204722" right="0.51181102362204722" top="0.39370078740157483" bottom="0.59055118110236227" header="0.31496062992125984" footer="0.31496062992125984"/>
  <pageSetup paperSize="9" scale="91" orientation="portrait" r:id="rId1"/>
  <rowBreaks count="1" manualBreakCount="1">
    <brk id="59" max="5" man="1"/>
  </rowBreaks>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4F0BD1-CCDE-4C3A-A3E5-435FFB3476DE}">
  <dimension ref="A1:S101"/>
  <sheetViews>
    <sheetView view="pageBreakPreview" zoomScale="110" zoomScaleNormal="100" zoomScaleSheetLayoutView="110" workbookViewId="0">
      <selection activeCell="O28" activeCellId="1" sqref="R15 O28"/>
    </sheetView>
  </sheetViews>
  <sheetFormatPr defaultRowHeight="12.75" x14ac:dyDescent="0.2"/>
  <cols>
    <col min="1" max="1" width="4.7109375" customWidth="1"/>
    <col min="2" max="2" width="45" customWidth="1"/>
    <col min="3" max="3" width="8.42578125" customWidth="1"/>
    <col min="4" max="4" width="14.28515625" customWidth="1"/>
    <col min="5" max="5" width="9.28515625" bestFit="1" customWidth="1"/>
    <col min="6" max="6" width="12.140625" customWidth="1"/>
    <col min="7" max="7" width="14.42578125" customWidth="1"/>
    <col min="8" max="8" width="12.5703125" customWidth="1"/>
    <col min="9" max="9" width="17.7109375" customWidth="1"/>
    <col min="257" max="257" width="4.7109375" customWidth="1"/>
    <col min="258" max="258" width="45" customWidth="1"/>
    <col min="259" max="259" width="8.42578125" customWidth="1"/>
    <col min="260" max="260" width="14.28515625" customWidth="1"/>
    <col min="261" max="261" width="9.28515625" bestFit="1" customWidth="1"/>
    <col min="262" max="262" width="12.140625" customWidth="1"/>
    <col min="263" max="263" width="14.42578125" customWidth="1"/>
    <col min="264" max="264" width="12.5703125" customWidth="1"/>
    <col min="265" max="265" width="17.7109375" customWidth="1"/>
    <col min="513" max="513" width="4.7109375" customWidth="1"/>
    <col min="514" max="514" width="45" customWidth="1"/>
    <col min="515" max="515" width="8.42578125" customWidth="1"/>
    <col min="516" max="516" width="14.28515625" customWidth="1"/>
    <col min="517" max="517" width="9.28515625" bestFit="1" customWidth="1"/>
    <col min="518" max="518" width="12.140625" customWidth="1"/>
    <col min="519" max="519" width="14.42578125" customWidth="1"/>
    <col min="520" max="520" width="12.5703125" customWidth="1"/>
    <col min="521" max="521" width="17.7109375" customWidth="1"/>
    <col min="769" max="769" width="4.7109375" customWidth="1"/>
    <col min="770" max="770" width="45" customWidth="1"/>
    <col min="771" max="771" width="8.42578125" customWidth="1"/>
    <col min="772" max="772" width="14.28515625" customWidth="1"/>
    <col min="773" max="773" width="9.28515625" bestFit="1" customWidth="1"/>
    <col min="774" max="774" width="12.140625" customWidth="1"/>
    <col min="775" max="775" width="14.42578125" customWidth="1"/>
    <col min="776" max="776" width="12.5703125" customWidth="1"/>
    <col min="777" max="777" width="17.7109375" customWidth="1"/>
    <col min="1025" max="1025" width="4.7109375" customWidth="1"/>
    <col min="1026" max="1026" width="45" customWidth="1"/>
    <col min="1027" max="1027" width="8.42578125" customWidth="1"/>
    <col min="1028" max="1028" width="14.28515625" customWidth="1"/>
    <col min="1029" max="1029" width="9.28515625" bestFit="1" customWidth="1"/>
    <col min="1030" max="1030" width="12.140625" customWidth="1"/>
    <col min="1031" max="1031" width="14.42578125" customWidth="1"/>
    <col min="1032" max="1032" width="12.5703125" customWidth="1"/>
    <col min="1033" max="1033" width="17.7109375" customWidth="1"/>
    <col min="1281" max="1281" width="4.7109375" customWidth="1"/>
    <col min="1282" max="1282" width="45" customWidth="1"/>
    <col min="1283" max="1283" width="8.42578125" customWidth="1"/>
    <col min="1284" max="1284" width="14.28515625" customWidth="1"/>
    <col min="1285" max="1285" width="9.28515625" bestFit="1" customWidth="1"/>
    <col min="1286" max="1286" width="12.140625" customWidth="1"/>
    <col min="1287" max="1287" width="14.42578125" customWidth="1"/>
    <col min="1288" max="1288" width="12.5703125" customWidth="1"/>
    <col min="1289" max="1289" width="17.7109375" customWidth="1"/>
    <col min="1537" max="1537" width="4.7109375" customWidth="1"/>
    <col min="1538" max="1538" width="45" customWidth="1"/>
    <col min="1539" max="1539" width="8.42578125" customWidth="1"/>
    <col min="1540" max="1540" width="14.28515625" customWidth="1"/>
    <col min="1541" max="1541" width="9.28515625" bestFit="1" customWidth="1"/>
    <col min="1542" max="1542" width="12.140625" customWidth="1"/>
    <col min="1543" max="1543" width="14.42578125" customWidth="1"/>
    <col min="1544" max="1544" width="12.5703125" customWidth="1"/>
    <col min="1545" max="1545" width="17.7109375" customWidth="1"/>
    <col min="1793" max="1793" width="4.7109375" customWidth="1"/>
    <col min="1794" max="1794" width="45" customWidth="1"/>
    <col min="1795" max="1795" width="8.42578125" customWidth="1"/>
    <col min="1796" max="1796" width="14.28515625" customWidth="1"/>
    <col min="1797" max="1797" width="9.28515625" bestFit="1" customWidth="1"/>
    <col min="1798" max="1798" width="12.140625" customWidth="1"/>
    <col min="1799" max="1799" width="14.42578125" customWidth="1"/>
    <col min="1800" max="1800" width="12.5703125" customWidth="1"/>
    <col min="1801" max="1801" width="17.7109375" customWidth="1"/>
    <col min="2049" max="2049" width="4.7109375" customWidth="1"/>
    <col min="2050" max="2050" width="45" customWidth="1"/>
    <col min="2051" max="2051" width="8.42578125" customWidth="1"/>
    <col min="2052" max="2052" width="14.28515625" customWidth="1"/>
    <col min="2053" max="2053" width="9.28515625" bestFit="1" customWidth="1"/>
    <col min="2054" max="2054" width="12.140625" customWidth="1"/>
    <col min="2055" max="2055" width="14.42578125" customWidth="1"/>
    <col min="2056" max="2056" width="12.5703125" customWidth="1"/>
    <col min="2057" max="2057" width="17.7109375" customWidth="1"/>
    <col min="2305" max="2305" width="4.7109375" customWidth="1"/>
    <col min="2306" max="2306" width="45" customWidth="1"/>
    <col min="2307" max="2307" width="8.42578125" customWidth="1"/>
    <col min="2308" max="2308" width="14.28515625" customWidth="1"/>
    <col min="2309" max="2309" width="9.28515625" bestFit="1" customWidth="1"/>
    <col min="2310" max="2310" width="12.140625" customWidth="1"/>
    <col min="2311" max="2311" width="14.42578125" customWidth="1"/>
    <col min="2312" max="2312" width="12.5703125" customWidth="1"/>
    <col min="2313" max="2313" width="17.7109375" customWidth="1"/>
    <col min="2561" max="2561" width="4.7109375" customWidth="1"/>
    <col min="2562" max="2562" width="45" customWidth="1"/>
    <col min="2563" max="2563" width="8.42578125" customWidth="1"/>
    <col min="2564" max="2564" width="14.28515625" customWidth="1"/>
    <col min="2565" max="2565" width="9.28515625" bestFit="1" customWidth="1"/>
    <col min="2566" max="2566" width="12.140625" customWidth="1"/>
    <col min="2567" max="2567" width="14.42578125" customWidth="1"/>
    <col min="2568" max="2568" width="12.5703125" customWidth="1"/>
    <col min="2569" max="2569" width="17.7109375" customWidth="1"/>
    <col min="2817" max="2817" width="4.7109375" customWidth="1"/>
    <col min="2818" max="2818" width="45" customWidth="1"/>
    <col min="2819" max="2819" width="8.42578125" customWidth="1"/>
    <col min="2820" max="2820" width="14.28515625" customWidth="1"/>
    <col min="2821" max="2821" width="9.28515625" bestFit="1" customWidth="1"/>
    <col min="2822" max="2822" width="12.140625" customWidth="1"/>
    <col min="2823" max="2823" width="14.42578125" customWidth="1"/>
    <col min="2824" max="2824" width="12.5703125" customWidth="1"/>
    <col min="2825" max="2825" width="17.7109375" customWidth="1"/>
    <col min="3073" max="3073" width="4.7109375" customWidth="1"/>
    <col min="3074" max="3074" width="45" customWidth="1"/>
    <col min="3075" max="3075" width="8.42578125" customWidth="1"/>
    <col min="3076" max="3076" width="14.28515625" customWidth="1"/>
    <col min="3077" max="3077" width="9.28515625" bestFit="1" customWidth="1"/>
    <col min="3078" max="3078" width="12.140625" customWidth="1"/>
    <col min="3079" max="3079" width="14.42578125" customWidth="1"/>
    <col min="3080" max="3080" width="12.5703125" customWidth="1"/>
    <col min="3081" max="3081" width="17.7109375" customWidth="1"/>
    <col min="3329" max="3329" width="4.7109375" customWidth="1"/>
    <col min="3330" max="3330" width="45" customWidth="1"/>
    <col min="3331" max="3331" width="8.42578125" customWidth="1"/>
    <col min="3332" max="3332" width="14.28515625" customWidth="1"/>
    <col min="3333" max="3333" width="9.28515625" bestFit="1" customWidth="1"/>
    <col min="3334" max="3334" width="12.140625" customWidth="1"/>
    <col min="3335" max="3335" width="14.42578125" customWidth="1"/>
    <col min="3336" max="3336" width="12.5703125" customWidth="1"/>
    <col min="3337" max="3337" width="17.7109375" customWidth="1"/>
    <col min="3585" max="3585" width="4.7109375" customWidth="1"/>
    <col min="3586" max="3586" width="45" customWidth="1"/>
    <col min="3587" max="3587" width="8.42578125" customWidth="1"/>
    <col min="3588" max="3588" width="14.28515625" customWidth="1"/>
    <col min="3589" max="3589" width="9.28515625" bestFit="1" customWidth="1"/>
    <col min="3590" max="3590" width="12.140625" customWidth="1"/>
    <col min="3591" max="3591" width="14.42578125" customWidth="1"/>
    <col min="3592" max="3592" width="12.5703125" customWidth="1"/>
    <col min="3593" max="3593" width="17.7109375" customWidth="1"/>
    <col min="3841" max="3841" width="4.7109375" customWidth="1"/>
    <col min="3842" max="3842" width="45" customWidth="1"/>
    <col min="3843" max="3843" width="8.42578125" customWidth="1"/>
    <col min="3844" max="3844" width="14.28515625" customWidth="1"/>
    <col min="3845" max="3845" width="9.28515625" bestFit="1" customWidth="1"/>
    <col min="3846" max="3846" width="12.140625" customWidth="1"/>
    <col min="3847" max="3847" width="14.42578125" customWidth="1"/>
    <col min="3848" max="3848" width="12.5703125" customWidth="1"/>
    <col min="3849" max="3849" width="17.7109375" customWidth="1"/>
    <col min="4097" max="4097" width="4.7109375" customWidth="1"/>
    <col min="4098" max="4098" width="45" customWidth="1"/>
    <col min="4099" max="4099" width="8.42578125" customWidth="1"/>
    <col min="4100" max="4100" width="14.28515625" customWidth="1"/>
    <col min="4101" max="4101" width="9.28515625" bestFit="1" customWidth="1"/>
    <col min="4102" max="4102" width="12.140625" customWidth="1"/>
    <col min="4103" max="4103" width="14.42578125" customWidth="1"/>
    <col min="4104" max="4104" width="12.5703125" customWidth="1"/>
    <col min="4105" max="4105" width="17.7109375" customWidth="1"/>
    <col min="4353" max="4353" width="4.7109375" customWidth="1"/>
    <col min="4354" max="4354" width="45" customWidth="1"/>
    <col min="4355" max="4355" width="8.42578125" customWidth="1"/>
    <col min="4356" max="4356" width="14.28515625" customWidth="1"/>
    <col min="4357" max="4357" width="9.28515625" bestFit="1" customWidth="1"/>
    <col min="4358" max="4358" width="12.140625" customWidth="1"/>
    <col min="4359" max="4359" width="14.42578125" customWidth="1"/>
    <col min="4360" max="4360" width="12.5703125" customWidth="1"/>
    <col min="4361" max="4361" width="17.7109375" customWidth="1"/>
    <col min="4609" max="4609" width="4.7109375" customWidth="1"/>
    <col min="4610" max="4610" width="45" customWidth="1"/>
    <col min="4611" max="4611" width="8.42578125" customWidth="1"/>
    <col min="4612" max="4612" width="14.28515625" customWidth="1"/>
    <col min="4613" max="4613" width="9.28515625" bestFit="1" customWidth="1"/>
    <col min="4614" max="4614" width="12.140625" customWidth="1"/>
    <col min="4615" max="4615" width="14.42578125" customWidth="1"/>
    <col min="4616" max="4616" width="12.5703125" customWidth="1"/>
    <col min="4617" max="4617" width="17.7109375" customWidth="1"/>
    <col min="4865" max="4865" width="4.7109375" customWidth="1"/>
    <col min="4866" max="4866" width="45" customWidth="1"/>
    <col min="4867" max="4867" width="8.42578125" customWidth="1"/>
    <col min="4868" max="4868" width="14.28515625" customWidth="1"/>
    <col min="4869" max="4869" width="9.28515625" bestFit="1" customWidth="1"/>
    <col min="4870" max="4870" width="12.140625" customWidth="1"/>
    <col min="4871" max="4871" width="14.42578125" customWidth="1"/>
    <col min="4872" max="4872" width="12.5703125" customWidth="1"/>
    <col min="4873" max="4873" width="17.7109375" customWidth="1"/>
    <col min="5121" max="5121" width="4.7109375" customWidth="1"/>
    <col min="5122" max="5122" width="45" customWidth="1"/>
    <col min="5123" max="5123" width="8.42578125" customWidth="1"/>
    <col min="5124" max="5124" width="14.28515625" customWidth="1"/>
    <col min="5125" max="5125" width="9.28515625" bestFit="1" customWidth="1"/>
    <col min="5126" max="5126" width="12.140625" customWidth="1"/>
    <col min="5127" max="5127" width="14.42578125" customWidth="1"/>
    <col min="5128" max="5128" width="12.5703125" customWidth="1"/>
    <col min="5129" max="5129" width="17.7109375" customWidth="1"/>
    <col min="5377" max="5377" width="4.7109375" customWidth="1"/>
    <col min="5378" max="5378" width="45" customWidth="1"/>
    <col min="5379" max="5379" width="8.42578125" customWidth="1"/>
    <col min="5380" max="5380" width="14.28515625" customWidth="1"/>
    <col min="5381" max="5381" width="9.28515625" bestFit="1" customWidth="1"/>
    <col min="5382" max="5382" width="12.140625" customWidth="1"/>
    <col min="5383" max="5383" width="14.42578125" customWidth="1"/>
    <col min="5384" max="5384" width="12.5703125" customWidth="1"/>
    <col min="5385" max="5385" width="17.7109375" customWidth="1"/>
    <col min="5633" max="5633" width="4.7109375" customWidth="1"/>
    <col min="5634" max="5634" width="45" customWidth="1"/>
    <col min="5635" max="5635" width="8.42578125" customWidth="1"/>
    <col min="5636" max="5636" width="14.28515625" customWidth="1"/>
    <col min="5637" max="5637" width="9.28515625" bestFit="1" customWidth="1"/>
    <col min="5638" max="5638" width="12.140625" customWidth="1"/>
    <col min="5639" max="5639" width="14.42578125" customWidth="1"/>
    <col min="5640" max="5640" width="12.5703125" customWidth="1"/>
    <col min="5641" max="5641" width="17.7109375" customWidth="1"/>
    <col min="5889" max="5889" width="4.7109375" customWidth="1"/>
    <col min="5890" max="5890" width="45" customWidth="1"/>
    <col min="5891" max="5891" width="8.42578125" customWidth="1"/>
    <col min="5892" max="5892" width="14.28515625" customWidth="1"/>
    <col min="5893" max="5893" width="9.28515625" bestFit="1" customWidth="1"/>
    <col min="5894" max="5894" width="12.140625" customWidth="1"/>
    <col min="5895" max="5895" width="14.42578125" customWidth="1"/>
    <col min="5896" max="5896" width="12.5703125" customWidth="1"/>
    <col min="5897" max="5897" width="17.7109375" customWidth="1"/>
    <col min="6145" max="6145" width="4.7109375" customWidth="1"/>
    <col min="6146" max="6146" width="45" customWidth="1"/>
    <col min="6147" max="6147" width="8.42578125" customWidth="1"/>
    <col min="6148" max="6148" width="14.28515625" customWidth="1"/>
    <col min="6149" max="6149" width="9.28515625" bestFit="1" customWidth="1"/>
    <col min="6150" max="6150" width="12.140625" customWidth="1"/>
    <col min="6151" max="6151" width="14.42578125" customWidth="1"/>
    <col min="6152" max="6152" width="12.5703125" customWidth="1"/>
    <col min="6153" max="6153" width="17.7109375" customWidth="1"/>
    <col min="6401" max="6401" width="4.7109375" customWidth="1"/>
    <col min="6402" max="6402" width="45" customWidth="1"/>
    <col min="6403" max="6403" width="8.42578125" customWidth="1"/>
    <col min="6404" max="6404" width="14.28515625" customWidth="1"/>
    <col min="6405" max="6405" width="9.28515625" bestFit="1" customWidth="1"/>
    <col min="6406" max="6406" width="12.140625" customWidth="1"/>
    <col min="6407" max="6407" width="14.42578125" customWidth="1"/>
    <col min="6408" max="6408" width="12.5703125" customWidth="1"/>
    <col min="6409" max="6409" width="17.7109375" customWidth="1"/>
    <col min="6657" max="6657" width="4.7109375" customWidth="1"/>
    <col min="6658" max="6658" width="45" customWidth="1"/>
    <col min="6659" max="6659" width="8.42578125" customWidth="1"/>
    <col min="6660" max="6660" width="14.28515625" customWidth="1"/>
    <col min="6661" max="6661" width="9.28515625" bestFit="1" customWidth="1"/>
    <col min="6662" max="6662" width="12.140625" customWidth="1"/>
    <col min="6663" max="6663" width="14.42578125" customWidth="1"/>
    <col min="6664" max="6664" width="12.5703125" customWidth="1"/>
    <col min="6665" max="6665" width="17.7109375" customWidth="1"/>
    <col min="6913" max="6913" width="4.7109375" customWidth="1"/>
    <col min="6914" max="6914" width="45" customWidth="1"/>
    <col min="6915" max="6915" width="8.42578125" customWidth="1"/>
    <col min="6916" max="6916" width="14.28515625" customWidth="1"/>
    <col min="6917" max="6917" width="9.28515625" bestFit="1" customWidth="1"/>
    <col min="6918" max="6918" width="12.140625" customWidth="1"/>
    <col min="6919" max="6919" width="14.42578125" customWidth="1"/>
    <col min="6920" max="6920" width="12.5703125" customWidth="1"/>
    <col min="6921" max="6921" width="17.7109375" customWidth="1"/>
    <col min="7169" max="7169" width="4.7109375" customWidth="1"/>
    <col min="7170" max="7170" width="45" customWidth="1"/>
    <col min="7171" max="7171" width="8.42578125" customWidth="1"/>
    <col min="7172" max="7172" width="14.28515625" customWidth="1"/>
    <col min="7173" max="7173" width="9.28515625" bestFit="1" customWidth="1"/>
    <col min="7174" max="7174" width="12.140625" customWidth="1"/>
    <col min="7175" max="7175" width="14.42578125" customWidth="1"/>
    <col min="7176" max="7176" width="12.5703125" customWidth="1"/>
    <col min="7177" max="7177" width="17.7109375" customWidth="1"/>
    <col min="7425" max="7425" width="4.7109375" customWidth="1"/>
    <col min="7426" max="7426" width="45" customWidth="1"/>
    <col min="7427" max="7427" width="8.42578125" customWidth="1"/>
    <col min="7428" max="7428" width="14.28515625" customWidth="1"/>
    <col min="7429" max="7429" width="9.28515625" bestFit="1" customWidth="1"/>
    <col min="7430" max="7430" width="12.140625" customWidth="1"/>
    <col min="7431" max="7431" width="14.42578125" customWidth="1"/>
    <col min="7432" max="7432" width="12.5703125" customWidth="1"/>
    <col min="7433" max="7433" width="17.7109375" customWidth="1"/>
    <col min="7681" max="7681" width="4.7109375" customWidth="1"/>
    <col min="7682" max="7682" width="45" customWidth="1"/>
    <col min="7683" max="7683" width="8.42578125" customWidth="1"/>
    <col min="7684" max="7684" width="14.28515625" customWidth="1"/>
    <col min="7685" max="7685" width="9.28515625" bestFit="1" customWidth="1"/>
    <col min="7686" max="7686" width="12.140625" customWidth="1"/>
    <col min="7687" max="7687" width="14.42578125" customWidth="1"/>
    <col min="7688" max="7688" width="12.5703125" customWidth="1"/>
    <col min="7689" max="7689" width="17.7109375" customWidth="1"/>
    <col min="7937" max="7937" width="4.7109375" customWidth="1"/>
    <col min="7938" max="7938" width="45" customWidth="1"/>
    <col min="7939" max="7939" width="8.42578125" customWidth="1"/>
    <col min="7940" max="7940" width="14.28515625" customWidth="1"/>
    <col min="7941" max="7941" width="9.28515625" bestFit="1" customWidth="1"/>
    <col min="7942" max="7942" width="12.140625" customWidth="1"/>
    <col min="7943" max="7943" width="14.42578125" customWidth="1"/>
    <col min="7944" max="7944" width="12.5703125" customWidth="1"/>
    <col min="7945" max="7945" width="17.7109375" customWidth="1"/>
    <col min="8193" max="8193" width="4.7109375" customWidth="1"/>
    <col min="8194" max="8194" width="45" customWidth="1"/>
    <col min="8195" max="8195" width="8.42578125" customWidth="1"/>
    <col min="8196" max="8196" width="14.28515625" customWidth="1"/>
    <col min="8197" max="8197" width="9.28515625" bestFit="1" customWidth="1"/>
    <col min="8198" max="8198" width="12.140625" customWidth="1"/>
    <col min="8199" max="8199" width="14.42578125" customWidth="1"/>
    <col min="8200" max="8200" width="12.5703125" customWidth="1"/>
    <col min="8201" max="8201" width="17.7109375" customWidth="1"/>
    <col min="8449" max="8449" width="4.7109375" customWidth="1"/>
    <col min="8450" max="8450" width="45" customWidth="1"/>
    <col min="8451" max="8451" width="8.42578125" customWidth="1"/>
    <col min="8452" max="8452" width="14.28515625" customWidth="1"/>
    <col min="8453" max="8453" width="9.28515625" bestFit="1" customWidth="1"/>
    <col min="8454" max="8454" width="12.140625" customWidth="1"/>
    <col min="8455" max="8455" width="14.42578125" customWidth="1"/>
    <col min="8456" max="8456" width="12.5703125" customWidth="1"/>
    <col min="8457" max="8457" width="17.7109375" customWidth="1"/>
    <col min="8705" max="8705" width="4.7109375" customWidth="1"/>
    <col min="8706" max="8706" width="45" customWidth="1"/>
    <col min="8707" max="8707" width="8.42578125" customWidth="1"/>
    <col min="8708" max="8708" width="14.28515625" customWidth="1"/>
    <col min="8709" max="8709" width="9.28515625" bestFit="1" customWidth="1"/>
    <col min="8710" max="8710" width="12.140625" customWidth="1"/>
    <col min="8711" max="8711" width="14.42578125" customWidth="1"/>
    <col min="8712" max="8712" width="12.5703125" customWidth="1"/>
    <col min="8713" max="8713" width="17.7109375" customWidth="1"/>
    <col min="8961" max="8961" width="4.7109375" customWidth="1"/>
    <col min="8962" max="8962" width="45" customWidth="1"/>
    <col min="8963" max="8963" width="8.42578125" customWidth="1"/>
    <col min="8964" max="8964" width="14.28515625" customWidth="1"/>
    <col min="8965" max="8965" width="9.28515625" bestFit="1" customWidth="1"/>
    <col min="8966" max="8966" width="12.140625" customWidth="1"/>
    <col min="8967" max="8967" width="14.42578125" customWidth="1"/>
    <col min="8968" max="8968" width="12.5703125" customWidth="1"/>
    <col min="8969" max="8969" width="17.7109375" customWidth="1"/>
    <col min="9217" max="9217" width="4.7109375" customWidth="1"/>
    <col min="9218" max="9218" width="45" customWidth="1"/>
    <col min="9219" max="9219" width="8.42578125" customWidth="1"/>
    <col min="9220" max="9220" width="14.28515625" customWidth="1"/>
    <col min="9221" max="9221" width="9.28515625" bestFit="1" customWidth="1"/>
    <col min="9222" max="9222" width="12.140625" customWidth="1"/>
    <col min="9223" max="9223" width="14.42578125" customWidth="1"/>
    <col min="9224" max="9224" width="12.5703125" customWidth="1"/>
    <col min="9225" max="9225" width="17.7109375" customWidth="1"/>
    <col min="9473" max="9473" width="4.7109375" customWidth="1"/>
    <col min="9474" max="9474" width="45" customWidth="1"/>
    <col min="9475" max="9475" width="8.42578125" customWidth="1"/>
    <col min="9476" max="9476" width="14.28515625" customWidth="1"/>
    <col min="9477" max="9477" width="9.28515625" bestFit="1" customWidth="1"/>
    <col min="9478" max="9478" width="12.140625" customWidth="1"/>
    <col min="9479" max="9479" width="14.42578125" customWidth="1"/>
    <col min="9480" max="9480" width="12.5703125" customWidth="1"/>
    <col min="9481" max="9481" width="17.7109375" customWidth="1"/>
    <col min="9729" max="9729" width="4.7109375" customWidth="1"/>
    <col min="9730" max="9730" width="45" customWidth="1"/>
    <col min="9731" max="9731" width="8.42578125" customWidth="1"/>
    <col min="9732" max="9732" width="14.28515625" customWidth="1"/>
    <col min="9733" max="9733" width="9.28515625" bestFit="1" customWidth="1"/>
    <col min="9734" max="9734" width="12.140625" customWidth="1"/>
    <col min="9735" max="9735" width="14.42578125" customWidth="1"/>
    <col min="9736" max="9736" width="12.5703125" customWidth="1"/>
    <col min="9737" max="9737" width="17.7109375" customWidth="1"/>
    <col min="9985" max="9985" width="4.7109375" customWidth="1"/>
    <col min="9986" max="9986" width="45" customWidth="1"/>
    <col min="9987" max="9987" width="8.42578125" customWidth="1"/>
    <col min="9988" max="9988" width="14.28515625" customWidth="1"/>
    <col min="9989" max="9989" width="9.28515625" bestFit="1" customWidth="1"/>
    <col min="9990" max="9990" width="12.140625" customWidth="1"/>
    <col min="9991" max="9991" width="14.42578125" customWidth="1"/>
    <col min="9992" max="9992" width="12.5703125" customWidth="1"/>
    <col min="9993" max="9993" width="17.7109375" customWidth="1"/>
    <col min="10241" max="10241" width="4.7109375" customWidth="1"/>
    <col min="10242" max="10242" width="45" customWidth="1"/>
    <col min="10243" max="10243" width="8.42578125" customWidth="1"/>
    <col min="10244" max="10244" width="14.28515625" customWidth="1"/>
    <col min="10245" max="10245" width="9.28515625" bestFit="1" customWidth="1"/>
    <col min="10246" max="10246" width="12.140625" customWidth="1"/>
    <col min="10247" max="10247" width="14.42578125" customWidth="1"/>
    <col min="10248" max="10248" width="12.5703125" customWidth="1"/>
    <col min="10249" max="10249" width="17.7109375" customWidth="1"/>
    <col min="10497" max="10497" width="4.7109375" customWidth="1"/>
    <col min="10498" max="10498" width="45" customWidth="1"/>
    <col min="10499" max="10499" width="8.42578125" customWidth="1"/>
    <col min="10500" max="10500" width="14.28515625" customWidth="1"/>
    <col min="10501" max="10501" width="9.28515625" bestFit="1" customWidth="1"/>
    <col min="10502" max="10502" width="12.140625" customWidth="1"/>
    <col min="10503" max="10503" width="14.42578125" customWidth="1"/>
    <col min="10504" max="10504" width="12.5703125" customWidth="1"/>
    <col min="10505" max="10505" width="17.7109375" customWidth="1"/>
    <col min="10753" max="10753" width="4.7109375" customWidth="1"/>
    <col min="10754" max="10754" width="45" customWidth="1"/>
    <col min="10755" max="10755" width="8.42578125" customWidth="1"/>
    <col min="10756" max="10756" width="14.28515625" customWidth="1"/>
    <col min="10757" max="10757" width="9.28515625" bestFit="1" customWidth="1"/>
    <col min="10758" max="10758" width="12.140625" customWidth="1"/>
    <col min="10759" max="10759" width="14.42578125" customWidth="1"/>
    <col min="10760" max="10760" width="12.5703125" customWidth="1"/>
    <col min="10761" max="10761" width="17.7109375" customWidth="1"/>
    <col min="11009" max="11009" width="4.7109375" customWidth="1"/>
    <col min="11010" max="11010" width="45" customWidth="1"/>
    <col min="11011" max="11011" width="8.42578125" customWidth="1"/>
    <col min="11012" max="11012" width="14.28515625" customWidth="1"/>
    <col min="11013" max="11013" width="9.28515625" bestFit="1" customWidth="1"/>
    <col min="11014" max="11014" width="12.140625" customWidth="1"/>
    <col min="11015" max="11015" width="14.42578125" customWidth="1"/>
    <col min="11016" max="11016" width="12.5703125" customWidth="1"/>
    <col min="11017" max="11017" width="17.7109375" customWidth="1"/>
    <col min="11265" max="11265" width="4.7109375" customWidth="1"/>
    <col min="11266" max="11266" width="45" customWidth="1"/>
    <col min="11267" max="11267" width="8.42578125" customWidth="1"/>
    <col min="11268" max="11268" width="14.28515625" customWidth="1"/>
    <col min="11269" max="11269" width="9.28515625" bestFit="1" customWidth="1"/>
    <col min="11270" max="11270" width="12.140625" customWidth="1"/>
    <col min="11271" max="11271" width="14.42578125" customWidth="1"/>
    <col min="11272" max="11272" width="12.5703125" customWidth="1"/>
    <col min="11273" max="11273" width="17.7109375" customWidth="1"/>
    <col min="11521" max="11521" width="4.7109375" customWidth="1"/>
    <col min="11522" max="11522" width="45" customWidth="1"/>
    <col min="11523" max="11523" width="8.42578125" customWidth="1"/>
    <col min="11524" max="11524" width="14.28515625" customWidth="1"/>
    <col min="11525" max="11525" width="9.28515625" bestFit="1" customWidth="1"/>
    <col min="11526" max="11526" width="12.140625" customWidth="1"/>
    <col min="11527" max="11527" width="14.42578125" customWidth="1"/>
    <col min="11528" max="11528" width="12.5703125" customWidth="1"/>
    <col min="11529" max="11529" width="17.7109375" customWidth="1"/>
    <col min="11777" max="11777" width="4.7109375" customWidth="1"/>
    <col min="11778" max="11778" width="45" customWidth="1"/>
    <col min="11779" max="11779" width="8.42578125" customWidth="1"/>
    <col min="11780" max="11780" width="14.28515625" customWidth="1"/>
    <col min="11781" max="11781" width="9.28515625" bestFit="1" customWidth="1"/>
    <col min="11782" max="11782" width="12.140625" customWidth="1"/>
    <col min="11783" max="11783" width="14.42578125" customWidth="1"/>
    <col min="11784" max="11784" width="12.5703125" customWidth="1"/>
    <col min="11785" max="11785" width="17.7109375" customWidth="1"/>
    <col min="12033" max="12033" width="4.7109375" customWidth="1"/>
    <col min="12034" max="12034" width="45" customWidth="1"/>
    <col min="12035" max="12035" width="8.42578125" customWidth="1"/>
    <col min="12036" max="12036" width="14.28515625" customWidth="1"/>
    <col min="12037" max="12037" width="9.28515625" bestFit="1" customWidth="1"/>
    <col min="12038" max="12038" width="12.140625" customWidth="1"/>
    <col min="12039" max="12039" width="14.42578125" customWidth="1"/>
    <col min="12040" max="12040" width="12.5703125" customWidth="1"/>
    <col min="12041" max="12041" width="17.7109375" customWidth="1"/>
    <col min="12289" max="12289" width="4.7109375" customWidth="1"/>
    <col min="12290" max="12290" width="45" customWidth="1"/>
    <col min="12291" max="12291" width="8.42578125" customWidth="1"/>
    <col min="12292" max="12292" width="14.28515625" customWidth="1"/>
    <col min="12293" max="12293" width="9.28515625" bestFit="1" customWidth="1"/>
    <col min="12294" max="12294" width="12.140625" customWidth="1"/>
    <col min="12295" max="12295" width="14.42578125" customWidth="1"/>
    <col min="12296" max="12296" width="12.5703125" customWidth="1"/>
    <col min="12297" max="12297" width="17.7109375" customWidth="1"/>
    <col min="12545" max="12545" width="4.7109375" customWidth="1"/>
    <col min="12546" max="12546" width="45" customWidth="1"/>
    <col min="12547" max="12547" width="8.42578125" customWidth="1"/>
    <col min="12548" max="12548" width="14.28515625" customWidth="1"/>
    <col min="12549" max="12549" width="9.28515625" bestFit="1" customWidth="1"/>
    <col min="12550" max="12550" width="12.140625" customWidth="1"/>
    <col min="12551" max="12551" width="14.42578125" customWidth="1"/>
    <col min="12552" max="12552" width="12.5703125" customWidth="1"/>
    <col min="12553" max="12553" width="17.7109375" customWidth="1"/>
    <col min="12801" max="12801" width="4.7109375" customWidth="1"/>
    <col min="12802" max="12802" width="45" customWidth="1"/>
    <col min="12803" max="12803" width="8.42578125" customWidth="1"/>
    <col min="12804" max="12804" width="14.28515625" customWidth="1"/>
    <col min="12805" max="12805" width="9.28515625" bestFit="1" customWidth="1"/>
    <col min="12806" max="12806" width="12.140625" customWidth="1"/>
    <col min="12807" max="12807" width="14.42578125" customWidth="1"/>
    <col min="12808" max="12808" width="12.5703125" customWidth="1"/>
    <col min="12809" max="12809" width="17.7109375" customWidth="1"/>
    <col min="13057" max="13057" width="4.7109375" customWidth="1"/>
    <col min="13058" max="13058" width="45" customWidth="1"/>
    <col min="13059" max="13059" width="8.42578125" customWidth="1"/>
    <col min="13060" max="13060" width="14.28515625" customWidth="1"/>
    <col min="13061" max="13061" width="9.28515625" bestFit="1" customWidth="1"/>
    <col min="13062" max="13062" width="12.140625" customWidth="1"/>
    <col min="13063" max="13063" width="14.42578125" customWidth="1"/>
    <col min="13064" max="13064" width="12.5703125" customWidth="1"/>
    <col min="13065" max="13065" width="17.7109375" customWidth="1"/>
    <col min="13313" max="13313" width="4.7109375" customWidth="1"/>
    <col min="13314" max="13314" width="45" customWidth="1"/>
    <col min="13315" max="13315" width="8.42578125" customWidth="1"/>
    <col min="13316" max="13316" width="14.28515625" customWidth="1"/>
    <col min="13317" max="13317" width="9.28515625" bestFit="1" customWidth="1"/>
    <col min="13318" max="13318" width="12.140625" customWidth="1"/>
    <col min="13319" max="13319" width="14.42578125" customWidth="1"/>
    <col min="13320" max="13320" width="12.5703125" customWidth="1"/>
    <col min="13321" max="13321" width="17.7109375" customWidth="1"/>
    <col min="13569" max="13569" width="4.7109375" customWidth="1"/>
    <col min="13570" max="13570" width="45" customWidth="1"/>
    <col min="13571" max="13571" width="8.42578125" customWidth="1"/>
    <col min="13572" max="13572" width="14.28515625" customWidth="1"/>
    <col min="13573" max="13573" width="9.28515625" bestFit="1" customWidth="1"/>
    <col min="13574" max="13574" width="12.140625" customWidth="1"/>
    <col min="13575" max="13575" width="14.42578125" customWidth="1"/>
    <col min="13576" max="13576" width="12.5703125" customWidth="1"/>
    <col min="13577" max="13577" width="17.7109375" customWidth="1"/>
    <col min="13825" max="13825" width="4.7109375" customWidth="1"/>
    <col min="13826" max="13826" width="45" customWidth="1"/>
    <col min="13827" max="13827" width="8.42578125" customWidth="1"/>
    <col min="13828" max="13828" width="14.28515625" customWidth="1"/>
    <col min="13829" max="13829" width="9.28515625" bestFit="1" customWidth="1"/>
    <col min="13830" max="13830" width="12.140625" customWidth="1"/>
    <col min="13831" max="13831" width="14.42578125" customWidth="1"/>
    <col min="13832" max="13832" width="12.5703125" customWidth="1"/>
    <col min="13833" max="13833" width="17.7109375" customWidth="1"/>
    <col min="14081" max="14081" width="4.7109375" customWidth="1"/>
    <col min="14082" max="14082" width="45" customWidth="1"/>
    <col min="14083" max="14083" width="8.42578125" customWidth="1"/>
    <col min="14084" max="14084" width="14.28515625" customWidth="1"/>
    <col min="14085" max="14085" width="9.28515625" bestFit="1" customWidth="1"/>
    <col min="14086" max="14086" width="12.140625" customWidth="1"/>
    <col min="14087" max="14087" width="14.42578125" customWidth="1"/>
    <col min="14088" max="14088" width="12.5703125" customWidth="1"/>
    <col min="14089" max="14089" width="17.7109375" customWidth="1"/>
    <col min="14337" max="14337" width="4.7109375" customWidth="1"/>
    <col min="14338" max="14338" width="45" customWidth="1"/>
    <col min="14339" max="14339" width="8.42578125" customWidth="1"/>
    <col min="14340" max="14340" width="14.28515625" customWidth="1"/>
    <col min="14341" max="14341" width="9.28515625" bestFit="1" customWidth="1"/>
    <col min="14342" max="14342" width="12.140625" customWidth="1"/>
    <col min="14343" max="14343" width="14.42578125" customWidth="1"/>
    <col min="14344" max="14344" width="12.5703125" customWidth="1"/>
    <col min="14345" max="14345" width="17.7109375" customWidth="1"/>
    <col min="14593" max="14593" width="4.7109375" customWidth="1"/>
    <col min="14594" max="14594" width="45" customWidth="1"/>
    <col min="14595" max="14595" width="8.42578125" customWidth="1"/>
    <col min="14596" max="14596" width="14.28515625" customWidth="1"/>
    <col min="14597" max="14597" width="9.28515625" bestFit="1" customWidth="1"/>
    <col min="14598" max="14598" width="12.140625" customWidth="1"/>
    <col min="14599" max="14599" width="14.42578125" customWidth="1"/>
    <col min="14600" max="14600" width="12.5703125" customWidth="1"/>
    <col min="14601" max="14601" width="17.7109375" customWidth="1"/>
    <col min="14849" max="14849" width="4.7109375" customWidth="1"/>
    <col min="14850" max="14850" width="45" customWidth="1"/>
    <col min="14851" max="14851" width="8.42578125" customWidth="1"/>
    <col min="14852" max="14852" width="14.28515625" customWidth="1"/>
    <col min="14853" max="14853" width="9.28515625" bestFit="1" customWidth="1"/>
    <col min="14854" max="14854" width="12.140625" customWidth="1"/>
    <col min="14855" max="14855" width="14.42578125" customWidth="1"/>
    <col min="14856" max="14856" width="12.5703125" customWidth="1"/>
    <col min="14857" max="14857" width="17.7109375" customWidth="1"/>
    <col min="15105" max="15105" width="4.7109375" customWidth="1"/>
    <col min="15106" max="15106" width="45" customWidth="1"/>
    <col min="15107" max="15107" width="8.42578125" customWidth="1"/>
    <col min="15108" max="15108" width="14.28515625" customWidth="1"/>
    <col min="15109" max="15109" width="9.28515625" bestFit="1" customWidth="1"/>
    <col min="15110" max="15110" width="12.140625" customWidth="1"/>
    <col min="15111" max="15111" width="14.42578125" customWidth="1"/>
    <col min="15112" max="15112" width="12.5703125" customWidth="1"/>
    <col min="15113" max="15113" width="17.7109375" customWidth="1"/>
    <col min="15361" max="15361" width="4.7109375" customWidth="1"/>
    <col min="15362" max="15362" width="45" customWidth="1"/>
    <col min="15363" max="15363" width="8.42578125" customWidth="1"/>
    <col min="15364" max="15364" width="14.28515625" customWidth="1"/>
    <col min="15365" max="15365" width="9.28515625" bestFit="1" customWidth="1"/>
    <col min="15366" max="15366" width="12.140625" customWidth="1"/>
    <col min="15367" max="15367" width="14.42578125" customWidth="1"/>
    <col min="15368" max="15368" width="12.5703125" customWidth="1"/>
    <col min="15369" max="15369" width="17.7109375" customWidth="1"/>
    <col min="15617" max="15617" width="4.7109375" customWidth="1"/>
    <col min="15618" max="15618" width="45" customWidth="1"/>
    <col min="15619" max="15619" width="8.42578125" customWidth="1"/>
    <col min="15620" max="15620" width="14.28515625" customWidth="1"/>
    <col min="15621" max="15621" width="9.28515625" bestFit="1" customWidth="1"/>
    <col min="15622" max="15622" width="12.140625" customWidth="1"/>
    <col min="15623" max="15623" width="14.42578125" customWidth="1"/>
    <col min="15624" max="15624" width="12.5703125" customWidth="1"/>
    <col min="15625" max="15625" width="17.7109375" customWidth="1"/>
    <col min="15873" max="15873" width="4.7109375" customWidth="1"/>
    <col min="15874" max="15874" width="45" customWidth="1"/>
    <col min="15875" max="15875" width="8.42578125" customWidth="1"/>
    <col min="15876" max="15876" width="14.28515625" customWidth="1"/>
    <col min="15877" max="15877" width="9.28515625" bestFit="1" customWidth="1"/>
    <col min="15878" max="15878" width="12.140625" customWidth="1"/>
    <col min="15879" max="15879" width="14.42578125" customWidth="1"/>
    <col min="15880" max="15880" width="12.5703125" customWidth="1"/>
    <col min="15881" max="15881" width="17.7109375" customWidth="1"/>
    <col min="16129" max="16129" width="4.7109375" customWidth="1"/>
    <col min="16130" max="16130" width="45" customWidth="1"/>
    <col min="16131" max="16131" width="8.42578125" customWidth="1"/>
    <col min="16132" max="16132" width="14.28515625" customWidth="1"/>
    <col min="16133" max="16133" width="9.28515625" bestFit="1" customWidth="1"/>
    <col min="16134" max="16134" width="12.140625" customWidth="1"/>
    <col min="16135" max="16135" width="14.42578125" customWidth="1"/>
    <col min="16136" max="16136" width="12.5703125" customWidth="1"/>
    <col min="16137" max="16137" width="17.7109375" customWidth="1"/>
  </cols>
  <sheetData>
    <row r="1" spans="1:19" x14ac:dyDescent="0.2">
      <c r="A1" s="103" t="s">
        <v>265</v>
      </c>
    </row>
    <row r="2" spans="1:19" x14ac:dyDescent="0.2">
      <c r="A2" s="103" t="str">
        <f>'[2]Planilha Global'!A2</f>
        <v>PREFEITURA MUNICIPAL DE MAMANGUAPE</v>
      </c>
      <c r="G2" t="s">
        <v>421</v>
      </c>
      <c r="H2">
        <v>112.1</v>
      </c>
    </row>
    <row r="3" spans="1:19" ht="5.0999999999999996" customHeight="1" x14ac:dyDescent="0.2"/>
    <row r="4" spans="1:19" s="202" customFormat="1" ht="12.75" customHeight="1" x14ac:dyDescent="0.25">
      <c r="A4" s="729" t="s">
        <v>422</v>
      </c>
      <c r="B4" s="737"/>
      <c r="C4" s="737"/>
      <c r="D4" s="737"/>
      <c r="E4" s="737"/>
      <c r="F4" s="737"/>
      <c r="H4" s="202" t="s">
        <v>423</v>
      </c>
      <c r="I4" s="202" t="s">
        <v>424</v>
      </c>
      <c r="J4" s="202" t="s">
        <v>425</v>
      </c>
      <c r="K4" s="202" t="s">
        <v>426</v>
      </c>
      <c r="L4" s="202" t="s">
        <v>427</v>
      </c>
      <c r="M4" s="202" t="s">
        <v>428</v>
      </c>
      <c r="N4" s="202" t="s">
        <v>429</v>
      </c>
    </row>
    <row r="5" spans="1:19" s="202" customFormat="1" ht="7.5" customHeight="1" x14ac:dyDescent="0.25">
      <c r="A5" s="434"/>
      <c r="B5" s="435"/>
      <c r="C5" s="435"/>
      <c r="D5" s="435"/>
      <c r="E5" s="435"/>
      <c r="F5" s="435"/>
    </row>
    <row r="6" spans="1:19" s="202" customFormat="1" ht="15" customHeight="1" x14ac:dyDescent="0.25">
      <c r="A6" s="258" t="s">
        <v>886</v>
      </c>
      <c r="B6" s="258"/>
      <c r="C6" s="258"/>
      <c r="D6" s="258"/>
      <c r="E6" s="258"/>
      <c r="F6" s="103"/>
      <c r="G6" s="53"/>
      <c r="H6" s="202">
        <f>(5.37+5.26)/2</f>
        <v>5.3150000000000004</v>
      </c>
      <c r="I6" s="202">
        <v>63.93</v>
      </c>
      <c r="J6" s="230">
        <f t="shared" ref="J6" si="0">H6*I6</f>
        <v>339.79</v>
      </c>
    </row>
    <row r="7" spans="1:19" s="202" customFormat="1" ht="21" customHeight="1" x14ac:dyDescent="0.25">
      <c r="A7" s="258" t="s">
        <v>525</v>
      </c>
      <c r="B7" s="436"/>
      <c r="C7" s="437"/>
      <c r="D7" s="437"/>
      <c r="E7" s="257"/>
      <c r="F7" s="257"/>
      <c r="G7" s="53"/>
      <c r="J7" s="230">
        <v>0.53</v>
      </c>
    </row>
    <row r="8" spans="1:19" s="202" customFormat="1" ht="15" customHeight="1" x14ac:dyDescent="0.25">
      <c r="A8" s="103" t="s">
        <v>950</v>
      </c>
      <c r="B8" s="436"/>
      <c r="C8" s="736" t="s">
        <v>937</v>
      </c>
      <c r="D8" s="736"/>
      <c r="E8" s="736"/>
      <c r="F8" s="736"/>
      <c r="G8" s="53"/>
      <c r="H8" s="663"/>
      <c r="J8" s="230">
        <v>0.49</v>
      </c>
      <c r="K8" s="202">
        <f>2.21+2.21+23.16+32.4+37.45+28.88+2.27+2.45</f>
        <v>131.03</v>
      </c>
      <c r="L8" s="202">
        <f>5.68+4.08+6.31+26.94+12.7+10.5+13.15+2.22+7.65+20.38+25.33+25.4+36.7+29.26+18.73+19.08+9.01+14.58+11.42+7.25+4.36+26.66+12.33+10.58+14.04+3.07+7.89+20.45+25.67+25.67+37.03+29.56+19.1+18.96+8.89+14.81+11.96</f>
        <v>597.4</v>
      </c>
      <c r="M8" s="202">
        <v>4</v>
      </c>
      <c r="N8" s="202">
        <v>1.2</v>
      </c>
    </row>
    <row r="9" spans="1:19" s="202" customFormat="1" ht="15" customHeight="1" x14ac:dyDescent="0.2">
      <c r="A9" s="103" t="s">
        <v>951</v>
      </c>
      <c r="B9" s="438"/>
      <c r="C9" s="666" t="s">
        <v>954</v>
      </c>
      <c r="D9" s="666"/>
      <c r="E9" s="666" t="s">
        <v>957</v>
      </c>
      <c r="F9" s="666"/>
      <c r="G9" s="53"/>
      <c r="H9" s="663"/>
      <c r="I9" s="230"/>
      <c r="J9" s="230">
        <v>0.42</v>
      </c>
      <c r="K9" s="230"/>
      <c r="L9" s="202">
        <f>2.43+3.39+2.31+2.97+2.01+3.07</f>
        <v>16.18</v>
      </c>
    </row>
    <row r="10" spans="1:19" s="202" customFormat="1" ht="14.25" customHeight="1" x14ac:dyDescent="0.2">
      <c r="A10" s="103" t="s">
        <v>952</v>
      </c>
      <c r="B10" s="438"/>
      <c r="C10" s="736" t="s">
        <v>955</v>
      </c>
      <c r="D10" s="736"/>
      <c r="E10" s="736"/>
      <c r="F10" s="736"/>
      <c r="H10" s="663"/>
      <c r="I10" s="230"/>
      <c r="J10" s="230">
        <v>0.53</v>
      </c>
      <c r="K10" s="230"/>
    </row>
    <row r="11" spans="1:19" s="202" customFormat="1" ht="14.25" customHeight="1" x14ac:dyDescent="0.2">
      <c r="A11" s="103" t="s">
        <v>953</v>
      </c>
      <c r="B11" s="438"/>
      <c r="C11" s="103" t="s">
        <v>956</v>
      </c>
      <c r="D11" s="437"/>
      <c r="E11" s="103" t="s">
        <v>958</v>
      </c>
      <c r="F11" s="437"/>
      <c r="H11" s="663"/>
      <c r="I11" s="230"/>
      <c r="J11" s="230">
        <f>SUM(J6:J10)</f>
        <v>341.76</v>
      </c>
    </row>
    <row r="12" spans="1:19" s="202" customFormat="1" ht="14.25" customHeight="1" x14ac:dyDescent="0.2">
      <c r="A12" s="103"/>
      <c r="B12" s="438"/>
      <c r="C12" s="103"/>
      <c r="D12" s="437"/>
      <c r="E12" s="103"/>
      <c r="F12" s="103"/>
      <c r="H12" s="663"/>
      <c r="I12" s="230"/>
      <c r="J12" s="230"/>
    </row>
    <row r="13" spans="1:19" s="103" customFormat="1" ht="12.75" customHeight="1" x14ac:dyDescent="0.2">
      <c r="A13" s="722" t="s">
        <v>832</v>
      </c>
      <c r="B13" s="722"/>
      <c r="C13" s="440"/>
      <c r="D13" s="440"/>
      <c r="E13" s="441"/>
      <c r="F13" s="452"/>
    </row>
    <row r="14" spans="1:19" s="103" customFormat="1" ht="26.25" customHeight="1" x14ac:dyDescent="0.2">
      <c r="A14" s="664" t="s">
        <v>86</v>
      </c>
      <c r="B14" s="724" t="s">
        <v>1032</v>
      </c>
      <c r="C14" s="724"/>
      <c r="D14" s="724"/>
      <c r="E14" s="452">
        <v>63.93</v>
      </c>
      <c r="F14" s="438" t="s">
        <v>11</v>
      </c>
    </row>
    <row r="15" spans="1:19" s="202" customFormat="1" ht="5.0999999999999996" customHeight="1" x14ac:dyDescent="0.2">
      <c r="B15" s="445"/>
      <c r="C15" s="446"/>
      <c r="D15" s="447"/>
      <c r="E15" s="256"/>
      <c r="F15" s="256"/>
      <c r="G15" s="103"/>
      <c r="H15" s="103"/>
      <c r="I15" s="103"/>
      <c r="J15" s="103"/>
      <c r="K15" s="103"/>
      <c r="L15" s="103"/>
      <c r="M15" s="103"/>
      <c r="N15" s="103"/>
      <c r="O15" s="103"/>
      <c r="P15" s="103"/>
      <c r="Q15" s="103"/>
      <c r="R15" s="103"/>
      <c r="S15" s="103"/>
    </row>
    <row r="16" spans="1:19" s="103" customFormat="1" ht="12.75" customHeight="1" x14ac:dyDescent="0.2">
      <c r="A16" s="738" t="s">
        <v>833</v>
      </c>
      <c r="B16" s="738"/>
      <c r="C16" s="450"/>
      <c r="D16" s="440"/>
      <c r="E16" s="308"/>
      <c r="F16" s="451"/>
      <c r="J16" s="230"/>
    </row>
    <row r="17" spans="1:19" s="103" customFormat="1" ht="25.5" customHeight="1" x14ac:dyDescent="0.2">
      <c r="A17" s="664" t="s">
        <v>7</v>
      </c>
      <c r="B17" s="724" t="s">
        <v>959</v>
      </c>
      <c r="C17" s="724"/>
      <c r="D17" s="724"/>
      <c r="E17" s="452">
        <f>J11</f>
        <v>341.76</v>
      </c>
      <c r="F17" s="438" t="s">
        <v>13</v>
      </c>
    </row>
    <row r="18" spans="1:19" s="202" customFormat="1" ht="5.0999999999999996" customHeight="1" x14ac:dyDescent="0.25">
      <c r="B18" s="453"/>
      <c r="C18" s="453"/>
      <c r="D18" s="453"/>
      <c r="E18" s="454"/>
      <c r="F18" s="455"/>
    </row>
    <row r="19" spans="1:19" s="103" customFormat="1" ht="12.75" customHeight="1" x14ac:dyDescent="0.2">
      <c r="A19" s="738" t="s">
        <v>834</v>
      </c>
      <c r="B19" s="738"/>
      <c r="C19" s="450"/>
      <c r="D19" s="440"/>
      <c r="E19" s="308"/>
      <c r="F19" s="451"/>
      <c r="J19" s="230">
        <f>SUM(J11:J12)</f>
        <v>341.76</v>
      </c>
    </row>
    <row r="20" spans="1:19" s="103" customFormat="1" ht="65.25" customHeight="1" x14ac:dyDescent="0.2">
      <c r="A20" s="664" t="s">
        <v>9</v>
      </c>
      <c r="B20" s="721" t="s">
        <v>965</v>
      </c>
      <c r="C20" s="721"/>
      <c r="D20" s="721"/>
      <c r="E20" s="452">
        <f>K8</f>
        <v>131.03</v>
      </c>
      <c r="F20" s="438" t="s">
        <v>11</v>
      </c>
    </row>
    <row r="21" spans="1:19" s="202" customFormat="1" ht="5.0999999999999996" customHeight="1" x14ac:dyDescent="0.2">
      <c r="B21" s="445"/>
      <c r="C21" s="446"/>
      <c r="D21" s="447"/>
      <c r="E21" s="256"/>
      <c r="F21" s="256"/>
      <c r="G21" s="103"/>
      <c r="H21" s="103"/>
      <c r="I21" s="103"/>
      <c r="J21" s="103"/>
      <c r="K21" s="103"/>
      <c r="L21" s="103"/>
      <c r="M21" s="103"/>
      <c r="N21" s="103"/>
      <c r="O21" s="103"/>
      <c r="P21" s="103"/>
      <c r="Q21" s="103"/>
      <c r="R21" s="103"/>
      <c r="S21" s="103"/>
    </row>
    <row r="22" spans="1:19" s="103" customFormat="1" ht="39" customHeight="1" x14ac:dyDescent="0.2">
      <c r="A22" s="664" t="s">
        <v>12</v>
      </c>
      <c r="B22" s="721" t="s">
        <v>960</v>
      </c>
      <c r="C22" s="721"/>
      <c r="D22" s="721"/>
      <c r="E22" s="452">
        <f>E17</f>
        <v>341.76</v>
      </c>
      <c r="F22" s="438" t="s">
        <v>13</v>
      </c>
    </row>
    <row r="23" spans="1:19" s="202" customFormat="1" ht="5.0999999999999996" customHeight="1" x14ac:dyDescent="0.2">
      <c r="B23" s="445"/>
      <c r="C23" s="446"/>
      <c r="D23" s="447"/>
      <c r="E23" s="256"/>
      <c r="F23" s="256"/>
      <c r="G23" s="103"/>
      <c r="H23" s="103"/>
      <c r="I23" s="103"/>
      <c r="J23" s="103"/>
      <c r="K23" s="103"/>
      <c r="L23" s="103"/>
      <c r="M23" s="103"/>
      <c r="N23" s="103"/>
      <c r="O23" s="103"/>
      <c r="P23" s="103"/>
      <c r="Q23" s="103"/>
      <c r="R23" s="103"/>
      <c r="S23" s="103"/>
    </row>
    <row r="24" spans="1:19" s="103" customFormat="1" ht="39.75" customHeight="1" x14ac:dyDescent="0.2">
      <c r="A24" s="664" t="s">
        <v>108</v>
      </c>
      <c r="B24" s="721" t="s">
        <v>961</v>
      </c>
      <c r="C24" s="721"/>
      <c r="D24" s="721"/>
      <c r="E24" s="452">
        <v>5.26</v>
      </c>
      <c r="F24" s="438" t="s">
        <v>11</v>
      </c>
    </row>
    <row r="25" spans="1:19" s="103" customFormat="1" ht="5.0999999999999996" customHeight="1" x14ac:dyDescent="0.2">
      <c r="B25" s="456"/>
      <c r="C25" s="456"/>
      <c r="D25" s="456"/>
      <c r="E25" s="457"/>
      <c r="F25" s="458"/>
    </row>
    <row r="26" spans="1:19" s="103" customFormat="1" ht="12.75" customHeight="1" x14ac:dyDescent="0.2">
      <c r="A26" s="739" t="s">
        <v>835</v>
      </c>
      <c r="B26" s="739"/>
      <c r="C26" s="440"/>
      <c r="D26" s="440"/>
      <c r="E26" s="441"/>
      <c r="F26" s="442"/>
    </row>
    <row r="27" spans="1:19" s="103" customFormat="1" ht="52.5" customHeight="1" x14ac:dyDescent="0.2">
      <c r="A27" s="664" t="s">
        <v>15</v>
      </c>
      <c r="B27" s="721" t="s">
        <v>963</v>
      </c>
      <c r="C27" s="721"/>
      <c r="D27" s="721"/>
      <c r="E27" s="637">
        <f>H27</f>
        <v>2.4700000000000002</v>
      </c>
      <c r="F27" s="442" t="s">
        <v>13</v>
      </c>
      <c r="G27" s="103">
        <f>1.67+1.22+8.35+1.12</f>
        <v>12.36</v>
      </c>
      <c r="H27" s="461">
        <f>G27*0.2</f>
        <v>2.4700000000000002</v>
      </c>
    </row>
    <row r="28" spans="1:19" s="202" customFormat="1" ht="5.0999999999999996" customHeight="1" x14ac:dyDescent="0.2">
      <c r="B28" s="445"/>
      <c r="C28" s="446"/>
      <c r="D28" s="447"/>
      <c r="E28" s="256"/>
      <c r="F28" s="256"/>
      <c r="G28" s="103"/>
      <c r="H28" s="103"/>
      <c r="I28" s="103"/>
      <c r="J28" s="103"/>
      <c r="K28" s="103"/>
      <c r="L28" s="103"/>
      <c r="M28" s="103"/>
      <c r="N28" s="103"/>
      <c r="O28" s="103"/>
      <c r="P28" s="103"/>
      <c r="Q28" s="103"/>
      <c r="R28" s="103"/>
      <c r="S28" s="103"/>
    </row>
    <row r="29" spans="1:19" s="103" customFormat="1" ht="142.5" customHeight="1" x14ac:dyDescent="0.2">
      <c r="A29" s="664" t="s">
        <v>129</v>
      </c>
      <c r="B29" s="725" t="s">
        <v>964</v>
      </c>
      <c r="C29" s="724"/>
      <c r="D29" s="724"/>
      <c r="E29" s="638">
        <f>M29</f>
        <v>6.39</v>
      </c>
      <c r="F29" s="438" t="s">
        <v>128</v>
      </c>
      <c r="G29" s="460">
        <f>1.2*1.2/2+1.2*1.2/2+(23.16+32.4+37.45+28.88)*1.2+1.2*1.2/2+1.2*1.2/2</f>
        <v>149.15</v>
      </c>
      <c r="H29" s="460">
        <f>G29-E40</f>
        <v>113.15</v>
      </c>
      <c r="I29" s="460"/>
      <c r="J29" s="460">
        <f>H29*0.06</f>
        <v>6.79</v>
      </c>
      <c r="K29" s="460">
        <f>1.21+1.26+5.52+5.79+10.1+19.16+26.11+17.01+3.89+4.36+1.65+1.45+1.86</f>
        <v>99.37</v>
      </c>
      <c r="L29" s="460">
        <f>K29*0.2*0.02</f>
        <v>0.4</v>
      </c>
      <c r="M29" s="460">
        <f>J29-L29</f>
        <v>6.39</v>
      </c>
    </row>
    <row r="30" spans="1:19" s="202" customFormat="1" ht="5.0999999999999996" customHeight="1" x14ac:dyDescent="0.2">
      <c r="B30" s="445"/>
      <c r="C30" s="446"/>
      <c r="D30" s="447"/>
      <c r="E30" s="256"/>
      <c r="F30" s="256"/>
      <c r="G30" s="448"/>
      <c r="H30" s="448"/>
    </row>
    <row r="31" spans="1:19" s="103" customFormat="1" ht="79.5" customHeight="1" x14ac:dyDescent="0.2">
      <c r="A31" s="664" t="s">
        <v>131</v>
      </c>
      <c r="B31" s="721" t="s">
        <v>947</v>
      </c>
      <c r="C31" s="721"/>
      <c r="D31" s="721"/>
      <c r="E31" s="639">
        <f>G31</f>
        <v>19.87</v>
      </c>
      <c r="F31" s="640" t="s">
        <v>13</v>
      </c>
      <c r="G31" s="648">
        <f>K29*0.2</f>
        <v>19.87</v>
      </c>
      <c r="H31" s="438"/>
      <c r="J31" s="460"/>
      <c r="K31" s="460"/>
      <c r="L31" s="461"/>
      <c r="M31" s="461"/>
      <c r="N31" s="460"/>
      <c r="O31" s="460"/>
      <c r="Q31" s="460"/>
    </row>
    <row r="32" spans="1:19" s="103" customFormat="1" ht="5.0999999999999996" customHeight="1" x14ac:dyDescent="0.2">
      <c r="B32" s="456"/>
      <c r="C32" s="456"/>
      <c r="D32" s="456"/>
      <c r="E32" s="457"/>
      <c r="F32" s="458"/>
    </row>
    <row r="33" spans="1:18" s="103" customFormat="1" ht="12.75" customHeight="1" x14ac:dyDescent="0.2">
      <c r="A33" s="739" t="s">
        <v>836</v>
      </c>
      <c r="B33" s="739"/>
      <c r="C33" s="440"/>
      <c r="D33" s="440"/>
      <c r="E33" s="441"/>
      <c r="F33" s="442"/>
    </row>
    <row r="34" spans="1:18" s="103" customFormat="1" ht="78" customHeight="1" x14ac:dyDescent="0.2">
      <c r="A34" s="664" t="s">
        <v>158</v>
      </c>
      <c r="B34" s="721" t="s">
        <v>700</v>
      </c>
      <c r="C34" s="721"/>
      <c r="D34" s="721"/>
      <c r="E34" s="637">
        <f>K34</f>
        <v>2.1</v>
      </c>
      <c r="F34" s="641" t="s">
        <v>128</v>
      </c>
      <c r="G34" s="460">
        <f>7.5*N8*M8*0.06</f>
        <v>2.16</v>
      </c>
      <c r="H34" s="461">
        <f>(1.2*2+1.5)*M8</f>
        <v>15.6</v>
      </c>
      <c r="I34" s="461"/>
      <c r="J34" s="461">
        <f>H34*0.2*0.02</f>
        <v>0.06</v>
      </c>
      <c r="K34" s="460">
        <f>G34-J34</f>
        <v>2.1</v>
      </c>
      <c r="N34" s="103">
        <f>(7.5*1.2)*7+5.75+6.31+5.25+6.11+5.71+5.24+5.25+7.18+7.07+5.2+5.25+5.15</f>
        <v>132.47</v>
      </c>
      <c r="O34" s="461">
        <f>N34*0.06</f>
        <v>7.95</v>
      </c>
      <c r="P34" s="461">
        <f>(1.2*3*7+1.05+2.42+1.05+4.76+1.42/2+2+1.05+3+1.05+2.66+1.05+2.01+1.05+3+1.05+1.05+1.05+1.05+1.05+1.05+1.05+2+1.05+2+1.05+2+0.99)</f>
        <v>68.5</v>
      </c>
      <c r="Q34" s="461">
        <f>P34*0.2*0.02</f>
        <v>0.27</v>
      </c>
      <c r="R34" s="103">
        <f>P34*0.2</f>
        <v>13.7</v>
      </c>
    </row>
    <row r="35" spans="1:18" s="202" customFormat="1" ht="5.0999999999999996" customHeight="1" x14ac:dyDescent="0.25">
      <c r="B35" s="445"/>
      <c r="C35" s="446"/>
      <c r="D35" s="447"/>
      <c r="E35" s="207"/>
      <c r="F35" s="642"/>
      <c r="G35" s="448"/>
      <c r="H35" s="448"/>
    </row>
    <row r="36" spans="1:18" s="103" customFormat="1" ht="78" customHeight="1" x14ac:dyDescent="0.2">
      <c r="A36" s="664" t="s">
        <v>170</v>
      </c>
      <c r="B36" s="721" t="s">
        <v>701</v>
      </c>
      <c r="C36" s="721"/>
      <c r="D36" s="721"/>
      <c r="E36" s="637">
        <f>E34</f>
        <v>2.1</v>
      </c>
      <c r="F36" s="641" t="s">
        <v>128</v>
      </c>
      <c r="G36" s="438"/>
      <c r="H36" s="438"/>
      <c r="I36" s="460"/>
      <c r="J36" s="461"/>
      <c r="K36" s="461"/>
      <c r="L36" s="461"/>
      <c r="M36" s="460"/>
    </row>
    <row r="37" spans="1:18" s="202" customFormat="1" ht="5.0999999999999996" customHeight="1" x14ac:dyDescent="0.2">
      <c r="B37" s="445"/>
      <c r="C37" s="446"/>
      <c r="D37" s="447"/>
      <c r="E37" s="256"/>
      <c r="F37" s="256"/>
      <c r="G37" s="448"/>
      <c r="H37" s="448"/>
    </row>
    <row r="38" spans="1:18" s="103" customFormat="1" ht="53.25" customHeight="1" x14ac:dyDescent="0.2">
      <c r="A38" s="664" t="s">
        <v>203</v>
      </c>
      <c r="B38" s="721" t="s">
        <v>702</v>
      </c>
      <c r="C38" s="721"/>
      <c r="D38" s="721"/>
      <c r="E38" s="637">
        <f>G38</f>
        <v>3.12</v>
      </c>
      <c r="F38" s="640" t="s">
        <v>13</v>
      </c>
      <c r="G38" s="645">
        <f>(N8*2+1.5)*M8*0.2</f>
        <v>3.12</v>
      </c>
      <c r="H38" s="438"/>
      <c r="J38" s="460"/>
      <c r="K38" s="460"/>
      <c r="L38" s="461"/>
      <c r="M38" s="461"/>
      <c r="N38" s="460"/>
      <c r="O38" s="460"/>
      <c r="Q38" s="460"/>
    </row>
    <row r="39" spans="1:18" s="202" customFormat="1" ht="5.0999999999999996" customHeight="1" x14ac:dyDescent="0.2">
      <c r="B39" s="445"/>
      <c r="C39" s="446"/>
      <c r="D39" s="447"/>
      <c r="E39" s="256"/>
      <c r="F39" s="256"/>
      <c r="G39" s="448"/>
      <c r="H39" s="448"/>
    </row>
    <row r="40" spans="1:18" s="103" customFormat="1" ht="40.5" customHeight="1" x14ac:dyDescent="0.2">
      <c r="A40" s="664" t="s">
        <v>181</v>
      </c>
      <c r="B40" s="726" t="s">
        <v>703</v>
      </c>
      <c r="C40" s="726"/>
      <c r="D40" s="726"/>
      <c r="E40" s="647">
        <f>G40</f>
        <v>36</v>
      </c>
      <c r="F40" s="641" t="s">
        <v>13</v>
      </c>
      <c r="G40" s="646">
        <f>7.5*N8*M8:M8</f>
        <v>36</v>
      </c>
      <c r="H40" s="438"/>
      <c r="J40" s="460"/>
      <c r="K40" s="460"/>
    </row>
    <row r="41" spans="1:18" s="103" customFormat="1" ht="5.0999999999999996" customHeight="1" x14ac:dyDescent="0.2">
      <c r="B41" s="456"/>
      <c r="C41" s="456"/>
      <c r="D41" s="456"/>
      <c r="E41" s="457"/>
      <c r="F41" s="458"/>
      <c r="G41" s="458"/>
      <c r="H41" s="458"/>
    </row>
    <row r="42" spans="1:18" s="103" customFormat="1" ht="12.75" customHeight="1" x14ac:dyDescent="0.2">
      <c r="A42" s="738" t="s">
        <v>837</v>
      </c>
      <c r="B42" s="738"/>
      <c r="C42" s="440"/>
      <c r="D42" s="440"/>
      <c r="E42" s="441"/>
      <c r="F42" s="442"/>
    </row>
    <row r="43" spans="1:18" s="103" customFormat="1" ht="39" customHeight="1" x14ac:dyDescent="0.2">
      <c r="A43" s="664" t="s">
        <v>175</v>
      </c>
      <c r="B43" s="721" t="s">
        <v>844</v>
      </c>
      <c r="C43" s="721"/>
      <c r="D43" s="721"/>
      <c r="E43" s="459">
        <v>2</v>
      </c>
      <c r="F43" s="438" t="s">
        <v>279</v>
      </c>
    </row>
    <row r="44" spans="1:18" s="202" customFormat="1" ht="5.0999999999999996" customHeight="1" x14ac:dyDescent="0.2">
      <c r="B44" s="445"/>
      <c r="C44" s="446"/>
      <c r="D44" s="447"/>
      <c r="E44" s="256"/>
      <c r="F44" s="256"/>
      <c r="G44" s="448"/>
      <c r="H44" s="448"/>
    </row>
    <row r="45" spans="1:18" s="103" customFormat="1" ht="39" customHeight="1" x14ac:dyDescent="0.2">
      <c r="A45" s="664" t="s">
        <v>246</v>
      </c>
      <c r="B45" s="721" t="s">
        <v>845</v>
      </c>
      <c r="C45" s="721"/>
      <c r="D45" s="721"/>
      <c r="E45" s="459">
        <v>2</v>
      </c>
      <c r="F45" s="438" t="s">
        <v>279</v>
      </c>
    </row>
    <row r="46" spans="1:18" s="202" customFormat="1" ht="5.0999999999999996" customHeight="1" x14ac:dyDescent="0.2">
      <c r="B46" s="445"/>
      <c r="C46" s="446"/>
      <c r="D46" s="447"/>
      <c r="E46" s="256"/>
      <c r="F46" s="256"/>
      <c r="G46" s="448"/>
      <c r="H46" s="448"/>
    </row>
    <row r="47" spans="1:18" s="103" customFormat="1" ht="12.75" customHeight="1" x14ac:dyDescent="0.2">
      <c r="A47" s="738" t="s">
        <v>852</v>
      </c>
      <c r="B47" s="738"/>
      <c r="C47" s="440"/>
      <c r="D47" s="440"/>
      <c r="E47" s="441"/>
      <c r="F47" s="442"/>
    </row>
    <row r="48" spans="1:18" s="103" customFormat="1" ht="25.5" customHeight="1" x14ac:dyDescent="0.2">
      <c r="A48" s="664" t="s">
        <v>255</v>
      </c>
      <c r="B48" s="721" t="s">
        <v>966</v>
      </c>
      <c r="C48" s="721"/>
      <c r="D48" s="721"/>
      <c r="E48" s="459">
        <f>E20*(0.15+0.13)</f>
        <v>36.69</v>
      </c>
      <c r="F48" s="438" t="s">
        <v>13</v>
      </c>
      <c r="H48" s="103" t="e">
        <f>#REF!*0.28</f>
        <v>#REF!</v>
      </c>
    </row>
    <row r="49" spans="1:9" s="103" customFormat="1" ht="5.0999999999999996" customHeight="1" x14ac:dyDescent="0.2">
      <c r="E49" s="441"/>
      <c r="F49" s="442"/>
    </row>
    <row r="50" spans="1:9" s="202" customFormat="1" ht="24.75" customHeight="1" x14ac:dyDescent="0.2">
      <c r="A50" s="664" t="s">
        <v>853</v>
      </c>
      <c r="B50" s="721" t="s">
        <v>707</v>
      </c>
      <c r="C50" s="721"/>
      <c r="D50" s="721"/>
      <c r="E50" s="442">
        <v>1</v>
      </c>
      <c r="F50" s="53" t="s">
        <v>279</v>
      </c>
      <c r="H50" s="202">
        <v>3.9</v>
      </c>
      <c r="I50" s="202">
        <v>216</v>
      </c>
    </row>
    <row r="51" spans="1:9" s="103" customFormat="1" ht="5.0999999999999996" customHeight="1" x14ac:dyDescent="0.2">
      <c r="B51" s="456"/>
      <c r="C51" s="456"/>
      <c r="D51" s="456"/>
      <c r="E51" s="457"/>
      <c r="F51" s="458"/>
      <c r="G51" s="458"/>
      <c r="H51" s="458"/>
    </row>
    <row r="52" spans="1:9" s="103" customFormat="1" ht="39" customHeight="1" x14ac:dyDescent="0.2">
      <c r="A52" s="664" t="s">
        <v>882</v>
      </c>
      <c r="B52" s="721" t="s">
        <v>885</v>
      </c>
      <c r="C52" s="721"/>
      <c r="D52" s="721"/>
      <c r="E52" s="459">
        <v>1</v>
      </c>
      <c r="F52" s="438" t="s">
        <v>279</v>
      </c>
    </row>
    <row r="53" spans="1:9" s="202" customFormat="1" ht="5.0999999999999996" customHeight="1" x14ac:dyDescent="0.2">
      <c r="B53" s="445"/>
      <c r="C53" s="446"/>
      <c r="D53" s="447"/>
      <c r="E53" s="256"/>
      <c r="F53" s="256"/>
      <c r="G53" s="448"/>
      <c r="H53" s="448"/>
    </row>
    <row r="54" spans="1:9" x14ac:dyDescent="0.2">
      <c r="A54" s="103" t="s">
        <v>265</v>
      </c>
    </row>
    <row r="55" spans="1:9" x14ac:dyDescent="0.2">
      <c r="A55" s="103" t="str">
        <f>A2</f>
        <v>PREFEITURA MUNICIPAL DE MAMANGUAPE</v>
      </c>
    </row>
    <row r="56" spans="1:9" ht="5.0999999999999996" customHeight="1" x14ac:dyDescent="0.2"/>
    <row r="57" spans="1:9" s="103" customFormat="1" ht="12.75" customHeight="1" x14ac:dyDescent="0.25">
      <c r="A57" s="729" t="s">
        <v>433</v>
      </c>
      <c r="B57" s="729"/>
      <c r="C57" s="729"/>
      <c r="D57" s="729"/>
      <c r="E57" s="729"/>
      <c r="F57" s="729"/>
      <c r="H57" s="460"/>
    </row>
    <row r="58" spans="1:9" s="202" customFormat="1" ht="18" customHeight="1" x14ac:dyDescent="0.25">
      <c r="A58" s="735" t="str">
        <f>A6</f>
        <v>Rua José Vieira (Trecho 01)</v>
      </c>
      <c r="B58" s="735"/>
      <c r="C58" s="735"/>
      <c r="D58" s="735"/>
      <c r="E58" s="735"/>
      <c r="F58" s="735"/>
      <c r="G58" s="53"/>
    </row>
    <row r="59" spans="1:9" s="202" customFormat="1" ht="5.0999999999999996" customHeight="1" x14ac:dyDescent="0.25">
      <c r="B59" s="436"/>
      <c r="C59" s="437"/>
      <c r="D59" s="437"/>
      <c r="E59" s="257"/>
      <c r="F59" s="257"/>
      <c r="G59" s="53"/>
    </row>
    <row r="60" spans="1:9" s="202" customFormat="1" ht="12.75" customHeight="1" x14ac:dyDescent="0.2">
      <c r="A60" s="730" t="s">
        <v>53</v>
      </c>
      <c r="B60" s="732" t="s">
        <v>267</v>
      </c>
      <c r="C60" s="732" t="s">
        <v>268</v>
      </c>
      <c r="D60" s="732" t="s">
        <v>434</v>
      </c>
      <c r="E60" s="732" t="s">
        <v>435</v>
      </c>
      <c r="F60" s="734"/>
    </row>
    <row r="61" spans="1:9" s="202" customFormat="1" ht="12.75" customHeight="1" x14ac:dyDescent="0.2">
      <c r="A61" s="731"/>
      <c r="B61" s="733"/>
      <c r="C61" s="733"/>
      <c r="D61" s="733"/>
      <c r="E61" s="462" t="s">
        <v>436</v>
      </c>
      <c r="F61" s="463" t="s">
        <v>437</v>
      </c>
    </row>
    <row r="62" spans="1:9" s="202" customFormat="1" ht="12.75" customHeight="1" x14ac:dyDescent="0.2">
      <c r="A62" s="464" t="s">
        <v>4</v>
      </c>
      <c r="B62" s="465" t="s">
        <v>438</v>
      </c>
      <c r="C62" s="466"/>
      <c r="D62" s="467"/>
      <c r="E62" s="467"/>
      <c r="F62" s="468">
        <f>F63</f>
        <v>36.44</v>
      </c>
    </row>
    <row r="63" spans="1:9" s="202" customFormat="1" ht="25.5" x14ac:dyDescent="0.2">
      <c r="A63" s="469" t="s">
        <v>86</v>
      </c>
      <c r="B63" s="470" t="str">
        <f>'Planilha Global'!B11</f>
        <v>Execução de linhas de referência em gabarito ou cavalete (locação de pavimentação)</v>
      </c>
      <c r="C63" s="490" t="str">
        <f>F14</f>
        <v>m</v>
      </c>
      <c r="D63" s="472">
        <f>E14</f>
        <v>63.93</v>
      </c>
      <c r="E63" s="473">
        <f>'Planilha Global'!N11</f>
        <v>0.56999999999999995</v>
      </c>
      <c r="F63" s="474">
        <f>ROUND(D63,2)*ROUND(E63,2)</f>
        <v>36.44</v>
      </c>
    </row>
    <row r="64" spans="1:9" s="202" customFormat="1" ht="6.75" customHeight="1" x14ac:dyDescent="0.2">
      <c r="A64" s="486"/>
      <c r="B64" s="487"/>
      <c r="C64" s="482"/>
      <c r="D64" s="472"/>
      <c r="E64" s="488"/>
      <c r="F64" s="474"/>
    </row>
    <row r="65" spans="1:12" s="202" customFormat="1" ht="12.75" customHeight="1" x14ac:dyDescent="0.2">
      <c r="A65" s="464" t="s">
        <v>6</v>
      </c>
      <c r="B65" s="465" t="s">
        <v>511</v>
      </c>
      <c r="C65" s="466"/>
      <c r="D65" s="467"/>
      <c r="E65" s="467"/>
      <c r="F65" s="468">
        <f>SUM(F66:F66)</f>
        <v>854.4</v>
      </c>
    </row>
    <row r="66" spans="1:12" s="202" customFormat="1" ht="25.5" x14ac:dyDescent="0.2">
      <c r="A66" s="469" t="s">
        <v>7</v>
      </c>
      <c r="B66" s="470" t="str">
        <f>'Planilha Global'!B14</f>
        <v>Regularização e compactação do subleito até 20 cm de espessura</v>
      </c>
      <c r="C66" s="482" t="str">
        <f>F17</f>
        <v>m²</v>
      </c>
      <c r="D66" s="472">
        <f>E17</f>
        <v>341.76</v>
      </c>
      <c r="E66" s="473">
        <f>'Planilha Global'!N14</f>
        <v>2.5</v>
      </c>
      <c r="F66" s="474">
        <f>ROUND(D66,2)*ROUND(E66,2)</f>
        <v>854.4</v>
      </c>
      <c r="H66" s="485"/>
    </row>
    <row r="67" spans="1:12" s="202" customFormat="1" ht="6.75" customHeight="1" x14ac:dyDescent="0.2">
      <c r="A67" s="486"/>
      <c r="B67" s="487"/>
      <c r="C67" s="482"/>
      <c r="D67" s="472"/>
      <c r="E67" s="488"/>
      <c r="F67" s="474"/>
    </row>
    <row r="68" spans="1:12" s="202" customFormat="1" ht="12.75" customHeight="1" thickBot="1" x14ac:dyDescent="0.25">
      <c r="A68" s="464" t="s">
        <v>8</v>
      </c>
      <c r="B68" s="465" t="s">
        <v>439</v>
      </c>
      <c r="C68" s="466"/>
      <c r="D68" s="467"/>
      <c r="E68" s="489"/>
      <c r="F68" s="468">
        <f>SUM(F69:F71)</f>
        <v>43662.720000000001</v>
      </c>
    </row>
    <row r="69" spans="1:12" s="226" customFormat="1" ht="63.75" x14ac:dyDescent="0.2">
      <c r="A69" s="469" t="s">
        <v>12</v>
      </c>
      <c r="B69" s="470" t="str">
        <f>'Planilha Global'!B17</f>
        <v>Assentamento de guia (meio-fio) em trecho reto, confeccionada em concreto pré-fabricado, dimensões 100x15x13x30 cm (comprimento x base inferior x base superior x altura), para vias urbanas (uso viário)</v>
      </c>
      <c r="C69" s="482" t="str">
        <f>F20</f>
        <v>m</v>
      </c>
      <c r="D69" s="472">
        <f>E20</f>
        <v>131.03</v>
      </c>
      <c r="E69" s="473">
        <f>'Planilha Global'!N17</f>
        <v>49.53</v>
      </c>
      <c r="F69" s="474">
        <f>ROUND(D69,2)*ROUND(E69,2)</f>
        <v>6489.92</v>
      </c>
      <c r="H69" s="492"/>
      <c r="I69" s="493"/>
      <c r="J69" s="494"/>
    </row>
    <row r="70" spans="1:12" s="226" customFormat="1" ht="39" thickBot="1" x14ac:dyDescent="0.25">
      <c r="A70" s="469" t="s">
        <v>108</v>
      </c>
      <c r="B70" s="470" t="str">
        <f>'Planilha Global'!B18</f>
        <v>Execução de pavimento em paralelepípedos, rejuntamento com argamassa traço 1:3 (cimento e areia)</v>
      </c>
      <c r="C70" s="482" t="str">
        <f>F22</f>
        <v>m²</v>
      </c>
      <c r="D70" s="472">
        <f>E22</f>
        <v>341.76</v>
      </c>
      <c r="E70" s="473">
        <f>'Planilha Global'!N18</f>
        <v>107.81</v>
      </c>
      <c r="F70" s="474">
        <f>ROUND(D70,2)*ROUND(E70,2)</f>
        <v>36845.15</v>
      </c>
      <c r="H70" s="495"/>
      <c r="I70" s="496"/>
      <c r="J70" s="497"/>
    </row>
    <row r="71" spans="1:12" s="226" customFormat="1" ht="26.25" customHeight="1" x14ac:dyDescent="0.2">
      <c r="A71" s="469" t="s">
        <v>361</v>
      </c>
      <c r="B71" s="470" t="str">
        <f>'Planilha Global'!B19</f>
        <v>Assentamento de guia (meio-fio) para cordão de travamento do pavimento, em pedra granítica</v>
      </c>
      <c r="C71" s="482" t="str">
        <f>F24</f>
        <v>m</v>
      </c>
      <c r="D71" s="472">
        <f>E24</f>
        <v>5.26</v>
      </c>
      <c r="E71" s="473">
        <f>'Planilha Global'!N19</f>
        <v>62.29</v>
      </c>
      <c r="F71" s="474">
        <f>ROUND(D71,2)*ROUND(E71,2)</f>
        <v>327.64999999999998</v>
      </c>
      <c r="H71" s="492"/>
      <c r="I71" s="493"/>
      <c r="J71" s="494"/>
    </row>
    <row r="72" spans="1:12" s="202" customFormat="1" ht="6.75" customHeight="1" x14ac:dyDescent="0.2">
      <c r="A72" s="486"/>
      <c r="B72" s="487"/>
      <c r="C72" s="482"/>
      <c r="D72" s="472"/>
      <c r="E72" s="488"/>
      <c r="F72" s="474"/>
    </row>
    <row r="73" spans="1:12" s="258" customFormat="1" ht="15" customHeight="1" thickBot="1" x14ac:dyDescent="0.3">
      <c r="A73" s="498" t="s">
        <v>14</v>
      </c>
      <c r="B73" s="499" t="s">
        <v>605</v>
      </c>
      <c r="C73" s="466"/>
      <c r="D73" s="467"/>
      <c r="E73" s="500"/>
      <c r="F73" s="468">
        <f>SUM(F74:F76)</f>
        <v>9620.99</v>
      </c>
      <c r="I73" s="501"/>
      <c r="J73" s="502"/>
      <c r="K73" s="502"/>
      <c r="L73" s="503"/>
    </row>
    <row r="74" spans="1:12" s="226" customFormat="1" ht="51" x14ac:dyDescent="0.2">
      <c r="A74" s="469" t="s">
        <v>15</v>
      </c>
      <c r="B74" s="661" t="str">
        <f>'Planilha Global'!B22</f>
        <v>Alvenaria de blocos cerâmicos furados na horizontal de 9x19x19 cm (espessura 9 cm) e argamassa de assentamento com preparo manual (para contenção das calçadas)</v>
      </c>
      <c r="C74" s="490" t="str">
        <f>F27</f>
        <v>m²</v>
      </c>
      <c r="D74" s="472">
        <f>E27</f>
        <v>2.4700000000000002</v>
      </c>
      <c r="E74" s="473">
        <f>'Planilha Global'!N22</f>
        <v>107.24</v>
      </c>
      <c r="F74" s="474">
        <f>ROUND(D74,2)*ROUND(E74,2)</f>
        <v>264.88</v>
      </c>
      <c r="H74" s="226">
        <v>73.06</v>
      </c>
    </row>
    <row r="75" spans="1:12" s="226" customFormat="1" ht="38.25" x14ac:dyDescent="0.2">
      <c r="A75" s="469" t="s">
        <v>129</v>
      </c>
      <c r="B75" s="661" t="str">
        <f>'Planilha Global'!B23</f>
        <v>Execução de passeio (calçada) ou piso de concreto com concreto moldado in loco, feito em obra, acabamento convencional, não armado</v>
      </c>
      <c r="C75" s="490" t="str">
        <f>F29</f>
        <v>m³</v>
      </c>
      <c r="D75" s="472">
        <f>'José Vieira - T1'!E29</f>
        <v>6.39</v>
      </c>
      <c r="E75" s="473">
        <f>'Planilha Global'!N23</f>
        <v>943.02</v>
      </c>
      <c r="F75" s="474">
        <f>ROUND(D75,2)*ROUND(E75,2)</f>
        <v>6025.9</v>
      </c>
      <c r="H75" s="226">
        <v>703.2</v>
      </c>
    </row>
    <row r="76" spans="1:12" s="226" customFormat="1" ht="25.5" x14ac:dyDescent="0.2">
      <c r="A76" s="469" t="s">
        <v>131</v>
      </c>
      <c r="B76" s="661" t="str">
        <f>'Planilha Global'!B24</f>
        <v>Piso podotátil de alerta ou direcional, de concreto, assentado sobre argamassa</v>
      </c>
      <c r="C76" s="490" t="str">
        <f>F31</f>
        <v>m²</v>
      </c>
      <c r="D76" s="472">
        <f>E31</f>
        <v>19.87</v>
      </c>
      <c r="E76" s="473">
        <f>'Planilha Global'!N24</f>
        <v>167.6</v>
      </c>
      <c r="F76" s="474">
        <f>ROUND(D76,2)*ROUND(E76,2)</f>
        <v>3330.21</v>
      </c>
      <c r="H76" s="226">
        <v>109.78</v>
      </c>
    </row>
    <row r="77" spans="1:12" s="202" customFormat="1" ht="6.75" customHeight="1" x14ac:dyDescent="0.2">
      <c r="A77" s="486"/>
      <c r="B77" s="487"/>
      <c r="C77" s="482"/>
      <c r="D77" s="472"/>
      <c r="E77" s="488"/>
      <c r="F77" s="474"/>
    </row>
    <row r="78" spans="1:12" s="258" customFormat="1" ht="15" customHeight="1" thickBot="1" x14ac:dyDescent="0.3">
      <c r="A78" s="498" t="s">
        <v>157</v>
      </c>
      <c r="B78" s="499" t="s">
        <v>606</v>
      </c>
      <c r="C78" s="466"/>
      <c r="D78" s="467"/>
      <c r="E78" s="500"/>
      <c r="F78" s="468">
        <f>SUM(F79:F82)</f>
        <v>3246.79</v>
      </c>
      <c r="I78" s="501"/>
      <c r="J78" s="502"/>
      <c r="K78" s="502"/>
      <c r="L78" s="503"/>
    </row>
    <row r="79" spans="1:12" s="226" customFormat="1" ht="39" thickBot="1" x14ac:dyDescent="0.25">
      <c r="A79" s="469" t="s">
        <v>158</v>
      </c>
      <c r="B79" s="661" t="str">
        <f>'Planilha Global'!B27</f>
        <v>Concreto Fck = 15mpa, traço 1:3,4:3,5 (em massa seca de cimento/ areia média/ brita 1), preparo mecânico com betoneira 400 L</v>
      </c>
      <c r="C79" s="490" t="str">
        <f>F34</f>
        <v>m³</v>
      </c>
      <c r="D79" s="472">
        <f>E34</f>
        <v>2.1</v>
      </c>
      <c r="E79" s="473">
        <f>'Planilha Global'!N27</f>
        <v>553.16</v>
      </c>
      <c r="F79" s="474">
        <f>ROUND(D79,2)*ROUND(E79,2)</f>
        <v>1161.6400000000001</v>
      </c>
      <c r="H79" s="226">
        <v>410.85</v>
      </c>
    </row>
    <row r="80" spans="1:12" s="202" customFormat="1" ht="25.5" x14ac:dyDescent="0.2">
      <c r="A80" s="469" t="s">
        <v>170</v>
      </c>
      <c r="B80" s="661" t="str">
        <f>'Planilha Global'!B28</f>
        <v>Lançamento com uso de baldes, adensamento e acabamento de concreto em estruturas</v>
      </c>
      <c r="C80" s="490" t="str">
        <f>F36</f>
        <v>m³</v>
      </c>
      <c r="D80" s="472">
        <f>E36</f>
        <v>2.1</v>
      </c>
      <c r="E80" s="473">
        <f>'Planilha Global'!N28</f>
        <v>324.95</v>
      </c>
      <c r="F80" s="474">
        <f>ROUND(D80,2)*ROUND(E80,2)</f>
        <v>682.4</v>
      </c>
      <c r="H80" s="202">
        <v>223.25</v>
      </c>
      <c r="I80" s="506"/>
      <c r="J80" s="507"/>
      <c r="K80" s="507"/>
      <c r="L80" s="508"/>
    </row>
    <row r="81" spans="1:11" s="226" customFormat="1" ht="25.5" x14ac:dyDescent="0.2">
      <c r="A81" s="469" t="s">
        <v>203</v>
      </c>
      <c r="B81" s="661" t="str">
        <f>'Planilha Global'!B29</f>
        <v>Piso podotátil de alerta ou direcional, de concreto, assentado sobre argamassa</v>
      </c>
      <c r="C81" s="490" t="str">
        <f>F38</f>
        <v>m²</v>
      </c>
      <c r="D81" s="472">
        <f>E38</f>
        <v>3.12</v>
      </c>
      <c r="E81" s="473">
        <f>'Planilha Global'!N29</f>
        <v>167.6</v>
      </c>
      <c r="F81" s="474">
        <f>ROUND(D81,2)*ROUND(E81,2)</f>
        <v>522.91</v>
      </c>
      <c r="H81" s="226">
        <v>109.78</v>
      </c>
    </row>
    <row r="82" spans="1:11" s="226" customFormat="1" ht="25.5" x14ac:dyDescent="0.2">
      <c r="A82" s="469" t="s">
        <v>181</v>
      </c>
      <c r="B82" s="661" t="str">
        <f>'Planilha Global'!B30</f>
        <v>Pintura de piso com tinta acrílica, aplicação manual, 2 demãos, incluso fundo preparador</v>
      </c>
      <c r="C82" s="490" t="str">
        <f>F40</f>
        <v>m²</v>
      </c>
      <c r="D82" s="472">
        <f>E40</f>
        <v>36</v>
      </c>
      <c r="E82" s="473">
        <f>'Planilha Global'!N30</f>
        <v>24.44</v>
      </c>
      <c r="F82" s="474">
        <f>ROUND(D82,2)*ROUND(E82,2)</f>
        <v>879.84</v>
      </c>
      <c r="H82" s="226">
        <v>14.87</v>
      </c>
    </row>
    <row r="83" spans="1:11" s="202" customFormat="1" ht="6.75" customHeight="1" x14ac:dyDescent="0.2">
      <c r="A83" s="486"/>
      <c r="B83" s="487"/>
      <c r="C83" s="482"/>
      <c r="D83" s="472"/>
      <c r="E83" s="488"/>
      <c r="F83" s="474"/>
    </row>
    <row r="84" spans="1:11" s="258" customFormat="1" ht="15" customHeight="1" thickBot="1" x14ac:dyDescent="0.3">
      <c r="A84" s="498" t="s">
        <v>174</v>
      </c>
      <c r="B84" s="499" t="s">
        <v>706</v>
      </c>
      <c r="C84" s="466"/>
      <c r="D84" s="467"/>
      <c r="E84" s="500"/>
      <c r="F84" s="468">
        <f>SUM(F85:F86)</f>
        <v>928.9</v>
      </c>
      <c r="H84" s="501"/>
      <c r="I84" s="502"/>
      <c r="J84" s="502"/>
      <c r="K84" s="503"/>
    </row>
    <row r="85" spans="1:11" s="202" customFormat="1" ht="38.25" x14ac:dyDescent="0.2">
      <c r="A85" s="469" t="s">
        <v>175</v>
      </c>
      <c r="B85" s="661" t="str">
        <f>'Planilha Global'!B33</f>
        <v>Fornecimento e instalação de suporte de madeira para placas de sinalização, em solo, com h= de 2,0 m e seção de 7,5 x 7,5 cm</v>
      </c>
      <c r="C85" s="490" t="str">
        <f>F43</f>
        <v>unid</v>
      </c>
      <c r="D85" s="472">
        <f>E43</f>
        <v>2</v>
      </c>
      <c r="E85" s="473">
        <f>'Planilha Global'!N33</f>
        <v>120.58</v>
      </c>
      <c r="F85" s="474">
        <f t="shared" ref="F85:F86" si="1">ROUND(D85*E85,2)</f>
        <v>241.16</v>
      </c>
      <c r="H85" s="665"/>
    </row>
    <row r="86" spans="1:11" s="226" customFormat="1" ht="38.25" x14ac:dyDescent="0.2">
      <c r="A86" s="469" t="s">
        <v>246</v>
      </c>
      <c r="B86" s="661" t="str">
        <f>'Planilha Global'!B34</f>
        <v>Placa de advertência em aço, lado de 0,60 m - película retrorrefletiva tipo I + SI - fornecimento e implantação</v>
      </c>
      <c r="C86" s="490" t="str">
        <f>F45</f>
        <v>unid</v>
      </c>
      <c r="D86" s="472">
        <f>E45</f>
        <v>2</v>
      </c>
      <c r="E86" s="473">
        <f>'Planilha Global'!N34</f>
        <v>343.87</v>
      </c>
      <c r="F86" s="505">
        <f t="shared" si="1"/>
        <v>687.74</v>
      </c>
      <c r="H86" s="226">
        <v>349.41</v>
      </c>
    </row>
    <row r="87" spans="1:11" s="202" customFormat="1" ht="6.75" customHeight="1" x14ac:dyDescent="0.2">
      <c r="A87" s="509"/>
      <c r="B87" s="41"/>
      <c r="C87" s="482"/>
      <c r="D87" s="472"/>
      <c r="E87" s="510"/>
      <c r="F87" s="474"/>
      <c r="H87" s="511"/>
      <c r="K87" s="512"/>
    </row>
    <row r="88" spans="1:11" s="258" customFormat="1" ht="15" customHeight="1" thickBot="1" x14ac:dyDescent="0.3">
      <c r="A88" s="498" t="s">
        <v>254</v>
      </c>
      <c r="B88" s="499" t="s">
        <v>849</v>
      </c>
      <c r="C88" s="466"/>
      <c r="D88" s="467"/>
      <c r="E88" s="500"/>
      <c r="F88" s="468">
        <f>SUM(F89:F91)</f>
        <v>366.82</v>
      </c>
      <c r="H88" s="501"/>
      <c r="I88" s="502"/>
      <c r="J88" s="502"/>
      <c r="K88" s="503"/>
    </row>
    <row r="89" spans="1:11" s="202" customFormat="1" ht="26.25" thickBot="1" x14ac:dyDescent="0.25">
      <c r="A89" s="469" t="s">
        <v>255</v>
      </c>
      <c r="B89" s="661" t="str">
        <f>'Planilha Global'!B37</f>
        <v>Pintura de meio-fio com tinta branca a base de cal (caiação)</v>
      </c>
      <c r="C89" s="490" t="str">
        <f>F48</f>
        <v>m²</v>
      </c>
      <c r="D89" s="472">
        <f>E48</f>
        <v>36.69</v>
      </c>
      <c r="E89" s="473">
        <f>'Planilha Global'!N37</f>
        <v>1.78</v>
      </c>
      <c r="F89" s="474">
        <f>ROUND(D89,2)*ROUND(E89,2)</f>
        <v>65.31</v>
      </c>
      <c r="H89" s="506"/>
      <c r="I89" s="507"/>
      <c r="J89" s="507"/>
      <c r="K89" s="508"/>
    </row>
    <row r="90" spans="1:11" s="202" customFormat="1" ht="25.5" x14ac:dyDescent="0.2">
      <c r="A90" s="469" t="s">
        <v>853</v>
      </c>
      <c r="B90" s="661" t="str">
        <f>'Planilha Global'!B38</f>
        <v>Placa esmaltada para identificação de nome de rua, dimensões 45x20cm</v>
      </c>
      <c r="C90" s="490" t="str">
        <f>F50</f>
        <v>unid</v>
      </c>
      <c r="D90" s="472">
        <f>E50</f>
        <v>1</v>
      </c>
      <c r="E90" s="473">
        <f>'Planilha Global'!N38</f>
        <v>180.93</v>
      </c>
      <c r="F90" s="474">
        <f>ROUND(D90,2)*ROUND(E90,2)</f>
        <v>180.93</v>
      </c>
      <c r="H90" s="506"/>
      <c r="I90" s="507"/>
      <c r="J90" s="507"/>
      <c r="K90" s="508"/>
    </row>
    <row r="91" spans="1:11" s="202" customFormat="1" ht="38.25" x14ac:dyDescent="0.2">
      <c r="A91" s="469" t="s">
        <v>882</v>
      </c>
      <c r="B91" s="661" t="str">
        <f>'Planilha Global'!B39</f>
        <v>Fornecimento e instalação de suporte de madeira para placas de identificação de rua, em solo, com h= de 2,0 m e seção de 7,5 x 7,5 cm</v>
      </c>
      <c r="C91" s="490" t="str">
        <f>F52</f>
        <v>unid</v>
      </c>
      <c r="D91" s="472">
        <f>E52</f>
        <v>1</v>
      </c>
      <c r="E91" s="473">
        <f>'Planilha Global'!N39</f>
        <v>120.58</v>
      </c>
      <c r="F91" s="474">
        <f t="shared" ref="F91" si="2">ROUND(D91*E91,2)</f>
        <v>120.58</v>
      </c>
      <c r="H91" s="665"/>
    </row>
    <row r="92" spans="1:11" s="202" customFormat="1" ht="6.75" customHeight="1" x14ac:dyDescent="0.2">
      <c r="A92" s="509"/>
      <c r="B92" s="41"/>
      <c r="C92" s="482"/>
      <c r="D92" s="472"/>
      <c r="E92" s="510"/>
      <c r="F92" s="474"/>
      <c r="H92" s="511"/>
      <c r="K92" s="512"/>
    </row>
    <row r="93" spans="1:11" s="202" customFormat="1" ht="12.75" customHeight="1" x14ac:dyDescent="0.2">
      <c r="A93" s="727" t="s">
        <v>440</v>
      </c>
      <c r="B93" s="728"/>
      <c r="C93" s="728"/>
      <c r="D93" s="728"/>
      <c r="E93" s="728"/>
      <c r="F93" s="543">
        <f>F62+F65+F68+F73+F78+F84+F88</f>
        <v>58717.06</v>
      </c>
    </row>
    <row r="94" spans="1:11" s="202" customFormat="1" ht="5.25" customHeight="1" x14ac:dyDescent="0.2">
      <c r="B94" s="256"/>
      <c r="C94" s="281"/>
      <c r="E94" s="281"/>
    </row>
    <row r="95" spans="1:11" s="202" customFormat="1" ht="12.75" customHeight="1" x14ac:dyDescent="0.2">
      <c r="A95" s="64" t="s">
        <v>1052</v>
      </c>
      <c r="B95" s="256"/>
      <c r="C95" s="281"/>
      <c r="E95" s="281"/>
      <c r="F95" s="513"/>
      <c r="G95" s="202">
        <f>175162.63/D70</f>
        <v>512.53110369850197</v>
      </c>
    </row>
    <row r="96" spans="1:11" s="202" customFormat="1" ht="12.75" customHeight="1" x14ac:dyDescent="0.2">
      <c r="A96" s="64" t="str">
        <f>'Composição Custos Unit'!G37</f>
        <v>Referência: SINAPI PB Fevereiro/25; DER PB Jan-Mar/25</v>
      </c>
      <c r="B96" s="256"/>
      <c r="C96" s="636" t="str">
        <f>'Planilha Global'!A43</f>
        <v>BDI: 28,99%</v>
      </c>
      <c r="E96" s="281"/>
    </row>
    <row r="97" spans="5:7" s="202" customFormat="1" ht="12.75" customHeight="1" x14ac:dyDescent="0.2">
      <c r="E97" s="281"/>
      <c r="F97" s="247"/>
    </row>
    <row r="98" spans="5:7" ht="12.75" customHeight="1" x14ac:dyDescent="0.2">
      <c r="F98" s="114">
        <f>F93+'José Vieira - T2'!F108+'José Vieira - T3'!F92</f>
        <v>221623.05</v>
      </c>
      <c r="G98" t="e">
        <f>F93/#REF!</f>
        <v>#REF!</v>
      </c>
    </row>
    <row r="99" spans="5:7" ht="12.75" customHeight="1" x14ac:dyDescent="0.2">
      <c r="F99" s="514">
        <f>F93/D66</f>
        <v>171.81</v>
      </c>
    </row>
    <row r="101" spans="5:7" x14ac:dyDescent="0.2">
      <c r="F101" s="514">
        <f>'Maria Livramento - T1'!F106+'Maria Livramento - T2'!F108+'Fábio Vaz - T1'!F114+'José Vieira - T1'!F93</f>
        <v>426795.48</v>
      </c>
    </row>
  </sheetData>
  <mergeCells count="35">
    <mergeCell ref="A93:E93"/>
    <mergeCell ref="A47:B47"/>
    <mergeCell ref="B48:D48"/>
    <mergeCell ref="B50:D50"/>
    <mergeCell ref="B52:D52"/>
    <mergeCell ref="A57:F57"/>
    <mergeCell ref="A58:F58"/>
    <mergeCell ref="A60:A61"/>
    <mergeCell ref="B60:B61"/>
    <mergeCell ref="C60:C61"/>
    <mergeCell ref="D60:D61"/>
    <mergeCell ref="E60:F60"/>
    <mergeCell ref="B45:D45"/>
    <mergeCell ref="A26:B26"/>
    <mergeCell ref="B27:D27"/>
    <mergeCell ref="B29:D29"/>
    <mergeCell ref="B31:D31"/>
    <mergeCell ref="A33:B33"/>
    <mergeCell ref="B34:D34"/>
    <mergeCell ref="B36:D36"/>
    <mergeCell ref="B38:D38"/>
    <mergeCell ref="B40:D40"/>
    <mergeCell ref="A42:B42"/>
    <mergeCell ref="B43:D43"/>
    <mergeCell ref="B24:D24"/>
    <mergeCell ref="A16:B16"/>
    <mergeCell ref="A4:F4"/>
    <mergeCell ref="C8:F8"/>
    <mergeCell ref="C10:F10"/>
    <mergeCell ref="B17:D17"/>
    <mergeCell ref="A19:B19"/>
    <mergeCell ref="B14:D14"/>
    <mergeCell ref="B20:D20"/>
    <mergeCell ref="B22:D22"/>
    <mergeCell ref="A13:B13"/>
  </mergeCells>
  <printOptions horizontalCentered="1"/>
  <pageMargins left="0.51181102362204722" right="0.51181102362204722" top="0.39370078740157483" bottom="0.59055118110236227" header="0.31496062992125984" footer="0.31496062992125984"/>
  <pageSetup paperSize="9" scale="91" orientation="portrait" r:id="rId1"/>
  <rowBreaks count="1" manualBreakCount="1">
    <brk id="53" max="5" man="1"/>
  </rowBreaks>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89EF32-2D1E-432F-A57D-C200E69EBD3C}">
  <dimension ref="A1:S116"/>
  <sheetViews>
    <sheetView view="pageBreakPreview" zoomScaleNormal="100" zoomScaleSheetLayoutView="100" workbookViewId="0">
      <selection activeCell="O28" activeCellId="1" sqref="R15 O28"/>
    </sheetView>
  </sheetViews>
  <sheetFormatPr defaultRowHeight="12.75" x14ac:dyDescent="0.2"/>
  <cols>
    <col min="1" max="1" width="4.7109375" customWidth="1"/>
    <col min="2" max="2" width="45" customWidth="1"/>
    <col min="3" max="3" width="8.42578125" customWidth="1"/>
    <col min="4" max="4" width="14.28515625" customWidth="1"/>
    <col min="5" max="5" width="9.28515625" bestFit="1" customWidth="1"/>
    <col min="6" max="6" width="12.140625" customWidth="1"/>
    <col min="7" max="7" width="14.42578125" customWidth="1"/>
    <col min="8" max="8" width="12.5703125" customWidth="1"/>
    <col min="9" max="9" width="17.7109375" customWidth="1"/>
    <col min="257" max="257" width="4.7109375" customWidth="1"/>
    <col min="258" max="258" width="45" customWidth="1"/>
    <col min="259" max="259" width="8.42578125" customWidth="1"/>
    <col min="260" max="260" width="14.28515625" customWidth="1"/>
    <col min="261" max="261" width="9.28515625" bestFit="1" customWidth="1"/>
    <col min="262" max="262" width="12.140625" customWidth="1"/>
    <col min="263" max="263" width="14.42578125" customWidth="1"/>
    <col min="264" max="264" width="12.5703125" customWidth="1"/>
    <col min="265" max="265" width="17.7109375" customWidth="1"/>
    <col min="513" max="513" width="4.7109375" customWidth="1"/>
    <col min="514" max="514" width="45" customWidth="1"/>
    <col min="515" max="515" width="8.42578125" customWidth="1"/>
    <col min="516" max="516" width="14.28515625" customWidth="1"/>
    <col min="517" max="517" width="9.28515625" bestFit="1" customWidth="1"/>
    <col min="518" max="518" width="12.140625" customWidth="1"/>
    <col min="519" max="519" width="14.42578125" customWidth="1"/>
    <col min="520" max="520" width="12.5703125" customWidth="1"/>
    <col min="521" max="521" width="17.7109375" customWidth="1"/>
    <col min="769" max="769" width="4.7109375" customWidth="1"/>
    <col min="770" max="770" width="45" customWidth="1"/>
    <col min="771" max="771" width="8.42578125" customWidth="1"/>
    <col min="772" max="772" width="14.28515625" customWidth="1"/>
    <col min="773" max="773" width="9.28515625" bestFit="1" customWidth="1"/>
    <col min="774" max="774" width="12.140625" customWidth="1"/>
    <col min="775" max="775" width="14.42578125" customWidth="1"/>
    <col min="776" max="776" width="12.5703125" customWidth="1"/>
    <col min="777" max="777" width="17.7109375" customWidth="1"/>
    <col min="1025" max="1025" width="4.7109375" customWidth="1"/>
    <col min="1026" max="1026" width="45" customWidth="1"/>
    <col min="1027" max="1027" width="8.42578125" customWidth="1"/>
    <col min="1028" max="1028" width="14.28515625" customWidth="1"/>
    <col min="1029" max="1029" width="9.28515625" bestFit="1" customWidth="1"/>
    <col min="1030" max="1030" width="12.140625" customWidth="1"/>
    <col min="1031" max="1031" width="14.42578125" customWidth="1"/>
    <col min="1032" max="1032" width="12.5703125" customWidth="1"/>
    <col min="1033" max="1033" width="17.7109375" customWidth="1"/>
    <col min="1281" max="1281" width="4.7109375" customWidth="1"/>
    <col min="1282" max="1282" width="45" customWidth="1"/>
    <col min="1283" max="1283" width="8.42578125" customWidth="1"/>
    <col min="1284" max="1284" width="14.28515625" customWidth="1"/>
    <col min="1285" max="1285" width="9.28515625" bestFit="1" customWidth="1"/>
    <col min="1286" max="1286" width="12.140625" customWidth="1"/>
    <col min="1287" max="1287" width="14.42578125" customWidth="1"/>
    <col min="1288" max="1288" width="12.5703125" customWidth="1"/>
    <col min="1289" max="1289" width="17.7109375" customWidth="1"/>
    <col min="1537" max="1537" width="4.7109375" customWidth="1"/>
    <col min="1538" max="1538" width="45" customWidth="1"/>
    <col min="1539" max="1539" width="8.42578125" customWidth="1"/>
    <col min="1540" max="1540" width="14.28515625" customWidth="1"/>
    <col min="1541" max="1541" width="9.28515625" bestFit="1" customWidth="1"/>
    <col min="1542" max="1542" width="12.140625" customWidth="1"/>
    <col min="1543" max="1543" width="14.42578125" customWidth="1"/>
    <col min="1544" max="1544" width="12.5703125" customWidth="1"/>
    <col min="1545" max="1545" width="17.7109375" customWidth="1"/>
    <col min="1793" max="1793" width="4.7109375" customWidth="1"/>
    <col min="1794" max="1794" width="45" customWidth="1"/>
    <col min="1795" max="1795" width="8.42578125" customWidth="1"/>
    <col min="1796" max="1796" width="14.28515625" customWidth="1"/>
    <col min="1797" max="1797" width="9.28515625" bestFit="1" customWidth="1"/>
    <col min="1798" max="1798" width="12.140625" customWidth="1"/>
    <col min="1799" max="1799" width="14.42578125" customWidth="1"/>
    <col min="1800" max="1800" width="12.5703125" customWidth="1"/>
    <col min="1801" max="1801" width="17.7109375" customWidth="1"/>
    <col min="2049" max="2049" width="4.7109375" customWidth="1"/>
    <col min="2050" max="2050" width="45" customWidth="1"/>
    <col min="2051" max="2051" width="8.42578125" customWidth="1"/>
    <col min="2052" max="2052" width="14.28515625" customWidth="1"/>
    <col min="2053" max="2053" width="9.28515625" bestFit="1" customWidth="1"/>
    <col min="2054" max="2054" width="12.140625" customWidth="1"/>
    <col min="2055" max="2055" width="14.42578125" customWidth="1"/>
    <col min="2056" max="2056" width="12.5703125" customWidth="1"/>
    <col min="2057" max="2057" width="17.7109375" customWidth="1"/>
    <col min="2305" max="2305" width="4.7109375" customWidth="1"/>
    <col min="2306" max="2306" width="45" customWidth="1"/>
    <col min="2307" max="2307" width="8.42578125" customWidth="1"/>
    <col min="2308" max="2308" width="14.28515625" customWidth="1"/>
    <col min="2309" max="2309" width="9.28515625" bestFit="1" customWidth="1"/>
    <col min="2310" max="2310" width="12.140625" customWidth="1"/>
    <col min="2311" max="2311" width="14.42578125" customWidth="1"/>
    <col min="2312" max="2312" width="12.5703125" customWidth="1"/>
    <col min="2313" max="2313" width="17.7109375" customWidth="1"/>
    <col min="2561" max="2561" width="4.7109375" customWidth="1"/>
    <col min="2562" max="2562" width="45" customWidth="1"/>
    <col min="2563" max="2563" width="8.42578125" customWidth="1"/>
    <col min="2564" max="2564" width="14.28515625" customWidth="1"/>
    <col min="2565" max="2565" width="9.28515625" bestFit="1" customWidth="1"/>
    <col min="2566" max="2566" width="12.140625" customWidth="1"/>
    <col min="2567" max="2567" width="14.42578125" customWidth="1"/>
    <col min="2568" max="2568" width="12.5703125" customWidth="1"/>
    <col min="2569" max="2569" width="17.7109375" customWidth="1"/>
    <col min="2817" max="2817" width="4.7109375" customWidth="1"/>
    <col min="2818" max="2818" width="45" customWidth="1"/>
    <col min="2819" max="2819" width="8.42578125" customWidth="1"/>
    <col min="2820" max="2820" width="14.28515625" customWidth="1"/>
    <col min="2821" max="2821" width="9.28515625" bestFit="1" customWidth="1"/>
    <col min="2822" max="2822" width="12.140625" customWidth="1"/>
    <col min="2823" max="2823" width="14.42578125" customWidth="1"/>
    <col min="2824" max="2824" width="12.5703125" customWidth="1"/>
    <col min="2825" max="2825" width="17.7109375" customWidth="1"/>
    <col min="3073" max="3073" width="4.7109375" customWidth="1"/>
    <col min="3074" max="3074" width="45" customWidth="1"/>
    <col min="3075" max="3075" width="8.42578125" customWidth="1"/>
    <col min="3076" max="3076" width="14.28515625" customWidth="1"/>
    <col min="3077" max="3077" width="9.28515625" bestFit="1" customWidth="1"/>
    <col min="3078" max="3078" width="12.140625" customWidth="1"/>
    <col min="3079" max="3079" width="14.42578125" customWidth="1"/>
    <col min="3080" max="3080" width="12.5703125" customWidth="1"/>
    <col min="3081" max="3081" width="17.7109375" customWidth="1"/>
    <col min="3329" max="3329" width="4.7109375" customWidth="1"/>
    <col min="3330" max="3330" width="45" customWidth="1"/>
    <col min="3331" max="3331" width="8.42578125" customWidth="1"/>
    <col min="3332" max="3332" width="14.28515625" customWidth="1"/>
    <col min="3333" max="3333" width="9.28515625" bestFit="1" customWidth="1"/>
    <col min="3334" max="3334" width="12.140625" customWidth="1"/>
    <col min="3335" max="3335" width="14.42578125" customWidth="1"/>
    <col min="3336" max="3336" width="12.5703125" customWidth="1"/>
    <col min="3337" max="3337" width="17.7109375" customWidth="1"/>
    <col min="3585" max="3585" width="4.7109375" customWidth="1"/>
    <col min="3586" max="3586" width="45" customWidth="1"/>
    <col min="3587" max="3587" width="8.42578125" customWidth="1"/>
    <col min="3588" max="3588" width="14.28515625" customWidth="1"/>
    <col min="3589" max="3589" width="9.28515625" bestFit="1" customWidth="1"/>
    <col min="3590" max="3590" width="12.140625" customWidth="1"/>
    <col min="3591" max="3591" width="14.42578125" customWidth="1"/>
    <col min="3592" max="3592" width="12.5703125" customWidth="1"/>
    <col min="3593" max="3593" width="17.7109375" customWidth="1"/>
    <col min="3841" max="3841" width="4.7109375" customWidth="1"/>
    <col min="3842" max="3842" width="45" customWidth="1"/>
    <col min="3843" max="3843" width="8.42578125" customWidth="1"/>
    <col min="3844" max="3844" width="14.28515625" customWidth="1"/>
    <col min="3845" max="3845" width="9.28515625" bestFit="1" customWidth="1"/>
    <col min="3846" max="3846" width="12.140625" customWidth="1"/>
    <col min="3847" max="3847" width="14.42578125" customWidth="1"/>
    <col min="3848" max="3848" width="12.5703125" customWidth="1"/>
    <col min="3849" max="3849" width="17.7109375" customWidth="1"/>
    <col min="4097" max="4097" width="4.7109375" customWidth="1"/>
    <col min="4098" max="4098" width="45" customWidth="1"/>
    <col min="4099" max="4099" width="8.42578125" customWidth="1"/>
    <col min="4100" max="4100" width="14.28515625" customWidth="1"/>
    <col min="4101" max="4101" width="9.28515625" bestFit="1" customWidth="1"/>
    <col min="4102" max="4102" width="12.140625" customWidth="1"/>
    <col min="4103" max="4103" width="14.42578125" customWidth="1"/>
    <col min="4104" max="4104" width="12.5703125" customWidth="1"/>
    <col min="4105" max="4105" width="17.7109375" customWidth="1"/>
    <col min="4353" max="4353" width="4.7109375" customWidth="1"/>
    <col min="4354" max="4354" width="45" customWidth="1"/>
    <col min="4355" max="4355" width="8.42578125" customWidth="1"/>
    <col min="4356" max="4356" width="14.28515625" customWidth="1"/>
    <col min="4357" max="4357" width="9.28515625" bestFit="1" customWidth="1"/>
    <col min="4358" max="4358" width="12.140625" customWidth="1"/>
    <col min="4359" max="4359" width="14.42578125" customWidth="1"/>
    <col min="4360" max="4360" width="12.5703125" customWidth="1"/>
    <col min="4361" max="4361" width="17.7109375" customWidth="1"/>
    <col min="4609" max="4609" width="4.7109375" customWidth="1"/>
    <col min="4610" max="4610" width="45" customWidth="1"/>
    <col min="4611" max="4611" width="8.42578125" customWidth="1"/>
    <col min="4612" max="4612" width="14.28515625" customWidth="1"/>
    <col min="4613" max="4613" width="9.28515625" bestFit="1" customWidth="1"/>
    <col min="4614" max="4614" width="12.140625" customWidth="1"/>
    <col min="4615" max="4615" width="14.42578125" customWidth="1"/>
    <col min="4616" max="4616" width="12.5703125" customWidth="1"/>
    <col min="4617" max="4617" width="17.7109375" customWidth="1"/>
    <col min="4865" max="4865" width="4.7109375" customWidth="1"/>
    <col min="4866" max="4866" width="45" customWidth="1"/>
    <col min="4867" max="4867" width="8.42578125" customWidth="1"/>
    <col min="4868" max="4868" width="14.28515625" customWidth="1"/>
    <col min="4869" max="4869" width="9.28515625" bestFit="1" customWidth="1"/>
    <col min="4870" max="4870" width="12.140625" customWidth="1"/>
    <col min="4871" max="4871" width="14.42578125" customWidth="1"/>
    <col min="4872" max="4872" width="12.5703125" customWidth="1"/>
    <col min="4873" max="4873" width="17.7109375" customWidth="1"/>
    <col min="5121" max="5121" width="4.7109375" customWidth="1"/>
    <col min="5122" max="5122" width="45" customWidth="1"/>
    <col min="5123" max="5123" width="8.42578125" customWidth="1"/>
    <col min="5124" max="5124" width="14.28515625" customWidth="1"/>
    <col min="5125" max="5125" width="9.28515625" bestFit="1" customWidth="1"/>
    <col min="5126" max="5126" width="12.140625" customWidth="1"/>
    <col min="5127" max="5127" width="14.42578125" customWidth="1"/>
    <col min="5128" max="5128" width="12.5703125" customWidth="1"/>
    <col min="5129" max="5129" width="17.7109375" customWidth="1"/>
    <col min="5377" max="5377" width="4.7109375" customWidth="1"/>
    <col min="5378" max="5378" width="45" customWidth="1"/>
    <col min="5379" max="5379" width="8.42578125" customWidth="1"/>
    <col min="5380" max="5380" width="14.28515625" customWidth="1"/>
    <col min="5381" max="5381" width="9.28515625" bestFit="1" customWidth="1"/>
    <col min="5382" max="5382" width="12.140625" customWidth="1"/>
    <col min="5383" max="5383" width="14.42578125" customWidth="1"/>
    <col min="5384" max="5384" width="12.5703125" customWidth="1"/>
    <col min="5385" max="5385" width="17.7109375" customWidth="1"/>
    <col min="5633" max="5633" width="4.7109375" customWidth="1"/>
    <col min="5634" max="5634" width="45" customWidth="1"/>
    <col min="5635" max="5635" width="8.42578125" customWidth="1"/>
    <col min="5636" max="5636" width="14.28515625" customWidth="1"/>
    <col min="5637" max="5637" width="9.28515625" bestFit="1" customWidth="1"/>
    <col min="5638" max="5638" width="12.140625" customWidth="1"/>
    <col min="5639" max="5639" width="14.42578125" customWidth="1"/>
    <col min="5640" max="5640" width="12.5703125" customWidth="1"/>
    <col min="5641" max="5641" width="17.7109375" customWidth="1"/>
    <col min="5889" max="5889" width="4.7109375" customWidth="1"/>
    <col min="5890" max="5890" width="45" customWidth="1"/>
    <col min="5891" max="5891" width="8.42578125" customWidth="1"/>
    <col min="5892" max="5892" width="14.28515625" customWidth="1"/>
    <col min="5893" max="5893" width="9.28515625" bestFit="1" customWidth="1"/>
    <col min="5894" max="5894" width="12.140625" customWidth="1"/>
    <col min="5895" max="5895" width="14.42578125" customWidth="1"/>
    <col min="5896" max="5896" width="12.5703125" customWidth="1"/>
    <col min="5897" max="5897" width="17.7109375" customWidth="1"/>
    <col min="6145" max="6145" width="4.7109375" customWidth="1"/>
    <col min="6146" max="6146" width="45" customWidth="1"/>
    <col min="6147" max="6147" width="8.42578125" customWidth="1"/>
    <col min="6148" max="6148" width="14.28515625" customWidth="1"/>
    <col min="6149" max="6149" width="9.28515625" bestFit="1" customWidth="1"/>
    <col min="6150" max="6150" width="12.140625" customWidth="1"/>
    <col min="6151" max="6151" width="14.42578125" customWidth="1"/>
    <col min="6152" max="6152" width="12.5703125" customWidth="1"/>
    <col min="6153" max="6153" width="17.7109375" customWidth="1"/>
    <col min="6401" max="6401" width="4.7109375" customWidth="1"/>
    <col min="6402" max="6402" width="45" customWidth="1"/>
    <col min="6403" max="6403" width="8.42578125" customWidth="1"/>
    <col min="6404" max="6404" width="14.28515625" customWidth="1"/>
    <col min="6405" max="6405" width="9.28515625" bestFit="1" customWidth="1"/>
    <col min="6406" max="6406" width="12.140625" customWidth="1"/>
    <col min="6407" max="6407" width="14.42578125" customWidth="1"/>
    <col min="6408" max="6408" width="12.5703125" customWidth="1"/>
    <col min="6409" max="6409" width="17.7109375" customWidth="1"/>
    <col min="6657" max="6657" width="4.7109375" customWidth="1"/>
    <col min="6658" max="6658" width="45" customWidth="1"/>
    <col min="6659" max="6659" width="8.42578125" customWidth="1"/>
    <col min="6660" max="6660" width="14.28515625" customWidth="1"/>
    <col min="6661" max="6661" width="9.28515625" bestFit="1" customWidth="1"/>
    <col min="6662" max="6662" width="12.140625" customWidth="1"/>
    <col min="6663" max="6663" width="14.42578125" customWidth="1"/>
    <col min="6664" max="6664" width="12.5703125" customWidth="1"/>
    <col min="6665" max="6665" width="17.7109375" customWidth="1"/>
    <col min="6913" max="6913" width="4.7109375" customWidth="1"/>
    <col min="6914" max="6914" width="45" customWidth="1"/>
    <col min="6915" max="6915" width="8.42578125" customWidth="1"/>
    <col min="6916" max="6916" width="14.28515625" customWidth="1"/>
    <col min="6917" max="6917" width="9.28515625" bestFit="1" customWidth="1"/>
    <col min="6918" max="6918" width="12.140625" customWidth="1"/>
    <col min="6919" max="6919" width="14.42578125" customWidth="1"/>
    <col min="6920" max="6920" width="12.5703125" customWidth="1"/>
    <col min="6921" max="6921" width="17.7109375" customWidth="1"/>
    <col min="7169" max="7169" width="4.7109375" customWidth="1"/>
    <col min="7170" max="7170" width="45" customWidth="1"/>
    <col min="7171" max="7171" width="8.42578125" customWidth="1"/>
    <col min="7172" max="7172" width="14.28515625" customWidth="1"/>
    <col min="7173" max="7173" width="9.28515625" bestFit="1" customWidth="1"/>
    <col min="7174" max="7174" width="12.140625" customWidth="1"/>
    <col min="7175" max="7175" width="14.42578125" customWidth="1"/>
    <col min="7176" max="7176" width="12.5703125" customWidth="1"/>
    <col min="7177" max="7177" width="17.7109375" customWidth="1"/>
    <col min="7425" max="7425" width="4.7109375" customWidth="1"/>
    <col min="7426" max="7426" width="45" customWidth="1"/>
    <col min="7427" max="7427" width="8.42578125" customWidth="1"/>
    <col min="7428" max="7428" width="14.28515625" customWidth="1"/>
    <col min="7429" max="7429" width="9.28515625" bestFit="1" customWidth="1"/>
    <col min="7430" max="7430" width="12.140625" customWidth="1"/>
    <col min="7431" max="7431" width="14.42578125" customWidth="1"/>
    <col min="7432" max="7432" width="12.5703125" customWidth="1"/>
    <col min="7433" max="7433" width="17.7109375" customWidth="1"/>
    <col min="7681" max="7681" width="4.7109375" customWidth="1"/>
    <col min="7682" max="7682" width="45" customWidth="1"/>
    <col min="7683" max="7683" width="8.42578125" customWidth="1"/>
    <col min="7684" max="7684" width="14.28515625" customWidth="1"/>
    <col min="7685" max="7685" width="9.28515625" bestFit="1" customWidth="1"/>
    <col min="7686" max="7686" width="12.140625" customWidth="1"/>
    <col min="7687" max="7687" width="14.42578125" customWidth="1"/>
    <col min="7688" max="7688" width="12.5703125" customWidth="1"/>
    <col min="7689" max="7689" width="17.7109375" customWidth="1"/>
    <col min="7937" max="7937" width="4.7109375" customWidth="1"/>
    <col min="7938" max="7938" width="45" customWidth="1"/>
    <col min="7939" max="7939" width="8.42578125" customWidth="1"/>
    <col min="7940" max="7940" width="14.28515625" customWidth="1"/>
    <col min="7941" max="7941" width="9.28515625" bestFit="1" customWidth="1"/>
    <col min="7942" max="7942" width="12.140625" customWidth="1"/>
    <col min="7943" max="7943" width="14.42578125" customWidth="1"/>
    <col min="7944" max="7944" width="12.5703125" customWidth="1"/>
    <col min="7945" max="7945" width="17.7109375" customWidth="1"/>
    <col min="8193" max="8193" width="4.7109375" customWidth="1"/>
    <col min="8194" max="8194" width="45" customWidth="1"/>
    <col min="8195" max="8195" width="8.42578125" customWidth="1"/>
    <col min="8196" max="8196" width="14.28515625" customWidth="1"/>
    <col min="8197" max="8197" width="9.28515625" bestFit="1" customWidth="1"/>
    <col min="8198" max="8198" width="12.140625" customWidth="1"/>
    <col min="8199" max="8199" width="14.42578125" customWidth="1"/>
    <col min="8200" max="8200" width="12.5703125" customWidth="1"/>
    <col min="8201" max="8201" width="17.7109375" customWidth="1"/>
    <col min="8449" max="8449" width="4.7109375" customWidth="1"/>
    <col min="8450" max="8450" width="45" customWidth="1"/>
    <col min="8451" max="8451" width="8.42578125" customWidth="1"/>
    <col min="8452" max="8452" width="14.28515625" customWidth="1"/>
    <col min="8453" max="8453" width="9.28515625" bestFit="1" customWidth="1"/>
    <col min="8454" max="8454" width="12.140625" customWidth="1"/>
    <col min="8455" max="8455" width="14.42578125" customWidth="1"/>
    <col min="8456" max="8456" width="12.5703125" customWidth="1"/>
    <col min="8457" max="8457" width="17.7109375" customWidth="1"/>
    <col min="8705" max="8705" width="4.7109375" customWidth="1"/>
    <col min="8706" max="8706" width="45" customWidth="1"/>
    <col min="8707" max="8707" width="8.42578125" customWidth="1"/>
    <col min="8708" max="8708" width="14.28515625" customWidth="1"/>
    <col min="8709" max="8709" width="9.28515625" bestFit="1" customWidth="1"/>
    <col min="8710" max="8710" width="12.140625" customWidth="1"/>
    <col min="8711" max="8711" width="14.42578125" customWidth="1"/>
    <col min="8712" max="8712" width="12.5703125" customWidth="1"/>
    <col min="8713" max="8713" width="17.7109375" customWidth="1"/>
    <col min="8961" max="8961" width="4.7109375" customWidth="1"/>
    <col min="8962" max="8962" width="45" customWidth="1"/>
    <col min="8963" max="8963" width="8.42578125" customWidth="1"/>
    <col min="8964" max="8964" width="14.28515625" customWidth="1"/>
    <col min="8965" max="8965" width="9.28515625" bestFit="1" customWidth="1"/>
    <col min="8966" max="8966" width="12.140625" customWidth="1"/>
    <col min="8967" max="8967" width="14.42578125" customWidth="1"/>
    <col min="8968" max="8968" width="12.5703125" customWidth="1"/>
    <col min="8969" max="8969" width="17.7109375" customWidth="1"/>
    <col min="9217" max="9217" width="4.7109375" customWidth="1"/>
    <col min="9218" max="9218" width="45" customWidth="1"/>
    <col min="9219" max="9219" width="8.42578125" customWidth="1"/>
    <col min="9220" max="9220" width="14.28515625" customWidth="1"/>
    <col min="9221" max="9221" width="9.28515625" bestFit="1" customWidth="1"/>
    <col min="9222" max="9222" width="12.140625" customWidth="1"/>
    <col min="9223" max="9223" width="14.42578125" customWidth="1"/>
    <col min="9224" max="9224" width="12.5703125" customWidth="1"/>
    <col min="9225" max="9225" width="17.7109375" customWidth="1"/>
    <col min="9473" max="9473" width="4.7109375" customWidth="1"/>
    <col min="9474" max="9474" width="45" customWidth="1"/>
    <col min="9475" max="9475" width="8.42578125" customWidth="1"/>
    <col min="9476" max="9476" width="14.28515625" customWidth="1"/>
    <col min="9477" max="9477" width="9.28515625" bestFit="1" customWidth="1"/>
    <col min="9478" max="9478" width="12.140625" customWidth="1"/>
    <col min="9479" max="9479" width="14.42578125" customWidth="1"/>
    <col min="9480" max="9480" width="12.5703125" customWidth="1"/>
    <col min="9481" max="9481" width="17.7109375" customWidth="1"/>
    <col min="9729" max="9729" width="4.7109375" customWidth="1"/>
    <col min="9730" max="9730" width="45" customWidth="1"/>
    <col min="9731" max="9731" width="8.42578125" customWidth="1"/>
    <col min="9732" max="9732" width="14.28515625" customWidth="1"/>
    <col min="9733" max="9733" width="9.28515625" bestFit="1" customWidth="1"/>
    <col min="9734" max="9734" width="12.140625" customWidth="1"/>
    <col min="9735" max="9735" width="14.42578125" customWidth="1"/>
    <col min="9736" max="9736" width="12.5703125" customWidth="1"/>
    <col min="9737" max="9737" width="17.7109375" customWidth="1"/>
    <col min="9985" max="9985" width="4.7109375" customWidth="1"/>
    <col min="9986" max="9986" width="45" customWidth="1"/>
    <col min="9987" max="9987" width="8.42578125" customWidth="1"/>
    <col min="9988" max="9988" width="14.28515625" customWidth="1"/>
    <col min="9989" max="9989" width="9.28515625" bestFit="1" customWidth="1"/>
    <col min="9990" max="9990" width="12.140625" customWidth="1"/>
    <col min="9991" max="9991" width="14.42578125" customWidth="1"/>
    <col min="9992" max="9992" width="12.5703125" customWidth="1"/>
    <col min="9993" max="9993" width="17.7109375" customWidth="1"/>
    <col min="10241" max="10241" width="4.7109375" customWidth="1"/>
    <col min="10242" max="10242" width="45" customWidth="1"/>
    <col min="10243" max="10243" width="8.42578125" customWidth="1"/>
    <col min="10244" max="10244" width="14.28515625" customWidth="1"/>
    <col min="10245" max="10245" width="9.28515625" bestFit="1" customWidth="1"/>
    <col min="10246" max="10246" width="12.140625" customWidth="1"/>
    <col min="10247" max="10247" width="14.42578125" customWidth="1"/>
    <col min="10248" max="10248" width="12.5703125" customWidth="1"/>
    <col min="10249" max="10249" width="17.7109375" customWidth="1"/>
    <col min="10497" max="10497" width="4.7109375" customWidth="1"/>
    <col min="10498" max="10498" width="45" customWidth="1"/>
    <col min="10499" max="10499" width="8.42578125" customWidth="1"/>
    <col min="10500" max="10500" width="14.28515625" customWidth="1"/>
    <col min="10501" max="10501" width="9.28515625" bestFit="1" customWidth="1"/>
    <col min="10502" max="10502" width="12.140625" customWidth="1"/>
    <col min="10503" max="10503" width="14.42578125" customWidth="1"/>
    <col min="10504" max="10504" width="12.5703125" customWidth="1"/>
    <col min="10505" max="10505" width="17.7109375" customWidth="1"/>
    <col min="10753" max="10753" width="4.7109375" customWidth="1"/>
    <col min="10754" max="10754" width="45" customWidth="1"/>
    <col min="10755" max="10755" width="8.42578125" customWidth="1"/>
    <col min="10756" max="10756" width="14.28515625" customWidth="1"/>
    <col min="10757" max="10757" width="9.28515625" bestFit="1" customWidth="1"/>
    <col min="10758" max="10758" width="12.140625" customWidth="1"/>
    <col min="10759" max="10759" width="14.42578125" customWidth="1"/>
    <col min="10760" max="10760" width="12.5703125" customWidth="1"/>
    <col min="10761" max="10761" width="17.7109375" customWidth="1"/>
    <col min="11009" max="11009" width="4.7109375" customWidth="1"/>
    <col min="11010" max="11010" width="45" customWidth="1"/>
    <col min="11011" max="11011" width="8.42578125" customWidth="1"/>
    <col min="11012" max="11012" width="14.28515625" customWidth="1"/>
    <col min="11013" max="11013" width="9.28515625" bestFit="1" customWidth="1"/>
    <col min="11014" max="11014" width="12.140625" customWidth="1"/>
    <col min="11015" max="11015" width="14.42578125" customWidth="1"/>
    <col min="11016" max="11016" width="12.5703125" customWidth="1"/>
    <col min="11017" max="11017" width="17.7109375" customWidth="1"/>
    <col min="11265" max="11265" width="4.7109375" customWidth="1"/>
    <col min="11266" max="11266" width="45" customWidth="1"/>
    <col min="11267" max="11267" width="8.42578125" customWidth="1"/>
    <col min="11268" max="11268" width="14.28515625" customWidth="1"/>
    <col min="11269" max="11269" width="9.28515625" bestFit="1" customWidth="1"/>
    <col min="11270" max="11270" width="12.140625" customWidth="1"/>
    <col min="11271" max="11271" width="14.42578125" customWidth="1"/>
    <col min="11272" max="11272" width="12.5703125" customWidth="1"/>
    <col min="11273" max="11273" width="17.7109375" customWidth="1"/>
    <col min="11521" max="11521" width="4.7109375" customWidth="1"/>
    <col min="11522" max="11522" width="45" customWidth="1"/>
    <col min="11523" max="11523" width="8.42578125" customWidth="1"/>
    <col min="11524" max="11524" width="14.28515625" customWidth="1"/>
    <col min="11525" max="11525" width="9.28515625" bestFit="1" customWidth="1"/>
    <col min="11526" max="11526" width="12.140625" customWidth="1"/>
    <col min="11527" max="11527" width="14.42578125" customWidth="1"/>
    <col min="11528" max="11528" width="12.5703125" customWidth="1"/>
    <col min="11529" max="11529" width="17.7109375" customWidth="1"/>
    <col min="11777" max="11777" width="4.7109375" customWidth="1"/>
    <col min="11778" max="11778" width="45" customWidth="1"/>
    <col min="11779" max="11779" width="8.42578125" customWidth="1"/>
    <col min="11780" max="11780" width="14.28515625" customWidth="1"/>
    <col min="11781" max="11781" width="9.28515625" bestFit="1" customWidth="1"/>
    <col min="11782" max="11782" width="12.140625" customWidth="1"/>
    <col min="11783" max="11783" width="14.42578125" customWidth="1"/>
    <col min="11784" max="11784" width="12.5703125" customWidth="1"/>
    <col min="11785" max="11785" width="17.7109375" customWidth="1"/>
    <col min="12033" max="12033" width="4.7109375" customWidth="1"/>
    <col min="12034" max="12034" width="45" customWidth="1"/>
    <col min="12035" max="12035" width="8.42578125" customWidth="1"/>
    <col min="12036" max="12036" width="14.28515625" customWidth="1"/>
    <col min="12037" max="12037" width="9.28515625" bestFit="1" customWidth="1"/>
    <col min="12038" max="12038" width="12.140625" customWidth="1"/>
    <col min="12039" max="12039" width="14.42578125" customWidth="1"/>
    <col min="12040" max="12040" width="12.5703125" customWidth="1"/>
    <col min="12041" max="12041" width="17.7109375" customWidth="1"/>
    <col min="12289" max="12289" width="4.7109375" customWidth="1"/>
    <col min="12290" max="12290" width="45" customWidth="1"/>
    <col min="12291" max="12291" width="8.42578125" customWidth="1"/>
    <col min="12292" max="12292" width="14.28515625" customWidth="1"/>
    <col min="12293" max="12293" width="9.28515625" bestFit="1" customWidth="1"/>
    <col min="12294" max="12294" width="12.140625" customWidth="1"/>
    <col min="12295" max="12295" width="14.42578125" customWidth="1"/>
    <col min="12296" max="12296" width="12.5703125" customWidth="1"/>
    <col min="12297" max="12297" width="17.7109375" customWidth="1"/>
    <col min="12545" max="12545" width="4.7109375" customWidth="1"/>
    <col min="12546" max="12546" width="45" customWidth="1"/>
    <col min="12547" max="12547" width="8.42578125" customWidth="1"/>
    <col min="12548" max="12548" width="14.28515625" customWidth="1"/>
    <col min="12549" max="12549" width="9.28515625" bestFit="1" customWidth="1"/>
    <col min="12550" max="12550" width="12.140625" customWidth="1"/>
    <col min="12551" max="12551" width="14.42578125" customWidth="1"/>
    <col min="12552" max="12552" width="12.5703125" customWidth="1"/>
    <col min="12553" max="12553" width="17.7109375" customWidth="1"/>
    <col min="12801" max="12801" width="4.7109375" customWidth="1"/>
    <col min="12802" max="12802" width="45" customWidth="1"/>
    <col min="12803" max="12803" width="8.42578125" customWidth="1"/>
    <col min="12804" max="12804" width="14.28515625" customWidth="1"/>
    <col min="12805" max="12805" width="9.28515625" bestFit="1" customWidth="1"/>
    <col min="12806" max="12806" width="12.140625" customWidth="1"/>
    <col min="12807" max="12807" width="14.42578125" customWidth="1"/>
    <col min="12808" max="12808" width="12.5703125" customWidth="1"/>
    <col min="12809" max="12809" width="17.7109375" customWidth="1"/>
    <col min="13057" max="13057" width="4.7109375" customWidth="1"/>
    <col min="13058" max="13058" width="45" customWidth="1"/>
    <col min="13059" max="13059" width="8.42578125" customWidth="1"/>
    <col min="13060" max="13060" width="14.28515625" customWidth="1"/>
    <col min="13061" max="13061" width="9.28515625" bestFit="1" customWidth="1"/>
    <col min="13062" max="13062" width="12.140625" customWidth="1"/>
    <col min="13063" max="13063" width="14.42578125" customWidth="1"/>
    <col min="13064" max="13064" width="12.5703125" customWidth="1"/>
    <col min="13065" max="13065" width="17.7109375" customWidth="1"/>
    <col min="13313" max="13313" width="4.7109375" customWidth="1"/>
    <col min="13314" max="13314" width="45" customWidth="1"/>
    <col min="13315" max="13315" width="8.42578125" customWidth="1"/>
    <col min="13316" max="13316" width="14.28515625" customWidth="1"/>
    <col min="13317" max="13317" width="9.28515625" bestFit="1" customWidth="1"/>
    <col min="13318" max="13318" width="12.140625" customWidth="1"/>
    <col min="13319" max="13319" width="14.42578125" customWidth="1"/>
    <col min="13320" max="13320" width="12.5703125" customWidth="1"/>
    <col min="13321" max="13321" width="17.7109375" customWidth="1"/>
    <col min="13569" max="13569" width="4.7109375" customWidth="1"/>
    <col min="13570" max="13570" width="45" customWidth="1"/>
    <col min="13571" max="13571" width="8.42578125" customWidth="1"/>
    <col min="13572" max="13572" width="14.28515625" customWidth="1"/>
    <col min="13573" max="13573" width="9.28515625" bestFit="1" customWidth="1"/>
    <col min="13574" max="13574" width="12.140625" customWidth="1"/>
    <col min="13575" max="13575" width="14.42578125" customWidth="1"/>
    <col min="13576" max="13576" width="12.5703125" customWidth="1"/>
    <col min="13577" max="13577" width="17.7109375" customWidth="1"/>
    <col min="13825" max="13825" width="4.7109375" customWidth="1"/>
    <col min="13826" max="13826" width="45" customWidth="1"/>
    <col min="13827" max="13827" width="8.42578125" customWidth="1"/>
    <col min="13828" max="13828" width="14.28515625" customWidth="1"/>
    <col min="13829" max="13829" width="9.28515625" bestFit="1" customWidth="1"/>
    <col min="13830" max="13830" width="12.140625" customWidth="1"/>
    <col min="13831" max="13831" width="14.42578125" customWidth="1"/>
    <col min="13832" max="13832" width="12.5703125" customWidth="1"/>
    <col min="13833" max="13833" width="17.7109375" customWidth="1"/>
    <col min="14081" max="14081" width="4.7109375" customWidth="1"/>
    <col min="14082" max="14082" width="45" customWidth="1"/>
    <col min="14083" max="14083" width="8.42578125" customWidth="1"/>
    <col min="14084" max="14084" width="14.28515625" customWidth="1"/>
    <col min="14085" max="14085" width="9.28515625" bestFit="1" customWidth="1"/>
    <col min="14086" max="14086" width="12.140625" customWidth="1"/>
    <col min="14087" max="14087" width="14.42578125" customWidth="1"/>
    <col min="14088" max="14088" width="12.5703125" customWidth="1"/>
    <col min="14089" max="14089" width="17.7109375" customWidth="1"/>
    <col min="14337" max="14337" width="4.7109375" customWidth="1"/>
    <col min="14338" max="14338" width="45" customWidth="1"/>
    <col min="14339" max="14339" width="8.42578125" customWidth="1"/>
    <col min="14340" max="14340" width="14.28515625" customWidth="1"/>
    <col min="14341" max="14341" width="9.28515625" bestFit="1" customWidth="1"/>
    <col min="14342" max="14342" width="12.140625" customWidth="1"/>
    <col min="14343" max="14343" width="14.42578125" customWidth="1"/>
    <col min="14344" max="14344" width="12.5703125" customWidth="1"/>
    <col min="14345" max="14345" width="17.7109375" customWidth="1"/>
    <col min="14593" max="14593" width="4.7109375" customWidth="1"/>
    <col min="14594" max="14594" width="45" customWidth="1"/>
    <col min="14595" max="14595" width="8.42578125" customWidth="1"/>
    <col min="14596" max="14596" width="14.28515625" customWidth="1"/>
    <col min="14597" max="14597" width="9.28515625" bestFit="1" customWidth="1"/>
    <col min="14598" max="14598" width="12.140625" customWidth="1"/>
    <col min="14599" max="14599" width="14.42578125" customWidth="1"/>
    <col min="14600" max="14600" width="12.5703125" customWidth="1"/>
    <col min="14601" max="14601" width="17.7109375" customWidth="1"/>
    <col min="14849" max="14849" width="4.7109375" customWidth="1"/>
    <col min="14850" max="14850" width="45" customWidth="1"/>
    <col min="14851" max="14851" width="8.42578125" customWidth="1"/>
    <col min="14852" max="14852" width="14.28515625" customWidth="1"/>
    <col min="14853" max="14853" width="9.28515625" bestFit="1" customWidth="1"/>
    <col min="14854" max="14854" width="12.140625" customWidth="1"/>
    <col min="14855" max="14855" width="14.42578125" customWidth="1"/>
    <col min="14856" max="14856" width="12.5703125" customWidth="1"/>
    <col min="14857" max="14857" width="17.7109375" customWidth="1"/>
    <col min="15105" max="15105" width="4.7109375" customWidth="1"/>
    <col min="15106" max="15106" width="45" customWidth="1"/>
    <col min="15107" max="15107" width="8.42578125" customWidth="1"/>
    <col min="15108" max="15108" width="14.28515625" customWidth="1"/>
    <col min="15109" max="15109" width="9.28515625" bestFit="1" customWidth="1"/>
    <col min="15110" max="15110" width="12.140625" customWidth="1"/>
    <col min="15111" max="15111" width="14.42578125" customWidth="1"/>
    <col min="15112" max="15112" width="12.5703125" customWidth="1"/>
    <col min="15113" max="15113" width="17.7109375" customWidth="1"/>
    <col min="15361" max="15361" width="4.7109375" customWidth="1"/>
    <col min="15362" max="15362" width="45" customWidth="1"/>
    <col min="15363" max="15363" width="8.42578125" customWidth="1"/>
    <col min="15364" max="15364" width="14.28515625" customWidth="1"/>
    <col min="15365" max="15365" width="9.28515625" bestFit="1" customWidth="1"/>
    <col min="15366" max="15366" width="12.140625" customWidth="1"/>
    <col min="15367" max="15367" width="14.42578125" customWidth="1"/>
    <col min="15368" max="15368" width="12.5703125" customWidth="1"/>
    <col min="15369" max="15369" width="17.7109375" customWidth="1"/>
    <col min="15617" max="15617" width="4.7109375" customWidth="1"/>
    <col min="15618" max="15618" width="45" customWidth="1"/>
    <col min="15619" max="15619" width="8.42578125" customWidth="1"/>
    <col min="15620" max="15620" width="14.28515625" customWidth="1"/>
    <col min="15621" max="15621" width="9.28515625" bestFit="1" customWidth="1"/>
    <col min="15622" max="15622" width="12.140625" customWidth="1"/>
    <col min="15623" max="15623" width="14.42578125" customWidth="1"/>
    <col min="15624" max="15624" width="12.5703125" customWidth="1"/>
    <col min="15625" max="15625" width="17.7109375" customWidth="1"/>
    <col min="15873" max="15873" width="4.7109375" customWidth="1"/>
    <col min="15874" max="15874" width="45" customWidth="1"/>
    <col min="15875" max="15875" width="8.42578125" customWidth="1"/>
    <col min="15876" max="15876" width="14.28515625" customWidth="1"/>
    <col min="15877" max="15877" width="9.28515625" bestFit="1" customWidth="1"/>
    <col min="15878" max="15878" width="12.140625" customWidth="1"/>
    <col min="15879" max="15879" width="14.42578125" customWidth="1"/>
    <col min="15880" max="15880" width="12.5703125" customWidth="1"/>
    <col min="15881" max="15881" width="17.7109375" customWidth="1"/>
    <col min="16129" max="16129" width="4.7109375" customWidth="1"/>
    <col min="16130" max="16130" width="45" customWidth="1"/>
    <col min="16131" max="16131" width="8.42578125" customWidth="1"/>
    <col min="16132" max="16132" width="14.28515625" customWidth="1"/>
    <col min="16133" max="16133" width="9.28515625" bestFit="1" customWidth="1"/>
    <col min="16134" max="16134" width="12.140625" customWidth="1"/>
    <col min="16135" max="16135" width="14.42578125" customWidth="1"/>
    <col min="16136" max="16136" width="12.5703125" customWidth="1"/>
    <col min="16137" max="16137" width="17.7109375" customWidth="1"/>
  </cols>
  <sheetData>
    <row r="1" spans="1:14" x14ac:dyDescent="0.2">
      <c r="A1" s="103" t="s">
        <v>265</v>
      </c>
    </row>
    <row r="2" spans="1:14" x14ac:dyDescent="0.2">
      <c r="A2" s="103" t="str">
        <f>'[2]Planilha Global'!A2</f>
        <v>PREFEITURA MUNICIPAL DE MAMANGUAPE</v>
      </c>
      <c r="G2" t="s">
        <v>421</v>
      </c>
      <c r="H2">
        <v>112.1</v>
      </c>
    </row>
    <row r="3" spans="1:14" ht="5.0999999999999996" customHeight="1" x14ac:dyDescent="0.2"/>
    <row r="4" spans="1:14" s="202" customFormat="1" ht="12.75" customHeight="1" x14ac:dyDescent="0.25">
      <c r="A4" s="729" t="s">
        <v>422</v>
      </c>
      <c r="B4" s="737"/>
      <c r="C4" s="737"/>
      <c r="D4" s="737"/>
      <c r="E4" s="737"/>
      <c r="F4" s="737"/>
      <c r="H4" s="202" t="s">
        <v>423</v>
      </c>
      <c r="I4" s="202" t="s">
        <v>424</v>
      </c>
      <c r="J4" s="202" t="s">
        <v>425</v>
      </c>
      <c r="K4" s="202" t="s">
        <v>426</v>
      </c>
      <c r="L4" s="202" t="s">
        <v>427</v>
      </c>
      <c r="M4" s="202" t="s">
        <v>428</v>
      </c>
      <c r="N4" s="202" t="s">
        <v>429</v>
      </c>
    </row>
    <row r="5" spans="1:14" s="202" customFormat="1" ht="7.5" customHeight="1" x14ac:dyDescent="0.25">
      <c r="A5" s="434"/>
      <c r="B5" s="435"/>
      <c r="C5" s="435"/>
      <c r="D5" s="435"/>
      <c r="E5" s="435"/>
      <c r="F5" s="435"/>
    </row>
    <row r="6" spans="1:14" s="202" customFormat="1" ht="15" customHeight="1" x14ac:dyDescent="0.25">
      <c r="A6" s="258" t="s">
        <v>910</v>
      </c>
      <c r="B6" s="258"/>
      <c r="C6" s="258"/>
      <c r="D6" s="258"/>
      <c r="E6" s="258"/>
      <c r="F6" s="103"/>
      <c r="G6" s="53"/>
      <c r="H6" s="202">
        <f>(7.65+5.46)/2</f>
        <v>6.5549999999999997</v>
      </c>
      <c r="I6" s="202">
        <v>10</v>
      </c>
      <c r="J6" s="230">
        <f t="shared" ref="J6:J12" si="0">H6*I6</f>
        <v>65.55</v>
      </c>
    </row>
    <row r="7" spans="1:14" s="202" customFormat="1" ht="21" customHeight="1" x14ac:dyDescent="0.25">
      <c r="A7" s="258" t="s">
        <v>525</v>
      </c>
      <c r="B7" s="436"/>
      <c r="C7" s="437"/>
      <c r="D7" s="437"/>
      <c r="E7" s="257"/>
      <c r="F7" s="257"/>
      <c r="G7" s="53"/>
      <c r="H7" s="202">
        <f>(5.46+5.94)/2</f>
        <v>5.7</v>
      </c>
      <c r="I7" s="202">
        <v>19.260000000000002</v>
      </c>
      <c r="J7" s="230">
        <f t="shared" si="0"/>
        <v>109.78</v>
      </c>
    </row>
    <row r="8" spans="1:14" s="202" customFormat="1" ht="15" customHeight="1" x14ac:dyDescent="0.25">
      <c r="A8" s="103" t="s">
        <v>911</v>
      </c>
      <c r="B8" s="436"/>
      <c r="C8" s="736" t="s">
        <v>914</v>
      </c>
      <c r="D8" s="736"/>
      <c r="E8" s="736"/>
      <c r="F8" s="736"/>
      <c r="G8" s="53"/>
      <c r="H8" s="663">
        <f>(5.94+5.92)/2</f>
        <v>5.93</v>
      </c>
      <c r="I8" s="202">
        <v>14.86</v>
      </c>
      <c r="J8" s="230">
        <f t="shared" si="0"/>
        <v>88.12</v>
      </c>
      <c r="K8" s="202">
        <f>10+10.13+19.2+20.35+13.83+13.85+12.47+12.47+11.96+24.44+12.69+4.89+31.74+24.76+2.22+2.24</f>
        <v>227.24</v>
      </c>
      <c r="L8" s="202">
        <f>5.68+4.08+6.31+26.94+12.7+10.5+13.15+2.22+7.65+20.38+25.33+25.4+36.7+29.26+18.73+19.08+9.01+14.58+11.42+7.25+4.36+26.66+12.33+10.58+14.04+3.07+7.89+20.45+25.67+25.67+37.03+29.56+19.1+18.96+8.89+14.81+11.96</f>
        <v>597.4</v>
      </c>
      <c r="M8" s="202">
        <v>4</v>
      </c>
      <c r="N8" s="202">
        <v>1.2</v>
      </c>
    </row>
    <row r="9" spans="1:14" s="202" customFormat="1" ht="15" customHeight="1" x14ac:dyDescent="0.2">
      <c r="A9" s="103" t="s">
        <v>786</v>
      </c>
      <c r="B9" s="438"/>
      <c r="C9" s="736" t="s">
        <v>915</v>
      </c>
      <c r="D9" s="736"/>
      <c r="E9" s="736"/>
      <c r="F9" s="736"/>
      <c r="G9" s="53"/>
      <c r="H9" s="663">
        <f>(5.92+5.69)/2</f>
        <v>5.8049999999999997</v>
      </c>
      <c r="I9" s="230">
        <v>12.52</v>
      </c>
      <c r="J9" s="230">
        <f t="shared" si="0"/>
        <v>72.680000000000007</v>
      </c>
      <c r="K9" s="230"/>
      <c r="L9" s="202">
        <f>2.43+3.39+2.31+2.97+2.01+3.07</f>
        <v>16.18</v>
      </c>
    </row>
    <row r="10" spans="1:14" s="202" customFormat="1" ht="14.25" customHeight="1" x14ac:dyDescent="0.2">
      <c r="A10" s="103" t="s">
        <v>912</v>
      </c>
      <c r="B10" s="438"/>
      <c r="C10" s="736" t="s">
        <v>916</v>
      </c>
      <c r="D10" s="736"/>
      <c r="E10" s="736"/>
      <c r="F10" s="736"/>
      <c r="H10" s="663">
        <f>(5.69+5.57)/2</f>
        <v>5.63</v>
      </c>
      <c r="I10" s="230">
        <v>24.41</v>
      </c>
      <c r="J10" s="230">
        <f t="shared" si="0"/>
        <v>137.43</v>
      </c>
      <c r="K10" s="230"/>
    </row>
    <row r="11" spans="1:14" s="202" customFormat="1" ht="14.25" customHeight="1" x14ac:dyDescent="0.2">
      <c r="A11" s="103" t="s">
        <v>913</v>
      </c>
      <c r="B11" s="438"/>
      <c r="C11" s="103" t="s">
        <v>917</v>
      </c>
      <c r="D11" s="437"/>
      <c r="E11" s="437"/>
      <c r="F11" s="437"/>
      <c r="H11" s="663">
        <f>(5.57+6.88)/2</f>
        <v>6.2249999999999996</v>
      </c>
      <c r="I11" s="230">
        <v>4.76</v>
      </c>
      <c r="J11" s="230">
        <f t="shared" si="0"/>
        <v>29.63</v>
      </c>
    </row>
    <row r="12" spans="1:14" s="202" customFormat="1" ht="14.25" customHeight="1" x14ac:dyDescent="0.2">
      <c r="A12" s="103"/>
      <c r="B12" s="438"/>
      <c r="C12" s="103"/>
      <c r="D12" s="437"/>
      <c r="E12" s="103"/>
      <c r="F12" s="103"/>
      <c r="H12" s="663">
        <f>(6.88+6.64)/2</f>
        <v>6.76</v>
      </c>
      <c r="I12" s="230">
        <v>26.29</v>
      </c>
      <c r="J12" s="230">
        <f t="shared" si="0"/>
        <v>177.72</v>
      </c>
    </row>
    <row r="13" spans="1:14" s="202" customFormat="1" ht="15" customHeight="1" x14ac:dyDescent="0.25">
      <c r="A13" s="103" t="s">
        <v>919</v>
      </c>
      <c r="B13" s="436"/>
      <c r="C13" s="736" t="s">
        <v>922</v>
      </c>
      <c r="D13" s="736"/>
      <c r="E13" s="736"/>
      <c r="F13" s="736"/>
      <c r="G13" s="53"/>
      <c r="H13" s="663"/>
      <c r="J13" s="230">
        <v>0.95</v>
      </c>
    </row>
    <row r="14" spans="1:14" s="202" customFormat="1" ht="15" customHeight="1" x14ac:dyDescent="0.2">
      <c r="A14" s="103" t="s">
        <v>920</v>
      </c>
      <c r="B14" s="438"/>
      <c r="C14" s="736" t="s">
        <v>923</v>
      </c>
      <c r="D14" s="736"/>
      <c r="E14" s="736"/>
      <c r="F14" s="736"/>
      <c r="G14" s="53"/>
      <c r="H14" s="663"/>
      <c r="I14" s="230"/>
      <c r="J14" s="230">
        <f>SUM(J6:J13)</f>
        <v>681.86</v>
      </c>
      <c r="K14" s="230"/>
    </row>
    <row r="15" spans="1:14" s="202" customFormat="1" ht="14.25" customHeight="1" x14ac:dyDescent="0.2">
      <c r="A15" s="103" t="s">
        <v>918</v>
      </c>
      <c r="B15" s="438"/>
      <c r="C15" s="736" t="s">
        <v>924</v>
      </c>
      <c r="D15" s="736"/>
      <c r="E15" s="736"/>
      <c r="F15" s="736"/>
      <c r="H15" s="663"/>
      <c r="I15" s="230"/>
      <c r="J15" s="230"/>
      <c r="K15" s="230"/>
    </row>
    <row r="16" spans="1:14" s="202" customFormat="1" ht="14.25" customHeight="1" x14ac:dyDescent="0.2">
      <c r="A16" s="103" t="s">
        <v>921</v>
      </c>
      <c r="B16" s="438"/>
      <c r="C16" s="103" t="s">
        <v>925</v>
      </c>
      <c r="D16" s="437"/>
      <c r="E16" s="437"/>
      <c r="F16" s="437"/>
      <c r="H16" s="663"/>
      <c r="I16" s="230"/>
      <c r="J16" s="230"/>
    </row>
    <row r="17" spans="1:19" s="202" customFormat="1" ht="14.25" customHeight="1" x14ac:dyDescent="0.2">
      <c r="A17" s="103"/>
      <c r="B17" s="438"/>
      <c r="C17" s="103"/>
      <c r="D17" s="437"/>
      <c r="E17" s="103"/>
      <c r="F17" s="103"/>
      <c r="H17" s="663"/>
      <c r="I17" s="230"/>
      <c r="J17" s="230"/>
    </row>
    <row r="18" spans="1:19" s="202" customFormat="1" ht="15" customHeight="1" x14ac:dyDescent="0.25">
      <c r="A18" s="515" t="s">
        <v>928</v>
      </c>
      <c r="B18" s="436"/>
      <c r="C18" s="736" t="s">
        <v>927</v>
      </c>
      <c r="D18" s="736"/>
      <c r="E18" s="736"/>
      <c r="F18" s="736"/>
      <c r="G18" s="53"/>
      <c r="H18" s="663"/>
      <c r="I18" s="230"/>
      <c r="J18" s="230"/>
    </row>
    <row r="19" spans="1:19" s="202" customFormat="1" ht="15" customHeight="1" x14ac:dyDescent="0.2">
      <c r="A19" s="515" t="s">
        <v>797</v>
      </c>
      <c r="B19" s="438"/>
      <c r="C19" s="736" t="s">
        <v>929</v>
      </c>
      <c r="D19" s="736"/>
      <c r="E19" s="736"/>
      <c r="F19" s="736"/>
      <c r="G19" s="53"/>
      <c r="H19" s="663"/>
      <c r="I19" s="230"/>
      <c r="J19" s="230"/>
      <c r="K19" s="230"/>
    </row>
    <row r="20" spans="1:19" s="202" customFormat="1" ht="14.25" customHeight="1" x14ac:dyDescent="0.2">
      <c r="A20" s="515" t="s">
        <v>926</v>
      </c>
      <c r="B20" s="438"/>
      <c r="C20" s="666" t="s">
        <v>930</v>
      </c>
      <c r="D20" s="666"/>
      <c r="E20" s="666"/>
      <c r="F20" s="666"/>
      <c r="H20" s="663"/>
      <c r="I20" s="230"/>
      <c r="J20" s="230"/>
      <c r="K20" s="230"/>
    </row>
    <row r="21" spans="1:19" s="202" customFormat="1" ht="14.25" customHeight="1" x14ac:dyDescent="0.2">
      <c r="A21" s="103" t="s">
        <v>931</v>
      </c>
      <c r="B21" s="438"/>
      <c r="C21" s="103" t="s">
        <v>932</v>
      </c>
      <c r="D21" s="437"/>
      <c r="E21" s="437"/>
      <c r="F21" s="437"/>
      <c r="H21" s="230"/>
      <c r="I21" s="230"/>
      <c r="J21" s="230">
        <f>SUM(J6:J20)</f>
        <v>1363.72</v>
      </c>
    </row>
    <row r="22" spans="1:19" s="202" customFormat="1" ht="14.25" customHeight="1" x14ac:dyDescent="0.2">
      <c r="A22" s="515"/>
      <c r="B22" s="438"/>
      <c r="C22" s="103"/>
      <c r="D22" s="437"/>
      <c r="E22" s="103"/>
      <c r="F22" s="103"/>
      <c r="I22" s="230"/>
      <c r="J22" s="230"/>
    </row>
    <row r="23" spans="1:19" s="202" customFormat="1" ht="15" customHeight="1" x14ac:dyDescent="0.25">
      <c r="A23" s="515" t="s">
        <v>933</v>
      </c>
      <c r="B23" s="436"/>
      <c r="C23" s="736" t="s">
        <v>937</v>
      </c>
      <c r="D23" s="736"/>
      <c r="E23" s="736"/>
      <c r="F23" s="736"/>
      <c r="G23" s="53"/>
      <c r="H23" s="663"/>
      <c r="I23" s="230"/>
      <c r="J23" s="230"/>
    </row>
    <row r="24" spans="1:19" s="202" customFormat="1" ht="15" customHeight="1" x14ac:dyDescent="0.2">
      <c r="A24" s="515" t="s">
        <v>934</v>
      </c>
      <c r="B24" s="438"/>
      <c r="C24" s="736" t="s">
        <v>938</v>
      </c>
      <c r="D24" s="736"/>
      <c r="E24" s="736"/>
      <c r="F24" s="736"/>
      <c r="G24" s="53"/>
      <c r="H24" s="663"/>
      <c r="I24" s="230"/>
      <c r="J24" s="230"/>
      <c r="K24" s="230"/>
    </row>
    <row r="25" spans="1:19" s="202" customFormat="1" ht="14.25" customHeight="1" x14ac:dyDescent="0.2">
      <c r="A25" s="515" t="s">
        <v>935</v>
      </c>
      <c r="B25" s="438"/>
      <c r="C25" s="666" t="s">
        <v>939</v>
      </c>
      <c r="D25" s="666"/>
      <c r="E25" s="103" t="s">
        <v>940</v>
      </c>
      <c r="F25" s="666"/>
      <c r="H25" s="663"/>
      <c r="I25" s="230"/>
      <c r="J25" s="230"/>
      <c r="K25" s="230"/>
    </row>
    <row r="26" spans="1:19" s="202" customFormat="1" ht="14.25" customHeight="1" x14ac:dyDescent="0.2">
      <c r="A26" s="103" t="s">
        <v>936</v>
      </c>
      <c r="B26" s="438"/>
      <c r="C26" s="103"/>
      <c r="D26" s="437"/>
      <c r="E26" s="437"/>
      <c r="F26" s="437"/>
      <c r="H26" s="230"/>
      <c r="I26" s="230"/>
      <c r="J26" s="230">
        <f>SUM(J11:J25)</f>
        <v>2253.88</v>
      </c>
    </row>
    <row r="27" spans="1:19" s="202" customFormat="1" ht="14.25" customHeight="1" x14ac:dyDescent="0.2">
      <c r="A27" s="515"/>
      <c r="B27" s="438"/>
      <c r="C27" s="103"/>
      <c r="D27" s="437"/>
      <c r="E27" s="103"/>
      <c r="F27" s="103"/>
      <c r="I27" s="230"/>
      <c r="J27" s="230"/>
    </row>
    <row r="28" spans="1:19" s="103" customFormat="1" ht="12.75" customHeight="1" x14ac:dyDescent="0.2">
      <c r="A28" s="722" t="s">
        <v>832</v>
      </c>
      <c r="B28" s="722"/>
      <c r="C28" s="440"/>
      <c r="D28" s="440"/>
      <c r="E28" s="441"/>
      <c r="F28" s="452"/>
    </row>
    <row r="29" spans="1:19" s="103" customFormat="1" ht="26.25" customHeight="1" x14ac:dyDescent="0.2">
      <c r="A29" s="664" t="s">
        <v>86</v>
      </c>
      <c r="B29" s="724" t="s">
        <v>941</v>
      </c>
      <c r="C29" s="724"/>
      <c r="D29" s="724"/>
      <c r="E29" s="452">
        <f>H2</f>
        <v>112.1</v>
      </c>
      <c r="F29" s="438" t="s">
        <v>11</v>
      </c>
    </row>
    <row r="30" spans="1:19" s="202" customFormat="1" ht="5.0999999999999996" customHeight="1" x14ac:dyDescent="0.2">
      <c r="B30" s="445"/>
      <c r="C30" s="446"/>
      <c r="D30" s="447"/>
      <c r="E30" s="256"/>
      <c r="F30" s="256"/>
      <c r="G30" s="103"/>
      <c r="H30" s="103"/>
      <c r="I30" s="103"/>
      <c r="J30" s="103"/>
      <c r="K30" s="103"/>
      <c r="L30" s="103"/>
      <c r="M30" s="103"/>
      <c r="N30" s="103"/>
      <c r="O30" s="103"/>
      <c r="P30" s="103"/>
      <c r="Q30" s="103"/>
      <c r="R30" s="103"/>
      <c r="S30" s="103"/>
    </row>
    <row r="31" spans="1:19" s="103" customFormat="1" ht="12.75" customHeight="1" x14ac:dyDescent="0.2">
      <c r="A31" s="738" t="s">
        <v>833</v>
      </c>
      <c r="B31" s="738"/>
      <c r="C31" s="450"/>
      <c r="D31" s="440"/>
      <c r="E31" s="308"/>
      <c r="F31" s="451"/>
      <c r="J31" s="230">
        <f>SUM(J8:J22)</f>
        <v>2552.11</v>
      </c>
    </row>
    <row r="32" spans="1:19" s="103" customFormat="1" ht="36.75" customHeight="1" x14ac:dyDescent="0.2">
      <c r="A32" s="664" t="s">
        <v>7</v>
      </c>
      <c r="B32" s="724" t="s">
        <v>943</v>
      </c>
      <c r="C32" s="724"/>
      <c r="D32" s="724"/>
      <c r="E32" s="452">
        <f>J14</f>
        <v>681.86</v>
      </c>
      <c r="F32" s="438" t="s">
        <v>13</v>
      </c>
    </row>
    <row r="33" spans="1:19" s="202" customFormat="1" ht="5.0999999999999996" customHeight="1" x14ac:dyDescent="0.25">
      <c r="B33" s="453"/>
      <c r="C33" s="453"/>
      <c r="D33" s="453"/>
      <c r="E33" s="454"/>
      <c r="F33" s="455"/>
    </row>
    <row r="34" spans="1:19" s="103" customFormat="1" ht="12.75" customHeight="1" x14ac:dyDescent="0.2">
      <c r="A34" s="738" t="s">
        <v>834</v>
      </c>
      <c r="B34" s="738"/>
      <c r="C34" s="450"/>
      <c r="D34" s="440"/>
      <c r="E34" s="308"/>
      <c r="F34" s="451"/>
      <c r="J34" s="230">
        <f>SUM(J11:J22)</f>
        <v>2253.88</v>
      </c>
    </row>
    <row r="35" spans="1:19" s="103" customFormat="1" ht="77.25" customHeight="1" x14ac:dyDescent="0.2">
      <c r="A35" s="664" t="s">
        <v>9</v>
      </c>
      <c r="B35" s="721" t="s">
        <v>942</v>
      </c>
      <c r="C35" s="721"/>
      <c r="D35" s="721"/>
      <c r="E35" s="452">
        <f>K8</f>
        <v>227.24</v>
      </c>
      <c r="F35" s="438" t="s">
        <v>11</v>
      </c>
    </row>
    <row r="36" spans="1:19" s="202" customFormat="1" ht="5.0999999999999996" customHeight="1" x14ac:dyDescent="0.2">
      <c r="B36" s="445"/>
      <c r="C36" s="446"/>
      <c r="D36" s="447"/>
      <c r="E36" s="256"/>
      <c r="F36" s="256"/>
      <c r="G36" s="103"/>
      <c r="H36" s="103"/>
      <c r="I36" s="103"/>
      <c r="J36" s="103"/>
      <c r="K36" s="103"/>
      <c r="L36" s="103"/>
      <c r="M36" s="103"/>
      <c r="N36" s="103"/>
      <c r="O36" s="103"/>
      <c r="P36" s="103"/>
      <c r="Q36" s="103"/>
      <c r="R36" s="103"/>
      <c r="S36" s="103"/>
    </row>
    <row r="37" spans="1:19" s="103" customFormat="1" ht="51" customHeight="1" x14ac:dyDescent="0.2">
      <c r="A37" s="664" t="s">
        <v>12</v>
      </c>
      <c r="B37" s="721" t="s">
        <v>944</v>
      </c>
      <c r="C37" s="721"/>
      <c r="D37" s="721"/>
      <c r="E37" s="452">
        <f>E32</f>
        <v>681.86</v>
      </c>
      <c r="F37" s="438" t="s">
        <v>13</v>
      </c>
    </row>
    <row r="38" spans="1:19" s="202" customFormat="1" ht="5.0999999999999996" customHeight="1" x14ac:dyDescent="0.2">
      <c r="B38" s="445"/>
      <c r="C38" s="446"/>
      <c r="D38" s="447"/>
      <c r="E38" s="256"/>
      <c r="F38" s="256"/>
      <c r="G38" s="103"/>
      <c r="H38" s="103"/>
      <c r="I38" s="103"/>
      <c r="J38" s="103"/>
      <c r="K38" s="103"/>
      <c r="L38" s="103"/>
      <c r="M38" s="103"/>
      <c r="N38" s="103"/>
      <c r="O38" s="103"/>
      <c r="P38" s="103"/>
      <c r="Q38" s="103"/>
      <c r="R38" s="103"/>
      <c r="S38" s="103"/>
    </row>
    <row r="39" spans="1:19" s="103" customFormat="1" ht="39.75" customHeight="1" x14ac:dyDescent="0.2">
      <c r="A39" s="664" t="s">
        <v>108</v>
      </c>
      <c r="B39" s="721" t="s">
        <v>945</v>
      </c>
      <c r="C39" s="721"/>
      <c r="D39" s="721"/>
      <c r="E39" s="452">
        <v>6.64</v>
      </c>
      <c r="F39" s="438" t="s">
        <v>11</v>
      </c>
    </row>
    <row r="40" spans="1:19" s="103" customFormat="1" ht="5.0999999999999996" customHeight="1" x14ac:dyDescent="0.2">
      <c r="B40" s="456"/>
      <c r="C40" s="456"/>
      <c r="D40" s="456"/>
      <c r="E40" s="457"/>
      <c r="F40" s="458"/>
    </row>
    <row r="41" spans="1:19" s="103" customFormat="1" ht="12.75" customHeight="1" x14ac:dyDescent="0.2">
      <c r="A41" s="739" t="s">
        <v>835</v>
      </c>
      <c r="B41" s="739"/>
      <c r="C41" s="440"/>
      <c r="D41" s="440"/>
      <c r="E41" s="441"/>
      <c r="F41" s="442"/>
    </row>
    <row r="42" spans="1:19" s="103" customFormat="1" ht="52.5" customHeight="1" x14ac:dyDescent="0.2">
      <c r="A42" s="664" t="s">
        <v>15</v>
      </c>
      <c r="B42" s="721" t="s">
        <v>962</v>
      </c>
      <c r="C42" s="721"/>
      <c r="D42" s="721"/>
      <c r="E42" s="637">
        <f>H42</f>
        <v>12.22</v>
      </c>
      <c r="F42" s="442" t="s">
        <v>13</v>
      </c>
      <c r="G42" s="103">
        <f>27.88+4.89+26.45+1.86</f>
        <v>61.08</v>
      </c>
      <c r="H42" s="461">
        <f>G42*0.2</f>
        <v>12.22</v>
      </c>
    </row>
    <row r="43" spans="1:19" s="202" customFormat="1" ht="5.0999999999999996" customHeight="1" x14ac:dyDescent="0.2">
      <c r="B43" s="445"/>
      <c r="C43" s="446"/>
      <c r="D43" s="447"/>
      <c r="E43" s="256"/>
      <c r="F43" s="256"/>
      <c r="G43" s="103"/>
      <c r="H43" s="103"/>
      <c r="I43" s="103"/>
      <c r="J43" s="103"/>
      <c r="K43" s="103"/>
      <c r="L43" s="103"/>
      <c r="M43" s="103"/>
      <c r="N43" s="103"/>
      <c r="O43" s="103"/>
      <c r="P43" s="103"/>
      <c r="Q43" s="103"/>
      <c r="R43" s="103"/>
      <c r="S43" s="103"/>
    </row>
    <row r="44" spans="1:19" s="103" customFormat="1" ht="155.25" customHeight="1" x14ac:dyDescent="0.2">
      <c r="A44" s="664" t="s">
        <v>129</v>
      </c>
      <c r="B44" s="725" t="s">
        <v>946</v>
      </c>
      <c r="C44" s="724"/>
      <c r="D44" s="724"/>
      <c r="E44" s="638">
        <f>M44</f>
        <v>12.51</v>
      </c>
      <c r="F44" s="438" t="s">
        <v>128</v>
      </c>
      <c r="G44" s="460">
        <f>10*1.2/2+10.13*1.2/2+(19.2+20.35+13.83+13.85+12.47+12.47+11.96+24.44+12.69+4.89+31.74+24.76)*1.2+1.2*1.2/2+1.2*1.2/2</f>
        <v>256.7</v>
      </c>
      <c r="H44" s="460">
        <f>G44-E55</f>
        <v>220.7</v>
      </c>
      <c r="I44" s="460"/>
      <c r="J44" s="460">
        <f>H44*0.06</f>
        <v>13.24</v>
      </c>
      <c r="K44" s="460">
        <f>4.98+6.7+11.7+12.83+13.83+13.85+12.47+12.47+11.96+24.33+12.69+4.89+16.63+11.05+6.22+6.27</f>
        <v>182.87</v>
      </c>
      <c r="L44" s="460">
        <f>K44*0.2*0.02</f>
        <v>0.73</v>
      </c>
      <c r="M44" s="460">
        <f>J44-L44</f>
        <v>12.51</v>
      </c>
    </row>
    <row r="45" spans="1:19" s="202" customFormat="1" ht="5.0999999999999996" customHeight="1" x14ac:dyDescent="0.2">
      <c r="B45" s="445"/>
      <c r="C45" s="446"/>
      <c r="D45" s="447"/>
      <c r="E45" s="256"/>
      <c r="F45" s="256"/>
      <c r="G45" s="448"/>
      <c r="H45" s="448"/>
    </row>
    <row r="46" spans="1:19" s="103" customFormat="1" ht="79.5" customHeight="1" x14ac:dyDescent="0.2">
      <c r="A46" s="664" t="s">
        <v>131</v>
      </c>
      <c r="B46" s="721" t="s">
        <v>947</v>
      </c>
      <c r="C46" s="721"/>
      <c r="D46" s="721"/>
      <c r="E46" s="639">
        <f>G46</f>
        <v>36.57</v>
      </c>
      <c r="F46" s="640" t="s">
        <v>13</v>
      </c>
      <c r="G46" s="648">
        <f>K44*0.2</f>
        <v>36.57</v>
      </c>
      <c r="H46" s="438"/>
      <c r="J46" s="460"/>
      <c r="K46" s="460"/>
      <c r="L46" s="461"/>
      <c r="M46" s="461"/>
      <c r="N46" s="460"/>
      <c r="O46" s="460"/>
      <c r="Q46" s="460"/>
    </row>
    <row r="47" spans="1:19" s="103" customFormat="1" ht="5.0999999999999996" customHeight="1" x14ac:dyDescent="0.2">
      <c r="B47" s="456"/>
      <c r="C47" s="456"/>
      <c r="D47" s="456"/>
      <c r="E47" s="457"/>
      <c r="F47" s="458"/>
    </row>
    <row r="48" spans="1:19" s="103" customFormat="1" ht="12.75" customHeight="1" x14ac:dyDescent="0.2">
      <c r="A48" s="739" t="s">
        <v>836</v>
      </c>
      <c r="B48" s="739"/>
      <c r="C48" s="440"/>
      <c r="D48" s="440"/>
      <c r="E48" s="441"/>
      <c r="F48" s="442"/>
    </row>
    <row r="49" spans="1:18" s="103" customFormat="1" ht="78" customHeight="1" x14ac:dyDescent="0.2">
      <c r="A49" s="664" t="s">
        <v>158</v>
      </c>
      <c r="B49" s="721" t="s">
        <v>700</v>
      </c>
      <c r="C49" s="721"/>
      <c r="D49" s="721"/>
      <c r="E49" s="637">
        <f>K49</f>
        <v>2.1</v>
      </c>
      <c r="F49" s="641" t="s">
        <v>128</v>
      </c>
      <c r="G49" s="460">
        <f>7.5*N8*M8*0.06</f>
        <v>2.16</v>
      </c>
      <c r="H49" s="461">
        <f>(1.2*2+1.5)*M8</f>
        <v>15.6</v>
      </c>
      <c r="I49" s="461"/>
      <c r="J49" s="461">
        <f>H49*0.2*0.02</f>
        <v>0.06</v>
      </c>
      <c r="K49" s="460">
        <f>G49-J49</f>
        <v>2.1</v>
      </c>
      <c r="N49" s="103">
        <f>(7.5*1.2)*7+5.75+6.31+5.25+6.11+5.71+5.24+5.25+7.18+7.07+5.2+5.25+5.15</f>
        <v>132.47</v>
      </c>
      <c r="O49" s="461">
        <f>N49*0.06</f>
        <v>7.95</v>
      </c>
      <c r="P49" s="461">
        <f>(1.2*3*7+1.05+2.42+1.05+4.76+1.42/2+2+1.05+3+1.05+2.66+1.05+2.01+1.05+3+1.05+1.05+1.05+1.05+1.05+1.05+1.05+2+1.05+2+1.05+2+0.99)</f>
        <v>68.5</v>
      </c>
      <c r="Q49" s="461">
        <f>P49*0.2*0.02</f>
        <v>0.27</v>
      </c>
      <c r="R49" s="103">
        <f>P49*0.2</f>
        <v>13.7</v>
      </c>
    </row>
    <row r="50" spans="1:18" s="202" customFormat="1" ht="5.0999999999999996" customHeight="1" x14ac:dyDescent="0.25">
      <c r="B50" s="445"/>
      <c r="C50" s="446"/>
      <c r="D50" s="447"/>
      <c r="E50" s="207"/>
      <c r="F50" s="642"/>
      <c r="G50" s="448"/>
      <c r="H50" s="448"/>
    </row>
    <row r="51" spans="1:18" s="103" customFormat="1" ht="78" customHeight="1" x14ac:dyDescent="0.2">
      <c r="A51" s="664" t="s">
        <v>170</v>
      </c>
      <c r="B51" s="721" t="s">
        <v>701</v>
      </c>
      <c r="C51" s="721"/>
      <c r="D51" s="721"/>
      <c r="E51" s="637">
        <f>E49</f>
        <v>2.1</v>
      </c>
      <c r="F51" s="641" t="s">
        <v>128</v>
      </c>
      <c r="G51" s="438"/>
      <c r="H51" s="438"/>
      <c r="I51" s="460"/>
      <c r="J51" s="461"/>
      <c r="K51" s="461"/>
      <c r="L51" s="461"/>
      <c r="M51" s="460"/>
    </row>
    <row r="52" spans="1:18" s="202" customFormat="1" ht="5.0999999999999996" customHeight="1" x14ac:dyDescent="0.2">
      <c r="B52" s="445"/>
      <c r="C52" s="446"/>
      <c r="D52" s="447"/>
      <c r="E52" s="256"/>
      <c r="F52" s="256"/>
      <c r="G52" s="448"/>
      <c r="H52" s="448"/>
    </row>
    <row r="53" spans="1:18" s="103" customFormat="1" ht="53.25" customHeight="1" x14ac:dyDescent="0.2">
      <c r="A53" s="664" t="s">
        <v>203</v>
      </c>
      <c r="B53" s="721" t="s">
        <v>702</v>
      </c>
      <c r="C53" s="721"/>
      <c r="D53" s="721"/>
      <c r="E53" s="637">
        <f>G53</f>
        <v>3.12</v>
      </c>
      <c r="F53" s="640" t="s">
        <v>13</v>
      </c>
      <c r="G53" s="645">
        <f>(N8*2+1.5)*M8*0.2</f>
        <v>3.12</v>
      </c>
      <c r="H53" s="438"/>
      <c r="J53" s="460"/>
      <c r="K53" s="460"/>
      <c r="L53" s="461"/>
      <c r="M53" s="461"/>
      <c r="N53" s="460"/>
      <c r="O53" s="460"/>
      <c r="Q53" s="460"/>
    </row>
    <row r="54" spans="1:18" s="202" customFormat="1" ht="5.0999999999999996" customHeight="1" x14ac:dyDescent="0.2">
      <c r="B54" s="445"/>
      <c r="C54" s="446"/>
      <c r="D54" s="447"/>
      <c r="E54" s="256"/>
      <c r="F54" s="256"/>
      <c r="G54" s="448"/>
      <c r="H54" s="448"/>
    </row>
    <row r="55" spans="1:18" s="103" customFormat="1" ht="40.5" customHeight="1" x14ac:dyDescent="0.2">
      <c r="A55" s="664" t="s">
        <v>181</v>
      </c>
      <c r="B55" s="726" t="s">
        <v>703</v>
      </c>
      <c r="C55" s="726"/>
      <c r="D55" s="726"/>
      <c r="E55" s="647">
        <f>G55</f>
        <v>36</v>
      </c>
      <c r="F55" s="641" t="s">
        <v>13</v>
      </c>
      <c r="G55" s="646">
        <f>7.5*N8*M8:M8</f>
        <v>36</v>
      </c>
      <c r="H55" s="438"/>
      <c r="J55" s="460"/>
      <c r="K55" s="460"/>
    </row>
    <row r="56" spans="1:18" s="103" customFormat="1" ht="5.0999999999999996" customHeight="1" x14ac:dyDescent="0.2">
      <c r="B56" s="456"/>
      <c r="C56" s="456"/>
      <c r="D56" s="456"/>
      <c r="E56" s="457"/>
      <c r="F56" s="458"/>
      <c r="G56" s="458"/>
      <c r="H56" s="458"/>
    </row>
    <row r="57" spans="1:18" s="103" customFormat="1" ht="12.75" customHeight="1" x14ac:dyDescent="0.2">
      <c r="A57" s="738" t="s">
        <v>837</v>
      </c>
      <c r="B57" s="738"/>
      <c r="C57" s="440"/>
      <c r="D57" s="440"/>
      <c r="E57" s="441"/>
      <c r="F57" s="442"/>
    </row>
    <row r="58" spans="1:18" s="103" customFormat="1" ht="39" customHeight="1" x14ac:dyDescent="0.2">
      <c r="A58" s="664" t="s">
        <v>175</v>
      </c>
      <c r="B58" s="721" t="s">
        <v>844</v>
      </c>
      <c r="C58" s="721"/>
      <c r="D58" s="721"/>
      <c r="E58" s="459">
        <v>2</v>
      </c>
      <c r="F58" s="438" t="s">
        <v>279</v>
      </c>
    </row>
    <row r="59" spans="1:18" s="202" customFormat="1" ht="5.0999999999999996" customHeight="1" x14ac:dyDescent="0.2">
      <c r="B59" s="445"/>
      <c r="C59" s="446"/>
      <c r="D59" s="447"/>
      <c r="E59" s="256"/>
      <c r="F59" s="256"/>
      <c r="G59" s="448"/>
      <c r="H59" s="448"/>
    </row>
    <row r="60" spans="1:18" s="103" customFormat="1" ht="39" customHeight="1" x14ac:dyDescent="0.2">
      <c r="A60" s="664" t="s">
        <v>246</v>
      </c>
      <c r="B60" s="721" t="s">
        <v>845</v>
      </c>
      <c r="C60" s="721"/>
      <c r="D60" s="721"/>
      <c r="E60" s="459">
        <v>2</v>
      </c>
      <c r="F60" s="438" t="s">
        <v>279</v>
      </c>
    </row>
    <row r="61" spans="1:18" s="202" customFormat="1" ht="5.0999999999999996" customHeight="1" x14ac:dyDescent="0.2">
      <c r="B61" s="445"/>
      <c r="C61" s="446"/>
      <c r="D61" s="447"/>
      <c r="E61" s="256"/>
      <c r="F61" s="256"/>
      <c r="G61" s="448"/>
      <c r="H61" s="448"/>
    </row>
    <row r="62" spans="1:18" s="103" customFormat="1" ht="12.75" customHeight="1" x14ac:dyDescent="0.2">
      <c r="A62" s="738" t="s">
        <v>852</v>
      </c>
      <c r="B62" s="738"/>
      <c r="C62" s="440"/>
      <c r="D62" s="440"/>
      <c r="E62" s="441"/>
      <c r="F62" s="442"/>
    </row>
    <row r="63" spans="1:18" s="103" customFormat="1" ht="25.5" customHeight="1" x14ac:dyDescent="0.2">
      <c r="A63" s="664" t="s">
        <v>255</v>
      </c>
      <c r="B63" s="721" t="s">
        <v>948</v>
      </c>
      <c r="C63" s="721"/>
      <c r="D63" s="721"/>
      <c r="E63" s="459">
        <f>E35*(0.15+0.13)</f>
        <v>63.63</v>
      </c>
      <c r="F63" s="438" t="s">
        <v>13</v>
      </c>
      <c r="H63" s="103" t="e">
        <f>#REF!*0.28</f>
        <v>#REF!</v>
      </c>
    </row>
    <row r="64" spans="1:18" s="103" customFormat="1" ht="5.0999999999999996" customHeight="1" x14ac:dyDescent="0.2">
      <c r="E64" s="441"/>
      <c r="F64" s="442"/>
    </row>
    <row r="65" spans="1:9" s="202" customFormat="1" ht="24.75" customHeight="1" x14ac:dyDescent="0.2">
      <c r="A65" s="664" t="s">
        <v>853</v>
      </c>
      <c r="B65" s="721" t="s">
        <v>707</v>
      </c>
      <c r="C65" s="721"/>
      <c r="D65" s="721"/>
      <c r="E65" s="442">
        <v>1</v>
      </c>
      <c r="F65" s="53" t="s">
        <v>279</v>
      </c>
      <c r="H65" s="202">
        <v>3.9</v>
      </c>
      <c r="I65" s="202">
        <v>216</v>
      </c>
    </row>
    <row r="66" spans="1:9" s="103" customFormat="1" ht="5.0999999999999996" customHeight="1" x14ac:dyDescent="0.2">
      <c r="B66" s="456"/>
      <c r="C66" s="456"/>
      <c r="D66" s="456"/>
      <c r="E66" s="457"/>
      <c r="F66" s="458"/>
      <c r="G66" s="458"/>
      <c r="H66" s="458"/>
    </row>
    <row r="67" spans="1:9" s="103" customFormat="1" ht="39" customHeight="1" x14ac:dyDescent="0.2">
      <c r="A67" s="664" t="s">
        <v>882</v>
      </c>
      <c r="B67" s="721" t="s">
        <v>885</v>
      </c>
      <c r="C67" s="721"/>
      <c r="D67" s="721"/>
      <c r="E67" s="459">
        <v>1</v>
      </c>
      <c r="F67" s="438" t="s">
        <v>279</v>
      </c>
    </row>
    <row r="68" spans="1:9" s="202" customFormat="1" ht="5.0999999999999996" customHeight="1" x14ac:dyDescent="0.2">
      <c r="B68" s="445"/>
      <c r="C68" s="446"/>
      <c r="D68" s="447"/>
      <c r="E68" s="256"/>
      <c r="F68" s="256"/>
      <c r="G68" s="448"/>
      <c r="H68" s="448"/>
    </row>
    <row r="69" spans="1:9" x14ac:dyDescent="0.2">
      <c r="A69" s="103" t="s">
        <v>265</v>
      </c>
    </row>
    <row r="70" spans="1:9" x14ac:dyDescent="0.2">
      <c r="A70" s="103" t="str">
        <f>A2</f>
        <v>PREFEITURA MUNICIPAL DE MAMANGUAPE</v>
      </c>
    </row>
    <row r="71" spans="1:9" ht="5.0999999999999996" customHeight="1" x14ac:dyDescent="0.2"/>
    <row r="72" spans="1:9" s="103" customFormat="1" ht="12.75" customHeight="1" x14ac:dyDescent="0.25">
      <c r="A72" s="729" t="s">
        <v>433</v>
      </c>
      <c r="B72" s="729"/>
      <c r="C72" s="729"/>
      <c r="D72" s="729"/>
      <c r="E72" s="729"/>
      <c r="F72" s="729"/>
      <c r="H72" s="460"/>
    </row>
    <row r="73" spans="1:9" s="202" customFormat="1" ht="18" customHeight="1" x14ac:dyDescent="0.25">
      <c r="A73" s="735" t="str">
        <f>A6</f>
        <v>Rua José Vieira (Trecho 02)</v>
      </c>
      <c r="B73" s="735"/>
      <c r="C73" s="735"/>
      <c r="D73" s="735"/>
      <c r="E73" s="735"/>
      <c r="F73" s="735"/>
      <c r="G73" s="53"/>
    </row>
    <row r="74" spans="1:9" s="202" customFormat="1" ht="5.0999999999999996" customHeight="1" x14ac:dyDescent="0.25">
      <c r="B74" s="436"/>
      <c r="C74" s="437"/>
      <c r="D74" s="437"/>
      <c r="E74" s="257"/>
      <c r="F74" s="257"/>
      <c r="G74" s="53"/>
    </row>
    <row r="75" spans="1:9" s="202" customFormat="1" ht="12.75" customHeight="1" x14ac:dyDescent="0.2">
      <c r="A75" s="730" t="s">
        <v>53</v>
      </c>
      <c r="B75" s="732" t="s">
        <v>267</v>
      </c>
      <c r="C75" s="732" t="s">
        <v>268</v>
      </c>
      <c r="D75" s="732" t="s">
        <v>434</v>
      </c>
      <c r="E75" s="732" t="s">
        <v>435</v>
      </c>
      <c r="F75" s="734"/>
    </row>
    <row r="76" spans="1:9" s="202" customFormat="1" ht="12.75" customHeight="1" x14ac:dyDescent="0.2">
      <c r="A76" s="731"/>
      <c r="B76" s="733"/>
      <c r="C76" s="733"/>
      <c r="D76" s="733"/>
      <c r="E76" s="462" t="s">
        <v>436</v>
      </c>
      <c r="F76" s="463" t="s">
        <v>437</v>
      </c>
    </row>
    <row r="77" spans="1:9" s="202" customFormat="1" ht="12.75" customHeight="1" x14ac:dyDescent="0.2">
      <c r="A77" s="464" t="s">
        <v>4</v>
      </c>
      <c r="B77" s="465" t="s">
        <v>438</v>
      </c>
      <c r="C77" s="466"/>
      <c r="D77" s="467"/>
      <c r="E77" s="467"/>
      <c r="F77" s="468">
        <f>SUM(F78)</f>
        <v>63.9</v>
      </c>
    </row>
    <row r="78" spans="1:9" s="202" customFormat="1" ht="25.5" x14ac:dyDescent="0.2">
      <c r="A78" s="469" t="s">
        <v>86</v>
      </c>
      <c r="B78" s="470" t="str">
        <f>'Planilha Global'!B11</f>
        <v>Execução de linhas de referência em gabarito ou cavalete (locação de pavimentação)</v>
      </c>
      <c r="C78" s="490" t="str">
        <f>F29</f>
        <v>m</v>
      </c>
      <c r="D78" s="472">
        <f>E29</f>
        <v>112.1</v>
      </c>
      <c r="E78" s="473">
        <f>'Planilha Global'!N11</f>
        <v>0.56999999999999995</v>
      </c>
      <c r="F78" s="474">
        <f>ROUND(D78,2)*ROUND(E78,2)</f>
        <v>63.9</v>
      </c>
    </row>
    <row r="79" spans="1:9" s="202" customFormat="1" ht="6.75" customHeight="1" x14ac:dyDescent="0.2">
      <c r="A79" s="486"/>
      <c r="B79" s="487"/>
      <c r="C79" s="482"/>
      <c r="D79" s="472"/>
      <c r="E79" s="488"/>
      <c r="F79" s="474"/>
    </row>
    <row r="80" spans="1:9" s="202" customFormat="1" ht="12.75" customHeight="1" x14ac:dyDescent="0.2">
      <c r="A80" s="464" t="s">
        <v>6</v>
      </c>
      <c r="B80" s="465" t="s">
        <v>511</v>
      </c>
      <c r="C80" s="466"/>
      <c r="D80" s="467"/>
      <c r="E80" s="467"/>
      <c r="F80" s="468">
        <f>SUM(F81:F81)</f>
        <v>1704.65</v>
      </c>
    </row>
    <row r="81" spans="1:12" s="202" customFormat="1" ht="25.5" x14ac:dyDescent="0.2">
      <c r="A81" s="469" t="s">
        <v>7</v>
      </c>
      <c r="B81" s="470" t="str">
        <f>'Planilha Global'!B14</f>
        <v>Regularização e compactação do subleito até 20 cm de espessura</v>
      </c>
      <c r="C81" s="482" t="str">
        <f>F32</f>
        <v>m²</v>
      </c>
      <c r="D81" s="472">
        <f>E32</f>
        <v>681.86</v>
      </c>
      <c r="E81" s="473">
        <f>'Planilha Global'!N14</f>
        <v>2.5</v>
      </c>
      <c r="F81" s="474">
        <f>ROUND(D81,2)*ROUND(E81,2)</f>
        <v>1704.65</v>
      </c>
      <c r="H81" s="485"/>
    </row>
    <row r="82" spans="1:12" s="202" customFormat="1" ht="6.75" customHeight="1" x14ac:dyDescent="0.2">
      <c r="A82" s="486"/>
      <c r="B82" s="487"/>
      <c r="C82" s="482"/>
      <c r="D82" s="472"/>
      <c r="E82" s="488"/>
      <c r="F82" s="474"/>
    </row>
    <row r="83" spans="1:12" s="202" customFormat="1" ht="12.75" customHeight="1" thickBot="1" x14ac:dyDescent="0.25">
      <c r="A83" s="464" t="s">
        <v>8</v>
      </c>
      <c r="B83" s="465" t="s">
        <v>439</v>
      </c>
      <c r="C83" s="466"/>
      <c r="D83" s="467"/>
      <c r="E83" s="489"/>
      <c r="F83" s="468">
        <f>SUM(F84:F86)</f>
        <v>85180.14</v>
      </c>
    </row>
    <row r="84" spans="1:12" s="226" customFormat="1" ht="63.75" x14ac:dyDescent="0.2">
      <c r="A84" s="469" t="s">
        <v>9</v>
      </c>
      <c r="B84" s="470" t="str">
        <f>'Planilha Global'!B17</f>
        <v>Assentamento de guia (meio-fio) em trecho reto, confeccionada em concreto pré-fabricado, dimensões 100x15x13x30 cm (comprimento x base inferior x base superior x altura), para vias urbanas (uso viário)</v>
      </c>
      <c r="C84" s="482" t="str">
        <f>F35</f>
        <v>m</v>
      </c>
      <c r="D84" s="472">
        <f>E35</f>
        <v>227.24</v>
      </c>
      <c r="E84" s="473">
        <f>'Planilha Global'!N17</f>
        <v>49.53</v>
      </c>
      <c r="F84" s="474">
        <f>ROUND(D84,2)*ROUND(E84,2)</f>
        <v>11255.2</v>
      </c>
      <c r="H84" s="492"/>
      <c r="I84" s="493"/>
      <c r="J84" s="494"/>
    </row>
    <row r="85" spans="1:12" s="226" customFormat="1" ht="39" thickBot="1" x14ac:dyDescent="0.25">
      <c r="A85" s="469" t="s">
        <v>12</v>
      </c>
      <c r="B85" s="470" t="str">
        <f>'Planilha Global'!B18</f>
        <v>Execução de pavimento em paralelepípedos, rejuntamento com argamassa traço 1:3 (cimento e areia)</v>
      </c>
      <c r="C85" s="482" t="str">
        <f>F37</f>
        <v>m²</v>
      </c>
      <c r="D85" s="472">
        <f>E37</f>
        <v>681.86</v>
      </c>
      <c r="E85" s="473">
        <f>'Planilha Global'!N18</f>
        <v>107.81</v>
      </c>
      <c r="F85" s="474">
        <f>ROUND(D85,2)*ROUND(E85,2)</f>
        <v>73511.33</v>
      </c>
      <c r="H85" s="495"/>
      <c r="I85" s="496"/>
      <c r="J85" s="497"/>
    </row>
    <row r="86" spans="1:12" s="226" customFormat="1" ht="26.25" customHeight="1" x14ac:dyDescent="0.2">
      <c r="A86" s="469" t="s">
        <v>108</v>
      </c>
      <c r="B86" s="470" t="str">
        <f>'Planilha Global'!B19</f>
        <v>Assentamento de guia (meio-fio) para cordão de travamento do pavimento, em pedra granítica</v>
      </c>
      <c r="C86" s="482" t="str">
        <f>F39</f>
        <v>m</v>
      </c>
      <c r="D86" s="472">
        <f>E39</f>
        <v>6.64</v>
      </c>
      <c r="E86" s="473">
        <f>'Planilha Global'!N19</f>
        <v>62.29</v>
      </c>
      <c r="F86" s="474">
        <f>ROUND(D86,2)*ROUND(E86,2)</f>
        <v>413.61</v>
      </c>
      <c r="H86" s="492"/>
      <c r="I86" s="493"/>
      <c r="J86" s="494"/>
    </row>
    <row r="87" spans="1:12" s="202" customFormat="1" ht="6.75" customHeight="1" x14ac:dyDescent="0.2">
      <c r="A87" s="486"/>
      <c r="B87" s="487"/>
      <c r="C87" s="482"/>
      <c r="D87" s="472"/>
      <c r="E87" s="488"/>
      <c r="F87" s="474"/>
    </row>
    <row r="88" spans="1:12" s="258" customFormat="1" ht="15" customHeight="1" thickBot="1" x14ac:dyDescent="0.3">
      <c r="A88" s="498" t="s">
        <v>14</v>
      </c>
      <c r="B88" s="499" t="s">
        <v>605</v>
      </c>
      <c r="C88" s="466"/>
      <c r="D88" s="467"/>
      <c r="E88" s="500"/>
      <c r="F88" s="468">
        <f>SUM(F89:F91)</f>
        <v>19236.78</v>
      </c>
      <c r="I88" s="501"/>
      <c r="J88" s="502"/>
      <c r="K88" s="502"/>
      <c r="L88" s="503"/>
    </row>
    <row r="89" spans="1:12" s="226" customFormat="1" ht="51" x14ac:dyDescent="0.2">
      <c r="A89" s="469" t="s">
        <v>15</v>
      </c>
      <c r="B89" s="661" t="str">
        <f>'Planilha Global'!B22</f>
        <v>Alvenaria de blocos cerâmicos furados na horizontal de 9x19x19 cm (espessura 9 cm) e argamassa de assentamento com preparo manual (para contenção das calçadas)</v>
      </c>
      <c r="C89" s="490" t="str">
        <f>F42</f>
        <v>m²</v>
      </c>
      <c r="D89" s="472">
        <f>E42</f>
        <v>12.22</v>
      </c>
      <c r="E89" s="473">
        <f>'Planilha Global'!N22</f>
        <v>107.24</v>
      </c>
      <c r="F89" s="474">
        <f>ROUND(D89,2)*ROUND(E89,2)</f>
        <v>1310.47</v>
      </c>
      <c r="H89" s="226">
        <v>73.06</v>
      </c>
    </row>
    <row r="90" spans="1:12" s="226" customFormat="1" ht="38.25" x14ac:dyDescent="0.2">
      <c r="A90" s="469" t="s">
        <v>129</v>
      </c>
      <c r="B90" s="661" t="str">
        <f>'Planilha Global'!B23</f>
        <v>Execução de passeio (calçada) ou piso de concreto com concreto moldado in loco, feito em obra, acabamento convencional, não armado</v>
      </c>
      <c r="C90" s="490" t="str">
        <f>F44</f>
        <v>m³</v>
      </c>
      <c r="D90" s="472">
        <f>'José Vieira - T2'!E44</f>
        <v>12.51</v>
      </c>
      <c r="E90" s="473">
        <f>'Planilha Global'!N23</f>
        <v>943.02</v>
      </c>
      <c r="F90" s="474">
        <f>ROUND(D90,2)*ROUND(E90,2)</f>
        <v>11797.18</v>
      </c>
      <c r="H90" s="226">
        <v>703.2</v>
      </c>
    </row>
    <row r="91" spans="1:12" s="226" customFormat="1" ht="25.5" x14ac:dyDescent="0.2">
      <c r="A91" s="469" t="s">
        <v>131</v>
      </c>
      <c r="B91" s="661" t="str">
        <f>'Planilha Global'!B24</f>
        <v>Piso podotátil de alerta ou direcional, de concreto, assentado sobre argamassa</v>
      </c>
      <c r="C91" s="490" t="str">
        <f>F46</f>
        <v>m²</v>
      </c>
      <c r="D91" s="472">
        <f>E46</f>
        <v>36.57</v>
      </c>
      <c r="E91" s="473">
        <f>'Planilha Global'!N24</f>
        <v>167.6</v>
      </c>
      <c r="F91" s="474">
        <f>ROUND(D91,2)*ROUND(E91,2)</f>
        <v>6129.13</v>
      </c>
      <c r="H91" s="226">
        <v>109.78</v>
      </c>
    </row>
    <row r="92" spans="1:12" s="202" customFormat="1" ht="6.75" customHeight="1" x14ac:dyDescent="0.2">
      <c r="A92" s="486"/>
      <c r="B92" s="487"/>
      <c r="C92" s="482"/>
      <c r="D92" s="472"/>
      <c r="E92" s="488"/>
      <c r="F92" s="474"/>
    </row>
    <row r="93" spans="1:12" s="258" customFormat="1" ht="15" customHeight="1" thickBot="1" x14ac:dyDescent="0.3">
      <c r="A93" s="498" t="s">
        <v>157</v>
      </c>
      <c r="B93" s="499" t="s">
        <v>606</v>
      </c>
      <c r="C93" s="466"/>
      <c r="D93" s="467"/>
      <c r="E93" s="500"/>
      <c r="F93" s="468">
        <f>SUM(F94:F97)</f>
        <v>3246.79</v>
      </c>
      <c r="I93" s="501"/>
      <c r="J93" s="502"/>
      <c r="K93" s="502"/>
      <c r="L93" s="503"/>
    </row>
    <row r="94" spans="1:12" s="226" customFormat="1" ht="39" thickBot="1" x14ac:dyDescent="0.25">
      <c r="A94" s="469" t="s">
        <v>158</v>
      </c>
      <c r="B94" s="661" t="str">
        <f>'Planilha Global'!B27</f>
        <v>Concreto Fck = 15mpa, traço 1:3,4:3,5 (em massa seca de cimento/ areia média/ brita 1), preparo mecânico com betoneira 400 L</v>
      </c>
      <c r="C94" s="490" t="str">
        <f>F49</f>
        <v>m³</v>
      </c>
      <c r="D94" s="472">
        <f>E49</f>
        <v>2.1</v>
      </c>
      <c r="E94" s="473">
        <f>'Planilha Global'!N27</f>
        <v>553.16</v>
      </c>
      <c r="F94" s="474">
        <f>ROUND(D94,2)*ROUND(E94,2)</f>
        <v>1161.6400000000001</v>
      </c>
      <c r="H94" s="226">
        <v>410.85</v>
      </c>
    </row>
    <row r="95" spans="1:12" s="202" customFormat="1" ht="25.5" x14ac:dyDescent="0.2">
      <c r="A95" s="469" t="s">
        <v>170</v>
      </c>
      <c r="B95" s="661" t="str">
        <f>'Planilha Global'!B28</f>
        <v>Lançamento com uso de baldes, adensamento e acabamento de concreto em estruturas</v>
      </c>
      <c r="C95" s="490" t="str">
        <f>F51</f>
        <v>m³</v>
      </c>
      <c r="D95" s="472">
        <f>E51</f>
        <v>2.1</v>
      </c>
      <c r="E95" s="473">
        <f>'Planilha Global'!N28</f>
        <v>324.95</v>
      </c>
      <c r="F95" s="474">
        <f>ROUND(D95,2)*ROUND(E95,2)</f>
        <v>682.4</v>
      </c>
      <c r="H95" s="202">
        <v>223.25</v>
      </c>
      <c r="I95" s="506"/>
      <c r="J95" s="507"/>
      <c r="K95" s="507"/>
      <c r="L95" s="508"/>
    </row>
    <row r="96" spans="1:12" s="226" customFormat="1" ht="25.5" x14ac:dyDescent="0.2">
      <c r="A96" s="469" t="s">
        <v>203</v>
      </c>
      <c r="B96" s="661" t="str">
        <f>'Planilha Global'!B29</f>
        <v>Piso podotátil de alerta ou direcional, de concreto, assentado sobre argamassa</v>
      </c>
      <c r="C96" s="490" t="str">
        <f>F53</f>
        <v>m²</v>
      </c>
      <c r="D96" s="472">
        <f>E53</f>
        <v>3.12</v>
      </c>
      <c r="E96" s="473">
        <f>'Planilha Global'!N29</f>
        <v>167.6</v>
      </c>
      <c r="F96" s="474">
        <f>ROUND(D96,2)*ROUND(E96,2)</f>
        <v>522.91</v>
      </c>
      <c r="H96" s="226">
        <v>109.78</v>
      </c>
    </row>
    <row r="97" spans="1:11" s="226" customFormat="1" ht="25.5" x14ac:dyDescent="0.2">
      <c r="A97" s="469" t="s">
        <v>181</v>
      </c>
      <c r="B97" s="661" t="str">
        <f>'Planilha Global'!B30</f>
        <v>Pintura de piso com tinta acrílica, aplicação manual, 2 demãos, incluso fundo preparador</v>
      </c>
      <c r="C97" s="490" t="str">
        <f>F55</f>
        <v>m²</v>
      </c>
      <c r="D97" s="472">
        <f>E55</f>
        <v>36</v>
      </c>
      <c r="E97" s="473">
        <f>'Planilha Global'!N30</f>
        <v>24.44</v>
      </c>
      <c r="F97" s="474">
        <f>ROUND(D97,2)*ROUND(E97,2)</f>
        <v>879.84</v>
      </c>
      <c r="H97" s="226">
        <v>14.87</v>
      </c>
    </row>
    <row r="98" spans="1:11" s="202" customFormat="1" ht="6.75" customHeight="1" x14ac:dyDescent="0.2">
      <c r="A98" s="486"/>
      <c r="B98" s="487"/>
      <c r="C98" s="482"/>
      <c r="D98" s="472"/>
      <c r="E98" s="488"/>
      <c r="F98" s="474"/>
    </row>
    <row r="99" spans="1:11" s="258" customFormat="1" ht="15" customHeight="1" thickBot="1" x14ac:dyDescent="0.3">
      <c r="A99" s="498" t="s">
        <v>174</v>
      </c>
      <c r="B99" s="499" t="s">
        <v>706</v>
      </c>
      <c r="C99" s="466"/>
      <c r="D99" s="467"/>
      <c r="E99" s="500"/>
      <c r="F99" s="468">
        <f>SUM(F100:F101)</f>
        <v>928.9</v>
      </c>
      <c r="H99" s="501"/>
      <c r="I99" s="502"/>
      <c r="J99" s="502"/>
      <c r="K99" s="503"/>
    </row>
    <row r="100" spans="1:11" s="202" customFormat="1" ht="38.25" x14ac:dyDescent="0.2">
      <c r="A100" s="469" t="s">
        <v>175</v>
      </c>
      <c r="B100" s="661" t="str">
        <f>'Planilha Global'!B33</f>
        <v>Fornecimento e instalação de suporte de madeira para placas de sinalização, em solo, com h= de 2,0 m e seção de 7,5 x 7,5 cm</v>
      </c>
      <c r="C100" s="490" t="str">
        <f>F58</f>
        <v>unid</v>
      </c>
      <c r="D100" s="472">
        <f>E58</f>
        <v>2</v>
      </c>
      <c r="E100" s="473">
        <f>'Planilha Global'!N33</f>
        <v>120.58</v>
      </c>
      <c r="F100" s="474">
        <f t="shared" ref="F100:F101" si="1">ROUND(D100*E100,2)</f>
        <v>241.16</v>
      </c>
      <c r="H100" s="665"/>
    </row>
    <row r="101" spans="1:11" s="226" customFormat="1" ht="38.25" x14ac:dyDescent="0.2">
      <c r="A101" s="469" t="s">
        <v>246</v>
      </c>
      <c r="B101" s="661" t="str">
        <f>'Planilha Global'!B34</f>
        <v>Placa de advertência em aço, lado de 0,60 m - película retrorrefletiva tipo I + SI - fornecimento e implantação</v>
      </c>
      <c r="C101" s="490" t="str">
        <f>F60</f>
        <v>unid</v>
      </c>
      <c r="D101" s="472">
        <f>E60</f>
        <v>2</v>
      </c>
      <c r="E101" s="473">
        <f>'Planilha Global'!N34</f>
        <v>343.87</v>
      </c>
      <c r="F101" s="505">
        <f t="shared" si="1"/>
        <v>687.74</v>
      </c>
      <c r="H101" s="226">
        <v>349.41</v>
      </c>
    </row>
    <row r="102" spans="1:11" s="202" customFormat="1" ht="6.75" customHeight="1" x14ac:dyDescent="0.2">
      <c r="A102" s="509"/>
      <c r="B102" s="41"/>
      <c r="C102" s="482"/>
      <c r="D102" s="472"/>
      <c r="E102" s="510"/>
      <c r="F102" s="474"/>
      <c r="H102" s="511"/>
      <c r="K102" s="512"/>
    </row>
    <row r="103" spans="1:11" s="258" customFormat="1" ht="15" customHeight="1" thickBot="1" x14ac:dyDescent="0.3">
      <c r="A103" s="498" t="s">
        <v>254</v>
      </c>
      <c r="B103" s="499" t="s">
        <v>849</v>
      </c>
      <c r="C103" s="466"/>
      <c r="D103" s="467"/>
      <c r="E103" s="500"/>
      <c r="F103" s="468">
        <f>SUM(F104:F106)</f>
        <v>414.77</v>
      </c>
      <c r="H103" s="501"/>
      <c r="I103" s="502"/>
      <c r="J103" s="502"/>
      <c r="K103" s="503"/>
    </row>
    <row r="104" spans="1:11" s="202" customFormat="1" ht="26.25" thickBot="1" x14ac:dyDescent="0.25">
      <c r="A104" s="469" t="s">
        <v>255</v>
      </c>
      <c r="B104" s="661" t="str">
        <f>'Planilha Global'!B37</f>
        <v>Pintura de meio-fio com tinta branca a base de cal (caiação)</v>
      </c>
      <c r="C104" s="490" t="str">
        <f>F63</f>
        <v>m²</v>
      </c>
      <c r="D104" s="472">
        <f>E63</f>
        <v>63.63</v>
      </c>
      <c r="E104" s="473">
        <f>'Planilha Global'!N37</f>
        <v>1.78</v>
      </c>
      <c r="F104" s="474">
        <f>ROUND(D104,2)*ROUND(E104,2)</f>
        <v>113.26</v>
      </c>
      <c r="H104" s="506"/>
      <c r="I104" s="507"/>
      <c r="J104" s="507"/>
      <c r="K104" s="508"/>
    </row>
    <row r="105" spans="1:11" s="202" customFormat="1" ht="25.5" x14ac:dyDescent="0.2">
      <c r="A105" s="469" t="s">
        <v>853</v>
      </c>
      <c r="B105" s="661" t="str">
        <f>'Planilha Global'!B38</f>
        <v>Placa esmaltada para identificação de nome de rua, dimensões 45x20cm</v>
      </c>
      <c r="C105" s="490" t="str">
        <f>F65</f>
        <v>unid</v>
      </c>
      <c r="D105" s="472">
        <f>E65</f>
        <v>1</v>
      </c>
      <c r="E105" s="473">
        <f>'Planilha Global'!N38</f>
        <v>180.93</v>
      </c>
      <c r="F105" s="474">
        <f>ROUND(D105,2)*ROUND(E105,2)</f>
        <v>180.93</v>
      </c>
      <c r="H105" s="506"/>
      <c r="I105" s="507"/>
      <c r="J105" s="507"/>
      <c r="K105" s="508"/>
    </row>
    <row r="106" spans="1:11" s="202" customFormat="1" ht="38.25" x14ac:dyDescent="0.2">
      <c r="A106" s="469" t="s">
        <v>882</v>
      </c>
      <c r="B106" s="661" t="str">
        <f>'Planilha Global'!B39</f>
        <v>Fornecimento e instalação de suporte de madeira para placas de identificação de rua, em solo, com h= de 2,0 m e seção de 7,5 x 7,5 cm</v>
      </c>
      <c r="C106" s="490" t="str">
        <f>F67</f>
        <v>unid</v>
      </c>
      <c r="D106" s="472">
        <f>E67</f>
        <v>1</v>
      </c>
      <c r="E106" s="473">
        <f>'Planilha Global'!N39</f>
        <v>120.58</v>
      </c>
      <c r="F106" s="474">
        <f t="shared" ref="F106" si="2">ROUND(D106*E106,2)</f>
        <v>120.58</v>
      </c>
      <c r="H106" s="665"/>
    </row>
    <row r="107" spans="1:11" s="202" customFormat="1" ht="6.75" customHeight="1" x14ac:dyDescent="0.2">
      <c r="A107" s="509"/>
      <c r="B107" s="41"/>
      <c r="C107" s="482"/>
      <c r="D107" s="472"/>
      <c r="E107" s="510"/>
      <c r="F107" s="474"/>
      <c r="H107" s="511"/>
      <c r="K107" s="512"/>
    </row>
    <row r="108" spans="1:11" s="202" customFormat="1" ht="12.75" customHeight="1" x14ac:dyDescent="0.2">
      <c r="A108" s="727" t="s">
        <v>440</v>
      </c>
      <c r="B108" s="728"/>
      <c r="C108" s="728"/>
      <c r="D108" s="728"/>
      <c r="E108" s="728"/>
      <c r="F108" s="543">
        <f>F77+F80+F83+F88+F93+F99+F103</f>
        <v>110775.93</v>
      </c>
    </row>
    <row r="109" spans="1:11" s="202" customFormat="1" ht="5.25" customHeight="1" x14ac:dyDescent="0.2">
      <c r="B109" s="256"/>
      <c r="C109" s="281"/>
      <c r="E109" s="281"/>
    </row>
    <row r="110" spans="1:11" s="202" customFormat="1" ht="12.75" customHeight="1" x14ac:dyDescent="0.2">
      <c r="A110" s="64" t="s">
        <v>1052</v>
      </c>
      <c r="B110" s="256"/>
      <c r="C110" s="281"/>
      <c r="E110" s="281"/>
      <c r="F110" s="513"/>
      <c r="G110" s="202">
        <f>175162.63/D85</f>
        <v>256.88943478133302</v>
      </c>
    </row>
    <row r="111" spans="1:11" s="202" customFormat="1" ht="12.75" customHeight="1" x14ac:dyDescent="0.2">
      <c r="A111" s="64" t="str">
        <f>'Composição Custos Unit'!G37</f>
        <v>Referência: SINAPI PB Fevereiro/25; DER PB Jan-Mar/25</v>
      </c>
      <c r="B111" s="256"/>
      <c r="C111" s="636" t="str">
        <f>'Planilha Global'!A43</f>
        <v>BDI: 28,99%</v>
      </c>
      <c r="E111" s="281"/>
    </row>
    <row r="112" spans="1:11" s="202" customFormat="1" ht="12.75" customHeight="1" x14ac:dyDescent="0.2">
      <c r="E112" s="281"/>
      <c r="F112" s="247"/>
    </row>
    <row r="113" spans="6:7" ht="12.75" customHeight="1" x14ac:dyDescent="0.2">
      <c r="G113" t="e">
        <f>F108/#REF!</f>
        <v>#REF!</v>
      </c>
    </row>
    <row r="114" spans="6:7" ht="12.75" customHeight="1" x14ac:dyDescent="0.2">
      <c r="F114" s="514">
        <f>F108/D81</f>
        <v>162.46</v>
      </c>
    </row>
    <row r="116" spans="6:7" x14ac:dyDescent="0.2">
      <c r="F116" s="514">
        <f>'Maria Livramento - T1'!F106+'Maria Livramento - T2'!F108+'Fábio Vaz - T1'!F114+'José Vieira - T2'!F108</f>
        <v>478854.35</v>
      </c>
    </row>
  </sheetData>
  <mergeCells count="43">
    <mergeCell ref="A108:E108"/>
    <mergeCell ref="C13:F13"/>
    <mergeCell ref="C14:F14"/>
    <mergeCell ref="C15:F15"/>
    <mergeCell ref="C23:F23"/>
    <mergeCell ref="C24:F24"/>
    <mergeCell ref="A72:F72"/>
    <mergeCell ref="A73:F73"/>
    <mergeCell ref="A75:A76"/>
    <mergeCell ref="B75:B76"/>
    <mergeCell ref="C75:C76"/>
    <mergeCell ref="D75:D76"/>
    <mergeCell ref="E75:F75"/>
    <mergeCell ref="B58:D58"/>
    <mergeCell ref="B60:D60"/>
    <mergeCell ref="A62:B62"/>
    <mergeCell ref="B63:D63"/>
    <mergeCell ref="B65:D65"/>
    <mergeCell ref="B67:D67"/>
    <mergeCell ref="A48:B48"/>
    <mergeCell ref="B49:D49"/>
    <mergeCell ref="B51:D51"/>
    <mergeCell ref="B53:D53"/>
    <mergeCell ref="B55:D55"/>
    <mergeCell ref="A57:B57"/>
    <mergeCell ref="B46:D46"/>
    <mergeCell ref="A31:B31"/>
    <mergeCell ref="B32:D32"/>
    <mergeCell ref="A34:B34"/>
    <mergeCell ref="B29:D29"/>
    <mergeCell ref="B35:D35"/>
    <mergeCell ref="B37:D37"/>
    <mergeCell ref="B39:D39"/>
    <mergeCell ref="A41:B41"/>
    <mergeCell ref="B42:D42"/>
    <mergeCell ref="B44:D44"/>
    <mergeCell ref="A28:B28"/>
    <mergeCell ref="C19:F19"/>
    <mergeCell ref="A4:F4"/>
    <mergeCell ref="C8:F8"/>
    <mergeCell ref="C9:F9"/>
    <mergeCell ref="C10:F10"/>
    <mergeCell ref="C18:F18"/>
  </mergeCells>
  <printOptions horizontalCentered="1"/>
  <pageMargins left="0.51181102362204722" right="0.51181102362204722" top="0.39370078740157483" bottom="0.59055118110236227" header="0.31496062992125984" footer="0.31496062992125984"/>
  <pageSetup paperSize="9" scale="91" orientation="portrait" r:id="rId1"/>
  <rowBreaks count="1" manualBreakCount="1">
    <brk id="68" max="5" man="1"/>
  </rowBreaks>
  <legacy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2FD4DE-4C72-4409-A92C-1140A01F6F3B}">
  <dimension ref="A1:S100"/>
  <sheetViews>
    <sheetView view="pageBreakPreview" zoomScale="110" zoomScaleNormal="100" zoomScaleSheetLayoutView="110" workbookViewId="0">
      <selection activeCell="O28" activeCellId="1" sqref="R15 O28"/>
    </sheetView>
  </sheetViews>
  <sheetFormatPr defaultRowHeight="12.75" x14ac:dyDescent="0.2"/>
  <cols>
    <col min="1" max="1" width="4.7109375" customWidth="1"/>
    <col min="2" max="2" width="45" customWidth="1"/>
    <col min="3" max="3" width="8.42578125" customWidth="1"/>
    <col min="4" max="4" width="14.28515625" customWidth="1"/>
    <col min="5" max="5" width="9.28515625" bestFit="1" customWidth="1"/>
    <col min="6" max="6" width="12.140625" customWidth="1"/>
    <col min="7" max="7" width="14.42578125" customWidth="1"/>
    <col min="8" max="8" width="12.5703125" customWidth="1"/>
    <col min="9" max="9" width="17.7109375" customWidth="1"/>
    <col min="257" max="257" width="4.7109375" customWidth="1"/>
    <col min="258" max="258" width="45" customWidth="1"/>
    <col min="259" max="259" width="8.42578125" customWidth="1"/>
    <col min="260" max="260" width="14.28515625" customWidth="1"/>
    <col min="261" max="261" width="9.28515625" bestFit="1" customWidth="1"/>
    <col min="262" max="262" width="12.140625" customWidth="1"/>
    <col min="263" max="263" width="14.42578125" customWidth="1"/>
    <col min="264" max="264" width="12.5703125" customWidth="1"/>
    <col min="265" max="265" width="17.7109375" customWidth="1"/>
    <col min="513" max="513" width="4.7109375" customWidth="1"/>
    <col min="514" max="514" width="45" customWidth="1"/>
    <col min="515" max="515" width="8.42578125" customWidth="1"/>
    <col min="516" max="516" width="14.28515625" customWidth="1"/>
    <col min="517" max="517" width="9.28515625" bestFit="1" customWidth="1"/>
    <col min="518" max="518" width="12.140625" customWidth="1"/>
    <col min="519" max="519" width="14.42578125" customWidth="1"/>
    <col min="520" max="520" width="12.5703125" customWidth="1"/>
    <col min="521" max="521" width="17.7109375" customWidth="1"/>
    <col min="769" max="769" width="4.7109375" customWidth="1"/>
    <col min="770" max="770" width="45" customWidth="1"/>
    <col min="771" max="771" width="8.42578125" customWidth="1"/>
    <col min="772" max="772" width="14.28515625" customWidth="1"/>
    <col min="773" max="773" width="9.28515625" bestFit="1" customWidth="1"/>
    <col min="774" max="774" width="12.140625" customWidth="1"/>
    <col min="775" max="775" width="14.42578125" customWidth="1"/>
    <col min="776" max="776" width="12.5703125" customWidth="1"/>
    <col min="777" max="777" width="17.7109375" customWidth="1"/>
    <col min="1025" max="1025" width="4.7109375" customWidth="1"/>
    <col min="1026" max="1026" width="45" customWidth="1"/>
    <col min="1027" max="1027" width="8.42578125" customWidth="1"/>
    <col min="1028" max="1028" width="14.28515625" customWidth="1"/>
    <col min="1029" max="1029" width="9.28515625" bestFit="1" customWidth="1"/>
    <col min="1030" max="1030" width="12.140625" customWidth="1"/>
    <col min="1031" max="1031" width="14.42578125" customWidth="1"/>
    <col min="1032" max="1032" width="12.5703125" customWidth="1"/>
    <col min="1033" max="1033" width="17.7109375" customWidth="1"/>
    <col min="1281" max="1281" width="4.7109375" customWidth="1"/>
    <col min="1282" max="1282" width="45" customWidth="1"/>
    <col min="1283" max="1283" width="8.42578125" customWidth="1"/>
    <col min="1284" max="1284" width="14.28515625" customWidth="1"/>
    <col min="1285" max="1285" width="9.28515625" bestFit="1" customWidth="1"/>
    <col min="1286" max="1286" width="12.140625" customWidth="1"/>
    <col min="1287" max="1287" width="14.42578125" customWidth="1"/>
    <col min="1288" max="1288" width="12.5703125" customWidth="1"/>
    <col min="1289" max="1289" width="17.7109375" customWidth="1"/>
    <col min="1537" max="1537" width="4.7109375" customWidth="1"/>
    <col min="1538" max="1538" width="45" customWidth="1"/>
    <col min="1539" max="1539" width="8.42578125" customWidth="1"/>
    <col min="1540" max="1540" width="14.28515625" customWidth="1"/>
    <col min="1541" max="1541" width="9.28515625" bestFit="1" customWidth="1"/>
    <col min="1542" max="1542" width="12.140625" customWidth="1"/>
    <col min="1543" max="1543" width="14.42578125" customWidth="1"/>
    <col min="1544" max="1544" width="12.5703125" customWidth="1"/>
    <col min="1545" max="1545" width="17.7109375" customWidth="1"/>
    <col min="1793" max="1793" width="4.7109375" customWidth="1"/>
    <col min="1794" max="1794" width="45" customWidth="1"/>
    <col min="1795" max="1795" width="8.42578125" customWidth="1"/>
    <col min="1796" max="1796" width="14.28515625" customWidth="1"/>
    <col min="1797" max="1797" width="9.28515625" bestFit="1" customWidth="1"/>
    <col min="1798" max="1798" width="12.140625" customWidth="1"/>
    <col min="1799" max="1799" width="14.42578125" customWidth="1"/>
    <col min="1800" max="1800" width="12.5703125" customWidth="1"/>
    <col min="1801" max="1801" width="17.7109375" customWidth="1"/>
    <col min="2049" max="2049" width="4.7109375" customWidth="1"/>
    <col min="2050" max="2050" width="45" customWidth="1"/>
    <col min="2051" max="2051" width="8.42578125" customWidth="1"/>
    <col min="2052" max="2052" width="14.28515625" customWidth="1"/>
    <col min="2053" max="2053" width="9.28515625" bestFit="1" customWidth="1"/>
    <col min="2054" max="2054" width="12.140625" customWidth="1"/>
    <col min="2055" max="2055" width="14.42578125" customWidth="1"/>
    <col min="2056" max="2056" width="12.5703125" customWidth="1"/>
    <col min="2057" max="2057" width="17.7109375" customWidth="1"/>
    <col min="2305" max="2305" width="4.7109375" customWidth="1"/>
    <col min="2306" max="2306" width="45" customWidth="1"/>
    <col min="2307" max="2307" width="8.42578125" customWidth="1"/>
    <col min="2308" max="2308" width="14.28515625" customWidth="1"/>
    <col min="2309" max="2309" width="9.28515625" bestFit="1" customWidth="1"/>
    <col min="2310" max="2310" width="12.140625" customWidth="1"/>
    <col min="2311" max="2311" width="14.42578125" customWidth="1"/>
    <col min="2312" max="2312" width="12.5703125" customWidth="1"/>
    <col min="2313" max="2313" width="17.7109375" customWidth="1"/>
    <col min="2561" max="2561" width="4.7109375" customWidth="1"/>
    <col min="2562" max="2562" width="45" customWidth="1"/>
    <col min="2563" max="2563" width="8.42578125" customWidth="1"/>
    <col min="2564" max="2564" width="14.28515625" customWidth="1"/>
    <col min="2565" max="2565" width="9.28515625" bestFit="1" customWidth="1"/>
    <col min="2566" max="2566" width="12.140625" customWidth="1"/>
    <col min="2567" max="2567" width="14.42578125" customWidth="1"/>
    <col min="2568" max="2568" width="12.5703125" customWidth="1"/>
    <col min="2569" max="2569" width="17.7109375" customWidth="1"/>
    <col min="2817" max="2817" width="4.7109375" customWidth="1"/>
    <col min="2818" max="2818" width="45" customWidth="1"/>
    <col min="2819" max="2819" width="8.42578125" customWidth="1"/>
    <col min="2820" max="2820" width="14.28515625" customWidth="1"/>
    <col min="2821" max="2821" width="9.28515625" bestFit="1" customWidth="1"/>
    <col min="2822" max="2822" width="12.140625" customWidth="1"/>
    <col min="2823" max="2823" width="14.42578125" customWidth="1"/>
    <col min="2824" max="2824" width="12.5703125" customWidth="1"/>
    <col min="2825" max="2825" width="17.7109375" customWidth="1"/>
    <col min="3073" max="3073" width="4.7109375" customWidth="1"/>
    <col min="3074" max="3074" width="45" customWidth="1"/>
    <col min="3075" max="3075" width="8.42578125" customWidth="1"/>
    <col min="3076" max="3076" width="14.28515625" customWidth="1"/>
    <col min="3077" max="3077" width="9.28515625" bestFit="1" customWidth="1"/>
    <col min="3078" max="3078" width="12.140625" customWidth="1"/>
    <col min="3079" max="3079" width="14.42578125" customWidth="1"/>
    <col min="3080" max="3080" width="12.5703125" customWidth="1"/>
    <col min="3081" max="3081" width="17.7109375" customWidth="1"/>
    <col min="3329" max="3329" width="4.7109375" customWidth="1"/>
    <col min="3330" max="3330" width="45" customWidth="1"/>
    <col min="3331" max="3331" width="8.42578125" customWidth="1"/>
    <col min="3332" max="3332" width="14.28515625" customWidth="1"/>
    <col min="3333" max="3333" width="9.28515625" bestFit="1" customWidth="1"/>
    <col min="3334" max="3334" width="12.140625" customWidth="1"/>
    <col min="3335" max="3335" width="14.42578125" customWidth="1"/>
    <col min="3336" max="3336" width="12.5703125" customWidth="1"/>
    <col min="3337" max="3337" width="17.7109375" customWidth="1"/>
    <col min="3585" max="3585" width="4.7109375" customWidth="1"/>
    <col min="3586" max="3586" width="45" customWidth="1"/>
    <col min="3587" max="3587" width="8.42578125" customWidth="1"/>
    <col min="3588" max="3588" width="14.28515625" customWidth="1"/>
    <col min="3589" max="3589" width="9.28515625" bestFit="1" customWidth="1"/>
    <col min="3590" max="3590" width="12.140625" customWidth="1"/>
    <col min="3591" max="3591" width="14.42578125" customWidth="1"/>
    <col min="3592" max="3592" width="12.5703125" customWidth="1"/>
    <col min="3593" max="3593" width="17.7109375" customWidth="1"/>
    <col min="3841" max="3841" width="4.7109375" customWidth="1"/>
    <col min="3842" max="3842" width="45" customWidth="1"/>
    <col min="3843" max="3843" width="8.42578125" customWidth="1"/>
    <col min="3844" max="3844" width="14.28515625" customWidth="1"/>
    <col min="3845" max="3845" width="9.28515625" bestFit="1" customWidth="1"/>
    <col min="3846" max="3846" width="12.140625" customWidth="1"/>
    <col min="3847" max="3847" width="14.42578125" customWidth="1"/>
    <col min="3848" max="3848" width="12.5703125" customWidth="1"/>
    <col min="3849" max="3849" width="17.7109375" customWidth="1"/>
    <col min="4097" max="4097" width="4.7109375" customWidth="1"/>
    <col min="4098" max="4098" width="45" customWidth="1"/>
    <col min="4099" max="4099" width="8.42578125" customWidth="1"/>
    <col min="4100" max="4100" width="14.28515625" customWidth="1"/>
    <col min="4101" max="4101" width="9.28515625" bestFit="1" customWidth="1"/>
    <col min="4102" max="4102" width="12.140625" customWidth="1"/>
    <col min="4103" max="4103" width="14.42578125" customWidth="1"/>
    <col min="4104" max="4104" width="12.5703125" customWidth="1"/>
    <col min="4105" max="4105" width="17.7109375" customWidth="1"/>
    <col min="4353" max="4353" width="4.7109375" customWidth="1"/>
    <col min="4354" max="4354" width="45" customWidth="1"/>
    <col min="4355" max="4355" width="8.42578125" customWidth="1"/>
    <col min="4356" max="4356" width="14.28515625" customWidth="1"/>
    <col min="4357" max="4357" width="9.28515625" bestFit="1" customWidth="1"/>
    <col min="4358" max="4358" width="12.140625" customWidth="1"/>
    <col min="4359" max="4359" width="14.42578125" customWidth="1"/>
    <col min="4360" max="4360" width="12.5703125" customWidth="1"/>
    <col min="4361" max="4361" width="17.7109375" customWidth="1"/>
    <col min="4609" max="4609" width="4.7109375" customWidth="1"/>
    <col min="4610" max="4610" width="45" customWidth="1"/>
    <col min="4611" max="4611" width="8.42578125" customWidth="1"/>
    <col min="4612" max="4612" width="14.28515625" customWidth="1"/>
    <col min="4613" max="4613" width="9.28515625" bestFit="1" customWidth="1"/>
    <col min="4614" max="4614" width="12.140625" customWidth="1"/>
    <col min="4615" max="4615" width="14.42578125" customWidth="1"/>
    <col min="4616" max="4616" width="12.5703125" customWidth="1"/>
    <col min="4617" max="4617" width="17.7109375" customWidth="1"/>
    <col min="4865" max="4865" width="4.7109375" customWidth="1"/>
    <col min="4866" max="4866" width="45" customWidth="1"/>
    <col min="4867" max="4867" width="8.42578125" customWidth="1"/>
    <col min="4868" max="4868" width="14.28515625" customWidth="1"/>
    <col min="4869" max="4869" width="9.28515625" bestFit="1" customWidth="1"/>
    <col min="4870" max="4870" width="12.140625" customWidth="1"/>
    <col min="4871" max="4871" width="14.42578125" customWidth="1"/>
    <col min="4872" max="4872" width="12.5703125" customWidth="1"/>
    <col min="4873" max="4873" width="17.7109375" customWidth="1"/>
    <col min="5121" max="5121" width="4.7109375" customWidth="1"/>
    <col min="5122" max="5122" width="45" customWidth="1"/>
    <col min="5123" max="5123" width="8.42578125" customWidth="1"/>
    <col min="5124" max="5124" width="14.28515625" customWidth="1"/>
    <col min="5125" max="5125" width="9.28515625" bestFit="1" customWidth="1"/>
    <col min="5126" max="5126" width="12.140625" customWidth="1"/>
    <col min="5127" max="5127" width="14.42578125" customWidth="1"/>
    <col min="5128" max="5128" width="12.5703125" customWidth="1"/>
    <col min="5129" max="5129" width="17.7109375" customWidth="1"/>
    <col min="5377" max="5377" width="4.7109375" customWidth="1"/>
    <col min="5378" max="5378" width="45" customWidth="1"/>
    <col min="5379" max="5379" width="8.42578125" customWidth="1"/>
    <col min="5380" max="5380" width="14.28515625" customWidth="1"/>
    <col min="5381" max="5381" width="9.28515625" bestFit="1" customWidth="1"/>
    <col min="5382" max="5382" width="12.140625" customWidth="1"/>
    <col min="5383" max="5383" width="14.42578125" customWidth="1"/>
    <col min="5384" max="5384" width="12.5703125" customWidth="1"/>
    <col min="5385" max="5385" width="17.7109375" customWidth="1"/>
    <col min="5633" max="5633" width="4.7109375" customWidth="1"/>
    <col min="5634" max="5634" width="45" customWidth="1"/>
    <col min="5635" max="5635" width="8.42578125" customWidth="1"/>
    <col min="5636" max="5636" width="14.28515625" customWidth="1"/>
    <col min="5637" max="5637" width="9.28515625" bestFit="1" customWidth="1"/>
    <col min="5638" max="5638" width="12.140625" customWidth="1"/>
    <col min="5639" max="5639" width="14.42578125" customWidth="1"/>
    <col min="5640" max="5640" width="12.5703125" customWidth="1"/>
    <col min="5641" max="5641" width="17.7109375" customWidth="1"/>
    <col min="5889" max="5889" width="4.7109375" customWidth="1"/>
    <col min="5890" max="5890" width="45" customWidth="1"/>
    <col min="5891" max="5891" width="8.42578125" customWidth="1"/>
    <col min="5892" max="5892" width="14.28515625" customWidth="1"/>
    <col min="5893" max="5893" width="9.28515625" bestFit="1" customWidth="1"/>
    <col min="5894" max="5894" width="12.140625" customWidth="1"/>
    <col min="5895" max="5895" width="14.42578125" customWidth="1"/>
    <col min="5896" max="5896" width="12.5703125" customWidth="1"/>
    <col min="5897" max="5897" width="17.7109375" customWidth="1"/>
    <col min="6145" max="6145" width="4.7109375" customWidth="1"/>
    <col min="6146" max="6146" width="45" customWidth="1"/>
    <col min="6147" max="6147" width="8.42578125" customWidth="1"/>
    <col min="6148" max="6148" width="14.28515625" customWidth="1"/>
    <col min="6149" max="6149" width="9.28515625" bestFit="1" customWidth="1"/>
    <col min="6150" max="6150" width="12.140625" customWidth="1"/>
    <col min="6151" max="6151" width="14.42578125" customWidth="1"/>
    <col min="6152" max="6152" width="12.5703125" customWidth="1"/>
    <col min="6153" max="6153" width="17.7109375" customWidth="1"/>
    <col min="6401" max="6401" width="4.7109375" customWidth="1"/>
    <col min="6402" max="6402" width="45" customWidth="1"/>
    <col min="6403" max="6403" width="8.42578125" customWidth="1"/>
    <col min="6404" max="6404" width="14.28515625" customWidth="1"/>
    <col min="6405" max="6405" width="9.28515625" bestFit="1" customWidth="1"/>
    <col min="6406" max="6406" width="12.140625" customWidth="1"/>
    <col min="6407" max="6407" width="14.42578125" customWidth="1"/>
    <col min="6408" max="6408" width="12.5703125" customWidth="1"/>
    <col min="6409" max="6409" width="17.7109375" customWidth="1"/>
    <col min="6657" max="6657" width="4.7109375" customWidth="1"/>
    <col min="6658" max="6658" width="45" customWidth="1"/>
    <col min="6659" max="6659" width="8.42578125" customWidth="1"/>
    <col min="6660" max="6660" width="14.28515625" customWidth="1"/>
    <col min="6661" max="6661" width="9.28515625" bestFit="1" customWidth="1"/>
    <col min="6662" max="6662" width="12.140625" customWidth="1"/>
    <col min="6663" max="6663" width="14.42578125" customWidth="1"/>
    <col min="6664" max="6664" width="12.5703125" customWidth="1"/>
    <col min="6665" max="6665" width="17.7109375" customWidth="1"/>
    <col min="6913" max="6913" width="4.7109375" customWidth="1"/>
    <col min="6914" max="6914" width="45" customWidth="1"/>
    <col min="6915" max="6915" width="8.42578125" customWidth="1"/>
    <col min="6916" max="6916" width="14.28515625" customWidth="1"/>
    <col min="6917" max="6917" width="9.28515625" bestFit="1" customWidth="1"/>
    <col min="6918" max="6918" width="12.140625" customWidth="1"/>
    <col min="6919" max="6919" width="14.42578125" customWidth="1"/>
    <col min="6920" max="6920" width="12.5703125" customWidth="1"/>
    <col min="6921" max="6921" width="17.7109375" customWidth="1"/>
    <col min="7169" max="7169" width="4.7109375" customWidth="1"/>
    <col min="7170" max="7170" width="45" customWidth="1"/>
    <col min="7171" max="7171" width="8.42578125" customWidth="1"/>
    <col min="7172" max="7172" width="14.28515625" customWidth="1"/>
    <col min="7173" max="7173" width="9.28515625" bestFit="1" customWidth="1"/>
    <col min="7174" max="7174" width="12.140625" customWidth="1"/>
    <col min="7175" max="7175" width="14.42578125" customWidth="1"/>
    <col min="7176" max="7176" width="12.5703125" customWidth="1"/>
    <col min="7177" max="7177" width="17.7109375" customWidth="1"/>
    <col min="7425" max="7425" width="4.7109375" customWidth="1"/>
    <col min="7426" max="7426" width="45" customWidth="1"/>
    <col min="7427" max="7427" width="8.42578125" customWidth="1"/>
    <col min="7428" max="7428" width="14.28515625" customWidth="1"/>
    <col min="7429" max="7429" width="9.28515625" bestFit="1" customWidth="1"/>
    <col min="7430" max="7430" width="12.140625" customWidth="1"/>
    <col min="7431" max="7431" width="14.42578125" customWidth="1"/>
    <col min="7432" max="7432" width="12.5703125" customWidth="1"/>
    <col min="7433" max="7433" width="17.7109375" customWidth="1"/>
    <col min="7681" max="7681" width="4.7109375" customWidth="1"/>
    <col min="7682" max="7682" width="45" customWidth="1"/>
    <col min="7683" max="7683" width="8.42578125" customWidth="1"/>
    <col min="7684" max="7684" width="14.28515625" customWidth="1"/>
    <col min="7685" max="7685" width="9.28515625" bestFit="1" customWidth="1"/>
    <col min="7686" max="7686" width="12.140625" customWidth="1"/>
    <col min="7687" max="7687" width="14.42578125" customWidth="1"/>
    <col min="7688" max="7688" width="12.5703125" customWidth="1"/>
    <col min="7689" max="7689" width="17.7109375" customWidth="1"/>
    <col min="7937" max="7937" width="4.7109375" customWidth="1"/>
    <col min="7938" max="7938" width="45" customWidth="1"/>
    <col min="7939" max="7939" width="8.42578125" customWidth="1"/>
    <col min="7940" max="7940" width="14.28515625" customWidth="1"/>
    <col min="7941" max="7941" width="9.28515625" bestFit="1" customWidth="1"/>
    <col min="7942" max="7942" width="12.140625" customWidth="1"/>
    <col min="7943" max="7943" width="14.42578125" customWidth="1"/>
    <col min="7944" max="7944" width="12.5703125" customWidth="1"/>
    <col min="7945" max="7945" width="17.7109375" customWidth="1"/>
    <col min="8193" max="8193" width="4.7109375" customWidth="1"/>
    <col min="8194" max="8194" width="45" customWidth="1"/>
    <col min="8195" max="8195" width="8.42578125" customWidth="1"/>
    <col min="8196" max="8196" width="14.28515625" customWidth="1"/>
    <col min="8197" max="8197" width="9.28515625" bestFit="1" customWidth="1"/>
    <col min="8198" max="8198" width="12.140625" customWidth="1"/>
    <col min="8199" max="8199" width="14.42578125" customWidth="1"/>
    <col min="8200" max="8200" width="12.5703125" customWidth="1"/>
    <col min="8201" max="8201" width="17.7109375" customWidth="1"/>
    <col min="8449" max="8449" width="4.7109375" customWidth="1"/>
    <col min="8450" max="8450" width="45" customWidth="1"/>
    <col min="8451" max="8451" width="8.42578125" customWidth="1"/>
    <col min="8452" max="8452" width="14.28515625" customWidth="1"/>
    <col min="8453" max="8453" width="9.28515625" bestFit="1" customWidth="1"/>
    <col min="8454" max="8454" width="12.140625" customWidth="1"/>
    <col min="8455" max="8455" width="14.42578125" customWidth="1"/>
    <col min="8456" max="8456" width="12.5703125" customWidth="1"/>
    <col min="8457" max="8457" width="17.7109375" customWidth="1"/>
    <col min="8705" max="8705" width="4.7109375" customWidth="1"/>
    <col min="8706" max="8706" width="45" customWidth="1"/>
    <col min="8707" max="8707" width="8.42578125" customWidth="1"/>
    <col min="8708" max="8708" width="14.28515625" customWidth="1"/>
    <col min="8709" max="8709" width="9.28515625" bestFit="1" customWidth="1"/>
    <col min="8710" max="8710" width="12.140625" customWidth="1"/>
    <col min="8711" max="8711" width="14.42578125" customWidth="1"/>
    <col min="8712" max="8712" width="12.5703125" customWidth="1"/>
    <col min="8713" max="8713" width="17.7109375" customWidth="1"/>
    <col min="8961" max="8961" width="4.7109375" customWidth="1"/>
    <col min="8962" max="8962" width="45" customWidth="1"/>
    <col min="8963" max="8963" width="8.42578125" customWidth="1"/>
    <col min="8964" max="8964" width="14.28515625" customWidth="1"/>
    <col min="8965" max="8965" width="9.28515625" bestFit="1" customWidth="1"/>
    <col min="8966" max="8966" width="12.140625" customWidth="1"/>
    <col min="8967" max="8967" width="14.42578125" customWidth="1"/>
    <col min="8968" max="8968" width="12.5703125" customWidth="1"/>
    <col min="8969" max="8969" width="17.7109375" customWidth="1"/>
    <col min="9217" max="9217" width="4.7109375" customWidth="1"/>
    <col min="9218" max="9218" width="45" customWidth="1"/>
    <col min="9219" max="9219" width="8.42578125" customWidth="1"/>
    <col min="9220" max="9220" width="14.28515625" customWidth="1"/>
    <col min="9221" max="9221" width="9.28515625" bestFit="1" customWidth="1"/>
    <col min="9222" max="9222" width="12.140625" customWidth="1"/>
    <col min="9223" max="9223" width="14.42578125" customWidth="1"/>
    <col min="9224" max="9224" width="12.5703125" customWidth="1"/>
    <col min="9225" max="9225" width="17.7109375" customWidth="1"/>
    <col min="9473" max="9473" width="4.7109375" customWidth="1"/>
    <col min="9474" max="9474" width="45" customWidth="1"/>
    <col min="9475" max="9475" width="8.42578125" customWidth="1"/>
    <col min="9476" max="9476" width="14.28515625" customWidth="1"/>
    <col min="9477" max="9477" width="9.28515625" bestFit="1" customWidth="1"/>
    <col min="9478" max="9478" width="12.140625" customWidth="1"/>
    <col min="9479" max="9479" width="14.42578125" customWidth="1"/>
    <col min="9480" max="9480" width="12.5703125" customWidth="1"/>
    <col min="9481" max="9481" width="17.7109375" customWidth="1"/>
    <col min="9729" max="9729" width="4.7109375" customWidth="1"/>
    <col min="9730" max="9730" width="45" customWidth="1"/>
    <col min="9731" max="9731" width="8.42578125" customWidth="1"/>
    <col min="9732" max="9732" width="14.28515625" customWidth="1"/>
    <col min="9733" max="9733" width="9.28515625" bestFit="1" customWidth="1"/>
    <col min="9734" max="9734" width="12.140625" customWidth="1"/>
    <col min="9735" max="9735" width="14.42578125" customWidth="1"/>
    <col min="9736" max="9736" width="12.5703125" customWidth="1"/>
    <col min="9737" max="9737" width="17.7109375" customWidth="1"/>
    <col min="9985" max="9985" width="4.7109375" customWidth="1"/>
    <col min="9986" max="9986" width="45" customWidth="1"/>
    <col min="9987" max="9987" width="8.42578125" customWidth="1"/>
    <col min="9988" max="9988" width="14.28515625" customWidth="1"/>
    <col min="9989" max="9989" width="9.28515625" bestFit="1" customWidth="1"/>
    <col min="9990" max="9990" width="12.140625" customWidth="1"/>
    <col min="9991" max="9991" width="14.42578125" customWidth="1"/>
    <col min="9992" max="9992" width="12.5703125" customWidth="1"/>
    <col min="9993" max="9993" width="17.7109375" customWidth="1"/>
    <col min="10241" max="10241" width="4.7109375" customWidth="1"/>
    <col min="10242" max="10242" width="45" customWidth="1"/>
    <col min="10243" max="10243" width="8.42578125" customWidth="1"/>
    <col min="10244" max="10244" width="14.28515625" customWidth="1"/>
    <col min="10245" max="10245" width="9.28515625" bestFit="1" customWidth="1"/>
    <col min="10246" max="10246" width="12.140625" customWidth="1"/>
    <col min="10247" max="10247" width="14.42578125" customWidth="1"/>
    <col min="10248" max="10248" width="12.5703125" customWidth="1"/>
    <col min="10249" max="10249" width="17.7109375" customWidth="1"/>
    <col min="10497" max="10497" width="4.7109375" customWidth="1"/>
    <col min="10498" max="10498" width="45" customWidth="1"/>
    <col min="10499" max="10499" width="8.42578125" customWidth="1"/>
    <col min="10500" max="10500" width="14.28515625" customWidth="1"/>
    <col min="10501" max="10501" width="9.28515625" bestFit="1" customWidth="1"/>
    <col min="10502" max="10502" width="12.140625" customWidth="1"/>
    <col min="10503" max="10503" width="14.42578125" customWidth="1"/>
    <col min="10504" max="10504" width="12.5703125" customWidth="1"/>
    <col min="10505" max="10505" width="17.7109375" customWidth="1"/>
    <col min="10753" max="10753" width="4.7109375" customWidth="1"/>
    <col min="10754" max="10754" width="45" customWidth="1"/>
    <col min="10755" max="10755" width="8.42578125" customWidth="1"/>
    <col min="10756" max="10756" width="14.28515625" customWidth="1"/>
    <col min="10757" max="10757" width="9.28515625" bestFit="1" customWidth="1"/>
    <col min="10758" max="10758" width="12.140625" customWidth="1"/>
    <col min="10759" max="10759" width="14.42578125" customWidth="1"/>
    <col min="10760" max="10760" width="12.5703125" customWidth="1"/>
    <col min="10761" max="10761" width="17.7109375" customWidth="1"/>
    <col min="11009" max="11009" width="4.7109375" customWidth="1"/>
    <col min="11010" max="11010" width="45" customWidth="1"/>
    <col min="11011" max="11011" width="8.42578125" customWidth="1"/>
    <col min="11012" max="11012" width="14.28515625" customWidth="1"/>
    <col min="11013" max="11013" width="9.28515625" bestFit="1" customWidth="1"/>
    <col min="11014" max="11014" width="12.140625" customWidth="1"/>
    <col min="11015" max="11015" width="14.42578125" customWidth="1"/>
    <col min="11016" max="11016" width="12.5703125" customWidth="1"/>
    <col min="11017" max="11017" width="17.7109375" customWidth="1"/>
    <col min="11265" max="11265" width="4.7109375" customWidth="1"/>
    <col min="11266" max="11266" width="45" customWidth="1"/>
    <col min="11267" max="11267" width="8.42578125" customWidth="1"/>
    <col min="11268" max="11268" width="14.28515625" customWidth="1"/>
    <col min="11269" max="11269" width="9.28515625" bestFit="1" customWidth="1"/>
    <col min="11270" max="11270" width="12.140625" customWidth="1"/>
    <col min="11271" max="11271" width="14.42578125" customWidth="1"/>
    <col min="11272" max="11272" width="12.5703125" customWidth="1"/>
    <col min="11273" max="11273" width="17.7109375" customWidth="1"/>
    <col min="11521" max="11521" width="4.7109375" customWidth="1"/>
    <col min="11522" max="11522" width="45" customWidth="1"/>
    <col min="11523" max="11523" width="8.42578125" customWidth="1"/>
    <col min="11524" max="11524" width="14.28515625" customWidth="1"/>
    <col min="11525" max="11525" width="9.28515625" bestFit="1" customWidth="1"/>
    <col min="11526" max="11526" width="12.140625" customWidth="1"/>
    <col min="11527" max="11527" width="14.42578125" customWidth="1"/>
    <col min="11528" max="11528" width="12.5703125" customWidth="1"/>
    <col min="11529" max="11529" width="17.7109375" customWidth="1"/>
    <col min="11777" max="11777" width="4.7109375" customWidth="1"/>
    <col min="11778" max="11778" width="45" customWidth="1"/>
    <col min="11779" max="11779" width="8.42578125" customWidth="1"/>
    <col min="11780" max="11780" width="14.28515625" customWidth="1"/>
    <col min="11781" max="11781" width="9.28515625" bestFit="1" customWidth="1"/>
    <col min="11782" max="11782" width="12.140625" customWidth="1"/>
    <col min="11783" max="11783" width="14.42578125" customWidth="1"/>
    <col min="11784" max="11784" width="12.5703125" customWidth="1"/>
    <col min="11785" max="11785" width="17.7109375" customWidth="1"/>
    <col min="12033" max="12033" width="4.7109375" customWidth="1"/>
    <col min="12034" max="12034" width="45" customWidth="1"/>
    <col min="12035" max="12035" width="8.42578125" customWidth="1"/>
    <col min="12036" max="12036" width="14.28515625" customWidth="1"/>
    <col min="12037" max="12037" width="9.28515625" bestFit="1" customWidth="1"/>
    <col min="12038" max="12038" width="12.140625" customWidth="1"/>
    <col min="12039" max="12039" width="14.42578125" customWidth="1"/>
    <col min="12040" max="12040" width="12.5703125" customWidth="1"/>
    <col min="12041" max="12041" width="17.7109375" customWidth="1"/>
    <col min="12289" max="12289" width="4.7109375" customWidth="1"/>
    <col min="12290" max="12290" width="45" customWidth="1"/>
    <col min="12291" max="12291" width="8.42578125" customWidth="1"/>
    <col min="12292" max="12292" width="14.28515625" customWidth="1"/>
    <col min="12293" max="12293" width="9.28515625" bestFit="1" customWidth="1"/>
    <col min="12294" max="12294" width="12.140625" customWidth="1"/>
    <col min="12295" max="12295" width="14.42578125" customWidth="1"/>
    <col min="12296" max="12296" width="12.5703125" customWidth="1"/>
    <col min="12297" max="12297" width="17.7109375" customWidth="1"/>
    <col min="12545" max="12545" width="4.7109375" customWidth="1"/>
    <col min="12546" max="12546" width="45" customWidth="1"/>
    <col min="12547" max="12547" width="8.42578125" customWidth="1"/>
    <col min="12548" max="12548" width="14.28515625" customWidth="1"/>
    <col min="12549" max="12549" width="9.28515625" bestFit="1" customWidth="1"/>
    <col min="12550" max="12550" width="12.140625" customWidth="1"/>
    <col min="12551" max="12551" width="14.42578125" customWidth="1"/>
    <col min="12552" max="12552" width="12.5703125" customWidth="1"/>
    <col min="12553" max="12553" width="17.7109375" customWidth="1"/>
    <col min="12801" max="12801" width="4.7109375" customWidth="1"/>
    <col min="12802" max="12802" width="45" customWidth="1"/>
    <col min="12803" max="12803" width="8.42578125" customWidth="1"/>
    <col min="12804" max="12804" width="14.28515625" customWidth="1"/>
    <col min="12805" max="12805" width="9.28515625" bestFit="1" customWidth="1"/>
    <col min="12806" max="12806" width="12.140625" customWidth="1"/>
    <col min="12807" max="12807" width="14.42578125" customWidth="1"/>
    <col min="12808" max="12808" width="12.5703125" customWidth="1"/>
    <col min="12809" max="12809" width="17.7109375" customWidth="1"/>
    <col min="13057" max="13057" width="4.7109375" customWidth="1"/>
    <col min="13058" max="13058" width="45" customWidth="1"/>
    <col min="13059" max="13059" width="8.42578125" customWidth="1"/>
    <col min="13060" max="13060" width="14.28515625" customWidth="1"/>
    <col min="13061" max="13061" width="9.28515625" bestFit="1" customWidth="1"/>
    <col min="13062" max="13062" width="12.140625" customWidth="1"/>
    <col min="13063" max="13063" width="14.42578125" customWidth="1"/>
    <col min="13064" max="13064" width="12.5703125" customWidth="1"/>
    <col min="13065" max="13065" width="17.7109375" customWidth="1"/>
    <col min="13313" max="13313" width="4.7109375" customWidth="1"/>
    <col min="13314" max="13314" width="45" customWidth="1"/>
    <col min="13315" max="13315" width="8.42578125" customWidth="1"/>
    <col min="13316" max="13316" width="14.28515625" customWidth="1"/>
    <col min="13317" max="13317" width="9.28515625" bestFit="1" customWidth="1"/>
    <col min="13318" max="13318" width="12.140625" customWidth="1"/>
    <col min="13319" max="13319" width="14.42578125" customWidth="1"/>
    <col min="13320" max="13320" width="12.5703125" customWidth="1"/>
    <col min="13321" max="13321" width="17.7109375" customWidth="1"/>
    <col min="13569" max="13569" width="4.7109375" customWidth="1"/>
    <col min="13570" max="13570" width="45" customWidth="1"/>
    <col min="13571" max="13571" width="8.42578125" customWidth="1"/>
    <col min="13572" max="13572" width="14.28515625" customWidth="1"/>
    <col min="13573" max="13573" width="9.28515625" bestFit="1" customWidth="1"/>
    <col min="13574" max="13574" width="12.140625" customWidth="1"/>
    <col min="13575" max="13575" width="14.42578125" customWidth="1"/>
    <col min="13576" max="13576" width="12.5703125" customWidth="1"/>
    <col min="13577" max="13577" width="17.7109375" customWidth="1"/>
    <col min="13825" max="13825" width="4.7109375" customWidth="1"/>
    <col min="13826" max="13826" width="45" customWidth="1"/>
    <col min="13827" max="13827" width="8.42578125" customWidth="1"/>
    <col min="13828" max="13828" width="14.28515625" customWidth="1"/>
    <col min="13829" max="13829" width="9.28515625" bestFit="1" customWidth="1"/>
    <col min="13830" max="13830" width="12.140625" customWidth="1"/>
    <col min="13831" max="13831" width="14.42578125" customWidth="1"/>
    <col min="13832" max="13832" width="12.5703125" customWidth="1"/>
    <col min="13833" max="13833" width="17.7109375" customWidth="1"/>
    <col min="14081" max="14081" width="4.7109375" customWidth="1"/>
    <col min="14082" max="14082" width="45" customWidth="1"/>
    <col min="14083" max="14083" width="8.42578125" customWidth="1"/>
    <col min="14084" max="14084" width="14.28515625" customWidth="1"/>
    <col min="14085" max="14085" width="9.28515625" bestFit="1" customWidth="1"/>
    <col min="14086" max="14086" width="12.140625" customWidth="1"/>
    <col min="14087" max="14087" width="14.42578125" customWidth="1"/>
    <col min="14088" max="14088" width="12.5703125" customWidth="1"/>
    <col min="14089" max="14089" width="17.7109375" customWidth="1"/>
    <col min="14337" max="14337" width="4.7109375" customWidth="1"/>
    <col min="14338" max="14338" width="45" customWidth="1"/>
    <col min="14339" max="14339" width="8.42578125" customWidth="1"/>
    <col min="14340" max="14340" width="14.28515625" customWidth="1"/>
    <col min="14341" max="14341" width="9.28515625" bestFit="1" customWidth="1"/>
    <col min="14342" max="14342" width="12.140625" customWidth="1"/>
    <col min="14343" max="14343" width="14.42578125" customWidth="1"/>
    <col min="14344" max="14344" width="12.5703125" customWidth="1"/>
    <col min="14345" max="14345" width="17.7109375" customWidth="1"/>
    <col min="14593" max="14593" width="4.7109375" customWidth="1"/>
    <col min="14594" max="14594" width="45" customWidth="1"/>
    <col min="14595" max="14595" width="8.42578125" customWidth="1"/>
    <col min="14596" max="14596" width="14.28515625" customWidth="1"/>
    <col min="14597" max="14597" width="9.28515625" bestFit="1" customWidth="1"/>
    <col min="14598" max="14598" width="12.140625" customWidth="1"/>
    <col min="14599" max="14599" width="14.42578125" customWidth="1"/>
    <col min="14600" max="14600" width="12.5703125" customWidth="1"/>
    <col min="14601" max="14601" width="17.7109375" customWidth="1"/>
    <col min="14849" max="14849" width="4.7109375" customWidth="1"/>
    <col min="14850" max="14850" width="45" customWidth="1"/>
    <col min="14851" max="14851" width="8.42578125" customWidth="1"/>
    <col min="14852" max="14852" width="14.28515625" customWidth="1"/>
    <col min="14853" max="14853" width="9.28515625" bestFit="1" customWidth="1"/>
    <col min="14854" max="14854" width="12.140625" customWidth="1"/>
    <col min="14855" max="14855" width="14.42578125" customWidth="1"/>
    <col min="14856" max="14856" width="12.5703125" customWidth="1"/>
    <col min="14857" max="14857" width="17.7109375" customWidth="1"/>
    <col min="15105" max="15105" width="4.7109375" customWidth="1"/>
    <col min="15106" max="15106" width="45" customWidth="1"/>
    <col min="15107" max="15107" width="8.42578125" customWidth="1"/>
    <col min="15108" max="15108" width="14.28515625" customWidth="1"/>
    <col min="15109" max="15109" width="9.28515625" bestFit="1" customWidth="1"/>
    <col min="15110" max="15110" width="12.140625" customWidth="1"/>
    <col min="15111" max="15111" width="14.42578125" customWidth="1"/>
    <col min="15112" max="15112" width="12.5703125" customWidth="1"/>
    <col min="15113" max="15113" width="17.7109375" customWidth="1"/>
    <col min="15361" max="15361" width="4.7109375" customWidth="1"/>
    <col min="15362" max="15362" width="45" customWidth="1"/>
    <col min="15363" max="15363" width="8.42578125" customWidth="1"/>
    <col min="15364" max="15364" width="14.28515625" customWidth="1"/>
    <col min="15365" max="15365" width="9.28515625" bestFit="1" customWidth="1"/>
    <col min="15366" max="15366" width="12.140625" customWidth="1"/>
    <col min="15367" max="15367" width="14.42578125" customWidth="1"/>
    <col min="15368" max="15368" width="12.5703125" customWidth="1"/>
    <col min="15369" max="15369" width="17.7109375" customWidth="1"/>
    <col min="15617" max="15617" width="4.7109375" customWidth="1"/>
    <col min="15618" max="15618" width="45" customWidth="1"/>
    <col min="15619" max="15619" width="8.42578125" customWidth="1"/>
    <col min="15620" max="15620" width="14.28515625" customWidth="1"/>
    <col min="15621" max="15621" width="9.28515625" bestFit="1" customWidth="1"/>
    <col min="15622" max="15622" width="12.140625" customWidth="1"/>
    <col min="15623" max="15623" width="14.42578125" customWidth="1"/>
    <col min="15624" max="15624" width="12.5703125" customWidth="1"/>
    <col min="15625" max="15625" width="17.7109375" customWidth="1"/>
    <col min="15873" max="15873" width="4.7109375" customWidth="1"/>
    <col min="15874" max="15874" width="45" customWidth="1"/>
    <col min="15875" max="15875" width="8.42578125" customWidth="1"/>
    <col min="15876" max="15876" width="14.28515625" customWidth="1"/>
    <col min="15877" max="15877" width="9.28515625" bestFit="1" customWidth="1"/>
    <col min="15878" max="15878" width="12.140625" customWidth="1"/>
    <col min="15879" max="15879" width="14.42578125" customWidth="1"/>
    <col min="15880" max="15880" width="12.5703125" customWidth="1"/>
    <col min="15881" max="15881" width="17.7109375" customWidth="1"/>
    <col min="16129" max="16129" width="4.7109375" customWidth="1"/>
    <col min="16130" max="16130" width="45" customWidth="1"/>
    <col min="16131" max="16131" width="8.42578125" customWidth="1"/>
    <col min="16132" max="16132" width="14.28515625" customWidth="1"/>
    <col min="16133" max="16133" width="9.28515625" bestFit="1" customWidth="1"/>
    <col min="16134" max="16134" width="12.140625" customWidth="1"/>
    <col min="16135" max="16135" width="14.42578125" customWidth="1"/>
    <col min="16136" max="16136" width="12.5703125" customWidth="1"/>
    <col min="16137" max="16137" width="17.7109375" customWidth="1"/>
  </cols>
  <sheetData>
    <row r="1" spans="1:14" x14ac:dyDescent="0.2">
      <c r="A1" s="103" t="s">
        <v>265</v>
      </c>
    </row>
    <row r="2" spans="1:14" x14ac:dyDescent="0.2">
      <c r="A2" s="103" t="str">
        <f>'[2]Planilha Global'!A2</f>
        <v>PREFEITURA MUNICIPAL DE MAMANGUAPE</v>
      </c>
      <c r="G2" t="s">
        <v>421</v>
      </c>
      <c r="H2">
        <v>128.16</v>
      </c>
    </row>
    <row r="3" spans="1:14" ht="5.0999999999999996" customHeight="1" x14ac:dyDescent="0.2"/>
    <row r="4" spans="1:14" s="202" customFormat="1" ht="12.75" customHeight="1" x14ac:dyDescent="0.25">
      <c r="A4" s="729" t="s">
        <v>422</v>
      </c>
      <c r="B4" s="737"/>
      <c r="C4" s="737"/>
      <c r="D4" s="737"/>
      <c r="E4" s="737"/>
      <c r="F4" s="737"/>
      <c r="H4" s="202" t="s">
        <v>423</v>
      </c>
      <c r="I4" s="202" t="s">
        <v>424</v>
      </c>
      <c r="J4" s="202" t="s">
        <v>425</v>
      </c>
      <c r="K4" s="202" t="s">
        <v>426</v>
      </c>
      <c r="L4" s="202" t="s">
        <v>427</v>
      </c>
      <c r="M4" s="202" t="s">
        <v>428</v>
      </c>
      <c r="N4" s="202" t="s">
        <v>429</v>
      </c>
    </row>
    <row r="5" spans="1:14" s="202" customFormat="1" ht="7.5" customHeight="1" x14ac:dyDescent="0.25">
      <c r="A5" s="434"/>
      <c r="B5" s="435"/>
      <c r="C5" s="435"/>
      <c r="D5" s="435"/>
      <c r="E5" s="435"/>
      <c r="F5" s="435"/>
    </row>
    <row r="6" spans="1:14" s="202" customFormat="1" ht="15" customHeight="1" x14ac:dyDescent="0.25">
      <c r="A6" s="258" t="s">
        <v>949</v>
      </c>
      <c r="B6" s="258"/>
      <c r="C6" s="258"/>
      <c r="D6" s="258"/>
      <c r="E6" s="258"/>
      <c r="F6" s="103"/>
      <c r="G6" s="53"/>
      <c r="H6" s="202">
        <f>(8+5.35)/2</f>
        <v>6.6749999999999998</v>
      </c>
      <c r="I6" s="202">
        <v>10.15</v>
      </c>
      <c r="J6" s="230">
        <f t="shared" ref="J6:J8" si="0">H6*I6</f>
        <v>67.75</v>
      </c>
    </row>
    <row r="7" spans="1:14" s="202" customFormat="1" ht="21" customHeight="1" x14ac:dyDescent="0.25">
      <c r="A7" s="258" t="s">
        <v>525</v>
      </c>
      <c r="B7" s="436"/>
      <c r="C7" s="437"/>
      <c r="D7" s="437"/>
      <c r="E7" s="257"/>
      <c r="F7" s="257"/>
      <c r="G7" s="53"/>
      <c r="H7" s="202">
        <v>5.35</v>
      </c>
      <c r="I7" s="202">
        <v>35.85</v>
      </c>
      <c r="J7" s="230">
        <f>I7*H7</f>
        <v>191.8</v>
      </c>
    </row>
    <row r="8" spans="1:14" s="202" customFormat="1" ht="15" customHeight="1" x14ac:dyDescent="0.25">
      <c r="A8" s="103" t="s">
        <v>889</v>
      </c>
      <c r="B8" s="436"/>
      <c r="C8" s="736" t="s">
        <v>891</v>
      </c>
      <c r="D8" s="736"/>
      <c r="E8" s="736"/>
      <c r="F8" s="736"/>
      <c r="G8" s="53"/>
      <c r="H8" s="663">
        <f>(8+5.35)/2</f>
        <v>6.6749999999999998</v>
      </c>
      <c r="I8" s="202">
        <v>10.119999999999999</v>
      </c>
      <c r="J8" s="230">
        <f t="shared" si="0"/>
        <v>67.55</v>
      </c>
      <c r="K8" s="202">
        <f>10.09+10.38+16.97+17.02+18.83+18.87+10.11+10.32</f>
        <v>112.59</v>
      </c>
      <c r="L8" s="202">
        <f>5.68+4.08+6.31+26.94+12.7+10.5+13.15+2.22+7.65+20.38+25.33+25.4+36.7+29.26+18.73+19.08+9.01+14.58+11.42+7.25+4.36+26.66+12.33+10.58+14.04+3.07+7.89+20.45+25.67+25.67+37.03+29.56+19.1+18.96+8.89+14.81+11.96</f>
        <v>597.4</v>
      </c>
      <c r="M8" s="202">
        <v>2</v>
      </c>
      <c r="N8" s="202">
        <v>1.2</v>
      </c>
    </row>
    <row r="9" spans="1:14" s="202" customFormat="1" ht="15" customHeight="1" x14ac:dyDescent="0.2">
      <c r="A9" s="103" t="s">
        <v>887</v>
      </c>
      <c r="B9" s="438"/>
      <c r="C9" s="736" t="s">
        <v>892</v>
      </c>
      <c r="D9" s="736"/>
      <c r="E9" s="736"/>
      <c r="F9" s="736"/>
      <c r="G9" s="53"/>
      <c r="H9" s="663"/>
      <c r="I9" s="230"/>
      <c r="J9" s="230"/>
      <c r="K9" s="230"/>
      <c r="L9" s="202">
        <f>2.43+3.39+2.31+2.97+2.01+3.07</f>
        <v>16.18</v>
      </c>
    </row>
    <row r="10" spans="1:14" s="202" customFormat="1" ht="14.25" customHeight="1" x14ac:dyDescent="0.2">
      <c r="A10" s="103" t="s">
        <v>888</v>
      </c>
      <c r="B10" s="438"/>
      <c r="C10" s="736" t="s">
        <v>893</v>
      </c>
      <c r="D10" s="736"/>
      <c r="E10" s="736"/>
      <c r="F10" s="736"/>
      <c r="H10" s="663"/>
      <c r="I10" s="230"/>
      <c r="J10" s="230"/>
      <c r="K10" s="230"/>
    </row>
    <row r="11" spans="1:14" s="202" customFormat="1" ht="14.25" customHeight="1" x14ac:dyDescent="0.2">
      <c r="A11" s="103" t="s">
        <v>890</v>
      </c>
      <c r="B11" s="438"/>
      <c r="C11" s="103" t="s">
        <v>894</v>
      </c>
      <c r="D11" s="437"/>
      <c r="E11" s="437"/>
      <c r="F11" s="437"/>
      <c r="H11" s="663"/>
      <c r="I11" s="230"/>
      <c r="J11" s="230"/>
    </row>
    <row r="12" spans="1:14" s="202" customFormat="1" ht="14.25" customHeight="1" x14ac:dyDescent="0.2">
      <c r="A12" s="103"/>
      <c r="B12" s="438"/>
      <c r="C12" s="103"/>
      <c r="D12" s="437"/>
      <c r="E12" s="103"/>
      <c r="F12" s="103"/>
      <c r="H12" s="663"/>
      <c r="I12" s="230"/>
      <c r="J12" s="230"/>
    </row>
    <row r="13" spans="1:14" s="202" customFormat="1" ht="15" customHeight="1" x14ac:dyDescent="0.25">
      <c r="A13" s="515" t="s">
        <v>895</v>
      </c>
      <c r="B13" s="436"/>
      <c r="C13" s="736"/>
      <c r="D13" s="736"/>
      <c r="E13" s="736"/>
      <c r="F13" s="736"/>
      <c r="G13" s="53"/>
      <c r="H13" s="663"/>
      <c r="I13" s="230"/>
      <c r="J13" s="230"/>
    </row>
    <row r="14" spans="1:14" s="202" customFormat="1" ht="15" customHeight="1" x14ac:dyDescent="0.2">
      <c r="A14" s="515" t="s">
        <v>896</v>
      </c>
      <c r="B14" s="438"/>
      <c r="C14" s="736"/>
      <c r="D14" s="736"/>
      <c r="E14" s="736"/>
      <c r="F14" s="736"/>
      <c r="G14" s="53"/>
      <c r="H14" s="663"/>
      <c r="I14" s="230"/>
      <c r="J14" s="230"/>
      <c r="K14" s="230"/>
    </row>
    <row r="15" spans="1:14" s="202" customFormat="1" ht="14.25" customHeight="1" x14ac:dyDescent="0.2">
      <c r="A15" s="515" t="s">
        <v>897</v>
      </c>
      <c r="B15" s="438"/>
      <c r="C15" s="666"/>
      <c r="D15" s="666"/>
      <c r="E15" s="666"/>
      <c r="F15" s="666"/>
      <c r="H15" s="663"/>
      <c r="I15" s="230"/>
      <c r="J15" s="230"/>
      <c r="K15" s="230"/>
    </row>
    <row r="16" spans="1:14" s="202" customFormat="1" ht="14.25" customHeight="1" x14ac:dyDescent="0.2">
      <c r="A16" s="103" t="s">
        <v>898</v>
      </c>
      <c r="B16" s="438"/>
      <c r="C16" s="437"/>
      <c r="D16" s="437"/>
      <c r="E16" s="437"/>
      <c r="F16" s="437"/>
      <c r="H16" s="230"/>
      <c r="I16" s="230"/>
      <c r="J16" s="230">
        <f>SUM(J6:J15)</f>
        <v>327.10000000000002</v>
      </c>
    </row>
    <row r="17" spans="1:19" s="202" customFormat="1" ht="14.25" customHeight="1" x14ac:dyDescent="0.2">
      <c r="A17" s="515"/>
      <c r="B17" s="438"/>
      <c r="C17" s="103"/>
      <c r="D17" s="437"/>
      <c r="E17" s="103"/>
      <c r="F17" s="103"/>
      <c r="I17" s="230"/>
      <c r="J17" s="230"/>
    </row>
    <row r="18" spans="1:19" s="103" customFormat="1" ht="12.75" customHeight="1" x14ac:dyDescent="0.2">
      <c r="A18" s="722" t="s">
        <v>832</v>
      </c>
      <c r="B18" s="722"/>
      <c r="C18" s="440"/>
      <c r="D18" s="440"/>
      <c r="E18" s="441"/>
      <c r="F18" s="452"/>
    </row>
    <row r="19" spans="1:19" s="103" customFormat="1" ht="26.25" customHeight="1" x14ac:dyDescent="0.2">
      <c r="A19" s="664" t="s">
        <v>86</v>
      </c>
      <c r="B19" s="724" t="s">
        <v>900</v>
      </c>
      <c r="C19" s="724"/>
      <c r="D19" s="724"/>
      <c r="E19" s="452">
        <v>56.12</v>
      </c>
      <c r="F19" s="438" t="s">
        <v>11</v>
      </c>
    </row>
    <row r="20" spans="1:19" s="202" customFormat="1" ht="5.0999999999999996" customHeight="1" x14ac:dyDescent="0.2">
      <c r="B20" s="445"/>
      <c r="C20" s="446"/>
      <c r="D20" s="447"/>
      <c r="E20" s="256"/>
      <c r="F20" s="256"/>
      <c r="G20" s="103"/>
      <c r="H20" s="103"/>
      <c r="I20" s="103"/>
      <c r="J20" s="103"/>
      <c r="K20" s="103"/>
      <c r="L20" s="103"/>
      <c r="M20" s="103"/>
      <c r="N20" s="103"/>
      <c r="O20" s="103"/>
      <c r="P20" s="103"/>
      <c r="Q20" s="103"/>
      <c r="R20" s="103"/>
      <c r="S20" s="103"/>
    </row>
    <row r="21" spans="1:19" s="103" customFormat="1" ht="12.75" customHeight="1" x14ac:dyDescent="0.2">
      <c r="A21" s="738" t="s">
        <v>833</v>
      </c>
      <c r="B21" s="738"/>
      <c r="C21" s="450"/>
      <c r="D21" s="440"/>
      <c r="E21" s="308"/>
      <c r="F21" s="451"/>
      <c r="J21" s="230">
        <f>SUM(J8:J17)</f>
        <v>394.65</v>
      </c>
    </row>
    <row r="22" spans="1:19" s="103" customFormat="1" ht="27" customHeight="1" x14ac:dyDescent="0.2">
      <c r="A22" s="664" t="s">
        <v>7</v>
      </c>
      <c r="B22" s="724" t="s">
        <v>899</v>
      </c>
      <c r="C22" s="724"/>
      <c r="D22" s="724"/>
      <c r="E22" s="452">
        <f>J16</f>
        <v>327.10000000000002</v>
      </c>
      <c r="F22" s="438" t="s">
        <v>13</v>
      </c>
    </row>
    <row r="23" spans="1:19" s="202" customFormat="1" ht="5.0999999999999996" customHeight="1" x14ac:dyDescent="0.25">
      <c r="B23" s="453"/>
      <c r="C23" s="453"/>
      <c r="D23" s="453"/>
      <c r="E23" s="454"/>
      <c r="F23" s="455"/>
    </row>
    <row r="24" spans="1:19" s="103" customFormat="1" ht="12.75" customHeight="1" x14ac:dyDescent="0.2">
      <c r="A24" s="738" t="s">
        <v>834</v>
      </c>
      <c r="B24" s="738"/>
      <c r="C24" s="450"/>
      <c r="D24" s="440"/>
      <c r="E24" s="308"/>
      <c r="F24" s="451"/>
      <c r="J24" s="230">
        <f>SUM(J11:J17)</f>
        <v>327.10000000000002</v>
      </c>
    </row>
    <row r="25" spans="1:19" s="103" customFormat="1" ht="66" customHeight="1" x14ac:dyDescent="0.2">
      <c r="A25" s="664" t="s">
        <v>9</v>
      </c>
      <c r="B25" s="721" t="s">
        <v>901</v>
      </c>
      <c r="C25" s="721"/>
      <c r="D25" s="721"/>
      <c r="E25" s="452">
        <f>K8</f>
        <v>112.59</v>
      </c>
      <c r="F25" s="438" t="s">
        <v>11</v>
      </c>
    </row>
    <row r="26" spans="1:19" s="202" customFormat="1" ht="5.0999999999999996" customHeight="1" x14ac:dyDescent="0.2">
      <c r="B26" s="445"/>
      <c r="C26" s="446"/>
      <c r="D26" s="447"/>
      <c r="E26" s="256"/>
      <c r="F26" s="256"/>
      <c r="G26" s="103"/>
      <c r="H26" s="103"/>
      <c r="I26" s="103"/>
      <c r="J26" s="103"/>
      <c r="K26" s="103"/>
      <c r="L26" s="103"/>
      <c r="M26" s="103"/>
      <c r="N26" s="103"/>
      <c r="O26" s="103"/>
      <c r="P26" s="103"/>
      <c r="Q26" s="103"/>
      <c r="R26" s="103"/>
      <c r="S26" s="103"/>
    </row>
    <row r="27" spans="1:19" s="103" customFormat="1" ht="39" customHeight="1" x14ac:dyDescent="0.2">
      <c r="A27" s="664" t="s">
        <v>12</v>
      </c>
      <c r="B27" s="721" t="s">
        <v>902</v>
      </c>
      <c r="C27" s="721"/>
      <c r="D27" s="721"/>
      <c r="E27" s="452">
        <f>E22</f>
        <v>327.10000000000002</v>
      </c>
      <c r="F27" s="438" t="s">
        <v>13</v>
      </c>
    </row>
    <row r="28" spans="1:19" s="202" customFormat="1" ht="5.0999999999999996" customHeight="1" x14ac:dyDescent="0.2">
      <c r="B28" s="445"/>
      <c r="C28" s="446"/>
      <c r="D28" s="447"/>
      <c r="E28" s="256"/>
      <c r="F28" s="256"/>
      <c r="G28" s="103"/>
      <c r="H28" s="103"/>
      <c r="I28" s="103"/>
      <c r="J28" s="103"/>
      <c r="K28" s="103"/>
      <c r="L28" s="103"/>
      <c r="M28" s="103"/>
      <c r="N28" s="103"/>
      <c r="O28" s="103"/>
      <c r="P28" s="103"/>
      <c r="Q28" s="103"/>
      <c r="R28" s="103"/>
      <c r="S28" s="103"/>
    </row>
    <row r="29" spans="1:19" s="103" customFormat="1" ht="12.75" customHeight="1" x14ac:dyDescent="0.2">
      <c r="A29" s="739" t="s">
        <v>835</v>
      </c>
      <c r="B29" s="739"/>
      <c r="C29" s="440"/>
      <c r="D29" s="440"/>
      <c r="E29" s="441"/>
      <c r="F29" s="442"/>
    </row>
    <row r="30" spans="1:19" s="103" customFormat="1" ht="142.5" customHeight="1" x14ac:dyDescent="0.2">
      <c r="A30" s="664" t="s">
        <v>129</v>
      </c>
      <c r="B30" s="725" t="s">
        <v>903</v>
      </c>
      <c r="C30" s="724"/>
      <c r="D30" s="724"/>
      <c r="E30" s="638">
        <f>M30</f>
        <v>5.24</v>
      </c>
      <c r="F30" s="438" t="s">
        <v>128</v>
      </c>
      <c r="G30" s="460">
        <f>10.09*1.2/2+10.38*1.2/2+(16.97+17.02+18.83+18.87)*1.2+10.11*1.2/2+10.32*1.2/2</f>
        <v>110.57</v>
      </c>
      <c r="H30" s="460">
        <f>G30-E41</f>
        <v>92.57</v>
      </c>
      <c r="I30" s="460"/>
      <c r="J30" s="460">
        <f>H30*0.06</f>
        <v>5.55</v>
      </c>
      <c r="K30" s="460">
        <f>5.1+5.33+17.03+24.2+7.28+4+4.11+5.01+5.15</f>
        <v>77.209999999999994</v>
      </c>
      <c r="L30" s="460">
        <f>K30*0.2*0.02</f>
        <v>0.31</v>
      </c>
      <c r="M30" s="460">
        <f>J30-L30</f>
        <v>5.24</v>
      </c>
    </row>
    <row r="31" spans="1:19" s="202" customFormat="1" ht="5.0999999999999996" customHeight="1" x14ac:dyDescent="0.2">
      <c r="B31" s="445"/>
      <c r="C31" s="446"/>
      <c r="D31" s="447"/>
      <c r="E31" s="256"/>
      <c r="F31" s="256"/>
      <c r="G31" s="448"/>
      <c r="H31" s="448"/>
    </row>
    <row r="32" spans="1:19" s="103" customFormat="1" ht="79.5" customHeight="1" x14ac:dyDescent="0.2">
      <c r="A32" s="664" t="s">
        <v>131</v>
      </c>
      <c r="B32" s="721" t="s">
        <v>904</v>
      </c>
      <c r="C32" s="721"/>
      <c r="D32" s="721"/>
      <c r="E32" s="639">
        <f>G32</f>
        <v>15.44</v>
      </c>
      <c r="F32" s="640" t="s">
        <v>13</v>
      </c>
      <c r="G32" s="648">
        <f>K30*0.2</f>
        <v>15.44</v>
      </c>
      <c r="H32" s="438"/>
      <c r="J32" s="460"/>
      <c r="K32" s="460"/>
      <c r="L32" s="461"/>
      <c r="M32" s="461"/>
      <c r="N32" s="460"/>
      <c r="O32" s="460"/>
      <c r="Q32" s="460"/>
    </row>
    <row r="33" spans="1:18" s="103" customFormat="1" ht="5.0999999999999996" customHeight="1" x14ac:dyDescent="0.2">
      <c r="B33" s="456"/>
      <c r="C33" s="456"/>
      <c r="D33" s="456"/>
      <c r="E33" s="457"/>
      <c r="F33" s="458"/>
    </row>
    <row r="34" spans="1:18" s="103" customFormat="1" ht="12.75" customHeight="1" x14ac:dyDescent="0.2">
      <c r="A34" s="739" t="s">
        <v>836</v>
      </c>
      <c r="B34" s="739"/>
      <c r="C34" s="440"/>
      <c r="D34" s="440"/>
      <c r="E34" s="441"/>
      <c r="F34" s="442"/>
    </row>
    <row r="35" spans="1:18" s="103" customFormat="1" ht="78" customHeight="1" x14ac:dyDescent="0.2">
      <c r="A35" s="664" t="s">
        <v>158</v>
      </c>
      <c r="B35" s="721" t="s">
        <v>905</v>
      </c>
      <c r="C35" s="721"/>
      <c r="D35" s="721"/>
      <c r="E35" s="637">
        <f>K35</f>
        <v>1.05</v>
      </c>
      <c r="F35" s="641" t="s">
        <v>128</v>
      </c>
      <c r="G35" s="460">
        <f>7.5*N8*M8*0.06</f>
        <v>1.08</v>
      </c>
      <c r="H35" s="461">
        <f>(1.2*2+1.5)*M8</f>
        <v>7.8</v>
      </c>
      <c r="I35" s="461"/>
      <c r="J35" s="461">
        <f>H35*0.2*0.02</f>
        <v>0.03</v>
      </c>
      <c r="K35" s="460">
        <f>G35-J35</f>
        <v>1.05</v>
      </c>
      <c r="N35" s="103">
        <f>(7.5*1.2)*7+5.75+6.31+5.25+6.11+5.71+5.24+5.25+7.18+7.07+5.2+5.25+5.15</f>
        <v>132.47</v>
      </c>
      <c r="O35" s="461">
        <f>N35*0.06</f>
        <v>7.95</v>
      </c>
      <c r="P35" s="461">
        <f>(1.2*3*7+1.05+2.42+1.05+4.76+1.42/2+2+1.05+3+1.05+2.66+1.05+2.01+1.05+3+1.05+1.05+1.05+1.05+1.05+1.05+1.05+2+1.05+2+1.05+2+0.99)</f>
        <v>68.5</v>
      </c>
      <c r="Q35" s="461">
        <f>P35*0.2*0.02</f>
        <v>0.27</v>
      </c>
      <c r="R35" s="103">
        <f>P35*0.2</f>
        <v>13.7</v>
      </c>
    </row>
    <row r="36" spans="1:18" s="202" customFormat="1" ht="5.0999999999999996" customHeight="1" x14ac:dyDescent="0.25">
      <c r="B36" s="445"/>
      <c r="C36" s="446"/>
      <c r="D36" s="447"/>
      <c r="E36" s="207"/>
      <c r="F36" s="642"/>
      <c r="G36" s="448"/>
      <c r="H36" s="448"/>
    </row>
    <row r="37" spans="1:18" s="103" customFormat="1" ht="78" customHeight="1" x14ac:dyDescent="0.2">
      <c r="A37" s="664" t="s">
        <v>170</v>
      </c>
      <c r="B37" s="721" t="s">
        <v>906</v>
      </c>
      <c r="C37" s="721"/>
      <c r="D37" s="721"/>
      <c r="E37" s="637">
        <f>E35</f>
        <v>1.05</v>
      </c>
      <c r="F37" s="641" t="s">
        <v>128</v>
      </c>
      <c r="G37" s="438"/>
      <c r="H37" s="438"/>
      <c r="I37" s="460"/>
      <c r="J37" s="461"/>
      <c r="K37" s="461"/>
      <c r="L37" s="461"/>
      <c r="M37" s="460"/>
    </row>
    <row r="38" spans="1:18" s="202" customFormat="1" ht="5.0999999999999996" customHeight="1" x14ac:dyDescent="0.2">
      <c r="B38" s="445"/>
      <c r="C38" s="446"/>
      <c r="D38" s="447"/>
      <c r="E38" s="256"/>
      <c r="F38" s="256"/>
      <c r="G38" s="448"/>
      <c r="H38" s="448"/>
    </row>
    <row r="39" spans="1:18" s="103" customFormat="1" ht="53.25" customHeight="1" x14ac:dyDescent="0.2">
      <c r="A39" s="664" t="s">
        <v>203</v>
      </c>
      <c r="B39" s="721" t="s">
        <v>907</v>
      </c>
      <c r="C39" s="721"/>
      <c r="D39" s="721"/>
      <c r="E39" s="637">
        <f>G39</f>
        <v>1.56</v>
      </c>
      <c r="F39" s="640" t="s">
        <v>13</v>
      </c>
      <c r="G39" s="645">
        <f>(N8*2+1.5)*M8*0.2</f>
        <v>1.56</v>
      </c>
      <c r="H39" s="438"/>
      <c r="J39" s="460"/>
      <c r="K39" s="460"/>
      <c r="L39" s="461"/>
      <c r="M39" s="461"/>
      <c r="N39" s="460"/>
      <c r="O39" s="460"/>
      <c r="Q39" s="460"/>
    </row>
    <row r="40" spans="1:18" s="202" customFormat="1" ht="5.0999999999999996" customHeight="1" x14ac:dyDescent="0.2">
      <c r="B40" s="445"/>
      <c r="C40" s="446"/>
      <c r="D40" s="447"/>
      <c r="E40" s="256"/>
      <c r="F40" s="256"/>
      <c r="G40" s="448"/>
      <c r="H40" s="448"/>
    </row>
    <row r="41" spans="1:18" s="103" customFormat="1" ht="40.5" customHeight="1" x14ac:dyDescent="0.2">
      <c r="A41" s="664" t="s">
        <v>181</v>
      </c>
      <c r="B41" s="726" t="s">
        <v>908</v>
      </c>
      <c r="C41" s="726"/>
      <c r="D41" s="726"/>
      <c r="E41" s="647">
        <f>G41</f>
        <v>18</v>
      </c>
      <c r="F41" s="641" t="s">
        <v>13</v>
      </c>
      <c r="G41" s="646">
        <f>7.5*N8*M8:M8</f>
        <v>18</v>
      </c>
      <c r="H41" s="438"/>
      <c r="J41" s="460"/>
      <c r="K41" s="460"/>
    </row>
    <row r="42" spans="1:18" s="103" customFormat="1" ht="5.0999999999999996" customHeight="1" x14ac:dyDescent="0.2">
      <c r="B42" s="456"/>
      <c r="C42" s="456"/>
      <c r="D42" s="456"/>
      <c r="E42" s="457"/>
      <c r="F42" s="458"/>
      <c r="G42" s="458"/>
      <c r="H42" s="458"/>
    </row>
    <row r="43" spans="1:18" s="103" customFormat="1" ht="12.75" customHeight="1" x14ac:dyDescent="0.2">
      <c r="A43" s="738" t="s">
        <v>837</v>
      </c>
      <c r="B43" s="738"/>
      <c r="C43" s="440"/>
      <c r="D43" s="440"/>
      <c r="E43" s="441"/>
      <c r="F43" s="442"/>
    </row>
    <row r="44" spans="1:18" s="103" customFormat="1" ht="39" customHeight="1" x14ac:dyDescent="0.2">
      <c r="A44" s="664" t="s">
        <v>175</v>
      </c>
      <c r="B44" s="721" t="s">
        <v>844</v>
      </c>
      <c r="C44" s="721"/>
      <c r="D44" s="721"/>
      <c r="E44" s="459">
        <v>2</v>
      </c>
      <c r="F44" s="438" t="s">
        <v>279</v>
      </c>
    </row>
    <row r="45" spans="1:18" s="202" customFormat="1" ht="5.0999999999999996" customHeight="1" x14ac:dyDescent="0.2">
      <c r="B45" s="445"/>
      <c r="C45" s="446"/>
      <c r="D45" s="447"/>
      <c r="E45" s="256"/>
      <c r="F45" s="256"/>
      <c r="G45" s="448"/>
      <c r="H45" s="448"/>
    </row>
    <row r="46" spans="1:18" s="103" customFormat="1" ht="39" customHeight="1" x14ac:dyDescent="0.2">
      <c r="A46" s="664" t="s">
        <v>246</v>
      </c>
      <c r="B46" s="721" t="s">
        <v>845</v>
      </c>
      <c r="C46" s="721"/>
      <c r="D46" s="721"/>
      <c r="E46" s="459">
        <v>2</v>
      </c>
      <c r="F46" s="438" t="s">
        <v>279</v>
      </c>
    </row>
    <row r="47" spans="1:18" s="202" customFormat="1" ht="5.0999999999999996" customHeight="1" x14ac:dyDescent="0.2">
      <c r="B47" s="445"/>
      <c r="C47" s="446"/>
      <c r="D47" s="447"/>
      <c r="E47" s="256"/>
      <c r="F47" s="256"/>
      <c r="G47" s="448"/>
      <c r="H47" s="448"/>
    </row>
    <row r="48" spans="1:18" s="103" customFormat="1" ht="12.75" customHeight="1" x14ac:dyDescent="0.2">
      <c r="A48" s="738" t="s">
        <v>852</v>
      </c>
      <c r="B48" s="738"/>
      <c r="C48" s="440"/>
      <c r="D48" s="440"/>
      <c r="E48" s="441"/>
      <c r="F48" s="442"/>
    </row>
    <row r="49" spans="1:9" s="103" customFormat="1" ht="25.5" customHeight="1" x14ac:dyDescent="0.2">
      <c r="A49" s="664" t="s">
        <v>255</v>
      </c>
      <c r="B49" s="721" t="s">
        <v>909</v>
      </c>
      <c r="C49" s="721"/>
      <c r="D49" s="721"/>
      <c r="E49" s="459">
        <f>E25*(0.15+0.13)</f>
        <v>31.53</v>
      </c>
      <c r="F49" s="438" t="s">
        <v>13</v>
      </c>
      <c r="H49" s="103" t="e">
        <f>#REF!*0.28</f>
        <v>#REF!</v>
      </c>
    </row>
    <row r="50" spans="1:9" s="103" customFormat="1" ht="5.0999999999999996" customHeight="1" x14ac:dyDescent="0.2">
      <c r="E50" s="441"/>
      <c r="F50" s="442"/>
    </row>
    <row r="51" spans="1:9" s="202" customFormat="1" ht="24.75" customHeight="1" x14ac:dyDescent="0.2">
      <c r="A51" s="664" t="s">
        <v>853</v>
      </c>
      <c r="B51" s="721" t="s">
        <v>707</v>
      </c>
      <c r="C51" s="721"/>
      <c r="D51" s="721"/>
      <c r="E51" s="442">
        <v>1</v>
      </c>
      <c r="F51" s="53" t="s">
        <v>279</v>
      </c>
      <c r="H51" s="202">
        <v>3.9</v>
      </c>
      <c r="I51" s="202">
        <v>216</v>
      </c>
    </row>
    <row r="52" spans="1:9" s="103" customFormat="1" ht="5.0999999999999996" customHeight="1" x14ac:dyDescent="0.2">
      <c r="B52" s="456"/>
      <c r="C52" s="456"/>
      <c r="D52" s="456"/>
      <c r="E52" s="457"/>
      <c r="F52" s="458"/>
      <c r="G52" s="458"/>
      <c r="H52" s="458"/>
    </row>
    <row r="53" spans="1:9" s="103" customFormat="1" ht="39" customHeight="1" x14ac:dyDescent="0.2">
      <c r="A53" s="664" t="s">
        <v>882</v>
      </c>
      <c r="B53" s="721" t="s">
        <v>885</v>
      </c>
      <c r="C53" s="721"/>
      <c r="D53" s="721"/>
      <c r="E53" s="459">
        <v>1</v>
      </c>
      <c r="F53" s="438" t="s">
        <v>279</v>
      </c>
    </row>
    <row r="54" spans="1:9" s="202" customFormat="1" ht="5.0999999999999996" customHeight="1" x14ac:dyDescent="0.2">
      <c r="B54" s="445"/>
      <c r="C54" s="446"/>
      <c r="D54" s="447"/>
      <c r="E54" s="256"/>
      <c r="F54" s="256"/>
      <c r="G54" s="448"/>
      <c r="H54" s="448"/>
    </row>
    <row r="55" spans="1:9" x14ac:dyDescent="0.2">
      <c r="A55" s="103" t="s">
        <v>265</v>
      </c>
    </row>
    <row r="56" spans="1:9" x14ac:dyDescent="0.2">
      <c r="A56" s="103" t="str">
        <f>A2</f>
        <v>PREFEITURA MUNICIPAL DE MAMANGUAPE</v>
      </c>
    </row>
    <row r="57" spans="1:9" ht="5.0999999999999996" customHeight="1" x14ac:dyDescent="0.2"/>
    <row r="58" spans="1:9" s="103" customFormat="1" ht="12.75" customHeight="1" x14ac:dyDescent="0.25">
      <c r="A58" s="729" t="s">
        <v>433</v>
      </c>
      <c r="B58" s="729"/>
      <c r="C58" s="729"/>
      <c r="D58" s="729"/>
      <c r="E58" s="729"/>
      <c r="F58" s="729"/>
      <c r="H58" s="460"/>
    </row>
    <row r="59" spans="1:9" s="202" customFormat="1" ht="18" customHeight="1" x14ac:dyDescent="0.25">
      <c r="A59" s="735" t="str">
        <f>A6</f>
        <v>Rua José Vieira (Trecho 03)</v>
      </c>
      <c r="B59" s="735"/>
      <c r="C59" s="735"/>
      <c r="D59" s="735"/>
      <c r="E59" s="735"/>
      <c r="F59" s="735"/>
      <c r="G59" s="53"/>
    </row>
    <row r="60" spans="1:9" s="202" customFormat="1" ht="5.0999999999999996" customHeight="1" x14ac:dyDescent="0.25">
      <c r="B60" s="436"/>
      <c r="C60" s="437"/>
      <c r="D60" s="437"/>
      <c r="E60" s="257"/>
      <c r="F60" s="257"/>
      <c r="G60" s="53"/>
    </row>
    <row r="61" spans="1:9" s="202" customFormat="1" ht="12.75" customHeight="1" x14ac:dyDescent="0.2">
      <c r="A61" s="730" t="s">
        <v>53</v>
      </c>
      <c r="B61" s="732" t="s">
        <v>267</v>
      </c>
      <c r="C61" s="732" t="s">
        <v>268</v>
      </c>
      <c r="D61" s="732" t="s">
        <v>434</v>
      </c>
      <c r="E61" s="732" t="s">
        <v>435</v>
      </c>
      <c r="F61" s="734"/>
    </row>
    <row r="62" spans="1:9" s="202" customFormat="1" ht="12.75" customHeight="1" x14ac:dyDescent="0.2">
      <c r="A62" s="731"/>
      <c r="B62" s="733"/>
      <c r="C62" s="733"/>
      <c r="D62" s="733"/>
      <c r="E62" s="462" t="s">
        <v>436</v>
      </c>
      <c r="F62" s="463" t="s">
        <v>437</v>
      </c>
    </row>
    <row r="63" spans="1:9" s="202" customFormat="1" ht="12.75" customHeight="1" x14ac:dyDescent="0.2">
      <c r="A63" s="464" t="s">
        <v>4</v>
      </c>
      <c r="B63" s="465" t="s">
        <v>438</v>
      </c>
      <c r="C63" s="466"/>
      <c r="D63" s="467"/>
      <c r="E63" s="467"/>
      <c r="F63" s="468">
        <f>SUM(F64)</f>
        <v>31.99</v>
      </c>
    </row>
    <row r="64" spans="1:9" s="202" customFormat="1" ht="25.5" x14ac:dyDescent="0.2">
      <c r="A64" s="469" t="s">
        <v>86</v>
      </c>
      <c r="B64" s="470" t="str">
        <f>'Planilha Global'!B11</f>
        <v>Execução de linhas de referência em gabarito ou cavalete (locação de pavimentação)</v>
      </c>
      <c r="C64" s="490" t="str">
        <f>F19</f>
        <v>m</v>
      </c>
      <c r="D64" s="472">
        <f>E19</f>
        <v>56.12</v>
      </c>
      <c r="E64" s="473">
        <f>'Planilha Global'!N11</f>
        <v>0.56999999999999995</v>
      </c>
      <c r="F64" s="474">
        <f>ROUND(D64,2)*ROUND(E64,2)</f>
        <v>31.99</v>
      </c>
    </row>
    <row r="65" spans="1:12" s="202" customFormat="1" ht="6.75" customHeight="1" x14ac:dyDescent="0.2">
      <c r="A65" s="486"/>
      <c r="B65" s="487"/>
      <c r="C65" s="482"/>
      <c r="D65" s="472"/>
      <c r="E65" s="488"/>
      <c r="F65" s="474"/>
    </row>
    <row r="66" spans="1:12" s="202" customFormat="1" ht="12.75" customHeight="1" x14ac:dyDescent="0.2">
      <c r="A66" s="464" t="s">
        <v>6</v>
      </c>
      <c r="B66" s="465" t="s">
        <v>511</v>
      </c>
      <c r="C66" s="466"/>
      <c r="D66" s="467"/>
      <c r="E66" s="467"/>
      <c r="F66" s="468">
        <f>SUM(F67:F67)</f>
        <v>817.75</v>
      </c>
    </row>
    <row r="67" spans="1:12" s="202" customFormat="1" ht="25.5" x14ac:dyDescent="0.2">
      <c r="A67" s="469" t="s">
        <v>7</v>
      </c>
      <c r="B67" s="470" t="str">
        <f>'Planilha Global'!B14</f>
        <v>Regularização e compactação do subleito até 20 cm de espessura</v>
      </c>
      <c r="C67" s="482" t="str">
        <f>F22</f>
        <v>m²</v>
      </c>
      <c r="D67" s="472">
        <f>E22</f>
        <v>327.10000000000002</v>
      </c>
      <c r="E67" s="473">
        <f>'Planilha Global'!N14</f>
        <v>2.5</v>
      </c>
      <c r="F67" s="474">
        <f>ROUND(D67,2)*ROUND(E67,2)</f>
        <v>817.75</v>
      </c>
      <c r="H67" s="485"/>
    </row>
    <row r="68" spans="1:12" s="202" customFormat="1" ht="6.75" customHeight="1" x14ac:dyDescent="0.2">
      <c r="A68" s="486"/>
      <c r="B68" s="487"/>
      <c r="C68" s="482"/>
      <c r="D68" s="472"/>
      <c r="E68" s="488"/>
      <c r="F68" s="474"/>
    </row>
    <row r="69" spans="1:12" s="202" customFormat="1" ht="12.75" customHeight="1" thickBot="1" x14ac:dyDescent="0.25">
      <c r="A69" s="464" t="s">
        <v>8</v>
      </c>
      <c r="B69" s="465" t="s">
        <v>439</v>
      </c>
      <c r="C69" s="466"/>
      <c r="D69" s="467"/>
      <c r="E69" s="489"/>
      <c r="F69" s="468">
        <f>SUM(F70:F71)</f>
        <v>40841.230000000003</v>
      </c>
    </row>
    <row r="70" spans="1:12" s="226" customFormat="1" ht="63.75" x14ac:dyDescent="0.2">
      <c r="A70" s="469" t="s">
        <v>9</v>
      </c>
      <c r="B70" s="470" t="str">
        <f>'Planilha Global'!B17</f>
        <v>Assentamento de guia (meio-fio) em trecho reto, confeccionada em concreto pré-fabricado, dimensões 100x15x13x30 cm (comprimento x base inferior x base superior x altura), para vias urbanas (uso viário)</v>
      </c>
      <c r="C70" s="482" t="str">
        <f>F25</f>
        <v>m</v>
      </c>
      <c r="D70" s="472">
        <f>E25</f>
        <v>112.59</v>
      </c>
      <c r="E70" s="473">
        <f>'Planilha Global'!N17</f>
        <v>49.53</v>
      </c>
      <c r="F70" s="474">
        <f>ROUND(D70,2)*ROUND(E70,2)</f>
        <v>5576.58</v>
      </c>
      <c r="H70" s="492"/>
      <c r="I70" s="493"/>
      <c r="J70" s="494"/>
    </row>
    <row r="71" spans="1:12" s="226" customFormat="1" ht="42.75" customHeight="1" thickBot="1" x14ac:dyDescent="0.25">
      <c r="A71" s="469" t="s">
        <v>12</v>
      </c>
      <c r="B71" s="470" t="str">
        <f>'Planilha Global'!B18</f>
        <v>Execução de pavimento em paralelepípedos, rejuntamento com argamassa traço 1:3 (cimento e areia)</v>
      </c>
      <c r="C71" s="482" t="str">
        <f>F27</f>
        <v>m²</v>
      </c>
      <c r="D71" s="472">
        <f>E27</f>
        <v>327.10000000000002</v>
      </c>
      <c r="E71" s="473">
        <f>'Planilha Global'!N18</f>
        <v>107.81</v>
      </c>
      <c r="F71" s="474">
        <f>ROUND(D71,2)*ROUND(E71,2)</f>
        <v>35264.65</v>
      </c>
      <c r="H71" s="495"/>
      <c r="I71" s="496"/>
      <c r="J71" s="497"/>
    </row>
    <row r="72" spans="1:12" s="202" customFormat="1" ht="6.75" customHeight="1" x14ac:dyDescent="0.2">
      <c r="A72" s="486"/>
      <c r="B72" s="487"/>
      <c r="C72" s="482"/>
      <c r="D72" s="472"/>
      <c r="E72" s="488"/>
      <c r="F72" s="474"/>
    </row>
    <row r="73" spans="1:12" s="258" customFormat="1" ht="15" customHeight="1" thickBot="1" x14ac:dyDescent="0.3">
      <c r="A73" s="498" t="s">
        <v>14</v>
      </c>
      <c r="B73" s="499" t="s">
        <v>605</v>
      </c>
      <c r="C73" s="466"/>
      <c r="D73" s="467"/>
      <c r="E73" s="500"/>
      <c r="F73" s="468">
        <f>SUM(F74:F75)</f>
        <v>7529.16</v>
      </c>
      <c r="I73" s="501"/>
      <c r="J73" s="502"/>
      <c r="K73" s="502"/>
      <c r="L73" s="503"/>
    </row>
    <row r="74" spans="1:12" s="226" customFormat="1" ht="38.25" x14ac:dyDescent="0.2">
      <c r="A74" s="469" t="s">
        <v>129</v>
      </c>
      <c r="B74" s="661" t="str">
        <f>'Planilha Global'!B23</f>
        <v>Execução de passeio (calçada) ou piso de concreto com concreto moldado in loco, feito em obra, acabamento convencional, não armado</v>
      </c>
      <c r="C74" s="490" t="str">
        <f>F30</f>
        <v>m³</v>
      </c>
      <c r="D74" s="472">
        <f>'José Vieira - T3'!E30</f>
        <v>5.24</v>
      </c>
      <c r="E74" s="473">
        <f>'Planilha Global'!N23</f>
        <v>943.02</v>
      </c>
      <c r="F74" s="474">
        <f>ROUND(D74,2)*ROUND(E74,2)</f>
        <v>4941.42</v>
      </c>
      <c r="H74" s="226">
        <v>703.2</v>
      </c>
    </row>
    <row r="75" spans="1:12" s="226" customFormat="1" ht="25.5" x14ac:dyDescent="0.2">
      <c r="A75" s="469" t="s">
        <v>131</v>
      </c>
      <c r="B75" s="661" t="str">
        <f>'Planilha Global'!B24</f>
        <v>Piso podotátil de alerta ou direcional, de concreto, assentado sobre argamassa</v>
      </c>
      <c r="C75" s="490" t="str">
        <f>F32</f>
        <v>m²</v>
      </c>
      <c r="D75" s="472">
        <f>E32</f>
        <v>15.44</v>
      </c>
      <c r="E75" s="473">
        <f>'Planilha Global'!N24</f>
        <v>167.6</v>
      </c>
      <c r="F75" s="474">
        <f>ROUND(D75,2)*ROUND(E75,2)</f>
        <v>2587.7399999999998</v>
      </c>
      <c r="H75" s="226">
        <v>109.78</v>
      </c>
    </row>
    <row r="76" spans="1:12" s="202" customFormat="1" ht="6.75" customHeight="1" x14ac:dyDescent="0.2">
      <c r="A76" s="486"/>
      <c r="B76" s="487"/>
      <c r="C76" s="482"/>
      <c r="D76" s="472"/>
      <c r="E76" s="488"/>
      <c r="F76" s="474"/>
    </row>
    <row r="77" spans="1:12" s="258" customFormat="1" ht="15" customHeight="1" thickBot="1" x14ac:dyDescent="0.3">
      <c r="A77" s="498" t="s">
        <v>157</v>
      </c>
      <c r="B77" s="499" t="s">
        <v>606</v>
      </c>
      <c r="C77" s="466"/>
      <c r="D77" s="467"/>
      <c r="E77" s="500"/>
      <c r="F77" s="468">
        <f>SUM(F78:F81)</f>
        <v>1623.4</v>
      </c>
      <c r="I77" s="501"/>
      <c r="J77" s="502"/>
      <c r="K77" s="502"/>
      <c r="L77" s="503"/>
    </row>
    <row r="78" spans="1:12" s="226" customFormat="1" ht="39" thickBot="1" x14ac:dyDescent="0.25">
      <c r="A78" s="469" t="s">
        <v>158</v>
      </c>
      <c r="B78" s="661" t="str">
        <f>'Planilha Global'!B27</f>
        <v>Concreto Fck = 15mpa, traço 1:3,4:3,5 (em massa seca de cimento/ areia média/ brita 1), preparo mecânico com betoneira 400 L</v>
      </c>
      <c r="C78" s="490" t="str">
        <f>F35</f>
        <v>m³</v>
      </c>
      <c r="D78" s="472">
        <f>E35</f>
        <v>1.05</v>
      </c>
      <c r="E78" s="473">
        <f>'Planilha Global'!N27</f>
        <v>553.16</v>
      </c>
      <c r="F78" s="474">
        <f>ROUND(D78,2)*ROUND(E78,2)</f>
        <v>580.82000000000005</v>
      </c>
      <c r="H78" s="226">
        <v>410.85</v>
      </c>
    </row>
    <row r="79" spans="1:12" s="202" customFormat="1" ht="25.5" x14ac:dyDescent="0.2">
      <c r="A79" s="469" t="s">
        <v>170</v>
      </c>
      <c r="B79" s="661" t="str">
        <f>'Planilha Global'!B28</f>
        <v>Lançamento com uso de baldes, adensamento e acabamento de concreto em estruturas</v>
      </c>
      <c r="C79" s="490" t="str">
        <f>F37</f>
        <v>m³</v>
      </c>
      <c r="D79" s="472">
        <f>E37</f>
        <v>1.05</v>
      </c>
      <c r="E79" s="473">
        <f>'Planilha Global'!N28</f>
        <v>324.95</v>
      </c>
      <c r="F79" s="474">
        <f>ROUND(D79,2)*ROUND(E79,2)</f>
        <v>341.2</v>
      </c>
      <c r="H79" s="202">
        <v>223.25</v>
      </c>
      <c r="I79" s="506"/>
      <c r="J79" s="507"/>
      <c r="K79" s="507"/>
      <c r="L79" s="508"/>
    </row>
    <row r="80" spans="1:12" s="226" customFormat="1" ht="25.5" x14ac:dyDescent="0.2">
      <c r="A80" s="469" t="s">
        <v>203</v>
      </c>
      <c r="B80" s="661" t="str">
        <f>'Planilha Global'!B29</f>
        <v>Piso podotátil de alerta ou direcional, de concreto, assentado sobre argamassa</v>
      </c>
      <c r="C80" s="490" t="str">
        <f>F39</f>
        <v>m²</v>
      </c>
      <c r="D80" s="472">
        <f>E39</f>
        <v>1.56</v>
      </c>
      <c r="E80" s="473">
        <f>'Planilha Global'!N29</f>
        <v>167.6</v>
      </c>
      <c r="F80" s="474">
        <f>ROUND(D80,2)*ROUND(E80,2)</f>
        <v>261.45999999999998</v>
      </c>
      <c r="H80" s="226">
        <v>109.78</v>
      </c>
    </row>
    <row r="81" spans="1:11" s="226" customFormat="1" ht="25.5" x14ac:dyDescent="0.2">
      <c r="A81" s="469" t="s">
        <v>181</v>
      </c>
      <c r="B81" s="661" t="str">
        <f>'Planilha Global'!B30</f>
        <v>Pintura de piso com tinta acrílica, aplicação manual, 2 demãos, incluso fundo preparador</v>
      </c>
      <c r="C81" s="490" t="str">
        <f>F41</f>
        <v>m²</v>
      </c>
      <c r="D81" s="472">
        <f>E41</f>
        <v>18</v>
      </c>
      <c r="E81" s="473">
        <f>'Planilha Global'!N30</f>
        <v>24.44</v>
      </c>
      <c r="F81" s="474">
        <f>ROUND(D81,2)*ROUND(E81,2)</f>
        <v>439.92</v>
      </c>
      <c r="H81" s="226">
        <v>14.87</v>
      </c>
    </row>
    <row r="82" spans="1:11" s="202" customFormat="1" ht="6.75" customHeight="1" x14ac:dyDescent="0.2">
      <c r="A82" s="486"/>
      <c r="B82" s="487"/>
      <c r="C82" s="482"/>
      <c r="D82" s="472"/>
      <c r="E82" s="488"/>
      <c r="F82" s="474"/>
    </row>
    <row r="83" spans="1:11" s="258" customFormat="1" ht="15" customHeight="1" thickBot="1" x14ac:dyDescent="0.3">
      <c r="A83" s="498" t="s">
        <v>174</v>
      </c>
      <c r="B83" s="499" t="s">
        <v>706</v>
      </c>
      <c r="C83" s="466"/>
      <c r="D83" s="467"/>
      <c r="E83" s="500"/>
      <c r="F83" s="468">
        <f>SUM(F84:F85)</f>
        <v>928.9</v>
      </c>
      <c r="H83" s="501"/>
      <c r="I83" s="502"/>
      <c r="J83" s="502"/>
      <c r="K83" s="503"/>
    </row>
    <row r="84" spans="1:11" s="202" customFormat="1" ht="38.25" x14ac:dyDescent="0.2">
      <c r="A84" s="469" t="s">
        <v>175</v>
      </c>
      <c r="B84" s="661" t="str">
        <f>'Planilha Global'!B33</f>
        <v>Fornecimento e instalação de suporte de madeira para placas de sinalização, em solo, com h= de 2,0 m e seção de 7,5 x 7,5 cm</v>
      </c>
      <c r="C84" s="490" t="str">
        <f>F44</f>
        <v>unid</v>
      </c>
      <c r="D84" s="472">
        <f>E44</f>
        <v>2</v>
      </c>
      <c r="E84" s="473">
        <f>'Planilha Global'!N33</f>
        <v>120.58</v>
      </c>
      <c r="F84" s="474">
        <f t="shared" ref="F84:F85" si="1">ROUND(D84*E84,2)</f>
        <v>241.16</v>
      </c>
      <c r="H84" s="665"/>
    </row>
    <row r="85" spans="1:11" s="226" customFormat="1" ht="38.25" x14ac:dyDescent="0.2">
      <c r="A85" s="469" t="s">
        <v>246</v>
      </c>
      <c r="B85" s="661" t="str">
        <f>'Planilha Global'!B34</f>
        <v>Placa de advertência em aço, lado de 0,60 m - película retrorrefletiva tipo I + SI - fornecimento e implantação</v>
      </c>
      <c r="C85" s="490" t="str">
        <f>F46</f>
        <v>unid</v>
      </c>
      <c r="D85" s="472">
        <f>E46</f>
        <v>2</v>
      </c>
      <c r="E85" s="473">
        <f>'Planilha Global'!N34</f>
        <v>343.87</v>
      </c>
      <c r="F85" s="505">
        <f t="shared" si="1"/>
        <v>687.74</v>
      </c>
      <c r="H85" s="226">
        <v>349.41</v>
      </c>
    </row>
    <row r="86" spans="1:11" s="202" customFormat="1" ht="6.75" customHeight="1" x14ac:dyDescent="0.2">
      <c r="A86" s="509"/>
      <c r="B86" s="41"/>
      <c r="C86" s="482"/>
      <c r="D86" s="472"/>
      <c r="E86" s="510"/>
      <c r="F86" s="474"/>
      <c r="H86" s="511"/>
      <c r="K86" s="512"/>
    </row>
    <row r="87" spans="1:11" s="258" customFormat="1" ht="15" customHeight="1" thickBot="1" x14ac:dyDescent="0.3">
      <c r="A87" s="498" t="s">
        <v>254</v>
      </c>
      <c r="B87" s="499" t="s">
        <v>849</v>
      </c>
      <c r="C87" s="466"/>
      <c r="D87" s="467"/>
      <c r="E87" s="500"/>
      <c r="F87" s="468">
        <f>SUM(F88:F90)</f>
        <v>357.63</v>
      </c>
      <c r="H87" s="501"/>
      <c r="I87" s="502"/>
      <c r="J87" s="502"/>
      <c r="K87" s="503"/>
    </row>
    <row r="88" spans="1:11" s="202" customFormat="1" ht="26.25" thickBot="1" x14ac:dyDescent="0.25">
      <c r="A88" s="469" t="s">
        <v>255</v>
      </c>
      <c r="B88" s="661" t="str">
        <f>'Planilha Global'!B37</f>
        <v>Pintura de meio-fio com tinta branca a base de cal (caiação)</v>
      </c>
      <c r="C88" s="490" t="str">
        <f>F49</f>
        <v>m²</v>
      </c>
      <c r="D88" s="472">
        <f>E49</f>
        <v>31.53</v>
      </c>
      <c r="E88" s="473">
        <f>'Planilha Global'!N37</f>
        <v>1.78</v>
      </c>
      <c r="F88" s="474">
        <f>ROUND(D88,2)*ROUND(E88,2)</f>
        <v>56.12</v>
      </c>
      <c r="H88" s="506"/>
      <c r="I88" s="507"/>
      <c r="J88" s="507"/>
      <c r="K88" s="508"/>
    </row>
    <row r="89" spans="1:11" s="202" customFormat="1" ht="25.5" x14ac:dyDescent="0.2">
      <c r="A89" s="469" t="s">
        <v>853</v>
      </c>
      <c r="B89" s="661" t="str">
        <f>'Planilha Global'!B38</f>
        <v>Placa esmaltada para identificação de nome de rua, dimensões 45x20cm</v>
      </c>
      <c r="C89" s="490" t="str">
        <f>F51</f>
        <v>unid</v>
      </c>
      <c r="D89" s="472">
        <f>E51</f>
        <v>1</v>
      </c>
      <c r="E89" s="473">
        <f>'Planilha Global'!N38</f>
        <v>180.93</v>
      </c>
      <c r="F89" s="474">
        <f>ROUND(D89,2)*ROUND(E89,2)</f>
        <v>180.93</v>
      </c>
      <c r="H89" s="506"/>
      <c r="I89" s="507"/>
      <c r="J89" s="507"/>
      <c r="K89" s="508"/>
    </row>
    <row r="90" spans="1:11" s="202" customFormat="1" ht="38.25" x14ac:dyDescent="0.2">
      <c r="A90" s="469" t="s">
        <v>882</v>
      </c>
      <c r="B90" s="661" t="str">
        <f>'Planilha Global'!B39</f>
        <v>Fornecimento e instalação de suporte de madeira para placas de identificação de rua, em solo, com h= de 2,0 m e seção de 7,5 x 7,5 cm</v>
      </c>
      <c r="C90" s="490" t="str">
        <f>F53</f>
        <v>unid</v>
      </c>
      <c r="D90" s="472">
        <f>E53</f>
        <v>1</v>
      </c>
      <c r="E90" s="473">
        <f>'Planilha Global'!N39</f>
        <v>120.58</v>
      </c>
      <c r="F90" s="474">
        <f t="shared" ref="F90" si="2">ROUND(D90*E90,2)</f>
        <v>120.58</v>
      </c>
      <c r="H90" s="665"/>
    </row>
    <row r="91" spans="1:11" s="202" customFormat="1" ht="6.75" customHeight="1" x14ac:dyDescent="0.2">
      <c r="A91" s="509"/>
      <c r="B91" s="41"/>
      <c r="C91" s="482"/>
      <c r="D91" s="472"/>
      <c r="E91" s="510"/>
      <c r="F91" s="474"/>
      <c r="H91" s="511"/>
      <c r="K91" s="512"/>
    </row>
    <row r="92" spans="1:11" s="202" customFormat="1" ht="12.75" customHeight="1" x14ac:dyDescent="0.2">
      <c r="A92" s="727" t="s">
        <v>440</v>
      </c>
      <c r="B92" s="728"/>
      <c r="C92" s="728"/>
      <c r="D92" s="728"/>
      <c r="E92" s="728"/>
      <c r="F92" s="543">
        <f>F63+F66+F69+F73+F77+F83+F87</f>
        <v>52130.06</v>
      </c>
    </row>
    <row r="93" spans="1:11" s="202" customFormat="1" ht="5.25" customHeight="1" x14ac:dyDescent="0.2">
      <c r="B93" s="256"/>
      <c r="C93" s="281"/>
      <c r="E93" s="281"/>
    </row>
    <row r="94" spans="1:11" s="202" customFormat="1" ht="12.75" customHeight="1" x14ac:dyDescent="0.2">
      <c r="A94" s="64" t="s">
        <v>1052</v>
      </c>
      <c r="B94" s="256"/>
      <c r="C94" s="281"/>
      <c r="E94" s="281"/>
      <c r="F94" s="513"/>
      <c r="G94" s="202">
        <f>175162.63/D71</f>
        <v>535.50177315805604</v>
      </c>
    </row>
    <row r="95" spans="1:11" s="202" customFormat="1" ht="12.75" customHeight="1" x14ac:dyDescent="0.2">
      <c r="A95" s="64" t="str">
        <f>'Composição Custos Unit'!G37</f>
        <v>Referência: SINAPI PB Fevereiro/25; DER PB Jan-Mar/25</v>
      </c>
      <c r="B95" s="256"/>
      <c r="C95" s="636" t="str">
        <f>'Planilha Global'!A43</f>
        <v>BDI: 28,99%</v>
      </c>
      <c r="E95" s="281"/>
    </row>
    <row r="96" spans="1:11" s="202" customFormat="1" ht="12.75" customHeight="1" x14ac:dyDescent="0.2">
      <c r="E96" s="281"/>
      <c r="F96" s="247"/>
    </row>
    <row r="97" spans="6:7" ht="12.75" customHeight="1" x14ac:dyDescent="0.2">
      <c r="G97" t="e">
        <f>F92/#REF!</f>
        <v>#REF!</v>
      </c>
    </row>
    <row r="98" spans="6:7" ht="12.75" customHeight="1" x14ac:dyDescent="0.2">
      <c r="F98" s="514">
        <f>F92/D67</f>
        <v>159.37</v>
      </c>
    </row>
    <row r="100" spans="6:7" x14ac:dyDescent="0.2">
      <c r="F100" s="514">
        <f>'Maria Livramento - T1'!F106+'Maria Livramento - T2'!F108+'Fábio Vaz - T1'!F114+'José Vieira - T3'!F92</f>
        <v>420208.48</v>
      </c>
    </row>
  </sheetData>
  <mergeCells count="36">
    <mergeCell ref="A92:E92"/>
    <mergeCell ref="A58:F58"/>
    <mergeCell ref="A59:F59"/>
    <mergeCell ref="A61:A62"/>
    <mergeCell ref="B61:B62"/>
    <mergeCell ref="C61:C62"/>
    <mergeCell ref="D61:D62"/>
    <mergeCell ref="E61:F61"/>
    <mergeCell ref="B19:D19"/>
    <mergeCell ref="B25:D25"/>
    <mergeCell ref="B53:D53"/>
    <mergeCell ref="A34:B34"/>
    <mergeCell ref="B35:D35"/>
    <mergeCell ref="B37:D37"/>
    <mergeCell ref="B39:D39"/>
    <mergeCell ref="B41:D41"/>
    <mergeCell ref="A43:B43"/>
    <mergeCell ref="B44:D44"/>
    <mergeCell ref="B46:D46"/>
    <mergeCell ref="A48:B48"/>
    <mergeCell ref="B49:D49"/>
    <mergeCell ref="B51:D51"/>
    <mergeCell ref="B27:D27"/>
    <mergeCell ref="A29:B29"/>
    <mergeCell ref="B30:D30"/>
    <mergeCell ref="B32:D32"/>
    <mergeCell ref="A21:B21"/>
    <mergeCell ref="B22:D22"/>
    <mergeCell ref="A24:B24"/>
    <mergeCell ref="A18:B18"/>
    <mergeCell ref="C14:F14"/>
    <mergeCell ref="A4:F4"/>
    <mergeCell ref="C8:F8"/>
    <mergeCell ref="C9:F9"/>
    <mergeCell ref="C10:F10"/>
    <mergeCell ref="C13:F13"/>
  </mergeCells>
  <printOptions horizontalCentered="1"/>
  <pageMargins left="0.51181102362204722" right="0.51181102362204722" top="0.39370078740157483" bottom="0.59055118110236227" header="0.31496062992125984" footer="0.31496062992125984"/>
  <pageSetup paperSize="9" scale="95" orientation="portrait" r:id="rId1"/>
  <rowBreaks count="1" manualBreakCount="1">
    <brk id="54" max="5" man="1"/>
  </rowBreaks>
  <legacy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7977BE-E5D2-4F52-96F6-C72A0D4754AE}">
  <dimension ref="A1:S103"/>
  <sheetViews>
    <sheetView view="pageBreakPreview" zoomScale="110" zoomScaleNormal="100" zoomScaleSheetLayoutView="110" workbookViewId="0">
      <selection activeCell="O28" activeCellId="1" sqref="R15 O28"/>
    </sheetView>
  </sheetViews>
  <sheetFormatPr defaultRowHeight="12.75" x14ac:dyDescent="0.2"/>
  <cols>
    <col min="1" max="1" width="4.7109375" customWidth="1"/>
    <col min="2" max="2" width="45" customWidth="1"/>
    <col min="3" max="3" width="8.42578125" customWidth="1"/>
    <col min="4" max="4" width="14.28515625" customWidth="1"/>
    <col min="5" max="5" width="9.28515625" bestFit="1" customWidth="1"/>
    <col min="6" max="6" width="12.140625" customWidth="1"/>
    <col min="7" max="7" width="14.42578125" customWidth="1"/>
    <col min="8" max="8" width="12.5703125" customWidth="1"/>
    <col min="9" max="9" width="17.7109375" customWidth="1"/>
    <col min="257" max="257" width="4.7109375" customWidth="1"/>
    <col min="258" max="258" width="45" customWidth="1"/>
    <col min="259" max="259" width="8.42578125" customWidth="1"/>
    <col min="260" max="260" width="14.28515625" customWidth="1"/>
    <col min="261" max="261" width="9.28515625" bestFit="1" customWidth="1"/>
    <col min="262" max="262" width="12.140625" customWidth="1"/>
    <col min="263" max="263" width="14.42578125" customWidth="1"/>
    <col min="264" max="264" width="12.5703125" customWidth="1"/>
    <col min="265" max="265" width="17.7109375" customWidth="1"/>
    <col min="513" max="513" width="4.7109375" customWidth="1"/>
    <col min="514" max="514" width="45" customWidth="1"/>
    <col min="515" max="515" width="8.42578125" customWidth="1"/>
    <col min="516" max="516" width="14.28515625" customWidth="1"/>
    <col min="517" max="517" width="9.28515625" bestFit="1" customWidth="1"/>
    <col min="518" max="518" width="12.140625" customWidth="1"/>
    <col min="519" max="519" width="14.42578125" customWidth="1"/>
    <col min="520" max="520" width="12.5703125" customWidth="1"/>
    <col min="521" max="521" width="17.7109375" customWidth="1"/>
    <col min="769" max="769" width="4.7109375" customWidth="1"/>
    <col min="770" max="770" width="45" customWidth="1"/>
    <col min="771" max="771" width="8.42578125" customWidth="1"/>
    <col min="772" max="772" width="14.28515625" customWidth="1"/>
    <col min="773" max="773" width="9.28515625" bestFit="1" customWidth="1"/>
    <col min="774" max="774" width="12.140625" customWidth="1"/>
    <col min="775" max="775" width="14.42578125" customWidth="1"/>
    <col min="776" max="776" width="12.5703125" customWidth="1"/>
    <col min="777" max="777" width="17.7109375" customWidth="1"/>
    <col min="1025" max="1025" width="4.7109375" customWidth="1"/>
    <col min="1026" max="1026" width="45" customWidth="1"/>
    <col min="1027" max="1027" width="8.42578125" customWidth="1"/>
    <col min="1028" max="1028" width="14.28515625" customWidth="1"/>
    <col min="1029" max="1029" width="9.28515625" bestFit="1" customWidth="1"/>
    <col min="1030" max="1030" width="12.140625" customWidth="1"/>
    <col min="1031" max="1031" width="14.42578125" customWidth="1"/>
    <col min="1032" max="1032" width="12.5703125" customWidth="1"/>
    <col min="1033" max="1033" width="17.7109375" customWidth="1"/>
    <col min="1281" max="1281" width="4.7109375" customWidth="1"/>
    <col min="1282" max="1282" width="45" customWidth="1"/>
    <col min="1283" max="1283" width="8.42578125" customWidth="1"/>
    <col min="1284" max="1284" width="14.28515625" customWidth="1"/>
    <col min="1285" max="1285" width="9.28515625" bestFit="1" customWidth="1"/>
    <col min="1286" max="1286" width="12.140625" customWidth="1"/>
    <col min="1287" max="1287" width="14.42578125" customWidth="1"/>
    <col min="1288" max="1288" width="12.5703125" customWidth="1"/>
    <col min="1289" max="1289" width="17.7109375" customWidth="1"/>
    <col min="1537" max="1537" width="4.7109375" customWidth="1"/>
    <col min="1538" max="1538" width="45" customWidth="1"/>
    <col min="1539" max="1539" width="8.42578125" customWidth="1"/>
    <col min="1540" max="1540" width="14.28515625" customWidth="1"/>
    <col min="1541" max="1541" width="9.28515625" bestFit="1" customWidth="1"/>
    <col min="1542" max="1542" width="12.140625" customWidth="1"/>
    <col min="1543" max="1543" width="14.42578125" customWidth="1"/>
    <col min="1544" max="1544" width="12.5703125" customWidth="1"/>
    <col min="1545" max="1545" width="17.7109375" customWidth="1"/>
    <col min="1793" max="1793" width="4.7109375" customWidth="1"/>
    <col min="1794" max="1794" width="45" customWidth="1"/>
    <col min="1795" max="1795" width="8.42578125" customWidth="1"/>
    <col min="1796" max="1796" width="14.28515625" customWidth="1"/>
    <col min="1797" max="1797" width="9.28515625" bestFit="1" customWidth="1"/>
    <col min="1798" max="1798" width="12.140625" customWidth="1"/>
    <col min="1799" max="1799" width="14.42578125" customWidth="1"/>
    <col min="1800" max="1800" width="12.5703125" customWidth="1"/>
    <col min="1801" max="1801" width="17.7109375" customWidth="1"/>
    <col min="2049" max="2049" width="4.7109375" customWidth="1"/>
    <col min="2050" max="2050" width="45" customWidth="1"/>
    <col min="2051" max="2051" width="8.42578125" customWidth="1"/>
    <col min="2052" max="2052" width="14.28515625" customWidth="1"/>
    <col min="2053" max="2053" width="9.28515625" bestFit="1" customWidth="1"/>
    <col min="2054" max="2054" width="12.140625" customWidth="1"/>
    <col min="2055" max="2055" width="14.42578125" customWidth="1"/>
    <col min="2056" max="2056" width="12.5703125" customWidth="1"/>
    <col min="2057" max="2057" width="17.7109375" customWidth="1"/>
    <col min="2305" max="2305" width="4.7109375" customWidth="1"/>
    <col min="2306" max="2306" width="45" customWidth="1"/>
    <col min="2307" max="2307" width="8.42578125" customWidth="1"/>
    <col min="2308" max="2308" width="14.28515625" customWidth="1"/>
    <col min="2309" max="2309" width="9.28515625" bestFit="1" customWidth="1"/>
    <col min="2310" max="2310" width="12.140625" customWidth="1"/>
    <col min="2311" max="2311" width="14.42578125" customWidth="1"/>
    <col min="2312" max="2312" width="12.5703125" customWidth="1"/>
    <col min="2313" max="2313" width="17.7109375" customWidth="1"/>
    <col min="2561" max="2561" width="4.7109375" customWidth="1"/>
    <col min="2562" max="2562" width="45" customWidth="1"/>
    <col min="2563" max="2563" width="8.42578125" customWidth="1"/>
    <col min="2564" max="2564" width="14.28515625" customWidth="1"/>
    <col min="2565" max="2565" width="9.28515625" bestFit="1" customWidth="1"/>
    <col min="2566" max="2566" width="12.140625" customWidth="1"/>
    <col min="2567" max="2567" width="14.42578125" customWidth="1"/>
    <col min="2568" max="2568" width="12.5703125" customWidth="1"/>
    <col min="2569" max="2569" width="17.7109375" customWidth="1"/>
    <col min="2817" max="2817" width="4.7109375" customWidth="1"/>
    <col min="2818" max="2818" width="45" customWidth="1"/>
    <col min="2819" max="2819" width="8.42578125" customWidth="1"/>
    <col min="2820" max="2820" width="14.28515625" customWidth="1"/>
    <col min="2821" max="2821" width="9.28515625" bestFit="1" customWidth="1"/>
    <col min="2822" max="2822" width="12.140625" customWidth="1"/>
    <col min="2823" max="2823" width="14.42578125" customWidth="1"/>
    <col min="2824" max="2824" width="12.5703125" customWidth="1"/>
    <col min="2825" max="2825" width="17.7109375" customWidth="1"/>
    <col min="3073" max="3073" width="4.7109375" customWidth="1"/>
    <col min="3074" max="3074" width="45" customWidth="1"/>
    <col min="3075" max="3075" width="8.42578125" customWidth="1"/>
    <col min="3076" max="3076" width="14.28515625" customWidth="1"/>
    <col min="3077" max="3077" width="9.28515625" bestFit="1" customWidth="1"/>
    <col min="3078" max="3078" width="12.140625" customWidth="1"/>
    <col min="3079" max="3079" width="14.42578125" customWidth="1"/>
    <col min="3080" max="3080" width="12.5703125" customWidth="1"/>
    <col min="3081" max="3081" width="17.7109375" customWidth="1"/>
    <col min="3329" max="3329" width="4.7109375" customWidth="1"/>
    <col min="3330" max="3330" width="45" customWidth="1"/>
    <col min="3331" max="3331" width="8.42578125" customWidth="1"/>
    <col min="3332" max="3332" width="14.28515625" customWidth="1"/>
    <col min="3333" max="3333" width="9.28515625" bestFit="1" customWidth="1"/>
    <col min="3334" max="3334" width="12.140625" customWidth="1"/>
    <col min="3335" max="3335" width="14.42578125" customWidth="1"/>
    <col min="3336" max="3336" width="12.5703125" customWidth="1"/>
    <col min="3337" max="3337" width="17.7109375" customWidth="1"/>
    <col min="3585" max="3585" width="4.7109375" customWidth="1"/>
    <col min="3586" max="3586" width="45" customWidth="1"/>
    <col min="3587" max="3587" width="8.42578125" customWidth="1"/>
    <col min="3588" max="3588" width="14.28515625" customWidth="1"/>
    <col min="3589" max="3589" width="9.28515625" bestFit="1" customWidth="1"/>
    <col min="3590" max="3590" width="12.140625" customWidth="1"/>
    <col min="3591" max="3591" width="14.42578125" customWidth="1"/>
    <col min="3592" max="3592" width="12.5703125" customWidth="1"/>
    <col min="3593" max="3593" width="17.7109375" customWidth="1"/>
    <col min="3841" max="3841" width="4.7109375" customWidth="1"/>
    <col min="3842" max="3842" width="45" customWidth="1"/>
    <col min="3843" max="3843" width="8.42578125" customWidth="1"/>
    <col min="3844" max="3844" width="14.28515625" customWidth="1"/>
    <col min="3845" max="3845" width="9.28515625" bestFit="1" customWidth="1"/>
    <col min="3846" max="3846" width="12.140625" customWidth="1"/>
    <col min="3847" max="3847" width="14.42578125" customWidth="1"/>
    <col min="3848" max="3848" width="12.5703125" customWidth="1"/>
    <col min="3849" max="3849" width="17.7109375" customWidth="1"/>
    <col min="4097" max="4097" width="4.7109375" customWidth="1"/>
    <col min="4098" max="4098" width="45" customWidth="1"/>
    <col min="4099" max="4099" width="8.42578125" customWidth="1"/>
    <col min="4100" max="4100" width="14.28515625" customWidth="1"/>
    <col min="4101" max="4101" width="9.28515625" bestFit="1" customWidth="1"/>
    <col min="4102" max="4102" width="12.140625" customWidth="1"/>
    <col min="4103" max="4103" width="14.42578125" customWidth="1"/>
    <col min="4104" max="4104" width="12.5703125" customWidth="1"/>
    <col min="4105" max="4105" width="17.7109375" customWidth="1"/>
    <col min="4353" max="4353" width="4.7109375" customWidth="1"/>
    <col min="4354" max="4354" width="45" customWidth="1"/>
    <col min="4355" max="4355" width="8.42578125" customWidth="1"/>
    <col min="4356" max="4356" width="14.28515625" customWidth="1"/>
    <col min="4357" max="4357" width="9.28515625" bestFit="1" customWidth="1"/>
    <col min="4358" max="4358" width="12.140625" customWidth="1"/>
    <col min="4359" max="4359" width="14.42578125" customWidth="1"/>
    <col min="4360" max="4360" width="12.5703125" customWidth="1"/>
    <col min="4361" max="4361" width="17.7109375" customWidth="1"/>
    <col min="4609" max="4609" width="4.7109375" customWidth="1"/>
    <col min="4610" max="4610" width="45" customWidth="1"/>
    <col min="4611" max="4611" width="8.42578125" customWidth="1"/>
    <col min="4612" max="4612" width="14.28515625" customWidth="1"/>
    <col min="4613" max="4613" width="9.28515625" bestFit="1" customWidth="1"/>
    <col min="4614" max="4614" width="12.140625" customWidth="1"/>
    <col min="4615" max="4615" width="14.42578125" customWidth="1"/>
    <col min="4616" max="4616" width="12.5703125" customWidth="1"/>
    <col min="4617" max="4617" width="17.7109375" customWidth="1"/>
    <col min="4865" max="4865" width="4.7109375" customWidth="1"/>
    <col min="4866" max="4866" width="45" customWidth="1"/>
    <col min="4867" max="4867" width="8.42578125" customWidth="1"/>
    <col min="4868" max="4868" width="14.28515625" customWidth="1"/>
    <col min="4869" max="4869" width="9.28515625" bestFit="1" customWidth="1"/>
    <col min="4870" max="4870" width="12.140625" customWidth="1"/>
    <col min="4871" max="4871" width="14.42578125" customWidth="1"/>
    <col min="4872" max="4872" width="12.5703125" customWidth="1"/>
    <col min="4873" max="4873" width="17.7109375" customWidth="1"/>
    <col min="5121" max="5121" width="4.7109375" customWidth="1"/>
    <col min="5122" max="5122" width="45" customWidth="1"/>
    <col min="5123" max="5123" width="8.42578125" customWidth="1"/>
    <col min="5124" max="5124" width="14.28515625" customWidth="1"/>
    <col min="5125" max="5125" width="9.28515625" bestFit="1" customWidth="1"/>
    <col min="5126" max="5126" width="12.140625" customWidth="1"/>
    <col min="5127" max="5127" width="14.42578125" customWidth="1"/>
    <col min="5128" max="5128" width="12.5703125" customWidth="1"/>
    <col min="5129" max="5129" width="17.7109375" customWidth="1"/>
    <col min="5377" max="5377" width="4.7109375" customWidth="1"/>
    <col min="5378" max="5378" width="45" customWidth="1"/>
    <col min="5379" max="5379" width="8.42578125" customWidth="1"/>
    <col min="5380" max="5380" width="14.28515625" customWidth="1"/>
    <col min="5381" max="5381" width="9.28515625" bestFit="1" customWidth="1"/>
    <col min="5382" max="5382" width="12.140625" customWidth="1"/>
    <col min="5383" max="5383" width="14.42578125" customWidth="1"/>
    <col min="5384" max="5384" width="12.5703125" customWidth="1"/>
    <col min="5385" max="5385" width="17.7109375" customWidth="1"/>
    <col min="5633" max="5633" width="4.7109375" customWidth="1"/>
    <col min="5634" max="5634" width="45" customWidth="1"/>
    <col min="5635" max="5635" width="8.42578125" customWidth="1"/>
    <col min="5636" max="5636" width="14.28515625" customWidth="1"/>
    <col min="5637" max="5637" width="9.28515625" bestFit="1" customWidth="1"/>
    <col min="5638" max="5638" width="12.140625" customWidth="1"/>
    <col min="5639" max="5639" width="14.42578125" customWidth="1"/>
    <col min="5640" max="5640" width="12.5703125" customWidth="1"/>
    <col min="5641" max="5641" width="17.7109375" customWidth="1"/>
    <col min="5889" max="5889" width="4.7109375" customWidth="1"/>
    <col min="5890" max="5890" width="45" customWidth="1"/>
    <col min="5891" max="5891" width="8.42578125" customWidth="1"/>
    <col min="5892" max="5892" width="14.28515625" customWidth="1"/>
    <col min="5893" max="5893" width="9.28515625" bestFit="1" customWidth="1"/>
    <col min="5894" max="5894" width="12.140625" customWidth="1"/>
    <col min="5895" max="5895" width="14.42578125" customWidth="1"/>
    <col min="5896" max="5896" width="12.5703125" customWidth="1"/>
    <col min="5897" max="5897" width="17.7109375" customWidth="1"/>
    <col min="6145" max="6145" width="4.7109375" customWidth="1"/>
    <col min="6146" max="6146" width="45" customWidth="1"/>
    <col min="6147" max="6147" width="8.42578125" customWidth="1"/>
    <col min="6148" max="6148" width="14.28515625" customWidth="1"/>
    <col min="6149" max="6149" width="9.28515625" bestFit="1" customWidth="1"/>
    <col min="6150" max="6150" width="12.140625" customWidth="1"/>
    <col min="6151" max="6151" width="14.42578125" customWidth="1"/>
    <col min="6152" max="6152" width="12.5703125" customWidth="1"/>
    <col min="6153" max="6153" width="17.7109375" customWidth="1"/>
    <col min="6401" max="6401" width="4.7109375" customWidth="1"/>
    <col min="6402" max="6402" width="45" customWidth="1"/>
    <col min="6403" max="6403" width="8.42578125" customWidth="1"/>
    <col min="6404" max="6404" width="14.28515625" customWidth="1"/>
    <col min="6405" max="6405" width="9.28515625" bestFit="1" customWidth="1"/>
    <col min="6406" max="6406" width="12.140625" customWidth="1"/>
    <col min="6407" max="6407" width="14.42578125" customWidth="1"/>
    <col min="6408" max="6408" width="12.5703125" customWidth="1"/>
    <col min="6409" max="6409" width="17.7109375" customWidth="1"/>
    <col min="6657" max="6657" width="4.7109375" customWidth="1"/>
    <col min="6658" max="6658" width="45" customWidth="1"/>
    <col min="6659" max="6659" width="8.42578125" customWidth="1"/>
    <col min="6660" max="6660" width="14.28515625" customWidth="1"/>
    <col min="6661" max="6661" width="9.28515625" bestFit="1" customWidth="1"/>
    <col min="6662" max="6662" width="12.140625" customWidth="1"/>
    <col min="6663" max="6663" width="14.42578125" customWidth="1"/>
    <col min="6664" max="6664" width="12.5703125" customWidth="1"/>
    <col min="6665" max="6665" width="17.7109375" customWidth="1"/>
    <col min="6913" max="6913" width="4.7109375" customWidth="1"/>
    <col min="6914" max="6914" width="45" customWidth="1"/>
    <col min="6915" max="6915" width="8.42578125" customWidth="1"/>
    <col min="6916" max="6916" width="14.28515625" customWidth="1"/>
    <col min="6917" max="6917" width="9.28515625" bestFit="1" customWidth="1"/>
    <col min="6918" max="6918" width="12.140625" customWidth="1"/>
    <col min="6919" max="6919" width="14.42578125" customWidth="1"/>
    <col min="6920" max="6920" width="12.5703125" customWidth="1"/>
    <col min="6921" max="6921" width="17.7109375" customWidth="1"/>
    <col min="7169" max="7169" width="4.7109375" customWidth="1"/>
    <col min="7170" max="7170" width="45" customWidth="1"/>
    <col min="7171" max="7171" width="8.42578125" customWidth="1"/>
    <col min="7172" max="7172" width="14.28515625" customWidth="1"/>
    <col min="7173" max="7173" width="9.28515625" bestFit="1" customWidth="1"/>
    <col min="7174" max="7174" width="12.140625" customWidth="1"/>
    <col min="7175" max="7175" width="14.42578125" customWidth="1"/>
    <col min="7176" max="7176" width="12.5703125" customWidth="1"/>
    <col min="7177" max="7177" width="17.7109375" customWidth="1"/>
    <col min="7425" max="7425" width="4.7109375" customWidth="1"/>
    <col min="7426" max="7426" width="45" customWidth="1"/>
    <col min="7427" max="7427" width="8.42578125" customWidth="1"/>
    <col min="7428" max="7428" width="14.28515625" customWidth="1"/>
    <col min="7429" max="7429" width="9.28515625" bestFit="1" customWidth="1"/>
    <col min="7430" max="7430" width="12.140625" customWidth="1"/>
    <col min="7431" max="7431" width="14.42578125" customWidth="1"/>
    <col min="7432" max="7432" width="12.5703125" customWidth="1"/>
    <col min="7433" max="7433" width="17.7109375" customWidth="1"/>
    <col min="7681" max="7681" width="4.7109375" customWidth="1"/>
    <col min="7682" max="7682" width="45" customWidth="1"/>
    <col min="7683" max="7683" width="8.42578125" customWidth="1"/>
    <col min="7684" max="7684" width="14.28515625" customWidth="1"/>
    <col min="7685" max="7685" width="9.28515625" bestFit="1" customWidth="1"/>
    <col min="7686" max="7686" width="12.140625" customWidth="1"/>
    <col min="7687" max="7687" width="14.42578125" customWidth="1"/>
    <col min="7688" max="7688" width="12.5703125" customWidth="1"/>
    <col min="7689" max="7689" width="17.7109375" customWidth="1"/>
    <col min="7937" max="7937" width="4.7109375" customWidth="1"/>
    <col min="7938" max="7938" width="45" customWidth="1"/>
    <col min="7939" max="7939" width="8.42578125" customWidth="1"/>
    <col min="7940" max="7940" width="14.28515625" customWidth="1"/>
    <col min="7941" max="7941" width="9.28515625" bestFit="1" customWidth="1"/>
    <col min="7942" max="7942" width="12.140625" customWidth="1"/>
    <col min="7943" max="7943" width="14.42578125" customWidth="1"/>
    <col min="7944" max="7944" width="12.5703125" customWidth="1"/>
    <col min="7945" max="7945" width="17.7109375" customWidth="1"/>
    <col min="8193" max="8193" width="4.7109375" customWidth="1"/>
    <col min="8194" max="8194" width="45" customWidth="1"/>
    <col min="8195" max="8195" width="8.42578125" customWidth="1"/>
    <col min="8196" max="8196" width="14.28515625" customWidth="1"/>
    <col min="8197" max="8197" width="9.28515625" bestFit="1" customWidth="1"/>
    <col min="8198" max="8198" width="12.140625" customWidth="1"/>
    <col min="8199" max="8199" width="14.42578125" customWidth="1"/>
    <col min="8200" max="8200" width="12.5703125" customWidth="1"/>
    <col min="8201" max="8201" width="17.7109375" customWidth="1"/>
    <col min="8449" max="8449" width="4.7109375" customWidth="1"/>
    <col min="8450" max="8450" width="45" customWidth="1"/>
    <col min="8451" max="8451" width="8.42578125" customWidth="1"/>
    <col min="8452" max="8452" width="14.28515625" customWidth="1"/>
    <col min="8453" max="8453" width="9.28515625" bestFit="1" customWidth="1"/>
    <col min="8454" max="8454" width="12.140625" customWidth="1"/>
    <col min="8455" max="8455" width="14.42578125" customWidth="1"/>
    <col min="8456" max="8456" width="12.5703125" customWidth="1"/>
    <col min="8457" max="8457" width="17.7109375" customWidth="1"/>
    <col min="8705" max="8705" width="4.7109375" customWidth="1"/>
    <col min="8706" max="8706" width="45" customWidth="1"/>
    <col min="8707" max="8707" width="8.42578125" customWidth="1"/>
    <col min="8708" max="8708" width="14.28515625" customWidth="1"/>
    <col min="8709" max="8709" width="9.28515625" bestFit="1" customWidth="1"/>
    <col min="8710" max="8710" width="12.140625" customWidth="1"/>
    <col min="8711" max="8711" width="14.42578125" customWidth="1"/>
    <col min="8712" max="8712" width="12.5703125" customWidth="1"/>
    <col min="8713" max="8713" width="17.7109375" customWidth="1"/>
    <col min="8961" max="8961" width="4.7109375" customWidth="1"/>
    <col min="8962" max="8962" width="45" customWidth="1"/>
    <col min="8963" max="8963" width="8.42578125" customWidth="1"/>
    <col min="8964" max="8964" width="14.28515625" customWidth="1"/>
    <col min="8965" max="8965" width="9.28515625" bestFit="1" customWidth="1"/>
    <col min="8966" max="8966" width="12.140625" customWidth="1"/>
    <col min="8967" max="8967" width="14.42578125" customWidth="1"/>
    <col min="8968" max="8968" width="12.5703125" customWidth="1"/>
    <col min="8969" max="8969" width="17.7109375" customWidth="1"/>
    <col min="9217" max="9217" width="4.7109375" customWidth="1"/>
    <col min="9218" max="9218" width="45" customWidth="1"/>
    <col min="9219" max="9219" width="8.42578125" customWidth="1"/>
    <col min="9220" max="9220" width="14.28515625" customWidth="1"/>
    <col min="9221" max="9221" width="9.28515625" bestFit="1" customWidth="1"/>
    <col min="9222" max="9222" width="12.140625" customWidth="1"/>
    <col min="9223" max="9223" width="14.42578125" customWidth="1"/>
    <col min="9224" max="9224" width="12.5703125" customWidth="1"/>
    <col min="9225" max="9225" width="17.7109375" customWidth="1"/>
    <col min="9473" max="9473" width="4.7109375" customWidth="1"/>
    <col min="9474" max="9474" width="45" customWidth="1"/>
    <col min="9475" max="9475" width="8.42578125" customWidth="1"/>
    <col min="9476" max="9476" width="14.28515625" customWidth="1"/>
    <col min="9477" max="9477" width="9.28515625" bestFit="1" customWidth="1"/>
    <col min="9478" max="9478" width="12.140625" customWidth="1"/>
    <col min="9479" max="9479" width="14.42578125" customWidth="1"/>
    <col min="9480" max="9480" width="12.5703125" customWidth="1"/>
    <col min="9481" max="9481" width="17.7109375" customWidth="1"/>
    <col min="9729" max="9729" width="4.7109375" customWidth="1"/>
    <col min="9730" max="9730" width="45" customWidth="1"/>
    <col min="9731" max="9731" width="8.42578125" customWidth="1"/>
    <col min="9732" max="9732" width="14.28515625" customWidth="1"/>
    <col min="9733" max="9733" width="9.28515625" bestFit="1" customWidth="1"/>
    <col min="9734" max="9734" width="12.140625" customWidth="1"/>
    <col min="9735" max="9735" width="14.42578125" customWidth="1"/>
    <col min="9736" max="9736" width="12.5703125" customWidth="1"/>
    <col min="9737" max="9737" width="17.7109375" customWidth="1"/>
    <col min="9985" max="9985" width="4.7109375" customWidth="1"/>
    <col min="9986" max="9986" width="45" customWidth="1"/>
    <col min="9987" max="9987" width="8.42578125" customWidth="1"/>
    <col min="9988" max="9988" width="14.28515625" customWidth="1"/>
    <col min="9989" max="9989" width="9.28515625" bestFit="1" customWidth="1"/>
    <col min="9990" max="9990" width="12.140625" customWidth="1"/>
    <col min="9991" max="9991" width="14.42578125" customWidth="1"/>
    <col min="9992" max="9992" width="12.5703125" customWidth="1"/>
    <col min="9993" max="9993" width="17.7109375" customWidth="1"/>
    <col min="10241" max="10241" width="4.7109375" customWidth="1"/>
    <col min="10242" max="10242" width="45" customWidth="1"/>
    <col min="10243" max="10243" width="8.42578125" customWidth="1"/>
    <col min="10244" max="10244" width="14.28515625" customWidth="1"/>
    <col min="10245" max="10245" width="9.28515625" bestFit="1" customWidth="1"/>
    <col min="10246" max="10246" width="12.140625" customWidth="1"/>
    <col min="10247" max="10247" width="14.42578125" customWidth="1"/>
    <col min="10248" max="10248" width="12.5703125" customWidth="1"/>
    <col min="10249" max="10249" width="17.7109375" customWidth="1"/>
    <col min="10497" max="10497" width="4.7109375" customWidth="1"/>
    <col min="10498" max="10498" width="45" customWidth="1"/>
    <col min="10499" max="10499" width="8.42578125" customWidth="1"/>
    <col min="10500" max="10500" width="14.28515625" customWidth="1"/>
    <col min="10501" max="10501" width="9.28515625" bestFit="1" customWidth="1"/>
    <col min="10502" max="10502" width="12.140625" customWidth="1"/>
    <col min="10503" max="10503" width="14.42578125" customWidth="1"/>
    <col min="10504" max="10504" width="12.5703125" customWidth="1"/>
    <col min="10505" max="10505" width="17.7109375" customWidth="1"/>
    <col min="10753" max="10753" width="4.7109375" customWidth="1"/>
    <col min="10754" max="10754" width="45" customWidth="1"/>
    <col min="10755" max="10755" width="8.42578125" customWidth="1"/>
    <col min="10756" max="10756" width="14.28515625" customWidth="1"/>
    <col min="10757" max="10757" width="9.28515625" bestFit="1" customWidth="1"/>
    <col min="10758" max="10758" width="12.140625" customWidth="1"/>
    <col min="10759" max="10759" width="14.42578125" customWidth="1"/>
    <col min="10760" max="10760" width="12.5703125" customWidth="1"/>
    <col min="10761" max="10761" width="17.7109375" customWidth="1"/>
    <col min="11009" max="11009" width="4.7109375" customWidth="1"/>
    <col min="11010" max="11010" width="45" customWidth="1"/>
    <col min="11011" max="11011" width="8.42578125" customWidth="1"/>
    <col min="11012" max="11012" width="14.28515625" customWidth="1"/>
    <col min="11013" max="11013" width="9.28515625" bestFit="1" customWidth="1"/>
    <col min="11014" max="11014" width="12.140625" customWidth="1"/>
    <col min="11015" max="11015" width="14.42578125" customWidth="1"/>
    <col min="11016" max="11016" width="12.5703125" customWidth="1"/>
    <col min="11017" max="11017" width="17.7109375" customWidth="1"/>
    <col min="11265" max="11265" width="4.7109375" customWidth="1"/>
    <col min="11266" max="11266" width="45" customWidth="1"/>
    <col min="11267" max="11267" width="8.42578125" customWidth="1"/>
    <col min="11268" max="11268" width="14.28515625" customWidth="1"/>
    <col min="11269" max="11269" width="9.28515625" bestFit="1" customWidth="1"/>
    <col min="11270" max="11270" width="12.140625" customWidth="1"/>
    <col min="11271" max="11271" width="14.42578125" customWidth="1"/>
    <col min="11272" max="11272" width="12.5703125" customWidth="1"/>
    <col min="11273" max="11273" width="17.7109375" customWidth="1"/>
    <col min="11521" max="11521" width="4.7109375" customWidth="1"/>
    <col min="11522" max="11522" width="45" customWidth="1"/>
    <col min="11523" max="11523" width="8.42578125" customWidth="1"/>
    <col min="11524" max="11524" width="14.28515625" customWidth="1"/>
    <col min="11525" max="11525" width="9.28515625" bestFit="1" customWidth="1"/>
    <col min="11526" max="11526" width="12.140625" customWidth="1"/>
    <col min="11527" max="11527" width="14.42578125" customWidth="1"/>
    <col min="11528" max="11528" width="12.5703125" customWidth="1"/>
    <col min="11529" max="11529" width="17.7109375" customWidth="1"/>
    <col min="11777" max="11777" width="4.7109375" customWidth="1"/>
    <col min="11778" max="11778" width="45" customWidth="1"/>
    <col min="11779" max="11779" width="8.42578125" customWidth="1"/>
    <col min="11780" max="11780" width="14.28515625" customWidth="1"/>
    <col min="11781" max="11781" width="9.28515625" bestFit="1" customWidth="1"/>
    <col min="11782" max="11782" width="12.140625" customWidth="1"/>
    <col min="11783" max="11783" width="14.42578125" customWidth="1"/>
    <col min="11784" max="11784" width="12.5703125" customWidth="1"/>
    <col min="11785" max="11785" width="17.7109375" customWidth="1"/>
    <col min="12033" max="12033" width="4.7109375" customWidth="1"/>
    <col min="12034" max="12034" width="45" customWidth="1"/>
    <col min="12035" max="12035" width="8.42578125" customWidth="1"/>
    <col min="12036" max="12036" width="14.28515625" customWidth="1"/>
    <col min="12037" max="12037" width="9.28515625" bestFit="1" customWidth="1"/>
    <col min="12038" max="12038" width="12.140625" customWidth="1"/>
    <col min="12039" max="12039" width="14.42578125" customWidth="1"/>
    <col min="12040" max="12040" width="12.5703125" customWidth="1"/>
    <col min="12041" max="12041" width="17.7109375" customWidth="1"/>
    <col min="12289" max="12289" width="4.7109375" customWidth="1"/>
    <col min="12290" max="12290" width="45" customWidth="1"/>
    <col min="12291" max="12291" width="8.42578125" customWidth="1"/>
    <col min="12292" max="12292" width="14.28515625" customWidth="1"/>
    <col min="12293" max="12293" width="9.28515625" bestFit="1" customWidth="1"/>
    <col min="12294" max="12294" width="12.140625" customWidth="1"/>
    <col min="12295" max="12295" width="14.42578125" customWidth="1"/>
    <col min="12296" max="12296" width="12.5703125" customWidth="1"/>
    <col min="12297" max="12297" width="17.7109375" customWidth="1"/>
    <col min="12545" max="12545" width="4.7109375" customWidth="1"/>
    <col min="12546" max="12546" width="45" customWidth="1"/>
    <col min="12547" max="12547" width="8.42578125" customWidth="1"/>
    <col min="12548" max="12548" width="14.28515625" customWidth="1"/>
    <col min="12549" max="12549" width="9.28515625" bestFit="1" customWidth="1"/>
    <col min="12550" max="12550" width="12.140625" customWidth="1"/>
    <col min="12551" max="12551" width="14.42578125" customWidth="1"/>
    <col min="12552" max="12552" width="12.5703125" customWidth="1"/>
    <col min="12553" max="12553" width="17.7109375" customWidth="1"/>
    <col min="12801" max="12801" width="4.7109375" customWidth="1"/>
    <col min="12802" max="12802" width="45" customWidth="1"/>
    <col min="12803" max="12803" width="8.42578125" customWidth="1"/>
    <col min="12804" max="12804" width="14.28515625" customWidth="1"/>
    <col min="12805" max="12805" width="9.28515625" bestFit="1" customWidth="1"/>
    <col min="12806" max="12806" width="12.140625" customWidth="1"/>
    <col min="12807" max="12807" width="14.42578125" customWidth="1"/>
    <col min="12808" max="12808" width="12.5703125" customWidth="1"/>
    <col min="12809" max="12809" width="17.7109375" customWidth="1"/>
    <col min="13057" max="13057" width="4.7109375" customWidth="1"/>
    <col min="13058" max="13058" width="45" customWidth="1"/>
    <col min="13059" max="13059" width="8.42578125" customWidth="1"/>
    <col min="13060" max="13060" width="14.28515625" customWidth="1"/>
    <col min="13061" max="13061" width="9.28515625" bestFit="1" customWidth="1"/>
    <col min="13062" max="13062" width="12.140625" customWidth="1"/>
    <col min="13063" max="13063" width="14.42578125" customWidth="1"/>
    <col min="13064" max="13064" width="12.5703125" customWidth="1"/>
    <col min="13065" max="13065" width="17.7109375" customWidth="1"/>
    <col min="13313" max="13313" width="4.7109375" customWidth="1"/>
    <col min="13314" max="13314" width="45" customWidth="1"/>
    <col min="13315" max="13315" width="8.42578125" customWidth="1"/>
    <col min="13316" max="13316" width="14.28515625" customWidth="1"/>
    <col min="13317" max="13317" width="9.28515625" bestFit="1" customWidth="1"/>
    <col min="13318" max="13318" width="12.140625" customWidth="1"/>
    <col min="13319" max="13319" width="14.42578125" customWidth="1"/>
    <col min="13320" max="13320" width="12.5703125" customWidth="1"/>
    <col min="13321" max="13321" width="17.7109375" customWidth="1"/>
    <col min="13569" max="13569" width="4.7109375" customWidth="1"/>
    <col min="13570" max="13570" width="45" customWidth="1"/>
    <col min="13571" max="13571" width="8.42578125" customWidth="1"/>
    <col min="13572" max="13572" width="14.28515625" customWidth="1"/>
    <col min="13573" max="13573" width="9.28515625" bestFit="1" customWidth="1"/>
    <col min="13574" max="13574" width="12.140625" customWidth="1"/>
    <col min="13575" max="13575" width="14.42578125" customWidth="1"/>
    <col min="13576" max="13576" width="12.5703125" customWidth="1"/>
    <col min="13577" max="13577" width="17.7109375" customWidth="1"/>
    <col min="13825" max="13825" width="4.7109375" customWidth="1"/>
    <col min="13826" max="13826" width="45" customWidth="1"/>
    <col min="13827" max="13827" width="8.42578125" customWidth="1"/>
    <col min="13828" max="13828" width="14.28515625" customWidth="1"/>
    <col min="13829" max="13829" width="9.28515625" bestFit="1" customWidth="1"/>
    <col min="13830" max="13830" width="12.140625" customWidth="1"/>
    <col min="13831" max="13831" width="14.42578125" customWidth="1"/>
    <col min="13832" max="13832" width="12.5703125" customWidth="1"/>
    <col min="13833" max="13833" width="17.7109375" customWidth="1"/>
    <col min="14081" max="14081" width="4.7109375" customWidth="1"/>
    <col min="14082" max="14082" width="45" customWidth="1"/>
    <col min="14083" max="14083" width="8.42578125" customWidth="1"/>
    <col min="14084" max="14084" width="14.28515625" customWidth="1"/>
    <col min="14085" max="14085" width="9.28515625" bestFit="1" customWidth="1"/>
    <col min="14086" max="14086" width="12.140625" customWidth="1"/>
    <col min="14087" max="14087" width="14.42578125" customWidth="1"/>
    <col min="14088" max="14088" width="12.5703125" customWidth="1"/>
    <col min="14089" max="14089" width="17.7109375" customWidth="1"/>
    <col min="14337" max="14337" width="4.7109375" customWidth="1"/>
    <col min="14338" max="14338" width="45" customWidth="1"/>
    <col min="14339" max="14339" width="8.42578125" customWidth="1"/>
    <col min="14340" max="14340" width="14.28515625" customWidth="1"/>
    <col min="14341" max="14341" width="9.28515625" bestFit="1" customWidth="1"/>
    <col min="14342" max="14342" width="12.140625" customWidth="1"/>
    <col min="14343" max="14343" width="14.42578125" customWidth="1"/>
    <col min="14344" max="14344" width="12.5703125" customWidth="1"/>
    <col min="14345" max="14345" width="17.7109375" customWidth="1"/>
    <col min="14593" max="14593" width="4.7109375" customWidth="1"/>
    <col min="14594" max="14594" width="45" customWidth="1"/>
    <col min="14595" max="14595" width="8.42578125" customWidth="1"/>
    <col min="14596" max="14596" width="14.28515625" customWidth="1"/>
    <col min="14597" max="14597" width="9.28515625" bestFit="1" customWidth="1"/>
    <col min="14598" max="14598" width="12.140625" customWidth="1"/>
    <col min="14599" max="14599" width="14.42578125" customWidth="1"/>
    <col min="14600" max="14600" width="12.5703125" customWidth="1"/>
    <col min="14601" max="14601" width="17.7109375" customWidth="1"/>
    <col min="14849" max="14849" width="4.7109375" customWidth="1"/>
    <col min="14850" max="14850" width="45" customWidth="1"/>
    <col min="14851" max="14851" width="8.42578125" customWidth="1"/>
    <col min="14852" max="14852" width="14.28515625" customWidth="1"/>
    <col min="14853" max="14853" width="9.28515625" bestFit="1" customWidth="1"/>
    <col min="14854" max="14854" width="12.140625" customWidth="1"/>
    <col min="14855" max="14855" width="14.42578125" customWidth="1"/>
    <col min="14856" max="14856" width="12.5703125" customWidth="1"/>
    <col min="14857" max="14857" width="17.7109375" customWidth="1"/>
    <col min="15105" max="15105" width="4.7109375" customWidth="1"/>
    <col min="15106" max="15106" width="45" customWidth="1"/>
    <col min="15107" max="15107" width="8.42578125" customWidth="1"/>
    <col min="15108" max="15108" width="14.28515625" customWidth="1"/>
    <col min="15109" max="15109" width="9.28515625" bestFit="1" customWidth="1"/>
    <col min="15110" max="15110" width="12.140625" customWidth="1"/>
    <col min="15111" max="15111" width="14.42578125" customWidth="1"/>
    <col min="15112" max="15112" width="12.5703125" customWidth="1"/>
    <col min="15113" max="15113" width="17.7109375" customWidth="1"/>
    <col min="15361" max="15361" width="4.7109375" customWidth="1"/>
    <col min="15362" max="15362" width="45" customWidth="1"/>
    <col min="15363" max="15363" width="8.42578125" customWidth="1"/>
    <col min="15364" max="15364" width="14.28515625" customWidth="1"/>
    <col min="15365" max="15365" width="9.28515625" bestFit="1" customWidth="1"/>
    <col min="15366" max="15366" width="12.140625" customWidth="1"/>
    <col min="15367" max="15367" width="14.42578125" customWidth="1"/>
    <col min="15368" max="15368" width="12.5703125" customWidth="1"/>
    <col min="15369" max="15369" width="17.7109375" customWidth="1"/>
    <col min="15617" max="15617" width="4.7109375" customWidth="1"/>
    <col min="15618" max="15618" width="45" customWidth="1"/>
    <col min="15619" max="15619" width="8.42578125" customWidth="1"/>
    <col min="15620" max="15620" width="14.28515625" customWidth="1"/>
    <col min="15621" max="15621" width="9.28515625" bestFit="1" customWidth="1"/>
    <col min="15622" max="15622" width="12.140625" customWidth="1"/>
    <col min="15623" max="15623" width="14.42578125" customWidth="1"/>
    <col min="15624" max="15624" width="12.5703125" customWidth="1"/>
    <col min="15625" max="15625" width="17.7109375" customWidth="1"/>
    <col min="15873" max="15873" width="4.7109375" customWidth="1"/>
    <col min="15874" max="15874" width="45" customWidth="1"/>
    <col min="15875" max="15875" width="8.42578125" customWidth="1"/>
    <col min="15876" max="15876" width="14.28515625" customWidth="1"/>
    <col min="15877" max="15877" width="9.28515625" bestFit="1" customWidth="1"/>
    <col min="15878" max="15878" width="12.140625" customWidth="1"/>
    <col min="15879" max="15879" width="14.42578125" customWidth="1"/>
    <col min="15880" max="15880" width="12.5703125" customWidth="1"/>
    <col min="15881" max="15881" width="17.7109375" customWidth="1"/>
    <col min="16129" max="16129" width="4.7109375" customWidth="1"/>
    <col min="16130" max="16130" width="45" customWidth="1"/>
    <col min="16131" max="16131" width="8.42578125" customWidth="1"/>
    <col min="16132" max="16132" width="14.28515625" customWidth="1"/>
    <col min="16133" max="16133" width="9.28515625" bestFit="1" customWidth="1"/>
    <col min="16134" max="16134" width="12.140625" customWidth="1"/>
    <col min="16135" max="16135" width="14.42578125" customWidth="1"/>
    <col min="16136" max="16136" width="12.5703125" customWidth="1"/>
    <col min="16137" max="16137" width="17.7109375" customWidth="1"/>
  </cols>
  <sheetData>
    <row r="1" spans="1:14" x14ac:dyDescent="0.2">
      <c r="A1" s="103" t="s">
        <v>265</v>
      </c>
    </row>
    <row r="2" spans="1:14" x14ac:dyDescent="0.2">
      <c r="A2" s="103" t="str">
        <f>'[2]Planilha Global'!A2</f>
        <v>PREFEITURA MUNICIPAL DE MAMANGUAPE</v>
      </c>
      <c r="G2" t="s">
        <v>421</v>
      </c>
      <c r="H2">
        <v>128.16</v>
      </c>
    </row>
    <row r="3" spans="1:14" ht="5.0999999999999996" customHeight="1" x14ac:dyDescent="0.2"/>
    <row r="4" spans="1:14" s="202" customFormat="1" ht="12.75" customHeight="1" x14ac:dyDescent="0.25">
      <c r="A4" s="729" t="s">
        <v>422</v>
      </c>
      <c r="B4" s="737"/>
      <c r="C4" s="737"/>
      <c r="D4" s="737"/>
      <c r="E4" s="737"/>
      <c r="F4" s="737"/>
      <c r="H4" s="202" t="s">
        <v>423</v>
      </c>
      <c r="I4" s="202" t="s">
        <v>424</v>
      </c>
      <c r="J4" s="202" t="s">
        <v>425</v>
      </c>
      <c r="K4" s="202" t="s">
        <v>426</v>
      </c>
      <c r="L4" s="202" t="s">
        <v>427</v>
      </c>
      <c r="M4" s="202" t="s">
        <v>428</v>
      </c>
      <c r="N4" s="202" t="s">
        <v>429</v>
      </c>
    </row>
    <row r="5" spans="1:14" s="202" customFormat="1" ht="7.5" customHeight="1" x14ac:dyDescent="0.25">
      <c r="A5" s="434"/>
      <c r="B5" s="435"/>
      <c r="C5" s="435"/>
      <c r="D5" s="435"/>
      <c r="E5" s="435"/>
      <c r="F5" s="435"/>
    </row>
    <row r="6" spans="1:14" s="202" customFormat="1" ht="15" customHeight="1" x14ac:dyDescent="0.25">
      <c r="A6" s="258" t="s">
        <v>967</v>
      </c>
      <c r="B6" s="258"/>
      <c r="C6" s="258"/>
      <c r="D6" s="258"/>
      <c r="E6" s="258"/>
      <c r="F6" s="103"/>
      <c r="G6" s="53"/>
      <c r="H6" s="202">
        <f>(8+6.65)/2</f>
        <v>7.3250000000000002</v>
      </c>
      <c r="I6" s="202">
        <v>10.02</v>
      </c>
      <c r="J6" s="230">
        <f t="shared" ref="J6:J8" si="0">H6*I6</f>
        <v>73.400000000000006</v>
      </c>
    </row>
    <row r="7" spans="1:14" s="202" customFormat="1" ht="21" customHeight="1" x14ac:dyDescent="0.25">
      <c r="A7" s="258" t="s">
        <v>525</v>
      </c>
      <c r="B7" s="436"/>
      <c r="C7" s="437"/>
      <c r="D7" s="437"/>
      <c r="E7" s="257"/>
      <c r="F7" s="257"/>
      <c r="G7" s="53"/>
      <c r="H7" s="202">
        <v>6.65</v>
      </c>
      <c r="I7" s="202">
        <v>108.63</v>
      </c>
      <c r="J7" s="230">
        <f>I7*H7</f>
        <v>722.39</v>
      </c>
    </row>
    <row r="8" spans="1:14" s="202" customFormat="1" ht="15" customHeight="1" x14ac:dyDescent="0.25">
      <c r="A8" s="103" t="s">
        <v>968</v>
      </c>
      <c r="B8" s="436"/>
      <c r="C8" s="736" t="s">
        <v>972</v>
      </c>
      <c r="D8" s="736"/>
      <c r="E8" s="736"/>
      <c r="F8" s="736"/>
      <c r="G8" s="53"/>
      <c r="H8" s="663">
        <f>(8+6.65)/2</f>
        <v>7.3250000000000002</v>
      </c>
      <c r="I8" s="202">
        <v>9.98</v>
      </c>
      <c r="J8" s="230">
        <f t="shared" si="0"/>
        <v>73.099999999999994</v>
      </c>
      <c r="K8" s="202">
        <f>10.09+108.64+128.51+10.12</f>
        <v>257.36</v>
      </c>
      <c r="L8" s="202">
        <f>5.68+4.08+6.31+26.94+12.7+10.5+13.15+2.22+7.65+20.38+25.33+25.4+36.7+29.26+18.73+19.08+9.01+14.58+11.42+7.25+4.36+26.66+12.33+10.58+14.04+3.07+7.89+20.45+25.67+25.67+37.03+29.56+19.1+18.96+8.89+14.81+11.96</f>
        <v>597.4</v>
      </c>
      <c r="M8" s="202">
        <v>4</v>
      </c>
      <c r="N8" s="202">
        <v>1.2</v>
      </c>
    </row>
    <row r="9" spans="1:14" s="202" customFormat="1" ht="15" customHeight="1" x14ac:dyDescent="0.2">
      <c r="A9" s="103" t="s">
        <v>969</v>
      </c>
      <c r="B9" s="438"/>
      <c r="C9" s="736" t="s">
        <v>974</v>
      </c>
      <c r="D9" s="736"/>
      <c r="E9" s="736"/>
      <c r="F9" s="736"/>
      <c r="G9" s="53"/>
      <c r="H9" s="663"/>
      <c r="I9" s="230"/>
      <c r="J9" s="230">
        <f>SUM(J6:J8)</f>
        <v>868.89</v>
      </c>
      <c r="K9" s="230"/>
      <c r="L9" s="202">
        <f>2.43+3.39+2.31+2.97+2.01+3.07</f>
        <v>16.18</v>
      </c>
    </row>
    <row r="10" spans="1:14" s="202" customFormat="1" ht="14.25" customHeight="1" x14ac:dyDescent="0.2">
      <c r="A10" s="103" t="s">
        <v>970</v>
      </c>
      <c r="B10" s="438"/>
      <c r="C10" s="736" t="s">
        <v>973</v>
      </c>
      <c r="D10" s="736"/>
      <c r="E10" s="736"/>
      <c r="F10" s="736"/>
      <c r="H10" s="663"/>
      <c r="I10" s="230"/>
      <c r="J10" s="230"/>
      <c r="K10" s="230"/>
    </row>
    <row r="11" spans="1:14" s="202" customFormat="1" ht="14.25" customHeight="1" x14ac:dyDescent="0.2">
      <c r="A11" s="103" t="s">
        <v>971</v>
      </c>
      <c r="B11" s="438"/>
      <c r="C11" s="103" t="s">
        <v>975</v>
      </c>
      <c r="D11" s="437"/>
      <c r="E11" s="437"/>
      <c r="F11" s="437"/>
      <c r="H11" s="663"/>
      <c r="I11" s="230"/>
      <c r="J11" s="230"/>
    </row>
    <row r="12" spans="1:14" s="202" customFormat="1" ht="14.25" customHeight="1" x14ac:dyDescent="0.2">
      <c r="A12" s="103"/>
      <c r="B12" s="438"/>
      <c r="C12" s="103"/>
      <c r="D12" s="437"/>
      <c r="E12" s="103"/>
      <c r="F12" s="103"/>
      <c r="H12" s="663"/>
      <c r="I12" s="230"/>
      <c r="J12" s="230"/>
    </row>
    <row r="13" spans="1:14" s="202" customFormat="1" ht="15" customHeight="1" x14ac:dyDescent="0.25">
      <c r="A13" s="515" t="s">
        <v>977</v>
      </c>
      <c r="B13" s="436"/>
      <c r="C13" s="736"/>
      <c r="D13" s="736"/>
      <c r="E13" s="736"/>
      <c r="F13" s="736"/>
      <c r="G13" s="53"/>
      <c r="H13" s="663"/>
      <c r="I13" s="230"/>
      <c r="J13" s="230"/>
    </row>
    <row r="14" spans="1:14" s="202" customFormat="1" ht="15" customHeight="1" x14ac:dyDescent="0.2">
      <c r="A14" s="515" t="s">
        <v>978</v>
      </c>
      <c r="B14" s="438"/>
      <c r="C14" s="736"/>
      <c r="D14" s="736"/>
      <c r="E14" s="736"/>
      <c r="F14" s="736"/>
      <c r="G14" s="53"/>
      <c r="H14" s="663"/>
      <c r="I14" s="230"/>
      <c r="J14" s="230"/>
      <c r="K14" s="230"/>
    </row>
    <row r="15" spans="1:14" s="202" customFormat="1" ht="14.25" customHeight="1" x14ac:dyDescent="0.2">
      <c r="A15" s="515" t="s">
        <v>976</v>
      </c>
      <c r="B15" s="438"/>
      <c r="C15" s="666"/>
      <c r="D15" s="666"/>
      <c r="E15" s="666"/>
      <c r="F15" s="666"/>
      <c r="H15" s="663"/>
      <c r="I15" s="230"/>
      <c r="J15" s="230"/>
      <c r="K15" s="230"/>
    </row>
    <row r="16" spans="1:14" s="202" customFormat="1" ht="14.25" customHeight="1" x14ac:dyDescent="0.2">
      <c r="A16" s="103" t="s">
        <v>979</v>
      </c>
      <c r="B16" s="438"/>
      <c r="C16" s="437"/>
      <c r="D16" s="437"/>
      <c r="E16" s="437"/>
      <c r="F16" s="437"/>
      <c r="H16" s="230"/>
      <c r="I16" s="230"/>
      <c r="J16" s="230"/>
    </row>
    <row r="17" spans="1:19" s="202" customFormat="1" ht="14.25" customHeight="1" x14ac:dyDescent="0.2">
      <c r="A17" s="515"/>
      <c r="B17" s="438"/>
      <c r="C17" s="103"/>
      <c r="D17" s="437"/>
      <c r="E17" s="103"/>
      <c r="F17" s="103"/>
      <c r="I17" s="230"/>
      <c r="J17" s="230"/>
    </row>
    <row r="18" spans="1:19" s="103" customFormat="1" ht="12.75" customHeight="1" x14ac:dyDescent="0.2">
      <c r="A18" s="722" t="s">
        <v>832</v>
      </c>
      <c r="B18" s="722"/>
      <c r="C18" s="440"/>
      <c r="D18" s="440"/>
      <c r="E18" s="441"/>
      <c r="F18" s="452"/>
    </row>
    <row r="19" spans="1:19" s="103" customFormat="1" ht="26.25" customHeight="1" x14ac:dyDescent="0.2">
      <c r="A19" s="664" t="s">
        <v>86</v>
      </c>
      <c r="B19" s="724" t="s">
        <v>981</v>
      </c>
      <c r="C19" s="724"/>
      <c r="D19" s="724"/>
      <c r="E19" s="452">
        <v>128.63</v>
      </c>
      <c r="F19" s="438" t="s">
        <v>11</v>
      </c>
    </row>
    <row r="20" spans="1:19" s="202" customFormat="1" ht="5.0999999999999996" customHeight="1" x14ac:dyDescent="0.2">
      <c r="B20" s="445"/>
      <c r="C20" s="446"/>
      <c r="D20" s="447"/>
      <c r="E20" s="256"/>
      <c r="F20" s="256"/>
      <c r="G20" s="103"/>
      <c r="H20" s="103"/>
      <c r="I20" s="103"/>
      <c r="J20" s="103"/>
      <c r="K20" s="103"/>
      <c r="L20" s="103"/>
      <c r="M20" s="103"/>
      <c r="N20" s="103"/>
      <c r="O20" s="103"/>
      <c r="P20" s="103"/>
      <c r="Q20" s="103"/>
      <c r="R20" s="103"/>
      <c r="S20" s="103"/>
    </row>
    <row r="21" spans="1:19" s="103" customFormat="1" ht="12.75" customHeight="1" x14ac:dyDescent="0.2">
      <c r="A21" s="738" t="s">
        <v>833</v>
      </c>
      <c r="B21" s="738"/>
      <c r="C21" s="450"/>
      <c r="D21" s="440"/>
      <c r="E21" s="308"/>
      <c r="F21" s="451"/>
      <c r="J21" s="230"/>
    </row>
    <row r="22" spans="1:19" s="103" customFormat="1" ht="27" customHeight="1" x14ac:dyDescent="0.2">
      <c r="A22" s="664" t="s">
        <v>7</v>
      </c>
      <c r="B22" s="724" t="s">
        <v>980</v>
      </c>
      <c r="C22" s="724"/>
      <c r="D22" s="724"/>
      <c r="E22" s="452">
        <f>J9</f>
        <v>868.89</v>
      </c>
      <c r="F22" s="438" t="s">
        <v>13</v>
      </c>
    </row>
    <row r="23" spans="1:19" s="202" customFormat="1" ht="5.0999999999999996" customHeight="1" x14ac:dyDescent="0.25">
      <c r="B23" s="453"/>
      <c r="C23" s="453"/>
      <c r="D23" s="453"/>
      <c r="E23" s="454"/>
      <c r="F23" s="455"/>
    </row>
    <row r="24" spans="1:19" s="103" customFormat="1" ht="12.75" customHeight="1" x14ac:dyDescent="0.2">
      <c r="A24" s="738" t="s">
        <v>834</v>
      </c>
      <c r="B24" s="738"/>
      <c r="C24" s="450"/>
      <c r="D24" s="440"/>
      <c r="E24" s="308"/>
      <c r="F24" s="451"/>
      <c r="J24" s="230"/>
    </row>
    <row r="25" spans="1:19" s="103" customFormat="1" ht="53.25" customHeight="1" x14ac:dyDescent="0.2">
      <c r="A25" s="664" t="s">
        <v>9</v>
      </c>
      <c r="B25" s="721" t="s">
        <v>982</v>
      </c>
      <c r="C25" s="721"/>
      <c r="D25" s="721"/>
      <c r="E25" s="452">
        <f>K8</f>
        <v>257.36</v>
      </c>
      <c r="F25" s="438" t="s">
        <v>11</v>
      </c>
    </row>
    <row r="26" spans="1:19" s="202" customFormat="1" ht="5.0999999999999996" customHeight="1" x14ac:dyDescent="0.2">
      <c r="B26" s="445"/>
      <c r="C26" s="446"/>
      <c r="D26" s="447"/>
      <c r="E26" s="256"/>
      <c r="F26" s="256"/>
      <c r="G26" s="103"/>
      <c r="H26" s="103"/>
      <c r="I26" s="103"/>
      <c r="J26" s="103"/>
      <c r="K26" s="103"/>
      <c r="L26" s="103"/>
      <c r="M26" s="103"/>
      <c r="N26" s="103"/>
      <c r="O26" s="103"/>
      <c r="P26" s="103"/>
      <c r="Q26" s="103"/>
      <c r="R26" s="103"/>
      <c r="S26" s="103"/>
    </row>
    <row r="27" spans="1:19" s="103" customFormat="1" ht="39" customHeight="1" x14ac:dyDescent="0.2">
      <c r="A27" s="664" t="s">
        <v>12</v>
      </c>
      <c r="B27" s="721" t="s">
        <v>983</v>
      </c>
      <c r="C27" s="721"/>
      <c r="D27" s="721"/>
      <c r="E27" s="452">
        <f>E22</f>
        <v>868.89</v>
      </c>
      <c r="F27" s="438" t="s">
        <v>13</v>
      </c>
    </row>
    <row r="28" spans="1:19" s="202" customFormat="1" ht="5.0999999999999996" customHeight="1" x14ac:dyDescent="0.2">
      <c r="B28" s="445"/>
      <c r="C28" s="446"/>
      <c r="D28" s="447"/>
      <c r="E28" s="256"/>
      <c r="F28" s="256"/>
      <c r="G28" s="103"/>
      <c r="H28" s="103"/>
      <c r="I28" s="103"/>
      <c r="J28" s="103"/>
      <c r="K28" s="103"/>
      <c r="L28" s="103"/>
      <c r="M28" s="103"/>
      <c r="N28" s="103"/>
      <c r="O28" s="103"/>
      <c r="P28" s="103"/>
      <c r="Q28" s="103"/>
      <c r="R28" s="103"/>
      <c r="S28" s="103"/>
    </row>
    <row r="29" spans="1:19" s="103" customFormat="1" ht="12.75" customHeight="1" x14ac:dyDescent="0.2">
      <c r="A29" s="739" t="s">
        <v>835</v>
      </c>
      <c r="B29" s="739"/>
      <c r="C29" s="440"/>
      <c r="D29" s="440"/>
      <c r="E29" s="441"/>
      <c r="F29" s="442"/>
    </row>
    <row r="30" spans="1:19" s="103" customFormat="1" ht="52.5" customHeight="1" x14ac:dyDescent="0.2">
      <c r="A30" s="664" t="s">
        <v>15</v>
      </c>
      <c r="B30" s="721" t="s">
        <v>984</v>
      </c>
      <c r="C30" s="721"/>
      <c r="D30" s="721"/>
      <c r="E30" s="637">
        <f>H30</f>
        <v>25.94</v>
      </c>
      <c r="F30" s="442" t="s">
        <v>13</v>
      </c>
      <c r="G30" s="103">
        <f>1.2+128.51</f>
        <v>129.71</v>
      </c>
      <c r="H30" s="461">
        <f>G30*0.2</f>
        <v>25.94</v>
      </c>
    </row>
    <row r="31" spans="1:19" s="202" customFormat="1" ht="5.0999999999999996" customHeight="1" x14ac:dyDescent="0.2">
      <c r="B31" s="445"/>
      <c r="C31" s="446"/>
      <c r="D31" s="447"/>
      <c r="E31" s="256"/>
      <c r="F31" s="256"/>
      <c r="G31" s="103"/>
      <c r="H31" s="103"/>
      <c r="I31" s="103"/>
      <c r="J31" s="103"/>
      <c r="K31" s="103"/>
      <c r="L31" s="103"/>
      <c r="M31" s="103"/>
      <c r="N31" s="103"/>
      <c r="O31" s="103"/>
      <c r="P31" s="103"/>
      <c r="Q31" s="103"/>
      <c r="R31" s="103"/>
      <c r="S31" s="103"/>
    </row>
    <row r="32" spans="1:19" s="103" customFormat="1" ht="143.25" customHeight="1" x14ac:dyDescent="0.2">
      <c r="A32" s="664" t="s">
        <v>129</v>
      </c>
      <c r="B32" s="725" t="s">
        <v>985</v>
      </c>
      <c r="C32" s="724"/>
      <c r="D32" s="724"/>
      <c r="E32" s="638">
        <f>M32</f>
        <v>14.77</v>
      </c>
      <c r="F32" s="438" t="s">
        <v>128</v>
      </c>
      <c r="G32" s="460">
        <f>10.09*1.2/2+(108.64+128.51)*1.2+10.12*1.2/2</f>
        <v>296.70999999999998</v>
      </c>
      <c r="H32" s="460">
        <f>G32-E43</f>
        <v>260.70999999999998</v>
      </c>
      <c r="I32" s="460"/>
      <c r="J32" s="460">
        <f>H32*0.06</f>
        <v>15.64</v>
      </c>
      <c r="K32" s="460">
        <f>5+21.61+11.56+2.18+0.69+1.56+0.82+35.21+29.99+0.65+2.79+0.62+25.6+44.42+0.9+1.97+0.76+11.86+2.39+9.29+4.97+0.89+2.23</f>
        <v>217.96</v>
      </c>
      <c r="L32" s="460">
        <f>K32*0.2*0.02</f>
        <v>0.87</v>
      </c>
      <c r="M32" s="460">
        <f>J32-L32</f>
        <v>14.77</v>
      </c>
    </row>
    <row r="33" spans="1:18" s="202" customFormat="1" ht="5.0999999999999996" customHeight="1" x14ac:dyDescent="0.2">
      <c r="B33" s="445"/>
      <c r="C33" s="446"/>
      <c r="D33" s="447"/>
      <c r="E33" s="256"/>
      <c r="F33" s="256"/>
      <c r="G33" s="448"/>
      <c r="H33" s="448"/>
    </row>
    <row r="34" spans="1:18" s="103" customFormat="1" ht="79.5" customHeight="1" x14ac:dyDescent="0.2">
      <c r="A34" s="664" t="s">
        <v>131</v>
      </c>
      <c r="B34" s="721" t="s">
        <v>986</v>
      </c>
      <c r="C34" s="721"/>
      <c r="D34" s="721"/>
      <c r="E34" s="639">
        <f>G34</f>
        <v>43.59</v>
      </c>
      <c r="F34" s="640" t="s">
        <v>13</v>
      </c>
      <c r="G34" s="648">
        <f>K32*0.2</f>
        <v>43.59</v>
      </c>
      <c r="H34" s="438"/>
      <c r="J34" s="460"/>
      <c r="K34" s="460"/>
      <c r="L34" s="461"/>
      <c r="M34" s="461"/>
      <c r="N34" s="460"/>
      <c r="O34" s="460"/>
      <c r="Q34" s="460"/>
    </row>
    <row r="35" spans="1:18" s="103" customFormat="1" ht="5.0999999999999996" customHeight="1" x14ac:dyDescent="0.2">
      <c r="B35" s="456"/>
      <c r="C35" s="456"/>
      <c r="D35" s="456"/>
      <c r="E35" s="457"/>
      <c r="F35" s="458"/>
    </row>
    <row r="36" spans="1:18" s="103" customFormat="1" ht="12.75" customHeight="1" x14ac:dyDescent="0.2">
      <c r="A36" s="739" t="s">
        <v>836</v>
      </c>
      <c r="B36" s="739"/>
      <c r="C36" s="440"/>
      <c r="D36" s="440"/>
      <c r="E36" s="441"/>
      <c r="F36" s="442"/>
    </row>
    <row r="37" spans="1:18" s="103" customFormat="1" ht="78" customHeight="1" x14ac:dyDescent="0.2">
      <c r="A37" s="664" t="s">
        <v>158</v>
      </c>
      <c r="B37" s="721" t="s">
        <v>700</v>
      </c>
      <c r="C37" s="721"/>
      <c r="D37" s="721"/>
      <c r="E37" s="637">
        <f>K37</f>
        <v>2.1</v>
      </c>
      <c r="F37" s="641" t="s">
        <v>128</v>
      </c>
      <c r="G37" s="460">
        <f>7.5*N8*M8*0.06</f>
        <v>2.16</v>
      </c>
      <c r="H37" s="461">
        <f>(1.2*2+1.5)*M8</f>
        <v>15.6</v>
      </c>
      <c r="I37" s="461"/>
      <c r="J37" s="461">
        <f>H37*0.2*0.02</f>
        <v>0.06</v>
      </c>
      <c r="K37" s="460">
        <f>G37-J37</f>
        <v>2.1</v>
      </c>
      <c r="N37" s="103">
        <f>(7.5*1.2)*7+5.75+6.31+5.25+6.11+5.71+5.24+5.25+7.18+7.07+5.2+5.25+5.15</f>
        <v>132.47</v>
      </c>
      <c r="O37" s="461">
        <f>N37*0.06</f>
        <v>7.95</v>
      </c>
      <c r="P37" s="461">
        <f>(1.2*3*7+1.05+2.42+1.05+4.76+1.42/2+2+1.05+3+1.05+2.66+1.05+2.01+1.05+3+1.05+1.05+1.05+1.05+1.05+1.05+1.05+2+1.05+2+1.05+2+0.99)</f>
        <v>68.5</v>
      </c>
      <c r="Q37" s="461">
        <f>P37*0.2*0.02</f>
        <v>0.27</v>
      </c>
      <c r="R37" s="103">
        <f>P37*0.2</f>
        <v>13.7</v>
      </c>
    </row>
    <row r="38" spans="1:18" s="202" customFormat="1" ht="5.0999999999999996" customHeight="1" x14ac:dyDescent="0.25">
      <c r="B38" s="445"/>
      <c r="C38" s="446"/>
      <c r="D38" s="447"/>
      <c r="E38" s="207"/>
      <c r="F38" s="642"/>
      <c r="G38" s="448"/>
      <c r="H38" s="448"/>
    </row>
    <row r="39" spans="1:18" s="103" customFormat="1" ht="78" customHeight="1" x14ac:dyDescent="0.2">
      <c r="A39" s="664" t="s">
        <v>170</v>
      </c>
      <c r="B39" s="721" t="s">
        <v>701</v>
      </c>
      <c r="C39" s="721"/>
      <c r="D39" s="721"/>
      <c r="E39" s="637">
        <f>E37</f>
        <v>2.1</v>
      </c>
      <c r="F39" s="641" t="s">
        <v>128</v>
      </c>
      <c r="G39" s="438"/>
      <c r="H39" s="438"/>
      <c r="I39" s="460"/>
      <c r="J39" s="461"/>
      <c r="K39" s="461"/>
      <c r="L39" s="461"/>
      <c r="M39" s="460"/>
    </row>
    <row r="40" spans="1:18" s="202" customFormat="1" ht="5.0999999999999996" customHeight="1" x14ac:dyDescent="0.2">
      <c r="B40" s="445"/>
      <c r="C40" s="446"/>
      <c r="D40" s="447"/>
      <c r="E40" s="256"/>
      <c r="F40" s="256"/>
      <c r="G40" s="448"/>
      <c r="H40" s="448"/>
    </row>
    <row r="41" spans="1:18" s="103" customFormat="1" ht="53.25" customHeight="1" x14ac:dyDescent="0.2">
      <c r="A41" s="664" t="s">
        <v>203</v>
      </c>
      <c r="B41" s="721" t="s">
        <v>702</v>
      </c>
      <c r="C41" s="721"/>
      <c r="D41" s="721"/>
      <c r="E41" s="637">
        <f>G41</f>
        <v>3.12</v>
      </c>
      <c r="F41" s="640" t="s">
        <v>13</v>
      </c>
      <c r="G41" s="645">
        <f>(N8*2+1.5)*M8*0.2</f>
        <v>3.12</v>
      </c>
      <c r="H41" s="438"/>
      <c r="J41" s="460"/>
      <c r="K41" s="460"/>
      <c r="L41" s="461"/>
      <c r="M41" s="461"/>
      <c r="N41" s="460"/>
      <c r="O41" s="460"/>
      <c r="Q41" s="460"/>
    </row>
    <row r="42" spans="1:18" s="202" customFormat="1" ht="5.0999999999999996" customHeight="1" x14ac:dyDescent="0.2">
      <c r="B42" s="445"/>
      <c r="C42" s="446"/>
      <c r="D42" s="447"/>
      <c r="E42" s="256"/>
      <c r="F42" s="256"/>
      <c r="G42" s="448"/>
      <c r="H42" s="448"/>
    </row>
    <row r="43" spans="1:18" s="103" customFormat="1" ht="40.5" customHeight="1" x14ac:dyDescent="0.2">
      <c r="A43" s="664" t="s">
        <v>181</v>
      </c>
      <c r="B43" s="726" t="s">
        <v>703</v>
      </c>
      <c r="C43" s="726"/>
      <c r="D43" s="726"/>
      <c r="E43" s="647">
        <f>G43</f>
        <v>36</v>
      </c>
      <c r="F43" s="641" t="s">
        <v>13</v>
      </c>
      <c r="G43" s="646">
        <f>7.5*N8*M8:M8</f>
        <v>36</v>
      </c>
      <c r="H43" s="438"/>
      <c r="J43" s="460"/>
      <c r="K43" s="460"/>
    </row>
    <row r="44" spans="1:18" s="103" customFormat="1" ht="5.0999999999999996" customHeight="1" x14ac:dyDescent="0.2">
      <c r="B44" s="456"/>
      <c r="C44" s="456"/>
      <c r="D44" s="456"/>
      <c r="E44" s="457"/>
      <c r="F44" s="458"/>
      <c r="G44" s="458"/>
      <c r="H44" s="458"/>
    </row>
    <row r="45" spans="1:18" s="103" customFormat="1" ht="12.75" customHeight="1" x14ac:dyDescent="0.2">
      <c r="A45" s="738" t="s">
        <v>837</v>
      </c>
      <c r="B45" s="738"/>
      <c r="C45" s="440"/>
      <c r="D45" s="440"/>
      <c r="E45" s="441"/>
      <c r="F45" s="442"/>
    </row>
    <row r="46" spans="1:18" s="103" customFormat="1" ht="39" customHeight="1" x14ac:dyDescent="0.2">
      <c r="A46" s="664" t="s">
        <v>175</v>
      </c>
      <c r="B46" s="721" t="s">
        <v>844</v>
      </c>
      <c r="C46" s="721"/>
      <c r="D46" s="721"/>
      <c r="E46" s="459">
        <v>2</v>
      </c>
      <c r="F46" s="438" t="s">
        <v>279</v>
      </c>
    </row>
    <row r="47" spans="1:18" s="202" customFormat="1" ht="5.0999999999999996" customHeight="1" x14ac:dyDescent="0.2">
      <c r="B47" s="445"/>
      <c r="C47" s="446"/>
      <c r="D47" s="447"/>
      <c r="E47" s="256"/>
      <c r="F47" s="256"/>
      <c r="G47" s="448"/>
      <c r="H47" s="448"/>
    </row>
    <row r="48" spans="1:18" s="103" customFormat="1" ht="39" customHeight="1" x14ac:dyDescent="0.2">
      <c r="A48" s="664" t="s">
        <v>246</v>
      </c>
      <c r="B48" s="721" t="s">
        <v>845</v>
      </c>
      <c r="C48" s="721"/>
      <c r="D48" s="721"/>
      <c r="E48" s="459">
        <v>2</v>
      </c>
      <c r="F48" s="438" t="s">
        <v>279</v>
      </c>
    </row>
    <row r="49" spans="1:9" s="202" customFormat="1" ht="5.0999999999999996" customHeight="1" x14ac:dyDescent="0.2">
      <c r="B49" s="445"/>
      <c r="C49" s="446"/>
      <c r="D49" s="447"/>
      <c r="E49" s="256"/>
      <c r="F49" s="256"/>
      <c r="G49" s="448"/>
      <c r="H49" s="448"/>
    </row>
    <row r="50" spans="1:9" s="103" customFormat="1" ht="12.75" customHeight="1" x14ac:dyDescent="0.2">
      <c r="A50" s="738" t="s">
        <v>852</v>
      </c>
      <c r="B50" s="738"/>
      <c r="C50" s="440"/>
      <c r="D50" s="440"/>
      <c r="E50" s="441"/>
      <c r="F50" s="442"/>
    </row>
    <row r="51" spans="1:9" s="103" customFormat="1" ht="25.5" customHeight="1" x14ac:dyDescent="0.2">
      <c r="A51" s="664" t="s">
        <v>255</v>
      </c>
      <c r="B51" s="721" t="s">
        <v>987</v>
      </c>
      <c r="C51" s="721"/>
      <c r="D51" s="721"/>
      <c r="E51" s="459">
        <f>E25*(0.15+0.13)</f>
        <v>72.06</v>
      </c>
      <c r="F51" s="438" t="s">
        <v>13</v>
      </c>
      <c r="H51" s="103" t="e">
        <f>#REF!*0.28</f>
        <v>#REF!</v>
      </c>
    </row>
    <row r="52" spans="1:9" s="103" customFormat="1" ht="5.0999999999999996" customHeight="1" x14ac:dyDescent="0.2">
      <c r="E52" s="441"/>
      <c r="F52" s="442"/>
    </row>
    <row r="53" spans="1:9" s="202" customFormat="1" ht="24.75" customHeight="1" x14ac:dyDescent="0.2">
      <c r="A53" s="664" t="s">
        <v>853</v>
      </c>
      <c r="B53" s="721" t="s">
        <v>707</v>
      </c>
      <c r="C53" s="721"/>
      <c r="D53" s="721"/>
      <c r="E53" s="442">
        <v>1</v>
      </c>
      <c r="F53" s="53" t="s">
        <v>279</v>
      </c>
      <c r="H53" s="202">
        <v>3.9</v>
      </c>
      <c r="I53" s="202">
        <v>216</v>
      </c>
    </row>
    <row r="54" spans="1:9" s="103" customFormat="1" ht="5.0999999999999996" customHeight="1" x14ac:dyDescent="0.2">
      <c r="B54" s="456"/>
      <c r="C54" s="456"/>
      <c r="D54" s="456"/>
      <c r="E54" s="457"/>
      <c r="F54" s="458"/>
      <c r="G54" s="458"/>
      <c r="H54" s="458"/>
    </row>
    <row r="55" spans="1:9" s="103" customFormat="1" ht="39" customHeight="1" x14ac:dyDescent="0.2">
      <c r="A55" s="664" t="s">
        <v>882</v>
      </c>
      <c r="B55" s="721" t="s">
        <v>885</v>
      </c>
      <c r="C55" s="721"/>
      <c r="D55" s="721"/>
      <c r="E55" s="459">
        <v>1</v>
      </c>
      <c r="F55" s="438" t="s">
        <v>279</v>
      </c>
    </row>
    <row r="56" spans="1:9" s="202" customFormat="1" ht="5.0999999999999996" customHeight="1" x14ac:dyDescent="0.2">
      <c r="B56" s="445"/>
      <c r="C56" s="446"/>
      <c r="D56" s="447"/>
      <c r="E56" s="256"/>
      <c r="F56" s="256"/>
      <c r="G56" s="448"/>
      <c r="H56" s="448"/>
    </row>
    <row r="57" spans="1:9" x14ac:dyDescent="0.2">
      <c r="A57" s="103" t="s">
        <v>265</v>
      </c>
    </row>
    <row r="58" spans="1:9" x14ac:dyDescent="0.2">
      <c r="A58" s="103" t="str">
        <f>A2</f>
        <v>PREFEITURA MUNICIPAL DE MAMANGUAPE</v>
      </c>
    </row>
    <row r="59" spans="1:9" ht="5.0999999999999996" customHeight="1" x14ac:dyDescent="0.2"/>
    <row r="60" spans="1:9" s="103" customFormat="1" ht="12.75" customHeight="1" x14ac:dyDescent="0.25">
      <c r="A60" s="729" t="s">
        <v>433</v>
      </c>
      <c r="B60" s="729"/>
      <c r="C60" s="729"/>
      <c r="D60" s="729"/>
      <c r="E60" s="729"/>
      <c r="F60" s="729"/>
      <c r="H60" s="460"/>
    </row>
    <row r="61" spans="1:9" s="202" customFormat="1" ht="18" customHeight="1" x14ac:dyDescent="0.25">
      <c r="A61" s="735" t="str">
        <f>A6</f>
        <v>Rua Genésio de Andrade (Trecho 01)</v>
      </c>
      <c r="B61" s="735"/>
      <c r="C61" s="735"/>
      <c r="D61" s="735"/>
      <c r="E61" s="735"/>
      <c r="F61" s="735"/>
      <c r="G61" s="53"/>
    </row>
    <row r="62" spans="1:9" s="202" customFormat="1" ht="5.0999999999999996" customHeight="1" x14ac:dyDescent="0.25">
      <c r="B62" s="436"/>
      <c r="C62" s="437"/>
      <c r="D62" s="437"/>
      <c r="E62" s="257"/>
      <c r="F62" s="257"/>
      <c r="G62" s="53"/>
    </row>
    <row r="63" spans="1:9" s="202" customFormat="1" ht="12.75" customHeight="1" x14ac:dyDescent="0.2">
      <c r="A63" s="730" t="s">
        <v>53</v>
      </c>
      <c r="B63" s="732" t="s">
        <v>267</v>
      </c>
      <c r="C63" s="732" t="s">
        <v>268</v>
      </c>
      <c r="D63" s="732" t="s">
        <v>434</v>
      </c>
      <c r="E63" s="732" t="s">
        <v>435</v>
      </c>
      <c r="F63" s="734"/>
    </row>
    <row r="64" spans="1:9" s="202" customFormat="1" ht="12.75" customHeight="1" x14ac:dyDescent="0.2">
      <c r="A64" s="731"/>
      <c r="B64" s="733"/>
      <c r="C64" s="733"/>
      <c r="D64" s="733"/>
      <c r="E64" s="462" t="s">
        <v>436</v>
      </c>
      <c r="F64" s="463" t="s">
        <v>437</v>
      </c>
    </row>
    <row r="65" spans="1:12" s="202" customFormat="1" ht="12.75" customHeight="1" x14ac:dyDescent="0.2">
      <c r="A65" s="464" t="s">
        <v>4</v>
      </c>
      <c r="B65" s="465" t="s">
        <v>438</v>
      </c>
      <c r="C65" s="466"/>
      <c r="D65" s="467"/>
      <c r="E65" s="467"/>
      <c r="F65" s="468">
        <f>SUM(F66)</f>
        <v>73.319999999999993</v>
      </c>
    </row>
    <row r="66" spans="1:12" s="202" customFormat="1" ht="25.5" x14ac:dyDescent="0.2">
      <c r="A66" s="469" t="s">
        <v>86</v>
      </c>
      <c r="B66" s="470" t="str">
        <f>'Planilha Global'!B11</f>
        <v>Execução de linhas de referência em gabarito ou cavalete (locação de pavimentação)</v>
      </c>
      <c r="C66" s="490" t="str">
        <f>F19</f>
        <v>m</v>
      </c>
      <c r="D66" s="472">
        <f>E19</f>
        <v>128.63</v>
      </c>
      <c r="E66" s="473">
        <f>'Planilha Global'!N11</f>
        <v>0.56999999999999995</v>
      </c>
      <c r="F66" s="474">
        <f>ROUND(D66,2)*ROUND(E66,2)</f>
        <v>73.319999999999993</v>
      </c>
    </row>
    <row r="67" spans="1:12" s="202" customFormat="1" ht="6.75" customHeight="1" x14ac:dyDescent="0.2">
      <c r="A67" s="486"/>
      <c r="B67" s="487"/>
      <c r="C67" s="482"/>
      <c r="D67" s="472"/>
      <c r="E67" s="488"/>
      <c r="F67" s="474"/>
    </row>
    <row r="68" spans="1:12" s="202" customFormat="1" ht="12.75" customHeight="1" x14ac:dyDescent="0.2">
      <c r="A68" s="464" t="s">
        <v>6</v>
      </c>
      <c r="B68" s="465" t="s">
        <v>511</v>
      </c>
      <c r="C68" s="466"/>
      <c r="D68" s="467"/>
      <c r="E68" s="467"/>
      <c r="F68" s="468">
        <f>SUM(F69:F69)</f>
        <v>2172.23</v>
      </c>
    </row>
    <row r="69" spans="1:12" s="202" customFormat="1" ht="25.5" x14ac:dyDescent="0.2">
      <c r="A69" s="469" t="s">
        <v>7</v>
      </c>
      <c r="B69" s="470" t="str">
        <f>'Planilha Global'!B14</f>
        <v>Regularização e compactação do subleito até 20 cm de espessura</v>
      </c>
      <c r="C69" s="482" t="str">
        <f>F22</f>
        <v>m²</v>
      </c>
      <c r="D69" s="472">
        <f>E22</f>
        <v>868.89</v>
      </c>
      <c r="E69" s="473">
        <f>'Planilha Global'!N14</f>
        <v>2.5</v>
      </c>
      <c r="F69" s="474">
        <f>ROUND(D69,2)*ROUND(E69,2)</f>
        <v>2172.23</v>
      </c>
      <c r="H69" s="485"/>
    </row>
    <row r="70" spans="1:12" s="202" customFormat="1" ht="6.75" customHeight="1" x14ac:dyDescent="0.2">
      <c r="A70" s="486"/>
      <c r="B70" s="487"/>
      <c r="C70" s="482"/>
      <c r="D70" s="472"/>
      <c r="E70" s="488"/>
      <c r="F70" s="474"/>
    </row>
    <row r="71" spans="1:12" s="202" customFormat="1" ht="12.75" customHeight="1" thickBot="1" x14ac:dyDescent="0.25">
      <c r="A71" s="464" t="s">
        <v>8</v>
      </c>
      <c r="B71" s="465" t="s">
        <v>439</v>
      </c>
      <c r="C71" s="466"/>
      <c r="D71" s="467"/>
      <c r="E71" s="489"/>
      <c r="F71" s="468">
        <f>SUM(F72:F73)</f>
        <v>106422.07</v>
      </c>
    </row>
    <row r="72" spans="1:12" s="226" customFormat="1" ht="63.75" x14ac:dyDescent="0.2">
      <c r="A72" s="469" t="s">
        <v>12</v>
      </c>
      <c r="B72" s="470" t="str">
        <f>'Planilha Global'!B17</f>
        <v>Assentamento de guia (meio-fio) em trecho reto, confeccionada em concreto pré-fabricado, dimensões 100x15x13x30 cm (comprimento x base inferior x base superior x altura), para vias urbanas (uso viário)</v>
      </c>
      <c r="C72" s="482" t="str">
        <f>F25</f>
        <v>m</v>
      </c>
      <c r="D72" s="472">
        <f>E25</f>
        <v>257.36</v>
      </c>
      <c r="E72" s="473">
        <f>'Planilha Global'!N17</f>
        <v>49.53</v>
      </c>
      <c r="F72" s="474">
        <f>ROUND(D72,2)*ROUND(E72,2)</f>
        <v>12747.04</v>
      </c>
      <c r="H72" s="492"/>
      <c r="I72" s="493"/>
      <c r="J72" s="494"/>
    </row>
    <row r="73" spans="1:12" s="226" customFormat="1" ht="42.75" customHeight="1" thickBot="1" x14ac:dyDescent="0.25">
      <c r="A73" s="469" t="s">
        <v>108</v>
      </c>
      <c r="B73" s="470" t="str">
        <f>'Planilha Global'!B18</f>
        <v>Execução de pavimento em paralelepípedos, rejuntamento com argamassa traço 1:3 (cimento e areia)</v>
      </c>
      <c r="C73" s="482" t="str">
        <f>F27</f>
        <v>m²</v>
      </c>
      <c r="D73" s="472">
        <f>E27</f>
        <v>868.89</v>
      </c>
      <c r="E73" s="473">
        <f>'Planilha Global'!N18</f>
        <v>107.81</v>
      </c>
      <c r="F73" s="474">
        <f>ROUND(D73,2)*ROUND(E73,2)</f>
        <v>93675.03</v>
      </c>
      <c r="H73" s="495"/>
      <c r="I73" s="496"/>
      <c r="J73" s="497"/>
    </row>
    <row r="74" spans="1:12" s="202" customFormat="1" ht="6.75" customHeight="1" x14ac:dyDescent="0.2">
      <c r="A74" s="486"/>
      <c r="B74" s="487"/>
      <c r="C74" s="482"/>
      <c r="D74" s="472"/>
      <c r="E74" s="488"/>
      <c r="F74" s="474"/>
    </row>
    <row r="75" spans="1:12" s="258" customFormat="1" ht="15" customHeight="1" thickBot="1" x14ac:dyDescent="0.3">
      <c r="A75" s="498" t="s">
        <v>14</v>
      </c>
      <c r="B75" s="499" t="s">
        <v>605</v>
      </c>
      <c r="C75" s="466"/>
      <c r="D75" s="467"/>
      <c r="E75" s="500"/>
      <c r="F75" s="468">
        <f>SUM(F76:F78)</f>
        <v>24015.9</v>
      </c>
      <c r="I75" s="501"/>
      <c r="J75" s="502"/>
      <c r="K75" s="502"/>
      <c r="L75" s="503"/>
    </row>
    <row r="76" spans="1:12" s="226" customFormat="1" ht="51" x14ac:dyDescent="0.2">
      <c r="A76" s="469" t="s">
        <v>15</v>
      </c>
      <c r="B76" s="661" t="str">
        <f>'Planilha Global'!B22</f>
        <v>Alvenaria de blocos cerâmicos furados na horizontal de 9x19x19 cm (espessura 9 cm) e argamassa de assentamento com preparo manual (para contenção das calçadas)</v>
      </c>
      <c r="C76" s="490" t="str">
        <f>F30</f>
        <v>m²</v>
      </c>
      <c r="D76" s="472">
        <f>E30</f>
        <v>25.94</v>
      </c>
      <c r="E76" s="473">
        <f>'Planilha Global'!N22</f>
        <v>107.24</v>
      </c>
      <c r="F76" s="474">
        <f>ROUND(D76,2)*ROUND(E76,2)</f>
        <v>2781.81</v>
      </c>
      <c r="H76" s="226">
        <v>73.06</v>
      </c>
    </row>
    <row r="77" spans="1:12" s="226" customFormat="1" ht="38.25" x14ac:dyDescent="0.2">
      <c r="A77" s="469" t="s">
        <v>129</v>
      </c>
      <c r="B77" s="661" t="str">
        <f>'Planilha Global'!B23</f>
        <v>Execução de passeio (calçada) ou piso de concreto com concreto moldado in loco, feito em obra, acabamento convencional, não armado</v>
      </c>
      <c r="C77" s="490" t="str">
        <f>F32</f>
        <v>m³</v>
      </c>
      <c r="D77" s="472">
        <f>'Genésio Andrade - T1'!E32</f>
        <v>14.77</v>
      </c>
      <c r="E77" s="473">
        <f>'Planilha Global'!N23</f>
        <v>943.02</v>
      </c>
      <c r="F77" s="474">
        <f>ROUND(D77,2)*ROUND(E77,2)</f>
        <v>13928.41</v>
      </c>
      <c r="H77" s="226">
        <v>703.2</v>
      </c>
    </row>
    <row r="78" spans="1:12" s="226" customFormat="1" ht="25.5" x14ac:dyDescent="0.2">
      <c r="A78" s="469" t="s">
        <v>131</v>
      </c>
      <c r="B78" s="661" t="str">
        <f>'Planilha Global'!B24</f>
        <v>Piso podotátil de alerta ou direcional, de concreto, assentado sobre argamassa</v>
      </c>
      <c r="C78" s="490" t="str">
        <f>F34</f>
        <v>m²</v>
      </c>
      <c r="D78" s="472">
        <f>E34</f>
        <v>43.59</v>
      </c>
      <c r="E78" s="473">
        <f>'Planilha Global'!N24</f>
        <v>167.6</v>
      </c>
      <c r="F78" s="474">
        <f>ROUND(D78,2)*ROUND(E78,2)</f>
        <v>7305.68</v>
      </c>
      <c r="H78" s="226">
        <v>109.78</v>
      </c>
    </row>
    <row r="79" spans="1:12" s="202" customFormat="1" ht="6.75" customHeight="1" x14ac:dyDescent="0.2">
      <c r="A79" s="486"/>
      <c r="B79" s="487"/>
      <c r="C79" s="482"/>
      <c r="D79" s="472"/>
      <c r="E79" s="488"/>
      <c r="F79" s="474"/>
    </row>
    <row r="80" spans="1:12" s="258" customFormat="1" ht="15" customHeight="1" thickBot="1" x14ac:dyDescent="0.3">
      <c r="A80" s="498" t="s">
        <v>157</v>
      </c>
      <c r="B80" s="499" t="s">
        <v>606</v>
      </c>
      <c r="C80" s="466"/>
      <c r="D80" s="467"/>
      <c r="E80" s="500"/>
      <c r="F80" s="468">
        <f>SUM(F81:F84)</f>
        <v>3246.79</v>
      </c>
      <c r="I80" s="501"/>
      <c r="J80" s="502"/>
      <c r="K80" s="502"/>
      <c r="L80" s="503"/>
    </row>
    <row r="81" spans="1:12" s="226" customFormat="1" ht="39" thickBot="1" x14ac:dyDescent="0.25">
      <c r="A81" s="469" t="s">
        <v>158</v>
      </c>
      <c r="B81" s="661" t="str">
        <f>'Planilha Global'!B27</f>
        <v>Concreto Fck = 15mpa, traço 1:3,4:3,5 (em massa seca de cimento/ areia média/ brita 1), preparo mecânico com betoneira 400 L</v>
      </c>
      <c r="C81" s="490" t="str">
        <f>F37</f>
        <v>m³</v>
      </c>
      <c r="D81" s="472">
        <f>E37</f>
        <v>2.1</v>
      </c>
      <c r="E81" s="473">
        <f>'Planilha Global'!N27</f>
        <v>553.16</v>
      </c>
      <c r="F81" s="474">
        <f>ROUND(D81,2)*ROUND(E81,2)</f>
        <v>1161.6400000000001</v>
      </c>
      <c r="H81" s="226">
        <v>410.85</v>
      </c>
    </row>
    <row r="82" spans="1:12" s="202" customFormat="1" ht="25.5" x14ac:dyDescent="0.2">
      <c r="A82" s="469" t="s">
        <v>170</v>
      </c>
      <c r="B82" s="661" t="str">
        <f>'Planilha Global'!B28</f>
        <v>Lançamento com uso de baldes, adensamento e acabamento de concreto em estruturas</v>
      </c>
      <c r="C82" s="490" t="str">
        <f>F39</f>
        <v>m³</v>
      </c>
      <c r="D82" s="472">
        <f>E39</f>
        <v>2.1</v>
      </c>
      <c r="E82" s="473">
        <f>'Planilha Global'!N28</f>
        <v>324.95</v>
      </c>
      <c r="F82" s="474">
        <f>ROUND(D82,2)*ROUND(E82,2)</f>
        <v>682.4</v>
      </c>
      <c r="H82" s="202">
        <v>223.25</v>
      </c>
      <c r="I82" s="506"/>
      <c r="J82" s="507"/>
      <c r="K82" s="507"/>
      <c r="L82" s="508"/>
    </row>
    <row r="83" spans="1:12" s="226" customFormat="1" ht="25.5" x14ac:dyDescent="0.2">
      <c r="A83" s="469" t="s">
        <v>203</v>
      </c>
      <c r="B83" s="661" t="str">
        <f>'Planilha Global'!B29</f>
        <v>Piso podotátil de alerta ou direcional, de concreto, assentado sobre argamassa</v>
      </c>
      <c r="C83" s="490" t="str">
        <f>F41</f>
        <v>m²</v>
      </c>
      <c r="D83" s="472">
        <f>E41</f>
        <v>3.12</v>
      </c>
      <c r="E83" s="473">
        <f>'Planilha Global'!N29</f>
        <v>167.6</v>
      </c>
      <c r="F83" s="474">
        <f>ROUND(D83,2)*ROUND(E83,2)</f>
        <v>522.91</v>
      </c>
      <c r="H83" s="226">
        <v>109.78</v>
      </c>
    </row>
    <row r="84" spans="1:12" s="226" customFormat="1" ht="25.5" x14ac:dyDescent="0.2">
      <c r="A84" s="469" t="s">
        <v>181</v>
      </c>
      <c r="B84" s="661" t="str">
        <f>'Planilha Global'!B30</f>
        <v>Pintura de piso com tinta acrílica, aplicação manual, 2 demãos, incluso fundo preparador</v>
      </c>
      <c r="C84" s="490" t="str">
        <f>F43</f>
        <v>m²</v>
      </c>
      <c r="D84" s="472">
        <f>E43</f>
        <v>36</v>
      </c>
      <c r="E84" s="473">
        <f>'Planilha Global'!N30</f>
        <v>24.44</v>
      </c>
      <c r="F84" s="474">
        <f>ROUND(D84,2)*ROUND(E84,2)</f>
        <v>879.84</v>
      </c>
      <c r="H84" s="226">
        <v>14.87</v>
      </c>
    </row>
    <row r="85" spans="1:12" s="202" customFormat="1" ht="6.75" customHeight="1" x14ac:dyDescent="0.2">
      <c r="A85" s="486"/>
      <c r="B85" s="487"/>
      <c r="C85" s="482"/>
      <c r="D85" s="472"/>
      <c r="E85" s="488"/>
      <c r="F85" s="474"/>
    </row>
    <row r="86" spans="1:12" s="258" customFormat="1" ht="15" customHeight="1" thickBot="1" x14ac:dyDescent="0.3">
      <c r="A86" s="498" t="s">
        <v>174</v>
      </c>
      <c r="B86" s="499" t="s">
        <v>706</v>
      </c>
      <c r="C86" s="466"/>
      <c r="D86" s="467"/>
      <c r="E86" s="500"/>
      <c r="F86" s="468">
        <f>SUM(F87:F88)</f>
        <v>928.9</v>
      </c>
      <c r="H86" s="501"/>
      <c r="I86" s="502"/>
      <c r="J86" s="502"/>
      <c r="K86" s="503"/>
    </row>
    <row r="87" spans="1:12" s="202" customFormat="1" ht="38.25" x14ac:dyDescent="0.2">
      <c r="A87" s="469" t="s">
        <v>175</v>
      </c>
      <c r="B87" s="661" t="str">
        <f>'Planilha Global'!B33</f>
        <v>Fornecimento e instalação de suporte de madeira para placas de sinalização, em solo, com h= de 2,0 m e seção de 7,5 x 7,5 cm</v>
      </c>
      <c r="C87" s="490" t="str">
        <f>F46</f>
        <v>unid</v>
      </c>
      <c r="D87" s="472">
        <f>E46</f>
        <v>2</v>
      </c>
      <c r="E87" s="473">
        <f>'Planilha Global'!N33</f>
        <v>120.58</v>
      </c>
      <c r="F87" s="474">
        <f t="shared" ref="F87:F88" si="1">ROUND(D87*E87,2)</f>
        <v>241.16</v>
      </c>
      <c r="H87" s="665"/>
    </row>
    <row r="88" spans="1:12" s="226" customFormat="1" ht="38.25" x14ac:dyDescent="0.2">
      <c r="A88" s="469" t="s">
        <v>246</v>
      </c>
      <c r="B88" s="661" t="str">
        <f>'Planilha Global'!B34</f>
        <v>Placa de advertência em aço, lado de 0,60 m - película retrorrefletiva tipo I + SI - fornecimento e implantação</v>
      </c>
      <c r="C88" s="490" t="str">
        <f>F48</f>
        <v>unid</v>
      </c>
      <c r="D88" s="472">
        <f>E48</f>
        <v>2</v>
      </c>
      <c r="E88" s="473">
        <f>'Planilha Global'!N34</f>
        <v>343.87</v>
      </c>
      <c r="F88" s="505">
        <f t="shared" si="1"/>
        <v>687.74</v>
      </c>
      <c r="H88" s="226">
        <v>349.41</v>
      </c>
    </row>
    <row r="89" spans="1:12" s="202" customFormat="1" ht="6.75" customHeight="1" x14ac:dyDescent="0.2">
      <c r="A89" s="509"/>
      <c r="B89" s="41"/>
      <c r="C89" s="482"/>
      <c r="D89" s="472"/>
      <c r="E89" s="510"/>
      <c r="F89" s="474"/>
      <c r="H89" s="511"/>
      <c r="K89" s="512"/>
    </row>
    <row r="90" spans="1:12" s="258" customFormat="1" ht="15" customHeight="1" thickBot="1" x14ac:dyDescent="0.3">
      <c r="A90" s="498" t="s">
        <v>254</v>
      </c>
      <c r="B90" s="499" t="s">
        <v>849</v>
      </c>
      <c r="C90" s="466"/>
      <c r="D90" s="467"/>
      <c r="E90" s="500"/>
      <c r="F90" s="468">
        <f>SUM(F91:F93)</f>
        <v>429.78</v>
      </c>
      <c r="H90" s="501"/>
      <c r="I90" s="502"/>
      <c r="J90" s="502"/>
      <c r="K90" s="503"/>
    </row>
    <row r="91" spans="1:12" s="202" customFormat="1" ht="26.25" thickBot="1" x14ac:dyDescent="0.25">
      <c r="A91" s="469" t="s">
        <v>255</v>
      </c>
      <c r="B91" s="661" t="str">
        <f>'Planilha Global'!B37</f>
        <v>Pintura de meio-fio com tinta branca a base de cal (caiação)</v>
      </c>
      <c r="C91" s="490" t="str">
        <f>F51</f>
        <v>m²</v>
      </c>
      <c r="D91" s="472">
        <f>E51</f>
        <v>72.06</v>
      </c>
      <c r="E91" s="473">
        <f>'Planilha Global'!N37</f>
        <v>1.78</v>
      </c>
      <c r="F91" s="474">
        <f>ROUND(D91,2)*ROUND(E91,2)</f>
        <v>128.27000000000001</v>
      </c>
      <c r="H91" s="506"/>
      <c r="I91" s="507"/>
      <c r="J91" s="507"/>
      <c r="K91" s="508"/>
    </row>
    <row r="92" spans="1:12" s="202" customFormat="1" ht="25.5" x14ac:dyDescent="0.2">
      <c r="A92" s="469" t="s">
        <v>853</v>
      </c>
      <c r="B92" s="661" t="str">
        <f>'Planilha Global'!B38</f>
        <v>Placa esmaltada para identificação de nome de rua, dimensões 45x20cm</v>
      </c>
      <c r="C92" s="490" t="str">
        <f>F53</f>
        <v>unid</v>
      </c>
      <c r="D92" s="472">
        <f>E53</f>
        <v>1</v>
      </c>
      <c r="E92" s="473">
        <f>'Planilha Global'!N38</f>
        <v>180.93</v>
      </c>
      <c r="F92" s="474">
        <f>ROUND(D92,2)*ROUND(E92,2)</f>
        <v>180.93</v>
      </c>
      <c r="H92" s="506"/>
      <c r="I92" s="507"/>
      <c r="J92" s="507"/>
      <c r="K92" s="508"/>
    </row>
    <row r="93" spans="1:12" s="202" customFormat="1" ht="38.25" x14ac:dyDescent="0.2">
      <c r="A93" s="469" t="s">
        <v>882</v>
      </c>
      <c r="B93" s="661" t="str">
        <f>'Planilha Global'!B39</f>
        <v>Fornecimento e instalação de suporte de madeira para placas de identificação de rua, em solo, com h= de 2,0 m e seção de 7,5 x 7,5 cm</v>
      </c>
      <c r="C93" s="490" t="str">
        <f>F55</f>
        <v>unid</v>
      </c>
      <c r="D93" s="472">
        <f>E55</f>
        <v>1</v>
      </c>
      <c r="E93" s="473">
        <f>'Planilha Global'!N39</f>
        <v>120.58</v>
      </c>
      <c r="F93" s="474">
        <f t="shared" ref="F93" si="2">ROUND(D93*E93,2)</f>
        <v>120.58</v>
      </c>
      <c r="H93" s="665"/>
    </row>
    <row r="94" spans="1:12" s="202" customFormat="1" ht="6.75" customHeight="1" x14ac:dyDescent="0.2">
      <c r="A94" s="509"/>
      <c r="B94" s="41"/>
      <c r="C94" s="482"/>
      <c r="D94" s="472"/>
      <c r="E94" s="510"/>
      <c r="F94" s="474"/>
      <c r="H94" s="511"/>
      <c r="K94" s="512"/>
    </row>
    <row r="95" spans="1:12" s="202" customFormat="1" ht="12.75" customHeight="1" x14ac:dyDescent="0.2">
      <c r="A95" s="727" t="s">
        <v>440</v>
      </c>
      <c r="B95" s="728"/>
      <c r="C95" s="728"/>
      <c r="D95" s="728"/>
      <c r="E95" s="728"/>
      <c r="F95" s="543">
        <f>F65+F68+F71+F75+F80+F86+F90</f>
        <v>137288.99</v>
      </c>
    </row>
    <row r="96" spans="1:12" s="202" customFormat="1" ht="5.25" customHeight="1" x14ac:dyDescent="0.2">
      <c r="B96" s="256"/>
      <c r="C96" s="281"/>
      <c r="E96" s="281"/>
    </row>
    <row r="97" spans="1:7" s="202" customFormat="1" ht="12.75" customHeight="1" x14ac:dyDescent="0.2">
      <c r="A97" s="64" t="s">
        <v>1052</v>
      </c>
      <c r="B97" s="256"/>
      <c r="C97" s="281"/>
      <c r="E97" s="281"/>
      <c r="F97" s="513"/>
      <c r="G97" s="202">
        <f>175162.63/D73</f>
        <v>201.59356190081601</v>
      </c>
    </row>
    <row r="98" spans="1:7" s="202" customFormat="1" ht="12.75" customHeight="1" x14ac:dyDescent="0.2">
      <c r="A98" s="64" t="str">
        <f>'Composição Custos Unit'!G37</f>
        <v>Referência: SINAPI PB Fevereiro/25; DER PB Jan-Mar/25</v>
      </c>
      <c r="B98" s="256"/>
      <c r="C98" s="636" t="str">
        <f>'Planilha Global'!A43</f>
        <v>BDI: 28,99%</v>
      </c>
      <c r="E98" s="281"/>
    </row>
    <row r="99" spans="1:7" s="202" customFormat="1" ht="12.75" customHeight="1" x14ac:dyDescent="0.2">
      <c r="E99" s="281"/>
      <c r="F99" s="247"/>
    </row>
    <row r="100" spans="1:7" ht="12.75" customHeight="1" x14ac:dyDescent="0.2">
      <c r="G100" t="e">
        <f>F95/#REF!</f>
        <v>#REF!</v>
      </c>
    </row>
    <row r="101" spans="1:7" ht="12.75" customHeight="1" x14ac:dyDescent="0.2">
      <c r="F101" s="514">
        <f>F95/D69</f>
        <v>158.01</v>
      </c>
    </row>
    <row r="103" spans="1:7" x14ac:dyDescent="0.2">
      <c r="F103" s="514">
        <f>'Maria Livramento - T1'!F106+'Maria Livramento - T2'!F108+'Fábio Vaz - T1'!F114+'Genésio Andrade - T1'!F95</f>
        <v>505367.41</v>
      </c>
    </row>
  </sheetData>
  <mergeCells count="37">
    <mergeCell ref="C14:F14"/>
    <mergeCell ref="A4:F4"/>
    <mergeCell ref="C8:F8"/>
    <mergeCell ref="C9:F9"/>
    <mergeCell ref="C10:F10"/>
    <mergeCell ref="C13:F13"/>
    <mergeCell ref="A21:B21"/>
    <mergeCell ref="B22:D22"/>
    <mergeCell ref="A24:B24"/>
    <mergeCell ref="B19:D19"/>
    <mergeCell ref="B25:D25"/>
    <mergeCell ref="B39:D39"/>
    <mergeCell ref="B41:D41"/>
    <mergeCell ref="B43:D43"/>
    <mergeCell ref="A45:B45"/>
    <mergeCell ref="B46:D46"/>
    <mergeCell ref="B32:D32"/>
    <mergeCell ref="B34:D34"/>
    <mergeCell ref="A36:B36"/>
    <mergeCell ref="B37:D37"/>
    <mergeCell ref="B30:D30"/>
    <mergeCell ref="A18:B18"/>
    <mergeCell ref="A95:E95"/>
    <mergeCell ref="A50:B50"/>
    <mergeCell ref="B51:D51"/>
    <mergeCell ref="B53:D53"/>
    <mergeCell ref="B55:D55"/>
    <mergeCell ref="A60:F60"/>
    <mergeCell ref="A61:F61"/>
    <mergeCell ref="A63:A64"/>
    <mergeCell ref="B63:B64"/>
    <mergeCell ref="C63:C64"/>
    <mergeCell ref="D63:D64"/>
    <mergeCell ref="E63:F63"/>
    <mergeCell ref="B48:D48"/>
    <mergeCell ref="B27:D27"/>
    <mergeCell ref="A29:B29"/>
  </mergeCells>
  <printOptions horizontalCentered="1"/>
  <pageMargins left="0.51181102362204722" right="0.51181102362204722" top="0.39370078740157483" bottom="0.59055118110236227" header="0.31496062992125984" footer="0.31496062992125984"/>
  <pageSetup paperSize="9" scale="95" orientation="portrait" r:id="rId1"/>
  <rowBreaks count="1" manualBreakCount="1">
    <brk id="56" max="5" man="1"/>
  </rowBreaks>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6A0D10-AAB5-4BAF-BB6A-D86C2C8225ED}">
  <dimension ref="A1:S105"/>
  <sheetViews>
    <sheetView view="pageBreakPreview" zoomScale="110" zoomScaleNormal="100" zoomScaleSheetLayoutView="110" workbookViewId="0">
      <selection activeCell="O28" activeCellId="1" sqref="R15 O28"/>
    </sheetView>
  </sheetViews>
  <sheetFormatPr defaultRowHeight="12.75" x14ac:dyDescent="0.2"/>
  <cols>
    <col min="1" max="1" width="4.7109375" customWidth="1"/>
    <col min="2" max="2" width="45" customWidth="1"/>
    <col min="3" max="3" width="8.42578125" customWidth="1"/>
    <col min="4" max="4" width="14.28515625" customWidth="1"/>
    <col min="5" max="5" width="9.28515625" bestFit="1" customWidth="1"/>
    <col min="6" max="6" width="12.140625" customWidth="1"/>
    <col min="7" max="7" width="14.42578125" customWidth="1"/>
    <col min="8" max="8" width="12.5703125" customWidth="1"/>
    <col min="9" max="9" width="17.7109375" customWidth="1"/>
    <col min="257" max="257" width="4.7109375" customWidth="1"/>
    <col min="258" max="258" width="45" customWidth="1"/>
    <col min="259" max="259" width="8.42578125" customWidth="1"/>
    <col min="260" max="260" width="14.28515625" customWidth="1"/>
    <col min="261" max="261" width="9.28515625" bestFit="1" customWidth="1"/>
    <col min="262" max="262" width="12.140625" customWidth="1"/>
    <col min="263" max="263" width="14.42578125" customWidth="1"/>
    <col min="264" max="264" width="12.5703125" customWidth="1"/>
    <col min="265" max="265" width="17.7109375" customWidth="1"/>
    <col min="513" max="513" width="4.7109375" customWidth="1"/>
    <col min="514" max="514" width="45" customWidth="1"/>
    <col min="515" max="515" width="8.42578125" customWidth="1"/>
    <col min="516" max="516" width="14.28515625" customWidth="1"/>
    <col min="517" max="517" width="9.28515625" bestFit="1" customWidth="1"/>
    <col min="518" max="518" width="12.140625" customWidth="1"/>
    <col min="519" max="519" width="14.42578125" customWidth="1"/>
    <col min="520" max="520" width="12.5703125" customWidth="1"/>
    <col min="521" max="521" width="17.7109375" customWidth="1"/>
    <col min="769" max="769" width="4.7109375" customWidth="1"/>
    <col min="770" max="770" width="45" customWidth="1"/>
    <col min="771" max="771" width="8.42578125" customWidth="1"/>
    <col min="772" max="772" width="14.28515625" customWidth="1"/>
    <col min="773" max="773" width="9.28515625" bestFit="1" customWidth="1"/>
    <col min="774" max="774" width="12.140625" customWidth="1"/>
    <col min="775" max="775" width="14.42578125" customWidth="1"/>
    <col min="776" max="776" width="12.5703125" customWidth="1"/>
    <col min="777" max="777" width="17.7109375" customWidth="1"/>
    <col min="1025" max="1025" width="4.7109375" customWidth="1"/>
    <col min="1026" max="1026" width="45" customWidth="1"/>
    <col min="1027" max="1027" width="8.42578125" customWidth="1"/>
    <col min="1028" max="1028" width="14.28515625" customWidth="1"/>
    <col min="1029" max="1029" width="9.28515625" bestFit="1" customWidth="1"/>
    <col min="1030" max="1030" width="12.140625" customWidth="1"/>
    <col min="1031" max="1031" width="14.42578125" customWidth="1"/>
    <col min="1032" max="1032" width="12.5703125" customWidth="1"/>
    <col min="1033" max="1033" width="17.7109375" customWidth="1"/>
    <col min="1281" max="1281" width="4.7109375" customWidth="1"/>
    <col min="1282" max="1282" width="45" customWidth="1"/>
    <col min="1283" max="1283" width="8.42578125" customWidth="1"/>
    <col min="1284" max="1284" width="14.28515625" customWidth="1"/>
    <col min="1285" max="1285" width="9.28515625" bestFit="1" customWidth="1"/>
    <col min="1286" max="1286" width="12.140625" customWidth="1"/>
    <col min="1287" max="1287" width="14.42578125" customWidth="1"/>
    <col min="1288" max="1288" width="12.5703125" customWidth="1"/>
    <col min="1289" max="1289" width="17.7109375" customWidth="1"/>
    <col min="1537" max="1537" width="4.7109375" customWidth="1"/>
    <col min="1538" max="1538" width="45" customWidth="1"/>
    <col min="1539" max="1539" width="8.42578125" customWidth="1"/>
    <col min="1540" max="1540" width="14.28515625" customWidth="1"/>
    <col min="1541" max="1541" width="9.28515625" bestFit="1" customWidth="1"/>
    <col min="1542" max="1542" width="12.140625" customWidth="1"/>
    <col min="1543" max="1543" width="14.42578125" customWidth="1"/>
    <col min="1544" max="1544" width="12.5703125" customWidth="1"/>
    <col min="1545" max="1545" width="17.7109375" customWidth="1"/>
    <col min="1793" max="1793" width="4.7109375" customWidth="1"/>
    <col min="1794" max="1794" width="45" customWidth="1"/>
    <col min="1795" max="1795" width="8.42578125" customWidth="1"/>
    <col min="1796" max="1796" width="14.28515625" customWidth="1"/>
    <col min="1797" max="1797" width="9.28515625" bestFit="1" customWidth="1"/>
    <col min="1798" max="1798" width="12.140625" customWidth="1"/>
    <col min="1799" max="1799" width="14.42578125" customWidth="1"/>
    <col min="1800" max="1800" width="12.5703125" customWidth="1"/>
    <col min="1801" max="1801" width="17.7109375" customWidth="1"/>
    <col min="2049" max="2049" width="4.7109375" customWidth="1"/>
    <col min="2050" max="2050" width="45" customWidth="1"/>
    <col min="2051" max="2051" width="8.42578125" customWidth="1"/>
    <col min="2052" max="2052" width="14.28515625" customWidth="1"/>
    <col min="2053" max="2053" width="9.28515625" bestFit="1" customWidth="1"/>
    <col min="2054" max="2054" width="12.140625" customWidth="1"/>
    <col min="2055" max="2055" width="14.42578125" customWidth="1"/>
    <col min="2056" max="2056" width="12.5703125" customWidth="1"/>
    <col min="2057" max="2057" width="17.7109375" customWidth="1"/>
    <col min="2305" max="2305" width="4.7109375" customWidth="1"/>
    <col min="2306" max="2306" width="45" customWidth="1"/>
    <col min="2307" max="2307" width="8.42578125" customWidth="1"/>
    <col min="2308" max="2308" width="14.28515625" customWidth="1"/>
    <col min="2309" max="2309" width="9.28515625" bestFit="1" customWidth="1"/>
    <col min="2310" max="2310" width="12.140625" customWidth="1"/>
    <col min="2311" max="2311" width="14.42578125" customWidth="1"/>
    <col min="2312" max="2312" width="12.5703125" customWidth="1"/>
    <col min="2313" max="2313" width="17.7109375" customWidth="1"/>
    <col min="2561" max="2561" width="4.7109375" customWidth="1"/>
    <col min="2562" max="2562" width="45" customWidth="1"/>
    <col min="2563" max="2563" width="8.42578125" customWidth="1"/>
    <col min="2564" max="2564" width="14.28515625" customWidth="1"/>
    <col min="2565" max="2565" width="9.28515625" bestFit="1" customWidth="1"/>
    <col min="2566" max="2566" width="12.140625" customWidth="1"/>
    <col min="2567" max="2567" width="14.42578125" customWidth="1"/>
    <col min="2568" max="2568" width="12.5703125" customWidth="1"/>
    <col min="2569" max="2569" width="17.7109375" customWidth="1"/>
    <col min="2817" max="2817" width="4.7109375" customWidth="1"/>
    <col min="2818" max="2818" width="45" customWidth="1"/>
    <col min="2819" max="2819" width="8.42578125" customWidth="1"/>
    <col min="2820" max="2820" width="14.28515625" customWidth="1"/>
    <col min="2821" max="2821" width="9.28515625" bestFit="1" customWidth="1"/>
    <col min="2822" max="2822" width="12.140625" customWidth="1"/>
    <col min="2823" max="2823" width="14.42578125" customWidth="1"/>
    <col min="2824" max="2824" width="12.5703125" customWidth="1"/>
    <col min="2825" max="2825" width="17.7109375" customWidth="1"/>
    <col min="3073" max="3073" width="4.7109375" customWidth="1"/>
    <col min="3074" max="3074" width="45" customWidth="1"/>
    <col min="3075" max="3075" width="8.42578125" customWidth="1"/>
    <col min="3076" max="3076" width="14.28515625" customWidth="1"/>
    <col min="3077" max="3077" width="9.28515625" bestFit="1" customWidth="1"/>
    <col min="3078" max="3078" width="12.140625" customWidth="1"/>
    <col min="3079" max="3079" width="14.42578125" customWidth="1"/>
    <col min="3080" max="3080" width="12.5703125" customWidth="1"/>
    <col min="3081" max="3081" width="17.7109375" customWidth="1"/>
    <col min="3329" max="3329" width="4.7109375" customWidth="1"/>
    <col min="3330" max="3330" width="45" customWidth="1"/>
    <col min="3331" max="3331" width="8.42578125" customWidth="1"/>
    <col min="3332" max="3332" width="14.28515625" customWidth="1"/>
    <col min="3333" max="3333" width="9.28515625" bestFit="1" customWidth="1"/>
    <col min="3334" max="3334" width="12.140625" customWidth="1"/>
    <col min="3335" max="3335" width="14.42578125" customWidth="1"/>
    <col min="3336" max="3336" width="12.5703125" customWidth="1"/>
    <col min="3337" max="3337" width="17.7109375" customWidth="1"/>
    <col min="3585" max="3585" width="4.7109375" customWidth="1"/>
    <col min="3586" max="3586" width="45" customWidth="1"/>
    <col min="3587" max="3587" width="8.42578125" customWidth="1"/>
    <col min="3588" max="3588" width="14.28515625" customWidth="1"/>
    <col min="3589" max="3589" width="9.28515625" bestFit="1" customWidth="1"/>
    <col min="3590" max="3590" width="12.140625" customWidth="1"/>
    <col min="3591" max="3591" width="14.42578125" customWidth="1"/>
    <col min="3592" max="3592" width="12.5703125" customWidth="1"/>
    <col min="3593" max="3593" width="17.7109375" customWidth="1"/>
    <col min="3841" max="3841" width="4.7109375" customWidth="1"/>
    <col min="3842" max="3842" width="45" customWidth="1"/>
    <col min="3843" max="3843" width="8.42578125" customWidth="1"/>
    <col min="3844" max="3844" width="14.28515625" customWidth="1"/>
    <col min="3845" max="3845" width="9.28515625" bestFit="1" customWidth="1"/>
    <col min="3846" max="3846" width="12.140625" customWidth="1"/>
    <col min="3847" max="3847" width="14.42578125" customWidth="1"/>
    <col min="3848" max="3848" width="12.5703125" customWidth="1"/>
    <col min="3849" max="3849" width="17.7109375" customWidth="1"/>
    <col min="4097" max="4097" width="4.7109375" customWidth="1"/>
    <col min="4098" max="4098" width="45" customWidth="1"/>
    <col min="4099" max="4099" width="8.42578125" customWidth="1"/>
    <col min="4100" max="4100" width="14.28515625" customWidth="1"/>
    <col min="4101" max="4101" width="9.28515625" bestFit="1" customWidth="1"/>
    <col min="4102" max="4102" width="12.140625" customWidth="1"/>
    <col min="4103" max="4103" width="14.42578125" customWidth="1"/>
    <col min="4104" max="4104" width="12.5703125" customWidth="1"/>
    <col min="4105" max="4105" width="17.7109375" customWidth="1"/>
    <col min="4353" max="4353" width="4.7109375" customWidth="1"/>
    <col min="4354" max="4354" width="45" customWidth="1"/>
    <col min="4355" max="4355" width="8.42578125" customWidth="1"/>
    <col min="4356" max="4356" width="14.28515625" customWidth="1"/>
    <col min="4357" max="4357" width="9.28515625" bestFit="1" customWidth="1"/>
    <col min="4358" max="4358" width="12.140625" customWidth="1"/>
    <col min="4359" max="4359" width="14.42578125" customWidth="1"/>
    <col min="4360" max="4360" width="12.5703125" customWidth="1"/>
    <col min="4361" max="4361" width="17.7109375" customWidth="1"/>
    <col min="4609" max="4609" width="4.7109375" customWidth="1"/>
    <col min="4610" max="4610" width="45" customWidth="1"/>
    <col min="4611" max="4611" width="8.42578125" customWidth="1"/>
    <col min="4612" max="4612" width="14.28515625" customWidth="1"/>
    <col min="4613" max="4613" width="9.28515625" bestFit="1" customWidth="1"/>
    <col min="4614" max="4614" width="12.140625" customWidth="1"/>
    <col min="4615" max="4615" width="14.42578125" customWidth="1"/>
    <col min="4616" max="4616" width="12.5703125" customWidth="1"/>
    <col min="4617" max="4617" width="17.7109375" customWidth="1"/>
    <col min="4865" max="4865" width="4.7109375" customWidth="1"/>
    <col min="4866" max="4866" width="45" customWidth="1"/>
    <col min="4867" max="4867" width="8.42578125" customWidth="1"/>
    <col min="4868" max="4868" width="14.28515625" customWidth="1"/>
    <col min="4869" max="4869" width="9.28515625" bestFit="1" customWidth="1"/>
    <col min="4870" max="4870" width="12.140625" customWidth="1"/>
    <col min="4871" max="4871" width="14.42578125" customWidth="1"/>
    <col min="4872" max="4872" width="12.5703125" customWidth="1"/>
    <col min="4873" max="4873" width="17.7109375" customWidth="1"/>
    <col min="5121" max="5121" width="4.7109375" customWidth="1"/>
    <col min="5122" max="5122" width="45" customWidth="1"/>
    <col min="5123" max="5123" width="8.42578125" customWidth="1"/>
    <col min="5124" max="5124" width="14.28515625" customWidth="1"/>
    <col min="5125" max="5125" width="9.28515625" bestFit="1" customWidth="1"/>
    <col min="5126" max="5126" width="12.140625" customWidth="1"/>
    <col min="5127" max="5127" width="14.42578125" customWidth="1"/>
    <col min="5128" max="5128" width="12.5703125" customWidth="1"/>
    <col min="5129" max="5129" width="17.7109375" customWidth="1"/>
    <col min="5377" max="5377" width="4.7109375" customWidth="1"/>
    <col min="5378" max="5378" width="45" customWidth="1"/>
    <col min="5379" max="5379" width="8.42578125" customWidth="1"/>
    <col min="5380" max="5380" width="14.28515625" customWidth="1"/>
    <col min="5381" max="5381" width="9.28515625" bestFit="1" customWidth="1"/>
    <col min="5382" max="5382" width="12.140625" customWidth="1"/>
    <col min="5383" max="5383" width="14.42578125" customWidth="1"/>
    <col min="5384" max="5384" width="12.5703125" customWidth="1"/>
    <col min="5385" max="5385" width="17.7109375" customWidth="1"/>
    <col min="5633" max="5633" width="4.7109375" customWidth="1"/>
    <col min="5634" max="5634" width="45" customWidth="1"/>
    <col min="5635" max="5635" width="8.42578125" customWidth="1"/>
    <col min="5636" max="5636" width="14.28515625" customWidth="1"/>
    <col min="5637" max="5637" width="9.28515625" bestFit="1" customWidth="1"/>
    <col min="5638" max="5638" width="12.140625" customWidth="1"/>
    <col min="5639" max="5639" width="14.42578125" customWidth="1"/>
    <col min="5640" max="5640" width="12.5703125" customWidth="1"/>
    <col min="5641" max="5641" width="17.7109375" customWidth="1"/>
    <col min="5889" max="5889" width="4.7109375" customWidth="1"/>
    <col min="5890" max="5890" width="45" customWidth="1"/>
    <col min="5891" max="5891" width="8.42578125" customWidth="1"/>
    <col min="5892" max="5892" width="14.28515625" customWidth="1"/>
    <col min="5893" max="5893" width="9.28515625" bestFit="1" customWidth="1"/>
    <col min="5894" max="5894" width="12.140625" customWidth="1"/>
    <col min="5895" max="5895" width="14.42578125" customWidth="1"/>
    <col min="5896" max="5896" width="12.5703125" customWidth="1"/>
    <col min="5897" max="5897" width="17.7109375" customWidth="1"/>
    <col min="6145" max="6145" width="4.7109375" customWidth="1"/>
    <col min="6146" max="6146" width="45" customWidth="1"/>
    <col min="6147" max="6147" width="8.42578125" customWidth="1"/>
    <col min="6148" max="6148" width="14.28515625" customWidth="1"/>
    <col min="6149" max="6149" width="9.28515625" bestFit="1" customWidth="1"/>
    <col min="6150" max="6150" width="12.140625" customWidth="1"/>
    <col min="6151" max="6151" width="14.42578125" customWidth="1"/>
    <col min="6152" max="6152" width="12.5703125" customWidth="1"/>
    <col min="6153" max="6153" width="17.7109375" customWidth="1"/>
    <col min="6401" max="6401" width="4.7109375" customWidth="1"/>
    <col min="6402" max="6402" width="45" customWidth="1"/>
    <col min="6403" max="6403" width="8.42578125" customWidth="1"/>
    <col min="6404" max="6404" width="14.28515625" customWidth="1"/>
    <col min="6405" max="6405" width="9.28515625" bestFit="1" customWidth="1"/>
    <col min="6406" max="6406" width="12.140625" customWidth="1"/>
    <col min="6407" max="6407" width="14.42578125" customWidth="1"/>
    <col min="6408" max="6408" width="12.5703125" customWidth="1"/>
    <col min="6409" max="6409" width="17.7109375" customWidth="1"/>
    <col min="6657" max="6657" width="4.7109375" customWidth="1"/>
    <col min="6658" max="6658" width="45" customWidth="1"/>
    <col min="6659" max="6659" width="8.42578125" customWidth="1"/>
    <col min="6660" max="6660" width="14.28515625" customWidth="1"/>
    <col min="6661" max="6661" width="9.28515625" bestFit="1" customWidth="1"/>
    <col min="6662" max="6662" width="12.140625" customWidth="1"/>
    <col min="6663" max="6663" width="14.42578125" customWidth="1"/>
    <col min="6664" max="6664" width="12.5703125" customWidth="1"/>
    <col min="6665" max="6665" width="17.7109375" customWidth="1"/>
    <col min="6913" max="6913" width="4.7109375" customWidth="1"/>
    <col min="6914" max="6914" width="45" customWidth="1"/>
    <col min="6915" max="6915" width="8.42578125" customWidth="1"/>
    <col min="6916" max="6916" width="14.28515625" customWidth="1"/>
    <col min="6917" max="6917" width="9.28515625" bestFit="1" customWidth="1"/>
    <col min="6918" max="6918" width="12.140625" customWidth="1"/>
    <col min="6919" max="6919" width="14.42578125" customWidth="1"/>
    <col min="6920" max="6920" width="12.5703125" customWidth="1"/>
    <col min="6921" max="6921" width="17.7109375" customWidth="1"/>
    <col min="7169" max="7169" width="4.7109375" customWidth="1"/>
    <col min="7170" max="7170" width="45" customWidth="1"/>
    <col min="7171" max="7171" width="8.42578125" customWidth="1"/>
    <col min="7172" max="7172" width="14.28515625" customWidth="1"/>
    <col min="7173" max="7173" width="9.28515625" bestFit="1" customWidth="1"/>
    <col min="7174" max="7174" width="12.140625" customWidth="1"/>
    <col min="7175" max="7175" width="14.42578125" customWidth="1"/>
    <col min="7176" max="7176" width="12.5703125" customWidth="1"/>
    <col min="7177" max="7177" width="17.7109375" customWidth="1"/>
    <col min="7425" max="7425" width="4.7109375" customWidth="1"/>
    <col min="7426" max="7426" width="45" customWidth="1"/>
    <col min="7427" max="7427" width="8.42578125" customWidth="1"/>
    <col min="7428" max="7428" width="14.28515625" customWidth="1"/>
    <col min="7429" max="7429" width="9.28515625" bestFit="1" customWidth="1"/>
    <col min="7430" max="7430" width="12.140625" customWidth="1"/>
    <col min="7431" max="7431" width="14.42578125" customWidth="1"/>
    <col min="7432" max="7432" width="12.5703125" customWidth="1"/>
    <col min="7433" max="7433" width="17.7109375" customWidth="1"/>
    <col min="7681" max="7681" width="4.7109375" customWidth="1"/>
    <col min="7682" max="7682" width="45" customWidth="1"/>
    <col min="7683" max="7683" width="8.42578125" customWidth="1"/>
    <col min="7684" max="7684" width="14.28515625" customWidth="1"/>
    <col min="7685" max="7685" width="9.28515625" bestFit="1" customWidth="1"/>
    <col min="7686" max="7686" width="12.140625" customWidth="1"/>
    <col min="7687" max="7687" width="14.42578125" customWidth="1"/>
    <col min="7688" max="7688" width="12.5703125" customWidth="1"/>
    <col min="7689" max="7689" width="17.7109375" customWidth="1"/>
    <col min="7937" max="7937" width="4.7109375" customWidth="1"/>
    <col min="7938" max="7938" width="45" customWidth="1"/>
    <col min="7939" max="7939" width="8.42578125" customWidth="1"/>
    <col min="7940" max="7940" width="14.28515625" customWidth="1"/>
    <col min="7941" max="7941" width="9.28515625" bestFit="1" customWidth="1"/>
    <col min="7942" max="7942" width="12.140625" customWidth="1"/>
    <col min="7943" max="7943" width="14.42578125" customWidth="1"/>
    <col min="7944" max="7944" width="12.5703125" customWidth="1"/>
    <col min="7945" max="7945" width="17.7109375" customWidth="1"/>
    <col min="8193" max="8193" width="4.7109375" customWidth="1"/>
    <col min="8194" max="8194" width="45" customWidth="1"/>
    <col min="8195" max="8195" width="8.42578125" customWidth="1"/>
    <col min="8196" max="8196" width="14.28515625" customWidth="1"/>
    <col min="8197" max="8197" width="9.28515625" bestFit="1" customWidth="1"/>
    <col min="8198" max="8198" width="12.140625" customWidth="1"/>
    <col min="8199" max="8199" width="14.42578125" customWidth="1"/>
    <col min="8200" max="8200" width="12.5703125" customWidth="1"/>
    <col min="8201" max="8201" width="17.7109375" customWidth="1"/>
    <col min="8449" max="8449" width="4.7109375" customWidth="1"/>
    <col min="8450" max="8450" width="45" customWidth="1"/>
    <col min="8451" max="8451" width="8.42578125" customWidth="1"/>
    <col min="8452" max="8452" width="14.28515625" customWidth="1"/>
    <col min="8453" max="8453" width="9.28515625" bestFit="1" customWidth="1"/>
    <col min="8454" max="8454" width="12.140625" customWidth="1"/>
    <col min="8455" max="8455" width="14.42578125" customWidth="1"/>
    <col min="8456" max="8456" width="12.5703125" customWidth="1"/>
    <col min="8457" max="8457" width="17.7109375" customWidth="1"/>
    <col min="8705" max="8705" width="4.7109375" customWidth="1"/>
    <col min="8706" max="8706" width="45" customWidth="1"/>
    <col min="8707" max="8707" width="8.42578125" customWidth="1"/>
    <col min="8708" max="8708" width="14.28515625" customWidth="1"/>
    <col min="8709" max="8709" width="9.28515625" bestFit="1" customWidth="1"/>
    <col min="8710" max="8710" width="12.140625" customWidth="1"/>
    <col min="8711" max="8711" width="14.42578125" customWidth="1"/>
    <col min="8712" max="8712" width="12.5703125" customWidth="1"/>
    <col min="8713" max="8713" width="17.7109375" customWidth="1"/>
    <col min="8961" max="8961" width="4.7109375" customWidth="1"/>
    <col min="8962" max="8962" width="45" customWidth="1"/>
    <col min="8963" max="8963" width="8.42578125" customWidth="1"/>
    <col min="8964" max="8964" width="14.28515625" customWidth="1"/>
    <col min="8965" max="8965" width="9.28515625" bestFit="1" customWidth="1"/>
    <col min="8966" max="8966" width="12.140625" customWidth="1"/>
    <col min="8967" max="8967" width="14.42578125" customWidth="1"/>
    <col min="8968" max="8968" width="12.5703125" customWidth="1"/>
    <col min="8969" max="8969" width="17.7109375" customWidth="1"/>
    <col min="9217" max="9217" width="4.7109375" customWidth="1"/>
    <col min="9218" max="9218" width="45" customWidth="1"/>
    <col min="9219" max="9219" width="8.42578125" customWidth="1"/>
    <col min="9220" max="9220" width="14.28515625" customWidth="1"/>
    <col min="9221" max="9221" width="9.28515625" bestFit="1" customWidth="1"/>
    <col min="9222" max="9222" width="12.140625" customWidth="1"/>
    <col min="9223" max="9223" width="14.42578125" customWidth="1"/>
    <col min="9224" max="9224" width="12.5703125" customWidth="1"/>
    <col min="9225" max="9225" width="17.7109375" customWidth="1"/>
    <col min="9473" max="9473" width="4.7109375" customWidth="1"/>
    <col min="9474" max="9474" width="45" customWidth="1"/>
    <col min="9475" max="9475" width="8.42578125" customWidth="1"/>
    <col min="9476" max="9476" width="14.28515625" customWidth="1"/>
    <col min="9477" max="9477" width="9.28515625" bestFit="1" customWidth="1"/>
    <col min="9478" max="9478" width="12.140625" customWidth="1"/>
    <col min="9479" max="9479" width="14.42578125" customWidth="1"/>
    <col min="9480" max="9480" width="12.5703125" customWidth="1"/>
    <col min="9481" max="9481" width="17.7109375" customWidth="1"/>
    <col min="9729" max="9729" width="4.7109375" customWidth="1"/>
    <col min="9730" max="9730" width="45" customWidth="1"/>
    <col min="9731" max="9731" width="8.42578125" customWidth="1"/>
    <col min="9732" max="9732" width="14.28515625" customWidth="1"/>
    <col min="9733" max="9733" width="9.28515625" bestFit="1" customWidth="1"/>
    <col min="9734" max="9734" width="12.140625" customWidth="1"/>
    <col min="9735" max="9735" width="14.42578125" customWidth="1"/>
    <col min="9736" max="9736" width="12.5703125" customWidth="1"/>
    <col min="9737" max="9737" width="17.7109375" customWidth="1"/>
    <col min="9985" max="9985" width="4.7109375" customWidth="1"/>
    <col min="9986" max="9986" width="45" customWidth="1"/>
    <col min="9987" max="9987" width="8.42578125" customWidth="1"/>
    <col min="9988" max="9988" width="14.28515625" customWidth="1"/>
    <col min="9989" max="9989" width="9.28515625" bestFit="1" customWidth="1"/>
    <col min="9990" max="9990" width="12.140625" customWidth="1"/>
    <col min="9991" max="9991" width="14.42578125" customWidth="1"/>
    <col min="9992" max="9992" width="12.5703125" customWidth="1"/>
    <col min="9993" max="9993" width="17.7109375" customWidth="1"/>
    <col min="10241" max="10241" width="4.7109375" customWidth="1"/>
    <col min="10242" max="10242" width="45" customWidth="1"/>
    <col min="10243" max="10243" width="8.42578125" customWidth="1"/>
    <col min="10244" max="10244" width="14.28515625" customWidth="1"/>
    <col min="10245" max="10245" width="9.28515625" bestFit="1" customWidth="1"/>
    <col min="10246" max="10246" width="12.140625" customWidth="1"/>
    <col min="10247" max="10247" width="14.42578125" customWidth="1"/>
    <col min="10248" max="10248" width="12.5703125" customWidth="1"/>
    <col min="10249" max="10249" width="17.7109375" customWidth="1"/>
    <col min="10497" max="10497" width="4.7109375" customWidth="1"/>
    <col min="10498" max="10498" width="45" customWidth="1"/>
    <col min="10499" max="10499" width="8.42578125" customWidth="1"/>
    <col min="10500" max="10500" width="14.28515625" customWidth="1"/>
    <col min="10501" max="10501" width="9.28515625" bestFit="1" customWidth="1"/>
    <col min="10502" max="10502" width="12.140625" customWidth="1"/>
    <col min="10503" max="10503" width="14.42578125" customWidth="1"/>
    <col min="10504" max="10504" width="12.5703125" customWidth="1"/>
    <col min="10505" max="10505" width="17.7109375" customWidth="1"/>
    <col min="10753" max="10753" width="4.7109375" customWidth="1"/>
    <col min="10754" max="10754" width="45" customWidth="1"/>
    <col min="10755" max="10755" width="8.42578125" customWidth="1"/>
    <col min="10756" max="10756" width="14.28515625" customWidth="1"/>
    <col min="10757" max="10757" width="9.28515625" bestFit="1" customWidth="1"/>
    <col min="10758" max="10758" width="12.140625" customWidth="1"/>
    <col min="10759" max="10759" width="14.42578125" customWidth="1"/>
    <col min="10760" max="10760" width="12.5703125" customWidth="1"/>
    <col min="10761" max="10761" width="17.7109375" customWidth="1"/>
    <col min="11009" max="11009" width="4.7109375" customWidth="1"/>
    <col min="11010" max="11010" width="45" customWidth="1"/>
    <col min="11011" max="11011" width="8.42578125" customWidth="1"/>
    <col min="11012" max="11012" width="14.28515625" customWidth="1"/>
    <col min="11013" max="11013" width="9.28515625" bestFit="1" customWidth="1"/>
    <col min="11014" max="11014" width="12.140625" customWidth="1"/>
    <col min="11015" max="11015" width="14.42578125" customWidth="1"/>
    <col min="11016" max="11016" width="12.5703125" customWidth="1"/>
    <col min="11017" max="11017" width="17.7109375" customWidth="1"/>
    <col min="11265" max="11265" width="4.7109375" customWidth="1"/>
    <col min="11266" max="11266" width="45" customWidth="1"/>
    <col min="11267" max="11267" width="8.42578125" customWidth="1"/>
    <col min="11268" max="11268" width="14.28515625" customWidth="1"/>
    <col min="11269" max="11269" width="9.28515625" bestFit="1" customWidth="1"/>
    <col min="11270" max="11270" width="12.140625" customWidth="1"/>
    <col min="11271" max="11271" width="14.42578125" customWidth="1"/>
    <col min="11272" max="11272" width="12.5703125" customWidth="1"/>
    <col min="11273" max="11273" width="17.7109375" customWidth="1"/>
    <col min="11521" max="11521" width="4.7109375" customWidth="1"/>
    <col min="11522" max="11522" width="45" customWidth="1"/>
    <col min="11523" max="11523" width="8.42578125" customWidth="1"/>
    <col min="11524" max="11524" width="14.28515625" customWidth="1"/>
    <col min="11525" max="11525" width="9.28515625" bestFit="1" customWidth="1"/>
    <col min="11526" max="11526" width="12.140625" customWidth="1"/>
    <col min="11527" max="11527" width="14.42578125" customWidth="1"/>
    <col min="11528" max="11528" width="12.5703125" customWidth="1"/>
    <col min="11529" max="11529" width="17.7109375" customWidth="1"/>
    <col min="11777" max="11777" width="4.7109375" customWidth="1"/>
    <col min="11778" max="11778" width="45" customWidth="1"/>
    <col min="11779" max="11779" width="8.42578125" customWidth="1"/>
    <col min="11780" max="11780" width="14.28515625" customWidth="1"/>
    <col min="11781" max="11781" width="9.28515625" bestFit="1" customWidth="1"/>
    <col min="11782" max="11782" width="12.140625" customWidth="1"/>
    <col min="11783" max="11783" width="14.42578125" customWidth="1"/>
    <col min="11784" max="11784" width="12.5703125" customWidth="1"/>
    <col min="11785" max="11785" width="17.7109375" customWidth="1"/>
    <col min="12033" max="12033" width="4.7109375" customWidth="1"/>
    <col min="12034" max="12034" width="45" customWidth="1"/>
    <col min="12035" max="12035" width="8.42578125" customWidth="1"/>
    <col min="12036" max="12036" width="14.28515625" customWidth="1"/>
    <col min="12037" max="12037" width="9.28515625" bestFit="1" customWidth="1"/>
    <col min="12038" max="12038" width="12.140625" customWidth="1"/>
    <col min="12039" max="12039" width="14.42578125" customWidth="1"/>
    <col min="12040" max="12040" width="12.5703125" customWidth="1"/>
    <col min="12041" max="12041" width="17.7109375" customWidth="1"/>
    <col min="12289" max="12289" width="4.7109375" customWidth="1"/>
    <col min="12290" max="12290" width="45" customWidth="1"/>
    <col min="12291" max="12291" width="8.42578125" customWidth="1"/>
    <col min="12292" max="12292" width="14.28515625" customWidth="1"/>
    <col min="12293" max="12293" width="9.28515625" bestFit="1" customWidth="1"/>
    <col min="12294" max="12294" width="12.140625" customWidth="1"/>
    <col min="12295" max="12295" width="14.42578125" customWidth="1"/>
    <col min="12296" max="12296" width="12.5703125" customWidth="1"/>
    <col min="12297" max="12297" width="17.7109375" customWidth="1"/>
    <col min="12545" max="12545" width="4.7109375" customWidth="1"/>
    <col min="12546" max="12546" width="45" customWidth="1"/>
    <col min="12547" max="12547" width="8.42578125" customWidth="1"/>
    <col min="12548" max="12548" width="14.28515625" customWidth="1"/>
    <col min="12549" max="12549" width="9.28515625" bestFit="1" customWidth="1"/>
    <col min="12550" max="12550" width="12.140625" customWidth="1"/>
    <col min="12551" max="12551" width="14.42578125" customWidth="1"/>
    <col min="12552" max="12552" width="12.5703125" customWidth="1"/>
    <col min="12553" max="12553" width="17.7109375" customWidth="1"/>
    <col min="12801" max="12801" width="4.7109375" customWidth="1"/>
    <col min="12802" max="12802" width="45" customWidth="1"/>
    <col min="12803" max="12803" width="8.42578125" customWidth="1"/>
    <col min="12804" max="12804" width="14.28515625" customWidth="1"/>
    <col min="12805" max="12805" width="9.28515625" bestFit="1" customWidth="1"/>
    <col min="12806" max="12806" width="12.140625" customWidth="1"/>
    <col min="12807" max="12807" width="14.42578125" customWidth="1"/>
    <col min="12808" max="12808" width="12.5703125" customWidth="1"/>
    <col min="12809" max="12809" width="17.7109375" customWidth="1"/>
    <col min="13057" max="13057" width="4.7109375" customWidth="1"/>
    <col min="13058" max="13058" width="45" customWidth="1"/>
    <col min="13059" max="13059" width="8.42578125" customWidth="1"/>
    <col min="13060" max="13060" width="14.28515625" customWidth="1"/>
    <col min="13061" max="13061" width="9.28515625" bestFit="1" customWidth="1"/>
    <col min="13062" max="13062" width="12.140625" customWidth="1"/>
    <col min="13063" max="13063" width="14.42578125" customWidth="1"/>
    <col min="13064" max="13064" width="12.5703125" customWidth="1"/>
    <col min="13065" max="13065" width="17.7109375" customWidth="1"/>
    <col min="13313" max="13313" width="4.7109375" customWidth="1"/>
    <col min="13314" max="13314" width="45" customWidth="1"/>
    <col min="13315" max="13315" width="8.42578125" customWidth="1"/>
    <col min="13316" max="13316" width="14.28515625" customWidth="1"/>
    <col min="13317" max="13317" width="9.28515625" bestFit="1" customWidth="1"/>
    <col min="13318" max="13318" width="12.140625" customWidth="1"/>
    <col min="13319" max="13319" width="14.42578125" customWidth="1"/>
    <col min="13320" max="13320" width="12.5703125" customWidth="1"/>
    <col min="13321" max="13321" width="17.7109375" customWidth="1"/>
    <col min="13569" max="13569" width="4.7109375" customWidth="1"/>
    <col min="13570" max="13570" width="45" customWidth="1"/>
    <col min="13571" max="13571" width="8.42578125" customWidth="1"/>
    <col min="13572" max="13572" width="14.28515625" customWidth="1"/>
    <col min="13573" max="13573" width="9.28515625" bestFit="1" customWidth="1"/>
    <col min="13574" max="13574" width="12.140625" customWidth="1"/>
    <col min="13575" max="13575" width="14.42578125" customWidth="1"/>
    <col min="13576" max="13576" width="12.5703125" customWidth="1"/>
    <col min="13577" max="13577" width="17.7109375" customWidth="1"/>
    <col min="13825" max="13825" width="4.7109375" customWidth="1"/>
    <col min="13826" max="13826" width="45" customWidth="1"/>
    <col min="13827" max="13827" width="8.42578125" customWidth="1"/>
    <col min="13828" max="13828" width="14.28515625" customWidth="1"/>
    <col min="13829" max="13829" width="9.28515625" bestFit="1" customWidth="1"/>
    <col min="13830" max="13830" width="12.140625" customWidth="1"/>
    <col min="13831" max="13831" width="14.42578125" customWidth="1"/>
    <col min="13832" max="13832" width="12.5703125" customWidth="1"/>
    <col min="13833" max="13833" width="17.7109375" customWidth="1"/>
    <col min="14081" max="14081" width="4.7109375" customWidth="1"/>
    <col min="14082" max="14082" width="45" customWidth="1"/>
    <col min="14083" max="14083" width="8.42578125" customWidth="1"/>
    <col min="14084" max="14084" width="14.28515625" customWidth="1"/>
    <col min="14085" max="14085" width="9.28515625" bestFit="1" customWidth="1"/>
    <col min="14086" max="14086" width="12.140625" customWidth="1"/>
    <col min="14087" max="14087" width="14.42578125" customWidth="1"/>
    <col min="14088" max="14088" width="12.5703125" customWidth="1"/>
    <col min="14089" max="14089" width="17.7109375" customWidth="1"/>
    <col min="14337" max="14337" width="4.7109375" customWidth="1"/>
    <col min="14338" max="14338" width="45" customWidth="1"/>
    <col min="14339" max="14339" width="8.42578125" customWidth="1"/>
    <col min="14340" max="14340" width="14.28515625" customWidth="1"/>
    <col min="14341" max="14341" width="9.28515625" bestFit="1" customWidth="1"/>
    <col min="14342" max="14342" width="12.140625" customWidth="1"/>
    <col min="14343" max="14343" width="14.42578125" customWidth="1"/>
    <col min="14344" max="14344" width="12.5703125" customWidth="1"/>
    <col min="14345" max="14345" width="17.7109375" customWidth="1"/>
    <col min="14593" max="14593" width="4.7109375" customWidth="1"/>
    <col min="14594" max="14594" width="45" customWidth="1"/>
    <col min="14595" max="14595" width="8.42578125" customWidth="1"/>
    <col min="14596" max="14596" width="14.28515625" customWidth="1"/>
    <col min="14597" max="14597" width="9.28515625" bestFit="1" customWidth="1"/>
    <col min="14598" max="14598" width="12.140625" customWidth="1"/>
    <col min="14599" max="14599" width="14.42578125" customWidth="1"/>
    <col min="14600" max="14600" width="12.5703125" customWidth="1"/>
    <col min="14601" max="14601" width="17.7109375" customWidth="1"/>
    <col min="14849" max="14849" width="4.7109375" customWidth="1"/>
    <col min="14850" max="14850" width="45" customWidth="1"/>
    <col min="14851" max="14851" width="8.42578125" customWidth="1"/>
    <col min="14852" max="14852" width="14.28515625" customWidth="1"/>
    <col min="14853" max="14853" width="9.28515625" bestFit="1" customWidth="1"/>
    <col min="14854" max="14854" width="12.140625" customWidth="1"/>
    <col min="14855" max="14855" width="14.42578125" customWidth="1"/>
    <col min="14856" max="14856" width="12.5703125" customWidth="1"/>
    <col min="14857" max="14857" width="17.7109375" customWidth="1"/>
    <col min="15105" max="15105" width="4.7109375" customWidth="1"/>
    <col min="15106" max="15106" width="45" customWidth="1"/>
    <col min="15107" max="15107" width="8.42578125" customWidth="1"/>
    <col min="15108" max="15108" width="14.28515625" customWidth="1"/>
    <col min="15109" max="15109" width="9.28515625" bestFit="1" customWidth="1"/>
    <col min="15110" max="15110" width="12.140625" customWidth="1"/>
    <col min="15111" max="15111" width="14.42578125" customWidth="1"/>
    <col min="15112" max="15112" width="12.5703125" customWidth="1"/>
    <col min="15113" max="15113" width="17.7109375" customWidth="1"/>
    <col min="15361" max="15361" width="4.7109375" customWidth="1"/>
    <col min="15362" max="15362" width="45" customWidth="1"/>
    <col min="15363" max="15363" width="8.42578125" customWidth="1"/>
    <col min="15364" max="15364" width="14.28515625" customWidth="1"/>
    <col min="15365" max="15365" width="9.28515625" bestFit="1" customWidth="1"/>
    <col min="15366" max="15366" width="12.140625" customWidth="1"/>
    <col min="15367" max="15367" width="14.42578125" customWidth="1"/>
    <col min="15368" max="15368" width="12.5703125" customWidth="1"/>
    <col min="15369" max="15369" width="17.7109375" customWidth="1"/>
    <col min="15617" max="15617" width="4.7109375" customWidth="1"/>
    <col min="15618" max="15618" width="45" customWidth="1"/>
    <col min="15619" max="15619" width="8.42578125" customWidth="1"/>
    <col min="15620" max="15620" width="14.28515625" customWidth="1"/>
    <col min="15621" max="15621" width="9.28515625" bestFit="1" customWidth="1"/>
    <col min="15622" max="15622" width="12.140625" customWidth="1"/>
    <col min="15623" max="15623" width="14.42578125" customWidth="1"/>
    <col min="15624" max="15624" width="12.5703125" customWidth="1"/>
    <col min="15625" max="15625" width="17.7109375" customWidth="1"/>
    <col min="15873" max="15873" width="4.7109375" customWidth="1"/>
    <col min="15874" max="15874" width="45" customWidth="1"/>
    <col min="15875" max="15875" width="8.42578125" customWidth="1"/>
    <col min="15876" max="15876" width="14.28515625" customWidth="1"/>
    <col min="15877" max="15877" width="9.28515625" bestFit="1" customWidth="1"/>
    <col min="15878" max="15878" width="12.140625" customWidth="1"/>
    <col min="15879" max="15879" width="14.42578125" customWidth="1"/>
    <col min="15880" max="15880" width="12.5703125" customWidth="1"/>
    <col min="15881" max="15881" width="17.7109375" customWidth="1"/>
    <col min="16129" max="16129" width="4.7109375" customWidth="1"/>
    <col min="16130" max="16130" width="45" customWidth="1"/>
    <col min="16131" max="16131" width="8.42578125" customWidth="1"/>
    <col min="16132" max="16132" width="14.28515625" customWidth="1"/>
    <col min="16133" max="16133" width="9.28515625" bestFit="1" customWidth="1"/>
    <col min="16134" max="16134" width="12.140625" customWidth="1"/>
    <col min="16135" max="16135" width="14.42578125" customWidth="1"/>
    <col min="16136" max="16136" width="12.5703125" customWidth="1"/>
    <col min="16137" max="16137" width="17.7109375" customWidth="1"/>
  </cols>
  <sheetData>
    <row r="1" spans="1:14" x14ac:dyDescent="0.2">
      <c r="A1" s="103" t="s">
        <v>265</v>
      </c>
    </row>
    <row r="2" spans="1:14" x14ac:dyDescent="0.2">
      <c r="A2" s="103" t="str">
        <f>'[2]Planilha Global'!A2</f>
        <v>PREFEITURA MUNICIPAL DE MAMANGUAPE</v>
      </c>
      <c r="G2" t="s">
        <v>421</v>
      </c>
      <c r="H2">
        <v>128.16</v>
      </c>
    </row>
    <row r="3" spans="1:14" ht="5.0999999999999996" customHeight="1" x14ac:dyDescent="0.2"/>
    <row r="4" spans="1:14" s="202" customFormat="1" ht="12.75" customHeight="1" x14ac:dyDescent="0.25">
      <c r="A4" s="729" t="s">
        <v>422</v>
      </c>
      <c r="B4" s="737"/>
      <c r="C4" s="737"/>
      <c r="D4" s="737"/>
      <c r="E4" s="737"/>
      <c r="F4" s="737"/>
      <c r="H4" s="202" t="s">
        <v>423</v>
      </c>
      <c r="I4" s="202" t="s">
        <v>424</v>
      </c>
      <c r="J4" s="202" t="s">
        <v>425</v>
      </c>
      <c r="K4" s="202" t="s">
        <v>426</v>
      </c>
      <c r="L4" s="202" t="s">
        <v>427</v>
      </c>
      <c r="M4" s="202" t="s">
        <v>428</v>
      </c>
      <c r="N4" s="202" t="s">
        <v>429</v>
      </c>
    </row>
    <row r="5" spans="1:14" s="202" customFormat="1" ht="7.5" customHeight="1" x14ac:dyDescent="0.25">
      <c r="A5" s="434"/>
      <c r="B5" s="435"/>
      <c r="C5" s="435"/>
      <c r="D5" s="435"/>
      <c r="E5" s="435"/>
      <c r="F5" s="435"/>
    </row>
    <row r="6" spans="1:14" s="202" customFormat="1" ht="15" customHeight="1" x14ac:dyDescent="0.25">
      <c r="A6" s="258" t="s">
        <v>988</v>
      </c>
      <c r="B6" s="258"/>
      <c r="C6" s="258"/>
      <c r="D6" s="258"/>
      <c r="E6" s="258"/>
      <c r="F6" s="103"/>
      <c r="G6" s="53"/>
      <c r="H6" s="202">
        <f>(8.2+5.5)/2</f>
        <v>6.85</v>
      </c>
      <c r="I6" s="202">
        <v>10</v>
      </c>
      <c r="J6" s="230">
        <f t="shared" ref="J6:J10" si="0">H6*I6</f>
        <v>68.5</v>
      </c>
    </row>
    <row r="7" spans="1:14" s="202" customFormat="1" ht="21" customHeight="1" x14ac:dyDescent="0.25">
      <c r="A7" s="258" t="s">
        <v>525</v>
      </c>
      <c r="B7" s="436"/>
      <c r="C7" s="437"/>
      <c r="D7" s="437"/>
      <c r="E7" s="257"/>
      <c r="F7" s="257"/>
      <c r="G7" s="53"/>
      <c r="H7" s="202">
        <f>(5.5+5.48)/2</f>
        <v>5.49</v>
      </c>
      <c r="I7" s="202">
        <v>46.67</v>
      </c>
      <c r="J7" s="230">
        <f>I7*H7</f>
        <v>256.22000000000003</v>
      </c>
    </row>
    <row r="8" spans="1:14" s="202" customFormat="1" ht="15" customHeight="1" x14ac:dyDescent="0.25">
      <c r="A8" s="103" t="s">
        <v>911</v>
      </c>
      <c r="B8" s="436"/>
      <c r="C8" s="736" t="s">
        <v>991</v>
      </c>
      <c r="D8" s="736"/>
      <c r="E8" s="736"/>
      <c r="F8" s="736"/>
      <c r="G8" s="53"/>
      <c r="H8" s="663">
        <f>(5.48+5.43)/2</f>
        <v>5.4550000000000001</v>
      </c>
      <c r="I8" s="202">
        <v>16.57</v>
      </c>
      <c r="J8" s="230">
        <f t="shared" si="0"/>
        <v>90.39</v>
      </c>
      <c r="K8" s="202">
        <f>2.6+32.03+35.21+10.27+10.06</f>
        <v>90.17</v>
      </c>
      <c r="L8" s="202">
        <f>5.68+4.08+6.31+26.94+12.7+10.5+13.15+2.22+7.65+20.38+25.33+25.4+36.7+29.26+18.73+19.08+9.01+14.58+11.42+7.25+4.36+26.66+12.33+10.58+14.04+3.07+7.89+20.45+25.67+25.67+37.03+29.56+19.1+18.96+8.89+14.81+11.96</f>
        <v>597.4</v>
      </c>
      <c r="M8" s="202">
        <v>2</v>
      </c>
      <c r="N8" s="202">
        <v>1.2</v>
      </c>
    </row>
    <row r="9" spans="1:14" s="202" customFormat="1" ht="15" customHeight="1" x14ac:dyDescent="0.2">
      <c r="A9" s="103" t="s">
        <v>786</v>
      </c>
      <c r="B9" s="438"/>
      <c r="C9" s="736" t="s">
        <v>992</v>
      </c>
      <c r="D9" s="736"/>
      <c r="E9" s="736"/>
      <c r="F9" s="736"/>
      <c r="G9" s="53"/>
      <c r="H9" s="663">
        <f>(5.43+5.51)/2</f>
        <v>5.47</v>
      </c>
      <c r="I9" s="230">
        <v>32.03</v>
      </c>
      <c r="J9" s="230">
        <f t="shared" si="0"/>
        <v>175.2</v>
      </c>
      <c r="K9" s="230"/>
      <c r="L9" s="202">
        <f>2.43+3.39+2.31+2.97+2.01+3.07</f>
        <v>16.18</v>
      </c>
    </row>
    <row r="10" spans="1:14" s="202" customFormat="1" ht="14.25" customHeight="1" x14ac:dyDescent="0.2">
      <c r="A10" s="103" t="s">
        <v>989</v>
      </c>
      <c r="B10" s="438"/>
      <c r="C10" s="736" t="s">
        <v>993</v>
      </c>
      <c r="D10" s="736"/>
      <c r="E10" s="736"/>
      <c r="F10" s="736"/>
      <c r="H10" s="663">
        <f>(5.51+8.24)/2</f>
        <v>6.875</v>
      </c>
      <c r="I10" s="230">
        <v>10.08</v>
      </c>
      <c r="J10" s="230">
        <f t="shared" si="0"/>
        <v>69.3</v>
      </c>
      <c r="K10" s="230"/>
    </row>
    <row r="11" spans="1:14" s="202" customFormat="1" ht="14.25" customHeight="1" x14ac:dyDescent="0.2">
      <c r="A11" s="103" t="s">
        <v>990</v>
      </c>
      <c r="B11" s="438"/>
      <c r="C11" s="103" t="s">
        <v>994</v>
      </c>
      <c r="D11" s="437"/>
      <c r="E11" s="437"/>
      <c r="F11" s="437"/>
      <c r="H11" s="663"/>
      <c r="I11" s="230"/>
      <c r="J11" s="230">
        <f>SUM(J6:J10)</f>
        <v>659.61</v>
      </c>
    </row>
    <row r="12" spans="1:14" s="202" customFormat="1" ht="14.25" customHeight="1" x14ac:dyDescent="0.2">
      <c r="A12" s="103"/>
      <c r="B12" s="438"/>
      <c r="C12" s="103"/>
      <c r="D12" s="437"/>
      <c r="E12" s="103"/>
      <c r="F12" s="103"/>
      <c r="H12" s="663"/>
      <c r="I12" s="230"/>
      <c r="J12" s="230"/>
    </row>
    <row r="13" spans="1:14" s="202" customFormat="1" ht="15" customHeight="1" x14ac:dyDescent="0.25">
      <c r="A13" s="515" t="s">
        <v>995</v>
      </c>
      <c r="B13" s="436"/>
      <c r="C13" s="736" t="s">
        <v>998</v>
      </c>
      <c r="D13" s="736"/>
      <c r="E13" s="736"/>
      <c r="F13" s="736"/>
      <c r="G13" s="53"/>
      <c r="H13" s="663"/>
      <c r="I13" s="230"/>
      <c r="J13" s="230"/>
    </row>
    <row r="14" spans="1:14" s="202" customFormat="1" ht="15" customHeight="1" x14ac:dyDescent="0.2">
      <c r="A14" s="515" t="s">
        <v>996</v>
      </c>
      <c r="B14" s="438"/>
      <c r="C14" s="736" t="s">
        <v>999</v>
      </c>
      <c r="D14" s="736"/>
      <c r="E14" s="736"/>
      <c r="F14" s="736"/>
      <c r="G14" s="53"/>
      <c r="H14" s="663"/>
      <c r="I14" s="230"/>
      <c r="J14" s="230"/>
      <c r="K14" s="230"/>
    </row>
    <row r="15" spans="1:14" s="202" customFormat="1" ht="14.25" customHeight="1" x14ac:dyDescent="0.2">
      <c r="A15" s="515" t="s">
        <v>997</v>
      </c>
      <c r="B15" s="438"/>
      <c r="C15" s="666" t="s">
        <v>1000</v>
      </c>
      <c r="D15" s="666"/>
      <c r="E15" s="666"/>
      <c r="F15" s="666"/>
      <c r="H15" s="663"/>
      <c r="I15" s="230"/>
      <c r="J15" s="230"/>
      <c r="K15" s="230"/>
    </row>
    <row r="16" spans="1:14" s="202" customFormat="1" ht="14.25" customHeight="1" x14ac:dyDescent="0.2">
      <c r="A16" s="103" t="s">
        <v>1004</v>
      </c>
      <c r="B16" s="438"/>
      <c r="C16" s="103" t="s">
        <v>1005</v>
      </c>
      <c r="D16" s="437"/>
      <c r="E16" s="437"/>
      <c r="F16" s="437"/>
      <c r="H16" s="230"/>
      <c r="I16" s="230"/>
      <c r="J16" s="230"/>
    </row>
    <row r="17" spans="1:19" s="202" customFormat="1" ht="14.25" customHeight="1" x14ac:dyDescent="0.2">
      <c r="A17" s="515"/>
      <c r="B17" s="438"/>
      <c r="C17" s="103"/>
      <c r="D17" s="437"/>
      <c r="E17" s="103"/>
      <c r="F17" s="103"/>
      <c r="I17" s="230"/>
      <c r="J17" s="230"/>
    </row>
    <row r="18" spans="1:19" s="202" customFormat="1" ht="15" customHeight="1" x14ac:dyDescent="0.25">
      <c r="A18" s="515" t="s">
        <v>1001</v>
      </c>
      <c r="B18" s="436"/>
      <c r="C18" s="736"/>
      <c r="D18" s="736"/>
      <c r="E18" s="736"/>
      <c r="F18" s="736"/>
      <c r="G18" s="53"/>
      <c r="H18" s="663"/>
      <c r="I18" s="230"/>
      <c r="J18" s="230"/>
    </row>
    <row r="19" spans="1:19" s="202" customFormat="1" ht="15" customHeight="1" x14ac:dyDescent="0.2">
      <c r="A19" s="515" t="s">
        <v>1002</v>
      </c>
      <c r="B19" s="438"/>
      <c r="C19" s="736"/>
      <c r="D19" s="736"/>
      <c r="E19" s="736"/>
      <c r="F19" s="736"/>
      <c r="G19" s="53"/>
      <c r="H19" s="663"/>
      <c r="I19" s="230"/>
      <c r="J19" s="230"/>
      <c r="K19" s="230"/>
    </row>
    <row r="20" spans="1:19" s="202" customFormat="1" ht="14.25" customHeight="1" x14ac:dyDescent="0.2">
      <c r="A20" s="515" t="s">
        <v>1003</v>
      </c>
      <c r="B20" s="438"/>
      <c r="C20" s="666"/>
      <c r="D20" s="666"/>
      <c r="E20" s="666"/>
      <c r="F20" s="666"/>
      <c r="H20" s="663"/>
      <c r="I20" s="230"/>
      <c r="J20" s="230"/>
      <c r="K20" s="230"/>
    </row>
    <row r="21" spans="1:19" s="202" customFormat="1" ht="14.25" customHeight="1" x14ac:dyDescent="0.2">
      <c r="A21" s="103" t="s">
        <v>1006</v>
      </c>
      <c r="B21" s="438"/>
      <c r="C21" s="437"/>
      <c r="D21" s="437"/>
      <c r="E21" s="437"/>
      <c r="F21" s="437"/>
      <c r="H21" s="230"/>
      <c r="I21" s="230"/>
      <c r="J21" s="230"/>
    </row>
    <row r="22" spans="1:19" s="202" customFormat="1" ht="14.25" customHeight="1" x14ac:dyDescent="0.2">
      <c r="A22" s="515"/>
      <c r="B22" s="438"/>
      <c r="C22" s="103"/>
      <c r="D22" s="437"/>
      <c r="E22" s="103"/>
      <c r="F22" s="103"/>
      <c r="I22" s="230"/>
      <c r="J22" s="230"/>
    </row>
    <row r="23" spans="1:19" s="103" customFormat="1" ht="12.75" customHeight="1" x14ac:dyDescent="0.2">
      <c r="A23" s="722" t="s">
        <v>832</v>
      </c>
      <c r="B23" s="722"/>
      <c r="C23" s="440"/>
      <c r="D23" s="440"/>
      <c r="E23" s="441"/>
      <c r="F23" s="452"/>
    </row>
    <row r="24" spans="1:19" s="103" customFormat="1" ht="26.25" customHeight="1" x14ac:dyDescent="0.2">
      <c r="A24" s="664" t="s">
        <v>86</v>
      </c>
      <c r="B24" s="724" t="s">
        <v>1007</v>
      </c>
      <c r="C24" s="724"/>
      <c r="D24" s="724"/>
      <c r="E24" s="452">
        <v>115.35</v>
      </c>
      <c r="F24" s="438" t="s">
        <v>11</v>
      </c>
    </row>
    <row r="25" spans="1:19" s="202" customFormat="1" ht="5.0999999999999996" customHeight="1" x14ac:dyDescent="0.2">
      <c r="B25" s="445"/>
      <c r="C25" s="446"/>
      <c r="D25" s="447"/>
      <c r="E25" s="256"/>
      <c r="F25" s="256"/>
      <c r="G25" s="103"/>
      <c r="H25" s="103"/>
      <c r="I25" s="103"/>
      <c r="J25" s="103"/>
      <c r="K25" s="103"/>
      <c r="L25" s="103"/>
      <c r="M25" s="103"/>
      <c r="N25" s="103"/>
      <c r="O25" s="103"/>
      <c r="P25" s="103"/>
      <c r="Q25" s="103"/>
      <c r="R25" s="103"/>
      <c r="S25" s="103"/>
    </row>
    <row r="26" spans="1:19" s="103" customFormat="1" ht="12.75" customHeight="1" x14ac:dyDescent="0.2">
      <c r="A26" s="738" t="s">
        <v>833</v>
      </c>
      <c r="B26" s="738"/>
      <c r="C26" s="450"/>
      <c r="D26" s="440"/>
      <c r="E26" s="308"/>
      <c r="F26" s="451"/>
      <c r="J26" s="230"/>
    </row>
    <row r="27" spans="1:19" s="103" customFormat="1" ht="27" customHeight="1" x14ac:dyDescent="0.2">
      <c r="A27" s="664" t="s">
        <v>7</v>
      </c>
      <c r="B27" s="724" t="s">
        <v>1008</v>
      </c>
      <c r="C27" s="724"/>
      <c r="D27" s="724"/>
      <c r="E27" s="452">
        <f>J11</f>
        <v>659.61</v>
      </c>
      <c r="F27" s="438" t="s">
        <v>13</v>
      </c>
    </row>
    <row r="28" spans="1:19" s="202" customFormat="1" ht="5.0999999999999996" customHeight="1" x14ac:dyDescent="0.25">
      <c r="B28" s="453"/>
      <c r="C28" s="453"/>
      <c r="D28" s="453"/>
      <c r="E28" s="454"/>
      <c r="F28" s="455"/>
    </row>
    <row r="29" spans="1:19" s="103" customFormat="1" ht="12.75" customHeight="1" x14ac:dyDescent="0.2">
      <c r="A29" s="738" t="s">
        <v>834</v>
      </c>
      <c r="B29" s="738"/>
      <c r="C29" s="450"/>
      <c r="D29" s="440"/>
      <c r="E29" s="308"/>
      <c r="F29" s="451"/>
      <c r="J29" s="230"/>
    </row>
    <row r="30" spans="1:19" s="103" customFormat="1" ht="53.25" customHeight="1" x14ac:dyDescent="0.2">
      <c r="A30" s="664" t="s">
        <v>9</v>
      </c>
      <c r="B30" s="721" t="s">
        <v>1009</v>
      </c>
      <c r="C30" s="721"/>
      <c r="D30" s="721"/>
      <c r="E30" s="452">
        <f>K8</f>
        <v>90.17</v>
      </c>
      <c r="F30" s="438" t="s">
        <v>11</v>
      </c>
    </row>
    <row r="31" spans="1:19" s="202" customFormat="1" ht="5.0999999999999996" customHeight="1" x14ac:dyDescent="0.2">
      <c r="B31" s="445"/>
      <c r="C31" s="446"/>
      <c r="D31" s="447"/>
      <c r="E31" s="256"/>
      <c r="F31" s="256"/>
      <c r="G31" s="103"/>
      <c r="H31" s="103"/>
      <c r="I31" s="103"/>
      <c r="J31" s="103"/>
      <c r="K31" s="103"/>
      <c r="L31" s="103"/>
      <c r="M31" s="103"/>
      <c r="N31" s="103"/>
      <c r="O31" s="103"/>
      <c r="P31" s="103"/>
      <c r="Q31" s="103"/>
      <c r="R31" s="103"/>
      <c r="S31" s="103"/>
    </row>
    <row r="32" spans="1:19" s="103" customFormat="1" ht="39" customHeight="1" x14ac:dyDescent="0.2">
      <c r="A32" s="664" t="s">
        <v>12</v>
      </c>
      <c r="B32" s="721" t="s">
        <v>1010</v>
      </c>
      <c r="C32" s="721"/>
      <c r="D32" s="721"/>
      <c r="E32" s="452">
        <f>E27</f>
        <v>659.61</v>
      </c>
      <c r="F32" s="438" t="s">
        <v>13</v>
      </c>
    </row>
    <row r="33" spans="1:19" s="202" customFormat="1" ht="5.0999999999999996" customHeight="1" x14ac:dyDescent="0.2">
      <c r="B33" s="445"/>
      <c r="C33" s="446"/>
      <c r="D33" s="447"/>
      <c r="E33" s="256"/>
      <c r="F33" s="256"/>
      <c r="G33" s="103"/>
      <c r="H33" s="103"/>
      <c r="I33" s="103"/>
      <c r="J33" s="103"/>
      <c r="K33" s="103"/>
      <c r="L33" s="103"/>
      <c r="M33" s="103"/>
      <c r="N33" s="103"/>
      <c r="O33" s="103"/>
      <c r="P33" s="103"/>
      <c r="Q33" s="103"/>
      <c r="R33" s="103"/>
      <c r="S33" s="103"/>
    </row>
    <row r="34" spans="1:19" s="103" customFormat="1" ht="12.75" customHeight="1" x14ac:dyDescent="0.2">
      <c r="A34" s="739" t="s">
        <v>835</v>
      </c>
      <c r="B34" s="739"/>
      <c r="C34" s="440"/>
      <c r="D34" s="440"/>
      <c r="E34" s="441"/>
      <c r="F34" s="442"/>
    </row>
    <row r="35" spans="1:19" s="103" customFormat="1" ht="129" customHeight="1" x14ac:dyDescent="0.2">
      <c r="A35" s="664" t="s">
        <v>129</v>
      </c>
      <c r="B35" s="725" t="s">
        <v>1011</v>
      </c>
      <c r="C35" s="724"/>
      <c r="D35" s="724"/>
      <c r="E35" s="638">
        <f>M35</f>
        <v>3.98</v>
      </c>
      <c r="F35" s="438" t="s">
        <v>128</v>
      </c>
      <c r="G35" s="460">
        <f>2.6*1.2/2+(32.03+35.21)*1.2+10.27*1.2/2+10.06*1.2/2</f>
        <v>94.45</v>
      </c>
      <c r="H35" s="460">
        <f>G35-E46</f>
        <v>76.45</v>
      </c>
      <c r="I35" s="460"/>
      <c r="J35" s="460">
        <f>H35*0.06</f>
        <v>4.59</v>
      </c>
      <c r="K35" s="460">
        <f>5+5+32.99+33.01+6.13+8.19+13.72+10.51+14.01+13.96+4.98+5.05</f>
        <v>152.55000000000001</v>
      </c>
      <c r="L35" s="460">
        <f>K35*0.2*0.02</f>
        <v>0.61</v>
      </c>
      <c r="M35" s="460">
        <f>J35-L35</f>
        <v>3.98</v>
      </c>
    </row>
    <row r="36" spans="1:19" s="202" customFormat="1" ht="5.0999999999999996" customHeight="1" x14ac:dyDescent="0.2">
      <c r="B36" s="445"/>
      <c r="C36" s="446"/>
      <c r="D36" s="447"/>
      <c r="E36" s="256"/>
      <c r="F36" s="256"/>
      <c r="G36" s="448"/>
      <c r="H36" s="448"/>
    </row>
    <row r="37" spans="1:19" s="103" customFormat="1" ht="79.5" customHeight="1" x14ac:dyDescent="0.2">
      <c r="A37" s="664" t="s">
        <v>131</v>
      </c>
      <c r="B37" s="721" t="s">
        <v>1012</v>
      </c>
      <c r="C37" s="721"/>
      <c r="D37" s="721"/>
      <c r="E37" s="639">
        <f>G37</f>
        <v>30.51</v>
      </c>
      <c r="F37" s="640" t="s">
        <v>13</v>
      </c>
      <c r="G37" s="648">
        <f>K35*0.2</f>
        <v>30.51</v>
      </c>
      <c r="H37" s="438"/>
      <c r="J37" s="460"/>
      <c r="K37" s="460"/>
      <c r="L37" s="461"/>
      <c r="M37" s="461"/>
      <c r="N37" s="460"/>
      <c r="O37" s="460"/>
      <c r="Q37" s="460"/>
    </row>
    <row r="38" spans="1:19" s="103" customFormat="1" ht="5.0999999999999996" customHeight="1" x14ac:dyDescent="0.2">
      <c r="B38" s="456"/>
      <c r="C38" s="456"/>
      <c r="D38" s="456"/>
      <c r="E38" s="457"/>
      <c r="F38" s="458"/>
    </row>
    <row r="39" spans="1:19" s="103" customFormat="1" ht="12.75" customHeight="1" x14ac:dyDescent="0.2">
      <c r="A39" s="739" t="s">
        <v>836</v>
      </c>
      <c r="B39" s="739"/>
      <c r="C39" s="440"/>
      <c r="D39" s="440"/>
      <c r="E39" s="441"/>
      <c r="F39" s="442"/>
    </row>
    <row r="40" spans="1:19" s="103" customFormat="1" ht="78" customHeight="1" x14ac:dyDescent="0.2">
      <c r="A40" s="664" t="s">
        <v>158</v>
      </c>
      <c r="B40" s="721" t="s">
        <v>905</v>
      </c>
      <c r="C40" s="721"/>
      <c r="D40" s="721"/>
      <c r="E40" s="637">
        <f>K40</f>
        <v>1.05</v>
      </c>
      <c r="F40" s="641" t="s">
        <v>128</v>
      </c>
      <c r="G40" s="460">
        <f>7.5*N8*M8*0.06</f>
        <v>1.08</v>
      </c>
      <c r="H40" s="461">
        <f>(1.2*2+1.5)*M8</f>
        <v>7.8</v>
      </c>
      <c r="I40" s="461"/>
      <c r="J40" s="461">
        <f>H40*0.2*0.02</f>
        <v>0.03</v>
      </c>
      <c r="K40" s="460">
        <f>G40-J40</f>
        <v>1.05</v>
      </c>
      <c r="N40" s="103">
        <f>(7.5*1.2)*7+5.75+6.31+5.25+6.11+5.71+5.24+5.25+7.18+7.07+5.2+5.25+5.15</f>
        <v>132.47</v>
      </c>
      <c r="O40" s="461">
        <f>N40*0.06</f>
        <v>7.95</v>
      </c>
      <c r="P40" s="461">
        <f>(1.2*3*7+1.05+2.42+1.05+4.76+1.42/2+2+1.05+3+1.05+2.66+1.05+2.01+1.05+3+1.05+1.05+1.05+1.05+1.05+1.05+1.05+2+1.05+2+1.05+2+0.99)</f>
        <v>68.5</v>
      </c>
      <c r="Q40" s="461">
        <f>P40*0.2*0.02</f>
        <v>0.27</v>
      </c>
      <c r="R40" s="103">
        <f>P40*0.2</f>
        <v>13.7</v>
      </c>
    </row>
    <row r="41" spans="1:19" s="202" customFormat="1" ht="5.0999999999999996" customHeight="1" x14ac:dyDescent="0.25">
      <c r="B41" s="445"/>
      <c r="C41" s="446"/>
      <c r="D41" s="447"/>
      <c r="E41" s="207"/>
      <c r="F41" s="642"/>
      <c r="G41" s="448"/>
      <c r="H41" s="448"/>
    </row>
    <row r="42" spans="1:19" s="103" customFormat="1" ht="78" customHeight="1" x14ac:dyDescent="0.2">
      <c r="A42" s="664" t="s">
        <v>170</v>
      </c>
      <c r="B42" s="721" t="s">
        <v>906</v>
      </c>
      <c r="C42" s="721"/>
      <c r="D42" s="721"/>
      <c r="E42" s="637">
        <f>E40</f>
        <v>1.05</v>
      </c>
      <c r="F42" s="641" t="s">
        <v>128</v>
      </c>
      <c r="G42" s="438"/>
      <c r="H42" s="438"/>
      <c r="I42" s="460"/>
      <c r="J42" s="461"/>
      <c r="K42" s="461"/>
      <c r="L42" s="461"/>
      <c r="M42" s="460"/>
    </row>
    <row r="43" spans="1:19" s="202" customFormat="1" ht="5.0999999999999996" customHeight="1" x14ac:dyDescent="0.2">
      <c r="B43" s="445"/>
      <c r="C43" s="446"/>
      <c r="D43" s="447"/>
      <c r="E43" s="256"/>
      <c r="F43" s="256"/>
      <c r="G43" s="448"/>
      <c r="H43" s="448"/>
    </row>
    <row r="44" spans="1:19" s="103" customFormat="1" ht="53.25" customHeight="1" x14ac:dyDescent="0.2">
      <c r="A44" s="664" t="s">
        <v>203</v>
      </c>
      <c r="B44" s="721" t="s">
        <v>907</v>
      </c>
      <c r="C44" s="721"/>
      <c r="D44" s="721"/>
      <c r="E44" s="637">
        <f>G44</f>
        <v>1.56</v>
      </c>
      <c r="F44" s="640" t="s">
        <v>13</v>
      </c>
      <c r="G44" s="645">
        <f>(N8*2+1.5)*M8*0.2</f>
        <v>1.56</v>
      </c>
      <c r="H44" s="438"/>
      <c r="J44" s="460"/>
      <c r="K44" s="460"/>
      <c r="L44" s="461"/>
      <c r="M44" s="461"/>
      <c r="N44" s="460"/>
      <c r="O44" s="460"/>
      <c r="Q44" s="460"/>
    </row>
    <row r="45" spans="1:19" s="202" customFormat="1" ht="5.0999999999999996" customHeight="1" x14ac:dyDescent="0.2">
      <c r="B45" s="445"/>
      <c r="C45" s="446"/>
      <c r="D45" s="447"/>
      <c r="E45" s="256"/>
      <c r="F45" s="256"/>
      <c r="G45" s="448"/>
      <c r="H45" s="448"/>
    </row>
    <row r="46" spans="1:19" s="103" customFormat="1" ht="40.5" customHeight="1" x14ac:dyDescent="0.2">
      <c r="A46" s="664" t="s">
        <v>181</v>
      </c>
      <c r="B46" s="726" t="s">
        <v>908</v>
      </c>
      <c r="C46" s="726"/>
      <c r="D46" s="726"/>
      <c r="E46" s="647">
        <f>G46</f>
        <v>18</v>
      </c>
      <c r="F46" s="641" t="s">
        <v>13</v>
      </c>
      <c r="G46" s="646">
        <f>7.5*N8*M8:M8</f>
        <v>18</v>
      </c>
      <c r="H46" s="438"/>
      <c r="J46" s="460"/>
      <c r="K46" s="460"/>
    </row>
    <row r="47" spans="1:19" s="103" customFormat="1" ht="5.0999999999999996" customHeight="1" x14ac:dyDescent="0.2">
      <c r="B47" s="456"/>
      <c r="C47" s="456"/>
      <c r="D47" s="456"/>
      <c r="E47" s="457"/>
      <c r="F47" s="458"/>
      <c r="G47" s="458"/>
      <c r="H47" s="458"/>
    </row>
    <row r="48" spans="1:19" s="103" customFormat="1" ht="12.75" customHeight="1" x14ac:dyDescent="0.2">
      <c r="A48" s="738" t="s">
        <v>837</v>
      </c>
      <c r="B48" s="738"/>
      <c r="C48" s="440"/>
      <c r="D48" s="440"/>
      <c r="E48" s="441"/>
      <c r="F48" s="442"/>
    </row>
    <row r="49" spans="1:9" s="103" customFormat="1" ht="39" customHeight="1" x14ac:dyDescent="0.2">
      <c r="A49" s="664" t="s">
        <v>175</v>
      </c>
      <c r="B49" s="721" t="s">
        <v>850</v>
      </c>
      <c r="C49" s="721"/>
      <c r="D49" s="721"/>
      <c r="E49" s="459">
        <v>1</v>
      </c>
      <c r="F49" s="438" t="s">
        <v>279</v>
      </c>
    </row>
    <row r="50" spans="1:9" s="202" customFormat="1" ht="5.0999999999999996" customHeight="1" x14ac:dyDescent="0.2">
      <c r="B50" s="445"/>
      <c r="C50" s="446"/>
      <c r="D50" s="447"/>
      <c r="E50" s="256"/>
      <c r="F50" s="256"/>
      <c r="G50" s="448"/>
      <c r="H50" s="448"/>
    </row>
    <row r="51" spans="1:9" s="103" customFormat="1" ht="39" customHeight="1" x14ac:dyDescent="0.2">
      <c r="A51" s="664" t="s">
        <v>246</v>
      </c>
      <c r="B51" s="721" t="s">
        <v>851</v>
      </c>
      <c r="C51" s="721"/>
      <c r="D51" s="721"/>
      <c r="E51" s="459">
        <v>1</v>
      </c>
      <c r="F51" s="438" t="s">
        <v>279</v>
      </c>
    </row>
    <row r="52" spans="1:9" s="202" customFormat="1" ht="5.0999999999999996" customHeight="1" x14ac:dyDescent="0.2">
      <c r="B52" s="445"/>
      <c r="C52" s="446"/>
      <c r="D52" s="447"/>
      <c r="E52" s="256"/>
      <c r="F52" s="256"/>
      <c r="G52" s="448"/>
      <c r="H52" s="448"/>
    </row>
    <row r="53" spans="1:9" s="103" customFormat="1" ht="12.75" customHeight="1" x14ac:dyDescent="0.2">
      <c r="A53" s="738" t="s">
        <v>852</v>
      </c>
      <c r="B53" s="738"/>
      <c r="C53" s="440"/>
      <c r="D53" s="440"/>
      <c r="E53" s="441"/>
      <c r="F53" s="442"/>
    </row>
    <row r="54" spans="1:9" s="103" customFormat="1" ht="25.5" customHeight="1" x14ac:dyDescent="0.2">
      <c r="A54" s="664" t="s">
        <v>255</v>
      </c>
      <c r="B54" s="721" t="s">
        <v>1013</v>
      </c>
      <c r="C54" s="721"/>
      <c r="D54" s="721"/>
      <c r="E54" s="459">
        <f>E30*(0.15+0.13)</f>
        <v>25.25</v>
      </c>
      <c r="F54" s="438" t="s">
        <v>13</v>
      </c>
      <c r="H54" s="103" t="e">
        <f>#REF!*0.28</f>
        <v>#REF!</v>
      </c>
    </row>
    <row r="55" spans="1:9" s="103" customFormat="1" ht="5.0999999999999996" customHeight="1" x14ac:dyDescent="0.2">
      <c r="E55" s="441"/>
      <c r="F55" s="442"/>
    </row>
    <row r="56" spans="1:9" s="202" customFormat="1" ht="24.75" customHeight="1" x14ac:dyDescent="0.2">
      <c r="A56" s="664" t="s">
        <v>853</v>
      </c>
      <c r="B56" s="721" t="s">
        <v>707</v>
      </c>
      <c r="C56" s="721"/>
      <c r="D56" s="721"/>
      <c r="E56" s="442">
        <v>1</v>
      </c>
      <c r="F56" s="53" t="s">
        <v>279</v>
      </c>
      <c r="H56" s="202">
        <v>3.9</v>
      </c>
      <c r="I56" s="202">
        <v>216</v>
      </c>
    </row>
    <row r="57" spans="1:9" s="103" customFormat="1" ht="5.0999999999999996" customHeight="1" x14ac:dyDescent="0.2">
      <c r="B57" s="456"/>
      <c r="C57" s="456"/>
      <c r="D57" s="456"/>
      <c r="E57" s="457"/>
      <c r="F57" s="458"/>
      <c r="G57" s="458"/>
      <c r="H57" s="458"/>
    </row>
    <row r="58" spans="1:9" s="103" customFormat="1" ht="39" customHeight="1" x14ac:dyDescent="0.2">
      <c r="A58" s="664" t="s">
        <v>882</v>
      </c>
      <c r="B58" s="721" t="s">
        <v>885</v>
      </c>
      <c r="C58" s="721"/>
      <c r="D58" s="721"/>
      <c r="E58" s="459">
        <v>1</v>
      </c>
      <c r="F58" s="438" t="s">
        <v>279</v>
      </c>
    </row>
    <row r="59" spans="1:9" s="202" customFormat="1" ht="5.0999999999999996" customHeight="1" x14ac:dyDescent="0.2">
      <c r="B59" s="445"/>
      <c r="C59" s="446"/>
      <c r="D59" s="447"/>
      <c r="E59" s="256"/>
      <c r="F59" s="256"/>
      <c r="G59" s="448"/>
      <c r="H59" s="448"/>
    </row>
    <row r="60" spans="1:9" x14ac:dyDescent="0.2">
      <c r="A60" s="103" t="s">
        <v>265</v>
      </c>
    </row>
    <row r="61" spans="1:9" x14ac:dyDescent="0.2">
      <c r="A61" s="103" t="str">
        <f>A2</f>
        <v>PREFEITURA MUNICIPAL DE MAMANGUAPE</v>
      </c>
    </row>
    <row r="62" spans="1:9" ht="5.0999999999999996" customHeight="1" x14ac:dyDescent="0.2"/>
    <row r="63" spans="1:9" s="103" customFormat="1" ht="12.75" customHeight="1" x14ac:dyDescent="0.25">
      <c r="A63" s="729" t="s">
        <v>433</v>
      </c>
      <c r="B63" s="729"/>
      <c r="C63" s="729"/>
      <c r="D63" s="729"/>
      <c r="E63" s="729"/>
      <c r="F63" s="729"/>
      <c r="H63" s="460"/>
    </row>
    <row r="64" spans="1:9" s="202" customFormat="1" ht="18" customHeight="1" x14ac:dyDescent="0.25">
      <c r="A64" s="735" t="str">
        <f>A6</f>
        <v>Rua Genésio de Andrade (Trecho 02)</v>
      </c>
      <c r="B64" s="735"/>
      <c r="C64" s="735"/>
      <c r="D64" s="735"/>
      <c r="E64" s="735"/>
      <c r="F64" s="735"/>
      <c r="G64" s="53"/>
    </row>
    <row r="65" spans="1:12" s="202" customFormat="1" ht="5.0999999999999996" customHeight="1" x14ac:dyDescent="0.25">
      <c r="B65" s="436"/>
      <c r="C65" s="437"/>
      <c r="D65" s="437"/>
      <c r="E65" s="257"/>
      <c r="F65" s="257"/>
      <c r="G65" s="53"/>
    </row>
    <row r="66" spans="1:12" s="202" customFormat="1" ht="12.75" customHeight="1" x14ac:dyDescent="0.2">
      <c r="A66" s="730" t="s">
        <v>53</v>
      </c>
      <c r="B66" s="732" t="s">
        <v>267</v>
      </c>
      <c r="C66" s="732" t="s">
        <v>268</v>
      </c>
      <c r="D66" s="732" t="s">
        <v>434</v>
      </c>
      <c r="E66" s="732" t="s">
        <v>435</v>
      </c>
      <c r="F66" s="734"/>
    </row>
    <row r="67" spans="1:12" s="202" customFormat="1" ht="12.75" customHeight="1" x14ac:dyDescent="0.2">
      <c r="A67" s="731"/>
      <c r="B67" s="733"/>
      <c r="C67" s="733"/>
      <c r="D67" s="733"/>
      <c r="E67" s="462" t="s">
        <v>436</v>
      </c>
      <c r="F67" s="463" t="s">
        <v>437</v>
      </c>
    </row>
    <row r="68" spans="1:12" s="202" customFormat="1" ht="12.75" customHeight="1" x14ac:dyDescent="0.2">
      <c r="A68" s="464" t="s">
        <v>4</v>
      </c>
      <c r="B68" s="465" t="s">
        <v>438</v>
      </c>
      <c r="C68" s="466"/>
      <c r="D68" s="467"/>
      <c r="E68" s="467"/>
      <c r="F68" s="468">
        <f>SUM(F69)</f>
        <v>65.75</v>
      </c>
    </row>
    <row r="69" spans="1:12" s="202" customFormat="1" ht="25.5" x14ac:dyDescent="0.2">
      <c r="A69" s="469" t="s">
        <v>86</v>
      </c>
      <c r="B69" s="470" t="str">
        <f>'Planilha Global'!B11</f>
        <v>Execução de linhas de referência em gabarito ou cavalete (locação de pavimentação)</v>
      </c>
      <c r="C69" s="490" t="str">
        <f>F24</f>
        <v>m</v>
      </c>
      <c r="D69" s="472">
        <f>E24</f>
        <v>115.35</v>
      </c>
      <c r="E69" s="473">
        <f>'Planilha Global'!N11</f>
        <v>0.56999999999999995</v>
      </c>
      <c r="F69" s="474">
        <f>ROUND(D69,2)*ROUND(E69,2)</f>
        <v>65.75</v>
      </c>
    </row>
    <row r="70" spans="1:12" s="202" customFormat="1" ht="6.75" customHeight="1" x14ac:dyDescent="0.2">
      <c r="A70" s="486"/>
      <c r="B70" s="487"/>
      <c r="C70" s="482"/>
      <c r="D70" s="472"/>
      <c r="E70" s="488"/>
      <c r="F70" s="474"/>
    </row>
    <row r="71" spans="1:12" s="202" customFormat="1" ht="12.75" customHeight="1" x14ac:dyDescent="0.2">
      <c r="A71" s="464" t="s">
        <v>6</v>
      </c>
      <c r="B71" s="465" t="s">
        <v>511</v>
      </c>
      <c r="C71" s="466"/>
      <c r="D71" s="467"/>
      <c r="E71" s="467"/>
      <c r="F71" s="468">
        <f>SUM(F72:F72)</f>
        <v>1649.03</v>
      </c>
    </row>
    <row r="72" spans="1:12" s="202" customFormat="1" ht="25.5" x14ac:dyDescent="0.2">
      <c r="A72" s="469" t="s">
        <v>7</v>
      </c>
      <c r="B72" s="470" t="str">
        <f>'Planilha Global'!B14</f>
        <v>Regularização e compactação do subleito até 20 cm de espessura</v>
      </c>
      <c r="C72" s="482" t="str">
        <f>F27</f>
        <v>m²</v>
      </c>
      <c r="D72" s="472">
        <f>E27</f>
        <v>659.61</v>
      </c>
      <c r="E72" s="473">
        <f>'Planilha Global'!N14</f>
        <v>2.5</v>
      </c>
      <c r="F72" s="474">
        <f>ROUND(D72,2)*ROUND(E72,2)</f>
        <v>1649.03</v>
      </c>
      <c r="H72" s="485"/>
    </row>
    <row r="73" spans="1:12" s="202" customFormat="1" ht="6.75" customHeight="1" x14ac:dyDescent="0.2">
      <c r="A73" s="486"/>
      <c r="B73" s="487"/>
      <c r="C73" s="482"/>
      <c r="D73" s="472"/>
      <c r="E73" s="488"/>
      <c r="F73" s="474"/>
    </row>
    <row r="74" spans="1:12" s="202" customFormat="1" ht="12.75" customHeight="1" thickBot="1" x14ac:dyDescent="0.25">
      <c r="A74" s="464" t="s">
        <v>8</v>
      </c>
      <c r="B74" s="465" t="s">
        <v>439</v>
      </c>
      <c r="C74" s="466"/>
      <c r="D74" s="467"/>
      <c r="E74" s="489"/>
      <c r="F74" s="468">
        <f>SUM(F75:F76)</f>
        <v>75578.67</v>
      </c>
    </row>
    <row r="75" spans="1:12" s="226" customFormat="1" ht="63.75" x14ac:dyDescent="0.2">
      <c r="A75" s="469" t="s">
        <v>12</v>
      </c>
      <c r="B75" s="470" t="str">
        <f>'Planilha Global'!B17</f>
        <v>Assentamento de guia (meio-fio) em trecho reto, confeccionada em concreto pré-fabricado, dimensões 100x15x13x30 cm (comprimento x base inferior x base superior x altura), para vias urbanas (uso viário)</v>
      </c>
      <c r="C75" s="482" t="str">
        <f>F30</f>
        <v>m</v>
      </c>
      <c r="D75" s="472">
        <f>E30</f>
        <v>90.17</v>
      </c>
      <c r="E75" s="473">
        <f>'Planilha Global'!N17</f>
        <v>49.53</v>
      </c>
      <c r="F75" s="474">
        <f>ROUND(D75,2)*ROUND(E75,2)</f>
        <v>4466.12</v>
      </c>
      <c r="H75" s="492"/>
      <c r="I75" s="493"/>
      <c r="J75" s="494"/>
    </row>
    <row r="76" spans="1:12" s="226" customFormat="1" ht="39" thickBot="1" x14ac:dyDescent="0.25">
      <c r="A76" s="469" t="s">
        <v>108</v>
      </c>
      <c r="B76" s="470" t="str">
        <f>'Planilha Global'!B18</f>
        <v>Execução de pavimento em paralelepípedos, rejuntamento com argamassa traço 1:3 (cimento e areia)</v>
      </c>
      <c r="C76" s="482" t="str">
        <f>F32</f>
        <v>m²</v>
      </c>
      <c r="D76" s="472">
        <f>E32</f>
        <v>659.61</v>
      </c>
      <c r="E76" s="473">
        <f>'Planilha Global'!N18</f>
        <v>107.81</v>
      </c>
      <c r="F76" s="474">
        <f>ROUND(D76,2)*ROUND(E76,2)</f>
        <v>71112.55</v>
      </c>
      <c r="H76" s="495"/>
      <c r="I76" s="496"/>
      <c r="J76" s="497"/>
    </row>
    <row r="77" spans="1:12" s="202" customFormat="1" ht="6.75" customHeight="1" x14ac:dyDescent="0.2">
      <c r="A77" s="486"/>
      <c r="B77" s="487"/>
      <c r="C77" s="482"/>
      <c r="D77" s="472"/>
      <c r="E77" s="488"/>
      <c r="F77" s="474"/>
    </row>
    <row r="78" spans="1:12" s="258" customFormat="1" ht="15" customHeight="1" thickBot="1" x14ac:dyDescent="0.3">
      <c r="A78" s="498" t="s">
        <v>14</v>
      </c>
      <c r="B78" s="499" t="s">
        <v>605</v>
      </c>
      <c r="C78" s="466"/>
      <c r="D78" s="467"/>
      <c r="E78" s="500"/>
      <c r="F78" s="468">
        <f>SUM(F79:F80)</f>
        <v>8866.7000000000007</v>
      </c>
      <c r="I78" s="501"/>
      <c r="J78" s="502"/>
      <c r="K78" s="502"/>
      <c r="L78" s="503"/>
    </row>
    <row r="79" spans="1:12" s="226" customFormat="1" ht="38.25" x14ac:dyDescent="0.2">
      <c r="A79" s="469" t="s">
        <v>129</v>
      </c>
      <c r="B79" s="661" t="str">
        <f>'Planilha Global'!B23</f>
        <v>Execução de passeio (calçada) ou piso de concreto com concreto moldado in loco, feito em obra, acabamento convencional, não armado</v>
      </c>
      <c r="C79" s="490" t="str">
        <f>F35</f>
        <v>m³</v>
      </c>
      <c r="D79" s="472">
        <f>'Genésio Andrade - T2'!E35</f>
        <v>3.98</v>
      </c>
      <c r="E79" s="473">
        <f>'Planilha Global'!N23</f>
        <v>943.02</v>
      </c>
      <c r="F79" s="474">
        <f>ROUND(D79,2)*ROUND(E79,2)</f>
        <v>3753.22</v>
      </c>
      <c r="H79" s="226">
        <v>703.2</v>
      </c>
    </row>
    <row r="80" spans="1:12" s="226" customFormat="1" ht="25.5" x14ac:dyDescent="0.2">
      <c r="A80" s="469" t="s">
        <v>131</v>
      </c>
      <c r="B80" s="661" t="str">
        <f>'Planilha Global'!B24</f>
        <v>Piso podotátil de alerta ou direcional, de concreto, assentado sobre argamassa</v>
      </c>
      <c r="C80" s="490" t="str">
        <f>F37</f>
        <v>m²</v>
      </c>
      <c r="D80" s="472">
        <f>E37</f>
        <v>30.51</v>
      </c>
      <c r="E80" s="473">
        <f>'Planilha Global'!N24</f>
        <v>167.6</v>
      </c>
      <c r="F80" s="474">
        <f>ROUND(D80,2)*ROUND(E80,2)</f>
        <v>5113.4799999999996</v>
      </c>
      <c r="H80" s="226">
        <v>109.78</v>
      </c>
    </row>
    <row r="81" spans="1:12" s="202" customFormat="1" ht="6.75" customHeight="1" x14ac:dyDescent="0.2">
      <c r="A81" s="486"/>
      <c r="B81" s="487"/>
      <c r="C81" s="482"/>
      <c r="D81" s="472"/>
      <c r="E81" s="488"/>
      <c r="F81" s="474"/>
    </row>
    <row r="82" spans="1:12" s="258" customFormat="1" ht="15" customHeight="1" thickBot="1" x14ac:dyDescent="0.3">
      <c r="A82" s="498" t="s">
        <v>157</v>
      </c>
      <c r="B82" s="499" t="s">
        <v>606</v>
      </c>
      <c r="C82" s="466"/>
      <c r="D82" s="467"/>
      <c r="E82" s="500"/>
      <c r="F82" s="468">
        <f>SUM(F83:F86)</f>
        <v>1623.4</v>
      </c>
      <c r="I82" s="501"/>
      <c r="J82" s="502"/>
      <c r="K82" s="502"/>
      <c r="L82" s="503"/>
    </row>
    <row r="83" spans="1:12" s="226" customFormat="1" ht="39" thickBot="1" x14ac:dyDescent="0.25">
      <c r="A83" s="469" t="s">
        <v>158</v>
      </c>
      <c r="B83" s="661" t="str">
        <f>'Planilha Global'!B27</f>
        <v>Concreto Fck = 15mpa, traço 1:3,4:3,5 (em massa seca de cimento/ areia média/ brita 1), preparo mecânico com betoneira 400 L</v>
      </c>
      <c r="C83" s="490" t="str">
        <f>F40</f>
        <v>m³</v>
      </c>
      <c r="D83" s="472">
        <f>E40</f>
        <v>1.05</v>
      </c>
      <c r="E83" s="473">
        <f>'Planilha Global'!N27</f>
        <v>553.16</v>
      </c>
      <c r="F83" s="474">
        <f>ROUND(D83,2)*ROUND(E83,2)</f>
        <v>580.82000000000005</v>
      </c>
      <c r="H83" s="226">
        <v>410.85</v>
      </c>
    </row>
    <row r="84" spans="1:12" s="202" customFormat="1" ht="25.5" x14ac:dyDescent="0.2">
      <c r="A84" s="469" t="s">
        <v>170</v>
      </c>
      <c r="B84" s="661" t="str">
        <f>'Planilha Global'!B28</f>
        <v>Lançamento com uso de baldes, adensamento e acabamento de concreto em estruturas</v>
      </c>
      <c r="C84" s="490" t="str">
        <f>F42</f>
        <v>m³</v>
      </c>
      <c r="D84" s="472">
        <f>E42</f>
        <v>1.05</v>
      </c>
      <c r="E84" s="473">
        <f>'Planilha Global'!N28</f>
        <v>324.95</v>
      </c>
      <c r="F84" s="474">
        <f>ROUND(D84,2)*ROUND(E84,2)</f>
        <v>341.2</v>
      </c>
      <c r="H84" s="202">
        <v>223.25</v>
      </c>
      <c r="I84" s="506"/>
      <c r="J84" s="507"/>
      <c r="K84" s="507"/>
      <c r="L84" s="508"/>
    </row>
    <row r="85" spans="1:12" s="226" customFormat="1" ht="25.5" x14ac:dyDescent="0.2">
      <c r="A85" s="469" t="s">
        <v>203</v>
      </c>
      <c r="B85" s="661" t="str">
        <f>'Planilha Global'!B29</f>
        <v>Piso podotátil de alerta ou direcional, de concreto, assentado sobre argamassa</v>
      </c>
      <c r="C85" s="490" t="str">
        <f>F44</f>
        <v>m²</v>
      </c>
      <c r="D85" s="472">
        <f>E44</f>
        <v>1.56</v>
      </c>
      <c r="E85" s="473">
        <f>'Planilha Global'!N29</f>
        <v>167.6</v>
      </c>
      <c r="F85" s="474">
        <f>ROUND(D85,2)*ROUND(E85,2)</f>
        <v>261.45999999999998</v>
      </c>
      <c r="H85" s="226">
        <v>109.78</v>
      </c>
    </row>
    <row r="86" spans="1:12" s="226" customFormat="1" ht="25.5" x14ac:dyDescent="0.2">
      <c r="A86" s="469" t="s">
        <v>181</v>
      </c>
      <c r="B86" s="661" t="str">
        <f>'Planilha Global'!B30</f>
        <v>Pintura de piso com tinta acrílica, aplicação manual, 2 demãos, incluso fundo preparador</v>
      </c>
      <c r="C86" s="490" t="str">
        <f>F46</f>
        <v>m²</v>
      </c>
      <c r="D86" s="472">
        <f>E46</f>
        <v>18</v>
      </c>
      <c r="E86" s="473">
        <f>'Planilha Global'!N30</f>
        <v>24.44</v>
      </c>
      <c r="F86" s="474">
        <f>ROUND(D86,2)*ROUND(E86,2)</f>
        <v>439.92</v>
      </c>
      <c r="H86" s="226">
        <v>14.87</v>
      </c>
    </row>
    <row r="87" spans="1:12" s="202" customFormat="1" ht="6.75" customHeight="1" x14ac:dyDescent="0.2">
      <c r="A87" s="486"/>
      <c r="B87" s="487"/>
      <c r="C87" s="482"/>
      <c r="D87" s="472"/>
      <c r="E87" s="488"/>
      <c r="F87" s="474"/>
    </row>
    <row r="88" spans="1:12" s="258" customFormat="1" ht="15" customHeight="1" thickBot="1" x14ac:dyDescent="0.3">
      <c r="A88" s="498" t="s">
        <v>174</v>
      </c>
      <c r="B88" s="499" t="s">
        <v>706</v>
      </c>
      <c r="C88" s="466"/>
      <c r="D88" s="467"/>
      <c r="E88" s="500"/>
      <c r="F88" s="468">
        <f>SUM(F89:F90)</f>
        <v>464.45</v>
      </c>
      <c r="H88" s="501"/>
      <c r="I88" s="502"/>
      <c r="J88" s="502"/>
      <c r="K88" s="503"/>
    </row>
    <row r="89" spans="1:12" s="202" customFormat="1" ht="38.25" x14ac:dyDescent="0.2">
      <c r="A89" s="469" t="s">
        <v>175</v>
      </c>
      <c r="B89" s="661" t="str">
        <f>'Planilha Global'!B33</f>
        <v>Fornecimento e instalação de suporte de madeira para placas de sinalização, em solo, com h= de 2,0 m e seção de 7,5 x 7,5 cm</v>
      </c>
      <c r="C89" s="490" t="str">
        <f>F49</f>
        <v>unid</v>
      </c>
      <c r="D89" s="472">
        <f>E49</f>
        <v>1</v>
      </c>
      <c r="E89" s="473">
        <f>'Planilha Global'!N33</f>
        <v>120.58</v>
      </c>
      <c r="F89" s="474">
        <f t="shared" ref="F89:F90" si="1">ROUND(D89*E89,2)</f>
        <v>120.58</v>
      </c>
      <c r="H89" s="665"/>
    </row>
    <row r="90" spans="1:12" s="226" customFormat="1" ht="38.25" x14ac:dyDescent="0.2">
      <c r="A90" s="469" t="s">
        <v>246</v>
      </c>
      <c r="B90" s="661" t="str">
        <f>'Planilha Global'!B34</f>
        <v>Placa de advertência em aço, lado de 0,60 m - película retrorrefletiva tipo I + SI - fornecimento e implantação</v>
      </c>
      <c r="C90" s="490" t="str">
        <f>F51</f>
        <v>unid</v>
      </c>
      <c r="D90" s="472">
        <f>E51</f>
        <v>1</v>
      </c>
      <c r="E90" s="473">
        <f>'Planilha Global'!N34</f>
        <v>343.87</v>
      </c>
      <c r="F90" s="505">
        <f t="shared" si="1"/>
        <v>343.87</v>
      </c>
      <c r="H90" s="226">
        <v>349.41</v>
      </c>
    </row>
    <row r="91" spans="1:12" s="202" customFormat="1" ht="6.75" customHeight="1" x14ac:dyDescent="0.2">
      <c r="A91" s="509"/>
      <c r="B91" s="41"/>
      <c r="C91" s="482"/>
      <c r="D91" s="472"/>
      <c r="E91" s="510"/>
      <c r="F91" s="474"/>
      <c r="H91" s="511"/>
      <c r="K91" s="512"/>
    </row>
    <row r="92" spans="1:12" s="258" customFormat="1" ht="15" customHeight="1" thickBot="1" x14ac:dyDescent="0.3">
      <c r="A92" s="498" t="s">
        <v>254</v>
      </c>
      <c r="B92" s="499" t="s">
        <v>849</v>
      </c>
      <c r="C92" s="466"/>
      <c r="D92" s="467"/>
      <c r="E92" s="500"/>
      <c r="F92" s="468">
        <f>SUM(F93:F95)</f>
        <v>346.46</v>
      </c>
      <c r="H92" s="501"/>
      <c r="I92" s="502"/>
      <c r="J92" s="502"/>
      <c r="K92" s="503"/>
    </row>
    <row r="93" spans="1:12" s="202" customFormat="1" ht="26.25" thickBot="1" x14ac:dyDescent="0.25">
      <c r="A93" s="469" t="s">
        <v>255</v>
      </c>
      <c r="B93" s="661" t="str">
        <f>'Planilha Global'!B37</f>
        <v>Pintura de meio-fio com tinta branca a base de cal (caiação)</v>
      </c>
      <c r="C93" s="490" t="str">
        <f>F54</f>
        <v>m²</v>
      </c>
      <c r="D93" s="472">
        <f>E54</f>
        <v>25.25</v>
      </c>
      <c r="E93" s="473">
        <f>'Planilha Global'!N37</f>
        <v>1.78</v>
      </c>
      <c r="F93" s="474">
        <f>ROUND(D93,2)*ROUND(E93,2)</f>
        <v>44.95</v>
      </c>
      <c r="H93" s="506"/>
      <c r="I93" s="507"/>
      <c r="J93" s="507"/>
      <c r="K93" s="508"/>
    </row>
    <row r="94" spans="1:12" s="202" customFormat="1" ht="25.5" x14ac:dyDescent="0.2">
      <c r="A94" s="469" t="s">
        <v>853</v>
      </c>
      <c r="B94" s="661" t="str">
        <f>'Planilha Global'!B38</f>
        <v>Placa esmaltada para identificação de nome de rua, dimensões 45x20cm</v>
      </c>
      <c r="C94" s="490" t="str">
        <f>F56</f>
        <v>unid</v>
      </c>
      <c r="D94" s="472">
        <f>E56</f>
        <v>1</v>
      </c>
      <c r="E94" s="473">
        <f>'Planilha Global'!N38</f>
        <v>180.93</v>
      </c>
      <c r="F94" s="474">
        <f>ROUND(D94,2)*ROUND(E94,2)</f>
        <v>180.93</v>
      </c>
      <c r="H94" s="506"/>
      <c r="I94" s="507"/>
      <c r="J94" s="507"/>
      <c r="K94" s="508"/>
    </row>
    <row r="95" spans="1:12" s="202" customFormat="1" ht="38.25" x14ac:dyDescent="0.2">
      <c r="A95" s="469" t="s">
        <v>882</v>
      </c>
      <c r="B95" s="661" t="str">
        <f>'Planilha Global'!B39</f>
        <v>Fornecimento e instalação de suporte de madeira para placas de identificação de rua, em solo, com h= de 2,0 m e seção de 7,5 x 7,5 cm</v>
      </c>
      <c r="C95" s="490" t="str">
        <f>F58</f>
        <v>unid</v>
      </c>
      <c r="D95" s="472">
        <f>E58</f>
        <v>1</v>
      </c>
      <c r="E95" s="473">
        <f>'Planilha Global'!N39</f>
        <v>120.58</v>
      </c>
      <c r="F95" s="474">
        <f t="shared" ref="F95" si="2">ROUND(D95*E95,2)</f>
        <v>120.58</v>
      </c>
      <c r="H95" s="665"/>
    </row>
    <row r="96" spans="1:12" s="202" customFormat="1" ht="6.75" customHeight="1" x14ac:dyDescent="0.2">
      <c r="A96" s="509"/>
      <c r="B96" s="41"/>
      <c r="C96" s="482"/>
      <c r="D96" s="472"/>
      <c r="E96" s="510"/>
      <c r="F96" s="474"/>
      <c r="H96" s="511"/>
      <c r="K96" s="512"/>
    </row>
    <row r="97" spans="1:7" s="202" customFormat="1" ht="12.75" customHeight="1" x14ac:dyDescent="0.2">
      <c r="A97" s="727" t="s">
        <v>440</v>
      </c>
      <c r="B97" s="728"/>
      <c r="C97" s="728"/>
      <c r="D97" s="728"/>
      <c r="E97" s="728"/>
      <c r="F97" s="543">
        <f>F68+F71+F74+F78+F82+F88+F92</f>
        <v>88594.46</v>
      </c>
    </row>
    <row r="98" spans="1:7" s="202" customFormat="1" ht="5.25" customHeight="1" x14ac:dyDescent="0.2">
      <c r="B98" s="256"/>
      <c r="C98" s="281"/>
      <c r="E98" s="281"/>
    </row>
    <row r="99" spans="1:7" s="202" customFormat="1" ht="12.75" customHeight="1" x14ac:dyDescent="0.2">
      <c r="A99" s="64" t="s">
        <v>1052</v>
      </c>
      <c r="B99" s="256"/>
      <c r="C99" s="281"/>
      <c r="E99" s="281"/>
      <c r="F99" s="513"/>
      <c r="G99" s="202">
        <f>175162.63/D76</f>
        <v>265.55484301329602</v>
      </c>
    </row>
    <row r="100" spans="1:7" s="202" customFormat="1" ht="12.75" customHeight="1" x14ac:dyDescent="0.2">
      <c r="A100" s="64" t="str">
        <f>'Composição Custos Unit'!G37</f>
        <v>Referência: SINAPI PB Fevereiro/25; DER PB Jan-Mar/25</v>
      </c>
      <c r="B100" s="256"/>
      <c r="C100" s="636" t="str">
        <f>'Planilha Global'!A43</f>
        <v>BDI: 28,99%</v>
      </c>
      <c r="E100" s="281"/>
    </row>
    <row r="101" spans="1:7" s="202" customFormat="1" ht="12.75" customHeight="1" x14ac:dyDescent="0.2">
      <c r="E101" s="281"/>
      <c r="F101" s="247"/>
    </row>
    <row r="102" spans="1:7" ht="12.75" customHeight="1" x14ac:dyDescent="0.2">
      <c r="G102" t="e">
        <f>F97/#REF!</f>
        <v>#REF!</v>
      </c>
    </row>
    <row r="103" spans="1:7" ht="12.75" customHeight="1" x14ac:dyDescent="0.2">
      <c r="F103" s="514">
        <f>F97/D72</f>
        <v>134.31</v>
      </c>
    </row>
    <row r="105" spans="1:7" x14ac:dyDescent="0.2">
      <c r="F105" s="514">
        <f>'Maria Livramento - T1'!F106+'Maria Livramento - T2'!F108+'Fábio Vaz - T1'!F114+'Genésio Andrade - T2'!F97</f>
        <v>456672.88</v>
      </c>
    </row>
  </sheetData>
  <mergeCells count="38">
    <mergeCell ref="C18:F18"/>
    <mergeCell ref="B49:D49"/>
    <mergeCell ref="B51:D51"/>
    <mergeCell ref="B37:D37"/>
    <mergeCell ref="A39:B39"/>
    <mergeCell ref="A34:B34"/>
    <mergeCell ref="B35:D35"/>
    <mergeCell ref="B44:D44"/>
    <mergeCell ref="B46:D46"/>
    <mergeCell ref="A48:B48"/>
    <mergeCell ref="B40:D40"/>
    <mergeCell ref="A64:F64"/>
    <mergeCell ref="A4:F4"/>
    <mergeCell ref="C8:F8"/>
    <mergeCell ref="C9:F9"/>
    <mergeCell ref="C10:F10"/>
    <mergeCell ref="C13:F13"/>
    <mergeCell ref="C19:F19"/>
    <mergeCell ref="B42:D42"/>
    <mergeCell ref="B32:D32"/>
    <mergeCell ref="C14:F14"/>
    <mergeCell ref="A26:B26"/>
    <mergeCell ref="B27:D27"/>
    <mergeCell ref="A29:B29"/>
    <mergeCell ref="B24:D24"/>
    <mergeCell ref="B30:D30"/>
    <mergeCell ref="A23:B23"/>
    <mergeCell ref="A53:B53"/>
    <mergeCell ref="B54:D54"/>
    <mergeCell ref="B56:D56"/>
    <mergeCell ref="B58:D58"/>
    <mergeCell ref="A63:F63"/>
    <mergeCell ref="A66:A67"/>
    <mergeCell ref="B66:B67"/>
    <mergeCell ref="C66:C67"/>
    <mergeCell ref="D66:D67"/>
    <mergeCell ref="A97:E97"/>
    <mergeCell ref="E66:F66"/>
  </mergeCells>
  <printOptions horizontalCentered="1"/>
  <pageMargins left="0.51181102362204722" right="0.51181102362204722" top="0.39370078740157483" bottom="0.59055118110236227" header="0.31496062992125984" footer="0.31496062992125984"/>
  <pageSetup paperSize="9" scale="95" orientation="portrait" r:id="rId1"/>
  <rowBreaks count="1" manualBreakCount="1">
    <brk id="59" max="5" man="1"/>
  </rowBreaks>
  <legacyDrawing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174261-4321-49D7-B7A0-4BA785B6B194}">
  <dimension ref="A1:S100"/>
  <sheetViews>
    <sheetView view="pageBreakPreview" zoomScale="110" zoomScaleNormal="100" zoomScaleSheetLayoutView="110" workbookViewId="0">
      <selection activeCell="O28" activeCellId="1" sqref="R15 O28"/>
    </sheetView>
  </sheetViews>
  <sheetFormatPr defaultRowHeight="12.75" x14ac:dyDescent="0.2"/>
  <cols>
    <col min="1" max="1" width="4.7109375" customWidth="1"/>
    <col min="2" max="2" width="45" customWidth="1"/>
    <col min="3" max="3" width="8.42578125" customWidth="1"/>
    <col min="4" max="4" width="14.28515625" customWidth="1"/>
    <col min="5" max="5" width="9.28515625" bestFit="1" customWidth="1"/>
    <col min="6" max="6" width="12.140625" customWidth="1"/>
    <col min="7" max="7" width="14.42578125" customWidth="1"/>
    <col min="8" max="8" width="12.5703125" customWidth="1"/>
    <col min="9" max="9" width="17.7109375" customWidth="1"/>
    <col min="257" max="257" width="4.7109375" customWidth="1"/>
    <col min="258" max="258" width="45" customWidth="1"/>
    <col min="259" max="259" width="8.42578125" customWidth="1"/>
    <col min="260" max="260" width="14.28515625" customWidth="1"/>
    <col min="261" max="261" width="9.28515625" bestFit="1" customWidth="1"/>
    <col min="262" max="262" width="12.140625" customWidth="1"/>
    <col min="263" max="263" width="14.42578125" customWidth="1"/>
    <col min="264" max="264" width="12.5703125" customWidth="1"/>
    <col min="265" max="265" width="17.7109375" customWidth="1"/>
    <col min="513" max="513" width="4.7109375" customWidth="1"/>
    <col min="514" max="514" width="45" customWidth="1"/>
    <col min="515" max="515" width="8.42578125" customWidth="1"/>
    <col min="516" max="516" width="14.28515625" customWidth="1"/>
    <col min="517" max="517" width="9.28515625" bestFit="1" customWidth="1"/>
    <col min="518" max="518" width="12.140625" customWidth="1"/>
    <col min="519" max="519" width="14.42578125" customWidth="1"/>
    <col min="520" max="520" width="12.5703125" customWidth="1"/>
    <col min="521" max="521" width="17.7109375" customWidth="1"/>
    <col min="769" max="769" width="4.7109375" customWidth="1"/>
    <col min="770" max="770" width="45" customWidth="1"/>
    <col min="771" max="771" width="8.42578125" customWidth="1"/>
    <col min="772" max="772" width="14.28515625" customWidth="1"/>
    <col min="773" max="773" width="9.28515625" bestFit="1" customWidth="1"/>
    <col min="774" max="774" width="12.140625" customWidth="1"/>
    <col min="775" max="775" width="14.42578125" customWidth="1"/>
    <col min="776" max="776" width="12.5703125" customWidth="1"/>
    <col min="777" max="777" width="17.7109375" customWidth="1"/>
    <col min="1025" max="1025" width="4.7109375" customWidth="1"/>
    <col min="1026" max="1026" width="45" customWidth="1"/>
    <col min="1027" max="1027" width="8.42578125" customWidth="1"/>
    <col min="1028" max="1028" width="14.28515625" customWidth="1"/>
    <col min="1029" max="1029" width="9.28515625" bestFit="1" customWidth="1"/>
    <col min="1030" max="1030" width="12.140625" customWidth="1"/>
    <col min="1031" max="1031" width="14.42578125" customWidth="1"/>
    <col min="1032" max="1032" width="12.5703125" customWidth="1"/>
    <col min="1033" max="1033" width="17.7109375" customWidth="1"/>
    <col min="1281" max="1281" width="4.7109375" customWidth="1"/>
    <col min="1282" max="1282" width="45" customWidth="1"/>
    <col min="1283" max="1283" width="8.42578125" customWidth="1"/>
    <col min="1284" max="1284" width="14.28515625" customWidth="1"/>
    <col min="1285" max="1285" width="9.28515625" bestFit="1" customWidth="1"/>
    <col min="1286" max="1286" width="12.140625" customWidth="1"/>
    <col min="1287" max="1287" width="14.42578125" customWidth="1"/>
    <col min="1288" max="1288" width="12.5703125" customWidth="1"/>
    <col min="1289" max="1289" width="17.7109375" customWidth="1"/>
    <col min="1537" max="1537" width="4.7109375" customWidth="1"/>
    <col min="1538" max="1538" width="45" customWidth="1"/>
    <col min="1539" max="1539" width="8.42578125" customWidth="1"/>
    <col min="1540" max="1540" width="14.28515625" customWidth="1"/>
    <col min="1541" max="1541" width="9.28515625" bestFit="1" customWidth="1"/>
    <col min="1542" max="1542" width="12.140625" customWidth="1"/>
    <col min="1543" max="1543" width="14.42578125" customWidth="1"/>
    <col min="1544" max="1544" width="12.5703125" customWidth="1"/>
    <col min="1545" max="1545" width="17.7109375" customWidth="1"/>
    <col min="1793" max="1793" width="4.7109375" customWidth="1"/>
    <col min="1794" max="1794" width="45" customWidth="1"/>
    <col min="1795" max="1795" width="8.42578125" customWidth="1"/>
    <col min="1796" max="1796" width="14.28515625" customWidth="1"/>
    <col min="1797" max="1797" width="9.28515625" bestFit="1" customWidth="1"/>
    <col min="1798" max="1798" width="12.140625" customWidth="1"/>
    <col min="1799" max="1799" width="14.42578125" customWidth="1"/>
    <col min="1800" max="1800" width="12.5703125" customWidth="1"/>
    <col min="1801" max="1801" width="17.7109375" customWidth="1"/>
    <col min="2049" max="2049" width="4.7109375" customWidth="1"/>
    <col min="2050" max="2050" width="45" customWidth="1"/>
    <col min="2051" max="2051" width="8.42578125" customWidth="1"/>
    <col min="2052" max="2052" width="14.28515625" customWidth="1"/>
    <col min="2053" max="2053" width="9.28515625" bestFit="1" customWidth="1"/>
    <col min="2054" max="2054" width="12.140625" customWidth="1"/>
    <col min="2055" max="2055" width="14.42578125" customWidth="1"/>
    <col min="2056" max="2056" width="12.5703125" customWidth="1"/>
    <col min="2057" max="2057" width="17.7109375" customWidth="1"/>
    <col min="2305" max="2305" width="4.7109375" customWidth="1"/>
    <col min="2306" max="2306" width="45" customWidth="1"/>
    <col min="2307" max="2307" width="8.42578125" customWidth="1"/>
    <col min="2308" max="2308" width="14.28515625" customWidth="1"/>
    <col min="2309" max="2309" width="9.28515625" bestFit="1" customWidth="1"/>
    <col min="2310" max="2310" width="12.140625" customWidth="1"/>
    <col min="2311" max="2311" width="14.42578125" customWidth="1"/>
    <col min="2312" max="2312" width="12.5703125" customWidth="1"/>
    <col min="2313" max="2313" width="17.7109375" customWidth="1"/>
    <col min="2561" max="2561" width="4.7109375" customWidth="1"/>
    <col min="2562" max="2562" width="45" customWidth="1"/>
    <col min="2563" max="2563" width="8.42578125" customWidth="1"/>
    <col min="2564" max="2564" width="14.28515625" customWidth="1"/>
    <col min="2565" max="2565" width="9.28515625" bestFit="1" customWidth="1"/>
    <col min="2566" max="2566" width="12.140625" customWidth="1"/>
    <col min="2567" max="2567" width="14.42578125" customWidth="1"/>
    <col min="2568" max="2568" width="12.5703125" customWidth="1"/>
    <col min="2569" max="2569" width="17.7109375" customWidth="1"/>
    <col min="2817" max="2817" width="4.7109375" customWidth="1"/>
    <col min="2818" max="2818" width="45" customWidth="1"/>
    <col min="2819" max="2819" width="8.42578125" customWidth="1"/>
    <col min="2820" max="2820" width="14.28515625" customWidth="1"/>
    <col min="2821" max="2821" width="9.28515625" bestFit="1" customWidth="1"/>
    <col min="2822" max="2822" width="12.140625" customWidth="1"/>
    <col min="2823" max="2823" width="14.42578125" customWidth="1"/>
    <col min="2824" max="2824" width="12.5703125" customWidth="1"/>
    <col min="2825" max="2825" width="17.7109375" customWidth="1"/>
    <col min="3073" max="3073" width="4.7109375" customWidth="1"/>
    <col min="3074" max="3074" width="45" customWidth="1"/>
    <col min="3075" max="3075" width="8.42578125" customWidth="1"/>
    <col min="3076" max="3076" width="14.28515625" customWidth="1"/>
    <col min="3077" max="3077" width="9.28515625" bestFit="1" customWidth="1"/>
    <col min="3078" max="3078" width="12.140625" customWidth="1"/>
    <col min="3079" max="3079" width="14.42578125" customWidth="1"/>
    <col min="3080" max="3080" width="12.5703125" customWidth="1"/>
    <col min="3081" max="3081" width="17.7109375" customWidth="1"/>
    <col min="3329" max="3329" width="4.7109375" customWidth="1"/>
    <col min="3330" max="3330" width="45" customWidth="1"/>
    <col min="3331" max="3331" width="8.42578125" customWidth="1"/>
    <col min="3332" max="3332" width="14.28515625" customWidth="1"/>
    <col min="3333" max="3333" width="9.28515625" bestFit="1" customWidth="1"/>
    <col min="3334" max="3334" width="12.140625" customWidth="1"/>
    <col min="3335" max="3335" width="14.42578125" customWidth="1"/>
    <col min="3336" max="3336" width="12.5703125" customWidth="1"/>
    <col min="3337" max="3337" width="17.7109375" customWidth="1"/>
    <col min="3585" max="3585" width="4.7109375" customWidth="1"/>
    <col min="3586" max="3586" width="45" customWidth="1"/>
    <col min="3587" max="3587" width="8.42578125" customWidth="1"/>
    <col min="3588" max="3588" width="14.28515625" customWidth="1"/>
    <col min="3589" max="3589" width="9.28515625" bestFit="1" customWidth="1"/>
    <col min="3590" max="3590" width="12.140625" customWidth="1"/>
    <col min="3591" max="3591" width="14.42578125" customWidth="1"/>
    <col min="3592" max="3592" width="12.5703125" customWidth="1"/>
    <col min="3593" max="3593" width="17.7109375" customWidth="1"/>
    <col min="3841" max="3841" width="4.7109375" customWidth="1"/>
    <col min="3842" max="3842" width="45" customWidth="1"/>
    <col min="3843" max="3843" width="8.42578125" customWidth="1"/>
    <col min="3844" max="3844" width="14.28515625" customWidth="1"/>
    <col min="3845" max="3845" width="9.28515625" bestFit="1" customWidth="1"/>
    <col min="3846" max="3846" width="12.140625" customWidth="1"/>
    <col min="3847" max="3847" width="14.42578125" customWidth="1"/>
    <col min="3848" max="3848" width="12.5703125" customWidth="1"/>
    <col min="3849" max="3849" width="17.7109375" customWidth="1"/>
    <col min="4097" max="4097" width="4.7109375" customWidth="1"/>
    <col min="4098" max="4098" width="45" customWidth="1"/>
    <col min="4099" max="4099" width="8.42578125" customWidth="1"/>
    <col min="4100" max="4100" width="14.28515625" customWidth="1"/>
    <col min="4101" max="4101" width="9.28515625" bestFit="1" customWidth="1"/>
    <col min="4102" max="4102" width="12.140625" customWidth="1"/>
    <col min="4103" max="4103" width="14.42578125" customWidth="1"/>
    <col min="4104" max="4104" width="12.5703125" customWidth="1"/>
    <col min="4105" max="4105" width="17.7109375" customWidth="1"/>
    <col min="4353" max="4353" width="4.7109375" customWidth="1"/>
    <col min="4354" max="4354" width="45" customWidth="1"/>
    <col min="4355" max="4355" width="8.42578125" customWidth="1"/>
    <col min="4356" max="4356" width="14.28515625" customWidth="1"/>
    <col min="4357" max="4357" width="9.28515625" bestFit="1" customWidth="1"/>
    <col min="4358" max="4358" width="12.140625" customWidth="1"/>
    <col min="4359" max="4359" width="14.42578125" customWidth="1"/>
    <col min="4360" max="4360" width="12.5703125" customWidth="1"/>
    <col min="4361" max="4361" width="17.7109375" customWidth="1"/>
    <col min="4609" max="4609" width="4.7109375" customWidth="1"/>
    <col min="4610" max="4610" width="45" customWidth="1"/>
    <col min="4611" max="4611" width="8.42578125" customWidth="1"/>
    <col min="4612" max="4612" width="14.28515625" customWidth="1"/>
    <col min="4613" max="4613" width="9.28515625" bestFit="1" customWidth="1"/>
    <col min="4614" max="4614" width="12.140625" customWidth="1"/>
    <col min="4615" max="4615" width="14.42578125" customWidth="1"/>
    <col min="4616" max="4616" width="12.5703125" customWidth="1"/>
    <col min="4617" max="4617" width="17.7109375" customWidth="1"/>
    <col min="4865" max="4865" width="4.7109375" customWidth="1"/>
    <col min="4866" max="4866" width="45" customWidth="1"/>
    <col min="4867" max="4867" width="8.42578125" customWidth="1"/>
    <col min="4868" max="4868" width="14.28515625" customWidth="1"/>
    <col min="4869" max="4869" width="9.28515625" bestFit="1" customWidth="1"/>
    <col min="4870" max="4870" width="12.140625" customWidth="1"/>
    <col min="4871" max="4871" width="14.42578125" customWidth="1"/>
    <col min="4872" max="4872" width="12.5703125" customWidth="1"/>
    <col min="4873" max="4873" width="17.7109375" customWidth="1"/>
    <col min="5121" max="5121" width="4.7109375" customWidth="1"/>
    <col min="5122" max="5122" width="45" customWidth="1"/>
    <col min="5123" max="5123" width="8.42578125" customWidth="1"/>
    <col min="5124" max="5124" width="14.28515625" customWidth="1"/>
    <col min="5125" max="5125" width="9.28515625" bestFit="1" customWidth="1"/>
    <col min="5126" max="5126" width="12.140625" customWidth="1"/>
    <col min="5127" max="5127" width="14.42578125" customWidth="1"/>
    <col min="5128" max="5128" width="12.5703125" customWidth="1"/>
    <col min="5129" max="5129" width="17.7109375" customWidth="1"/>
    <col min="5377" max="5377" width="4.7109375" customWidth="1"/>
    <col min="5378" max="5378" width="45" customWidth="1"/>
    <col min="5379" max="5379" width="8.42578125" customWidth="1"/>
    <col min="5380" max="5380" width="14.28515625" customWidth="1"/>
    <col min="5381" max="5381" width="9.28515625" bestFit="1" customWidth="1"/>
    <col min="5382" max="5382" width="12.140625" customWidth="1"/>
    <col min="5383" max="5383" width="14.42578125" customWidth="1"/>
    <col min="5384" max="5384" width="12.5703125" customWidth="1"/>
    <col min="5385" max="5385" width="17.7109375" customWidth="1"/>
    <col min="5633" max="5633" width="4.7109375" customWidth="1"/>
    <col min="5634" max="5634" width="45" customWidth="1"/>
    <col min="5635" max="5635" width="8.42578125" customWidth="1"/>
    <col min="5636" max="5636" width="14.28515625" customWidth="1"/>
    <col min="5637" max="5637" width="9.28515625" bestFit="1" customWidth="1"/>
    <col min="5638" max="5638" width="12.140625" customWidth="1"/>
    <col min="5639" max="5639" width="14.42578125" customWidth="1"/>
    <col min="5640" max="5640" width="12.5703125" customWidth="1"/>
    <col min="5641" max="5641" width="17.7109375" customWidth="1"/>
    <col min="5889" max="5889" width="4.7109375" customWidth="1"/>
    <col min="5890" max="5890" width="45" customWidth="1"/>
    <col min="5891" max="5891" width="8.42578125" customWidth="1"/>
    <col min="5892" max="5892" width="14.28515625" customWidth="1"/>
    <col min="5893" max="5893" width="9.28515625" bestFit="1" customWidth="1"/>
    <col min="5894" max="5894" width="12.140625" customWidth="1"/>
    <col min="5895" max="5895" width="14.42578125" customWidth="1"/>
    <col min="5896" max="5896" width="12.5703125" customWidth="1"/>
    <col min="5897" max="5897" width="17.7109375" customWidth="1"/>
    <col min="6145" max="6145" width="4.7109375" customWidth="1"/>
    <col min="6146" max="6146" width="45" customWidth="1"/>
    <col min="6147" max="6147" width="8.42578125" customWidth="1"/>
    <col min="6148" max="6148" width="14.28515625" customWidth="1"/>
    <col min="6149" max="6149" width="9.28515625" bestFit="1" customWidth="1"/>
    <col min="6150" max="6150" width="12.140625" customWidth="1"/>
    <col min="6151" max="6151" width="14.42578125" customWidth="1"/>
    <col min="6152" max="6152" width="12.5703125" customWidth="1"/>
    <col min="6153" max="6153" width="17.7109375" customWidth="1"/>
    <col min="6401" max="6401" width="4.7109375" customWidth="1"/>
    <col min="6402" max="6402" width="45" customWidth="1"/>
    <col min="6403" max="6403" width="8.42578125" customWidth="1"/>
    <col min="6404" max="6404" width="14.28515625" customWidth="1"/>
    <col min="6405" max="6405" width="9.28515625" bestFit="1" customWidth="1"/>
    <col min="6406" max="6406" width="12.140625" customWidth="1"/>
    <col min="6407" max="6407" width="14.42578125" customWidth="1"/>
    <col min="6408" max="6408" width="12.5703125" customWidth="1"/>
    <col min="6409" max="6409" width="17.7109375" customWidth="1"/>
    <col min="6657" max="6657" width="4.7109375" customWidth="1"/>
    <col min="6658" max="6658" width="45" customWidth="1"/>
    <col min="6659" max="6659" width="8.42578125" customWidth="1"/>
    <col min="6660" max="6660" width="14.28515625" customWidth="1"/>
    <col min="6661" max="6661" width="9.28515625" bestFit="1" customWidth="1"/>
    <col min="6662" max="6662" width="12.140625" customWidth="1"/>
    <col min="6663" max="6663" width="14.42578125" customWidth="1"/>
    <col min="6664" max="6664" width="12.5703125" customWidth="1"/>
    <col min="6665" max="6665" width="17.7109375" customWidth="1"/>
    <col min="6913" max="6913" width="4.7109375" customWidth="1"/>
    <col min="6914" max="6914" width="45" customWidth="1"/>
    <col min="6915" max="6915" width="8.42578125" customWidth="1"/>
    <col min="6916" max="6916" width="14.28515625" customWidth="1"/>
    <col min="6917" max="6917" width="9.28515625" bestFit="1" customWidth="1"/>
    <col min="6918" max="6918" width="12.140625" customWidth="1"/>
    <col min="6919" max="6919" width="14.42578125" customWidth="1"/>
    <col min="6920" max="6920" width="12.5703125" customWidth="1"/>
    <col min="6921" max="6921" width="17.7109375" customWidth="1"/>
    <col min="7169" max="7169" width="4.7109375" customWidth="1"/>
    <col min="7170" max="7170" width="45" customWidth="1"/>
    <col min="7171" max="7171" width="8.42578125" customWidth="1"/>
    <col min="7172" max="7172" width="14.28515625" customWidth="1"/>
    <col min="7173" max="7173" width="9.28515625" bestFit="1" customWidth="1"/>
    <col min="7174" max="7174" width="12.140625" customWidth="1"/>
    <col min="7175" max="7175" width="14.42578125" customWidth="1"/>
    <col min="7176" max="7176" width="12.5703125" customWidth="1"/>
    <col min="7177" max="7177" width="17.7109375" customWidth="1"/>
    <col min="7425" max="7425" width="4.7109375" customWidth="1"/>
    <col min="7426" max="7426" width="45" customWidth="1"/>
    <col min="7427" max="7427" width="8.42578125" customWidth="1"/>
    <col min="7428" max="7428" width="14.28515625" customWidth="1"/>
    <col min="7429" max="7429" width="9.28515625" bestFit="1" customWidth="1"/>
    <col min="7430" max="7430" width="12.140625" customWidth="1"/>
    <col min="7431" max="7431" width="14.42578125" customWidth="1"/>
    <col min="7432" max="7432" width="12.5703125" customWidth="1"/>
    <col min="7433" max="7433" width="17.7109375" customWidth="1"/>
    <col min="7681" max="7681" width="4.7109375" customWidth="1"/>
    <col min="7682" max="7682" width="45" customWidth="1"/>
    <col min="7683" max="7683" width="8.42578125" customWidth="1"/>
    <col min="7684" max="7684" width="14.28515625" customWidth="1"/>
    <col min="7685" max="7685" width="9.28515625" bestFit="1" customWidth="1"/>
    <col min="7686" max="7686" width="12.140625" customWidth="1"/>
    <col min="7687" max="7687" width="14.42578125" customWidth="1"/>
    <col min="7688" max="7688" width="12.5703125" customWidth="1"/>
    <col min="7689" max="7689" width="17.7109375" customWidth="1"/>
    <col min="7937" max="7937" width="4.7109375" customWidth="1"/>
    <col min="7938" max="7938" width="45" customWidth="1"/>
    <col min="7939" max="7939" width="8.42578125" customWidth="1"/>
    <col min="7940" max="7940" width="14.28515625" customWidth="1"/>
    <col min="7941" max="7941" width="9.28515625" bestFit="1" customWidth="1"/>
    <col min="7942" max="7942" width="12.140625" customWidth="1"/>
    <col min="7943" max="7943" width="14.42578125" customWidth="1"/>
    <col min="7944" max="7944" width="12.5703125" customWidth="1"/>
    <col min="7945" max="7945" width="17.7109375" customWidth="1"/>
    <col min="8193" max="8193" width="4.7109375" customWidth="1"/>
    <col min="8194" max="8194" width="45" customWidth="1"/>
    <col min="8195" max="8195" width="8.42578125" customWidth="1"/>
    <col min="8196" max="8196" width="14.28515625" customWidth="1"/>
    <col min="8197" max="8197" width="9.28515625" bestFit="1" customWidth="1"/>
    <col min="8198" max="8198" width="12.140625" customWidth="1"/>
    <col min="8199" max="8199" width="14.42578125" customWidth="1"/>
    <col min="8200" max="8200" width="12.5703125" customWidth="1"/>
    <col min="8201" max="8201" width="17.7109375" customWidth="1"/>
    <col min="8449" max="8449" width="4.7109375" customWidth="1"/>
    <col min="8450" max="8450" width="45" customWidth="1"/>
    <col min="8451" max="8451" width="8.42578125" customWidth="1"/>
    <col min="8452" max="8452" width="14.28515625" customWidth="1"/>
    <col min="8453" max="8453" width="9.28515625" bestFit="1" customWidth="1"/>
    <col min="8454" max="8454" width="12.140625" customWidth="1"/>
    <col min="8455" max="8455" width="14.42578125" customWidth="1"/>
    <col min="8456" max="8456" width="12.5703125" customWidth="1"/>
    <col min="8457" max="8457" width="17.7109375" customWidth="1"/>
    <col min="8705" max="8705" width="4.7109375" customWidth="1"/>
    <col min="8706" max="8706" width="45" customWidth="1"/>
    <col min="8707" max="8707" width="8.42578125" customWidth="1"/>
    <col min="8708" max="8708" width="14.28515625" customWidth="1"/>
    <col min="8709" max="8709" width="9.28515625" bestFit="1" customWidth="1"/>
    <col min="8710" max="8710" width="12.140625" customWidth="1"/>
    <col min="8711" max="8711" width="14.42578125" customWidth="1"/>
    <col min="8712" max="8712" width="12.5703125" customWidth="1"/>
    <col min="8713" max="8713" width="17.7109375" customWidth="1"/>
    <col min="8961" max="8961" width="4.7109375" customWidth="1"/>
    <col min="8962" max="8962" width="45" customWidth="1"/>
    <col min="8963" max="8963" width="8.42578125" customWidth="1"/>
    <col min="8964" max="8964" width="14.28515625" customWidth="1"/>
    <col min="8965" max="8965" width="9.28515625" bestFit="1" customWidth="1"/>
    <col min="8966" max="8966" width="12.140625" customWidth="1"/>
    <col min="8967" max="8967" width="14.42578125" customWidth="1"/>
    <col min="8968" max="8968" width="12.5703125" customWidth="1"/>
    <col min="8969" max="8969" width="17.7109375" customWidth="1"/>
    <col min="9217" max="9217" width="4.7109375" customWidth="1"/>
    <col min="9218" max="9218" width="45" customWidth="1"/>
    <col min="9219" max="9219" width="8.42578125" customWidth="1"/>
    <col min="9220" max="9220" width="14.28515625" customWidth="1"/>
    <col min="9221" max="9221" width="9.28515625" bestFit="1" customWidth="1"/>
    <col min="9222" max="9222" width="12.140625" customWidth="1"/>
    <col min="9223" max="9223" width="14.42578125" customWidth="1"/>
    <col min="9224" max="9224" width="12.5703125" customWidth="1"/>
    <col min="9225" max="9225" width="17.7109375" customWidth="1"/>
    <col min="9473" max="9473" width="4.7109375" customWidth="1"/>
    <col min="9474" max="9474" width="45" customWidth="1"/>
    <col min="9475" max="9475" width="8.42578125" customWidth="1"/>
    <col min="9476" max="9476" width="14.28515625" customWidth="1"/>
    <col min="9477" max="9477" width="9.28515625" bestFit="1" customWidth="1"/>
    <col min="9478" max="9478" width="12.140625" customWidth="1"/>
    <col min="9479" max="9479" width="14.42578125" customWidth="1"/>
    <col min="9480" max="9480" width="12.5703125" customWidth="1"/>
    <col min="9481" max="9481" width="17.7109375" customWidth="1"/>
    <col min="9729" max="9729" width="4.7109375" customWidth="1"/>
    <col min="9730" max="9730" width="45" customWidth="1"/>
    <col min="9731" max="9731" width="8.42578125" customWidth="1"/>
    <col min="9732" max="9732" width="14.28515625" customWidth="1"/>
    <col min="9733" max="9733" width="9.28515625" bestFit="1" customWidth="1"/>
    <col min="9734" max="9734" width="12.140625" customWidth="1"/>
    <col min="9735" max="9735" width="14.42578125" customWidth="1"/>
    <col min="9736" max="9736" width="12.5703125" customWidth="1"/>
    <col min="9737" max="9737" width="17.7109375" customWidth="1"/>
    <col min="9985" max="9985" width="4.7109375" customWidth="1"/>
    <col min="9986" max="9986" width="45" customWidth="1"/>
    <col min="9987" max="9987" width="8.42578125" customWidth="1"/>
    <col min="9988" max="9988" width="14.28515625" customWidth="1"/>
    <col min="9989" max="9989" width="9.28515625" bestFit="1" customWidth="1"/>
    <col min="9990" max="9990" width="12.140625" customWidth="1"/>
    <col min="9991" max="9991" width="14.42578125" customWidth="1"/>
    <col min="9992" max="9992" width="12.5703125" customWidth="1"/>
    <col min="9993" max="9993" width="17.7109375" customWidth="1"/>
    <col min="10241" max="10241" width="4.7109375" customWidth="1"/>
    <col min="10242" max="10242" width="45" customWidth="1"/>
    <col min="10243" max="10243" width="8.42578125" customWidth="1"/>
    <col min="10244" max="10244" width="14.28515625" customWidth="1"/>
    <col min="10245" max="10245" width="9.28515625" bestFit="1" customWidth="1"/>
    <col min="10246" max="10246" width="12.140625" customWidth="1"/>
    <col min="10247" max="10247" width="14.42578125" customWidth="1"/>
    <col min="10248" max="10248" width="12.5703125" customWidth="1"/>
    <col min="10249" max="10249" width="17.7109375" customWidth="1"/>
    <col min="10497" max="10497" width="4.7109375" customWidth="1"/>
    <col min="10498" max="10498" width="45" customWidth="1"/>
    <col min="10499" max="10499" width="8.42578125" customWidth="1"/>
    <col min="10500" max="10500" width="14.28515625" customWidth="1"/>
    <col min="10501" max="10501" width="9.28515625" bestFit="1" customWidth="1"/>
    <col min="10502" max="10502" width="12.140625" customWidth="1"/>
    <col min="10503" max="10503" width="14.42578125" customWidth="1"/>
    <col min="10504" max="10504" width="12.5703125" customWidth="1"/>
    <col min="10505" max="10505" width="17.7109375" customWidth="1"/>
    <col min="10753" max="10753" width="4.7109375" customWidth="1"/>
    <col min="10754" max="10754" width="45" customWidth="1"/>
    <col min="10755" max="10755" width="8.42578125" customWidth="1"/>
    <col min="10756" max="10756" width="14.28515625" customWidth="1"/>
    <col min="10757" max="10757" width="9.28515625" bestFit="1" customWidth="1"/>
    <col min="10758" max="10758" width="12.140625" customWidth="1"/>
    <col min="10759" max="10759" width="14.42578125" customWidth="1"/>
    <col min="10760" max="10760" width="12.5703125" customWidth="1"/>
    <col min="10761" max="10761" width="17.7109375" customWidth="1"/>
    <col min="11009" max="11009" width="4.7109375" customWidth="1"/>
    <col min="11010" max="11010" width="45" customWidth="1"/>
    <col min="11011" max="11011" width="8.42578125" customWidth="1"/>
    <col min="11012" max="11012" width="14.28515625" customWidth="1"/>
    <col min="11013" max="11013" width="9.28515625" bestFit="1" customWidth="1"/>
    <col min="11014" max="11014" width="12.140625" customWidth="1"/>
    <col min="11015" max="11015" width="14.42578125" customWidth="1"/>
    <col min="11016" max="11016" width="12.5703125" customWidth="1"/>
    <col min="11017" max="11017" width="17.7109375" customWidth="1"/>
    <col min="11265" max="11265" width="4.7109375" customWidth="1"/>
    <col min="11266" max="11266" width="45" customWidth="1"/>
    <col min="11267" max="11267" width="8.42578125" customWidth="1"/>
    <col min="11268" max="11268" width="14.28515625" customWidth="1"/>
    <col min="11269" max="11269" width="9.28515625" bestFit="1" customWidth="1"/>
    <col min="11270" max="11270" width="12.140625" customWidth="1"/>
    <col min="11271" max="11271" width="14.42578125" customWidth="1"/>
    <col min="11272" max="11272" width="12.5703125" customWidth="1"/>
    <col min="11273" max="11273" width="17.7109375" customWidth="1"/>
    <col min="11521" max="11521" width="4.7109375" customWidth="1"/>
    <col min="11522" max="11522" width="45" customWidth="1"/>
    <col min="11523" max="11523" width="8.42578125" customWidth="1"/>
    <col min="11524" max="11524" width="14.28515625" customWidth="1"/>
    <col min="11525" max="11525" width="9.28515625" bestFit="1" customWidth="1"/>
    <col min="11526" max="11526" width="12.140625" customWidth="1"/>
    <col min="11527" max="11527" width="14.42578125" customWidth="1"/>
    <col min="11528" max="11528" width="12.5703125" customWidth="1"/>
    <col min="11529" max="11529" width="17.7109375" customWidth="1"/>
    <col min="11777" max="11777" width="4.7109375" customWidth="1"/>
    <col min="11778" max="11778" width="45" customWidth="1"/>
    <col min="11779" max="11779" width="8.42578125" customWidth="1"/>
    <col min="11780" max="11780" width="14.28515625" customWidth="1"/>
    <col min="11781" max="11781" width="9.28515625" bestFit="1" customWidth="1"/>
    <col min="11782" max="11782" width="12.140625" customWidth="1"/>
    <col min="11783" max="11783" width="14.42578125" customWidth="1"/>
    <col min="11784" max="11784" width="12.5703125" customWidth="1"/>
    <col min="11785" max="11785" width="17.7109375" customWidth="1"/>
    <col min="12033" max="12033" width="4.7109375" customWidth="1"/>
    <col min="12034" max="12034" width="45" customWidth="1"/>
    <col min="12035" max="12035" width="8.42578125" customWidth="1"/>
    <col min="12036" max="12036" width="14.28515625" customWidth="1"/>
    <col min="12037" max="12037" width="9.28515625" bestFit="1" customWidth="1"/>
    <col min="12038" max="12038" width="12.140625" customWidth="1"/>
    <col min="12039" max="12039" width="14.42578125" customWidth="1"/>
    <col min="12040" max="12040" width="12.5703125" customWidth="1"/>
    <col min="12041" max="12041" width="17.7109375" customWidth="1"/>
    <col min="12289" max="12289" width="4.7109375" customWidth="1"/>
    <col min="12290" max="12290" width="45" customWidth="1"/>
    <col min="12291" max="12291" width="8.42578125" customWidth="1"/>
    <col min="12292" max="12292" width="14.28515625" customWidth="1"/>
    <col min="12293" max="12293" width="9.28515625" bestFit="1" customWidth="1"/>
    <col min="12294" max="12294" width="12.140625" customWidth="1"/>
    <col min="12295" max="12295" width="14.42578125" customWidth="1"/>
    <col min="12296" max="12296" width="12.5703125" customWidth="1"/>
    <col min="12297" max="12297" width="17.7109375" customWidth="1"/>
    <col min="12545" max="12545" width="4.7109375" customWidth="1"/>
    <col min="12546" max="12546" width="45" customWidth="1"/>
    <col min="12547" max="12547" width="8.42578125" customWidth="1"/>
    <col min="12548" max="12548" width="14.28515625" customWidth="1"/>
    <col min="12549" max="12549" width="9.28515625" bestFit="1" customWidth="1"/>
    <col min="12550" max="12550" width="12.140625" customWidth="1"/>
    <col min="12551" max="12551" width="14.42578125" customWidth="1"/>
    <col min="12552" max="12552" width="12.5703125" customWidth="1"/>
    <col min="12553" max="12553" width="17.7109375" customWidth="1"/>
    <col min="12801" max="12801" width="4.7109375" customWidth="1"/>
    <col min="12802" max="12802" width="45" customWidth="1"/>
    <col min="12803" max="12803" width="8.42578125" customWidth="1"/>
    <col min="12804" max="12804" width="14.28515625" customWidth="1"/>
    <col min="12805" max="12805" width="9.28515625" bestFit="1" customWidth="1"/>
    <col min="12806" max="12806" width="12.140625" customWidth="1"/>
    <col min="12807" max="12807" width="14.42578125" customWidth="1"/>
    <col min="12808" max="12808" width="12.5703125" customWidth="1"/>
    <col min="12809" max="12809" width="17.7109375" customWidth="1"/>
    <col min="13057" max="13057" width="4.7109375" customWidth="1"/>
    <col min="13058" max="13058" width="45" customWidth="1"/>
    <col min="13059" max="13059" width="8.42578125" customWidth="1"/>
    <col min="13060" max="13060" width="14.28515625" customWidth="1"/>
    <col min="13061" max="13061" width="9.28515625" bestFit="1" customWidth="1"/>
    <col min="13062" max="13062" width="12.140625" customWidth="1"/>
    <col min="13063" max="13063" width="14.42578125" customWidth="1"/>
    <col min="13064" max="13064" width="12.5703125" customWidth="1"/>
    <col min="13065" max="13065" width="17.7109375" customWidth="1"/>
    <col min="13313" max="13313" width="4.7109375" customWidth="1"/>
    <col min="13314" max="13314" width="45" customWidth="1"/>
    <col min="13315" max="13315" width="8.42578125" customWidth="1"/>
    <col min="13316" max="13316" width="14.28515625" customWidth="1"/>
    <col min="13317" max="13317" width="9.28515625" bestFit="1" customWidth="1"/>
    <col min="13318" max="13318" width="12.140625" customWidth="1"/>
    <col min="13319" max="13319" width="14.42578125" customWidth="1"/>
    <col min="13320" max="13320" width="12.5703125" customWidth="1"/>
    <col min="13321" max="13321" width="17.7109375" customWidth="1"/>
    <col min="13569" max="13569" width="4.7109375" customWidth="1"/>
    <col min="13570" max="13570" width="45" customWidth="1"/>
    <col min="13571" max="13571" width="8.42578125" customWidth="1"/>
    <col min="13572" max="13572" width="14.28515625" customWidth="1"/>
    <col min="13573" max="13573" width="9.28515625" bestFit="1" customWidth="1"/>
    <col min="13574" max="13574" width="12.140625" customWidth="1"/>
    <col min="13575" max="13575" width="14.42578125" customWidth="1"/>
    <col min="13576" max="13576" width="12.5703125" customWidth="1"/>
    <col min="13577" max="13577" width="17.7109375" customWidth="1"/>
    <col min="13825" max="13825" width="4.7109375" customWidth="1"/>
    <col min="13826" max="13826" width="45" customWidth="1"/>
    <col min="13827" max="13827" width="8.42578125" customWidth="1"/>
    <col min="13828" max="13828" width="14.28515625" customWidth="1"/>
    <col min="13829" max="13829" width="9.28515625" bestFit="1" customWidth="1"/>
    <col min="13830" max="13830" width="12.140625" customWidth="1"/>
    <col min="13831" max="13831" width="14.42578125" customWidth="1"/>
    <col min="13832" max="13832" width="12.5703125" customWidth="1"/>
    <col min="13833" max="13833" width="17.7109375" customWidth="1"/>
    <col min="14081" max="14081" width="4.7109375" customWidth="1"/>
    <col min="14082" max="14082" width="45" customWidth="1"/>
    <col min="14083" max="14083" width="8.42578125" customWidth="1"/>
    <col min="14084" max="14084" width="14.28515625" customWidth="1"/>
    <col min="14085" max="14085" width="9.28515625" bestFit="1" customWidth="1"/>
    <col min="14086" max="14086" width="12.140625" customWidth="1"/>
    <col min="14087" max="14087" width="14.42578125" customWidth="1"/>
    <col min="14088" max="14088" width="12.5703125" customWidth="1"/>
    <col min="14089" max="14089" width="17.7109375" customWidth="1"/>
    <col min="14337" max="14337" width="4.7109375" customWidth="1"/>
    <col min="14338" max="14338" width="45" customWidth="1"/>
    <col min="14339" max="14339" width="8.42578125" customWidth="1"/>
    <col min="14340" max="14340" width="14.28515625" customWidth="1"/>
    <col min="14341" max="14341" width="9.28515625" bestFit="1" customWidth="1"/>
    <col min="14342" max="14342" width="12.140625" customWidth="1"/>
    <col min="14343" max="14343" width="14.42578125" customWidth="1"/>
    <col min="14344" max="14344" width="12.5703125" customWidth="1"/>
    <col min="14345" max="14345" width="17.7109375" customWidth="1"/>
    <col min="14593" max="14593" width="4.7109375" customWidth="1"/>
    <col min="14594" max="14594" width="45" customWidth="1"/>
    <col min="14595" max="14595" width="8.42578125" customWidth="1"/>
    <col min="14596" max="14596" width="14.28515625" customWidth="1"/>
    <col min="14597" max="14597" width="9.28515625" bestFit="1" customWidth="1"/>
    <col min="14598" max="14598" width="12.140625" customWidth="1"/>
    <col min="14599" max="14599" width="14.42578125" customWidth="1"/>
    <col min="14600" max="14600" width="12.5703125" customWidth="1"/>
    <col min="14601" max="14601" width="17.7109375" customWidth="1"/>
    <col min="14849" max="14849" width="4.7109375" customWidth="1"/>
    <col min="14850" max="14850" width="45" customWidth="1"/>
    <col min="14851" max="14851" width="8.42578125" customWidth="1"/>
    <col min="14852" max="14852" width="14.28515625" customWidth="1"/>
    <col min="14853" max="14853" width="9.28515625" bestFit="1" customWidth="1"/>
    <col min="14854" max="14854" width="12.140625" customWidth="1"/>
    <col min="14855" max="14855" width="14.42578125" customWidth="1"/>
    <col min="14856" max="14856" width="12.5703125" customWidth="1"/>
    <col min="14857" max="14857" width="17.7109375" customWidth="1"/>
    <col min="15105" max="15105" width="4.7109375" customWidth="1"/>
    <col min="15106" max="15106" width="45" customWidth="1"/>
    <col min="15107" max="15107" width="8.42578125" customWidth="1"/>
    <col min="15108" max="15108" width="14.28515625" customWidth="1"/>
    <col min="15109" max="15109" width="9.28515625" bestFit="1" customWidth="1"/>
    <col min="15110" max="15110" width="12.140625" customWidth="1"/>
    <col min="15111" max="15111" width="14.42578125" customWidth="1"/>
    <col min="15112" max="15112" width="12.5703125" customWidth="1"/>
    <col min="15113" max="15113" width="17.7109375" customWidth="1"/>
    <col min="15361" max="15361" width="4.7109375" customWidth="1"/>
    <col min="15362" max="15362" width="45" customWidth="1"/>
    <col min="15363" max="15363" width="8.42578125" customWidth="1"/>
    <col min="15364" max="15364" width="14.28515625" customWidth="1"/>
    <col min="15365" max="15365" width="9.28515625" bestFit="1" customWidth="1"/>
    <col min="15366" max="15366" width="12.140625" customWidth="1"/>
    <col min="15367" max="15367" width="14.42578125" customWidth="1"/>
    <col min="15368" max="15368" width="12.5703125" customWidth="1"/>
    <col min="15369" max="15369" width="17.7109375" customWidth="1"/>
    <col min="15617" max="15617" width="4.7109375" customWidth="1"/>
    <col min="15618" max="15618" width="45" customWidth="1"/>
    <col min="15619" max="15619" width="8.42578125" customWidth="1"/>
    <col min="15620" max="15620" width="14.28515625" customWidth="1"/>
    <col min="15621" max="15621" width="9.28515625" bestFit="1" customWidth="1"/>
    <col min="15622" max="15622" width="12.140625" customWidth="1"/>
    <col min="15623" max="15623" width="14.42578125" customWidth="1"/>
    <col min="15624" max="15624" width="12.5703125" customWidth="1"/>
    <col min="15625" max="15625" width="17.7109375" customWidth="1"/>
    <col min="15873" max="15873" width="4.7109375" customWidth="1"/>
    <col min="15874" max="15874" width="45" customWidth="1"/>
    <col min="15875" max="15875" width="8.42578125" customWidth="1"/>
    <col min="15876" max="15876" width="14.28515625" customWidth="1"/>
    <col min="15877" max="15877" width="9.28515625" bestFit="1" customWidth="1"/>
    <col min="15878" max="15878" width="12.140625" customWidth="1"/>
    <col min="15879" max="15879" width="14.42578125" customWidth="1"/>
    <col min="15880" max="15880" width="12.5703125" customWidth="1"/>
    <col min="15881" max="15881" width="17.7109375" customWidth="1"/>
    <col min="16129" max="16129" width="4.7109375" customWidth="1"/>
    <col min="16130" max="16130" width="45" customWidth="1"/>
    <col min="16131" max="16131" width="8.42578125" customWidth="1"/>
    <col min="16132" max="16132" width="14.28515625" customWidth="1"/>
    <col min="16133" max="16133" width="9.28515625" bestFit="1" customWidth="1"/>
    <col min="16134" max="16134" width="12.140625" customWidth="1"/>
    <col min="16135" max="16135" width="14.42578125" customWidth="1"/>
    <col min="16136" max="16136" width="12.5703125" customWidth="1"/>
    <col min="16137" max="16137" width="17.7109375" customWidth="1"/>
  </cols>
  <sheetData>
    <row r="1" spans="1:14" x14ac:dyDescent="0.2">
      <c r="A1" s="103" t="s">
        <v>265</v>
      </c>
    </row>
    <row r="2" spans="1:14" x14ac:dyDescent="0.2">
      <c r="A2" s="103" t="str">
        <f>'[2]Planilha Global'!A2</f>
        <v>PREFEITURA MUNICIPAL DE MAMANGUAPE</v>
      </c>
      <c r="G2" t="s">
        <v>421</v>
      </c>
      <c r="H2">
        <v>128.16</v>
      </c>
    </row>
    <row r="3" spans="1:14" ht="5.0999999999999996" customHeight="1" x14ac:dyDescent="0.2"/>
    <row r="4" spans="1:14" s="202" customFormat="1" ht="12.75" customHeight="1" x14ac:dyDescent="0.25">
      <c r="A4" s="729" t="s">
        <v>422</v>
      </c>
      <c r="B4" s="737"/>
      <c r="C4" s="737"/>
      <c r="D4" s="737"/>
      <c r="E4" s="737"/>
      <c r="F4" s="737"/>
      <c r="H4" s="202" t="s">
        <v>423</v>
      </c>
      <c r="I4" s="202" t="s">
        <v>424</v>
      </c>
      <c r="J4" s="202" t="s">
        <v>425</v>
      </c>
      <c r="K4" s="202" t="s">
        <v>426</v>
      </c>
      <c r="L4" s="202" t="s">
        <v>427</v>
      </c>
      <c r="M4" s="202" t="s">
        <v>428</v>
      </c>
      <c r="N4" s="202" t="s">
        <v>429</v>
      </c>
    </row>
    <row r="5" spans="1:14" s="202" customFormat="1" ht="7.5" customHeight="1" x14ac:dyDescent="0.25">
      <c r="A5" s="434"/>
      <c r="B5" s="435"/>
      <c r="C5" s="435"/>
      <c r="D5" s="435"/>
      <c r="E5" s="435"/>
      <c r="F5" s="435"/>
    </row>
    <row r="6" spans="1:14" s="202" customFormat="1" ht="15" customHeight="1" x14ac:dyDescent="0.25">
      <c r="A6" s="258" t="s">
        <v>1014</v>
      </c>
      <c r="B6" s="258"/>
      <c r="C6" s="258"/>
      <c r="D6" s="258"/>
      <c r="E6" s="258"/>
      <c r="F6" s="103"/>
      <c r="G6" s="53"/>
      <c r="H6" s="202">
        <f>(7.9+5.22)/2</f>
        <v>6.56</v>
      </c>
      <c r="I6" s="202">
        <v>10</v>
      </c>
      <c r="J6" s="230">
        <f t="shared" ref="J6" si="0">H6*I6</f>
        <v>65.599999999999994</v>
      </c>
    </row>
    <row r="7" spans="1:14" s="202" customFormat="1" ht="21" customHeight="1" x14ac:dyDescent="0.25">
      <c r="A7" s="258" t="s">
        <v>525</v>
      </c>
      <c r="B7" s="436"/>
      <c r="C7" s="437"/>
      <c r="D7" s="437"/>
      <c r="E7" s="257"/>
      <c r="F7" s="257"/>
      <c r="G7" s="53"/>
      <c r="H7" s="202">
        <f>(5.22+5.3)/2</f>
        <v>5.26</v>
      </c>
      <c r="I7" s="202">
        <v>48.31</v>
      </c>
      <c r="J7" s="230">
        <f>I7*H7</f>
        <v>254.11</v>
      </c>
    </row>
    <row r="8" spans="1:14" s="202" customFormat="1" ht="15" customHeight="1" x14ac:dyDescent="0.25">
      <c r="A8" s="103" t="s">
        <v>911</v>
      </c>
      <c r="B8" s="436"/>
      <c r="C8" s="736" t="s">
        <v>1019</v>
      </c>
      <c r="D8" s="736"/>
      <c r="E8" s="736"/>
      <c r="F8" s="736"/>
      <c r="G8" s="53"/>
      <c r="H8" s="663">
        <f>(5.48+5.43)/2</f>
        <v>5.4550000000000001</v>
      </c>
      <c r="I8" s="202">
        <v>16.57</v>
      </c>
      <c r="J8" s="230">
        <v>0.97</v>
      </c>
      <c r="K8" s="202">
        <f>10.09+10.13+46.74+46.86+2.21+2.19</f>
        <v>118.22</v>
      </c>
      <c r="L8" s="202">
        <f>5.68+4.08+6.31+26.94+12.7+10.5+13.15+2.22+7.65+20.38+25.33+25.4+36.7+29.26+18.73+19.08+9.01+14.58+11.42+7.25+4.36+26.66+12.33+10.58+14.04+3.07+7.89+20.45+25.67+25.67+37.03+29.56+19.1+18.96+8.89+14.81+11.96</f>
        <v>597.4</v>
      </c>
      <c r="M8" s="202">
        <v>2</v>
      </c>
      <c r="N8" s="202">
        <v>1.2</v>
      </c>
    </row>
    <row r="9" spans="1:14" s="202" customFormat="1" ht="15" customHeight="1" x14ac:dyDescent="0.2">
      <c r="A9" s="103" t="s">
        <v>786</v>
      </c>
      <c r="B9" s="438"/>
      <c r="C9" s="736" t="s">
        <v>1020</v>
      </c>
      <c r="D9" s="736"/>
      <c r="E9" s="736"/>
      <c r="F9" s="736"/>
      <c r="G9" s="53"/>
      <c r="H9" s="663"/>
      <c r="I9" s="230"/>
      <c r="J9" s="230"/>
      <c r="K9" s="230"/>
      <c r="L9" s="202">
        <f>2.43+3.39+2.31+2.97+2.01+3.07</f>
        <v>16.18</v>
      </c>
    </row>
    <row r="10" spans="1:14" s="202" customFormat="1" ht="14.25" customHeight="1" x14ac:dyDescent="0.2">
      <c r="A10" s="103" t="s">
        <v>1015</v>
      </c>
      <c r="B10" s="438"/>
      <c r="C10" s="736" t="s">
        <v>1017</v>
      </c>
      <c r="D10" s="736"/>
      <c r="E10" s="736"/>
      <c r="F10" s="736"/>
      <c r="H10" s="663"/>
      <c r="I10" s="230"/>
      <c r="J10" s="230"/>
      <c r="K10" s="230"/>
    </row>
    <row r="11" spans="1:14" s="202" customFormat="1" ht="14.25" customHeight="1" x14ac:dyDescent="0.2">
      <c r="A11" s="103" t="s">
        <v>1016</v>
      </c>
      <c r="B11" s="438"/>
      <c r="C11" s="103" t="s">
        <v>1021</v>
      </c>
      <c r="D11" s="437"/>
      <c r="E11" s="437"/>
      <c r="F11" s="437"/>
      <c r="H11" s="663"/>
      <c r="I11" s="230"/>
      <c r="J11" s="230">
        <f>SUM(J6:J10)</f>
        <v>320.68</v>
      </c>
    </row>
    <row r="12" spans="1:14" s="202" customFormat="1" ht="14.25" customHeight="1" x14ac:dyDescent="0.2">
      <c r="A12" s="103"/>
      <c r="B12" s="438"/>
      <c r="C12" s="103"/>
      <c r="D12" s="437"/>
      <c r="E12" s="103"/>
      <c r="F12" s="103"/>
      <c r="H12" s="663"/>
      <c r="I12" s="230"/>
      <c r="J12" s="230"/>
    </row>
    <row r="13" spans="1:14" s="202" customFormat="1" ht="15" customHeight="1" x14ac:dyDescent="0.25">
      <c r="A13" s="515" t="s">
        <v>937</v>
      </c>
      <c r="B13" s="436"/>
      <c r="C13" s="736"/>
      <c r="D13" s="736"/>
      <c r="E13" s="736"/>
      <c r="F13" s="736"/>
      <c r="G13" s="53"/>
      <c r="H13" s="663"/>
      <c r="I13" s="230"/>
      <c r="J13" s="230"/>
    </row>
    <row r="14" spans="1:14" s="202" customFormat="1" ht="15" customHeight="1" x14ac:dyDescent="0.2">
      <c r="A14" s="515" t="s">
        <v>1018</v>
      </c>
      <c r="B14" s="438"/>
      <c r="C14" s="736"/>
      <c r="D14" s="736"/>
      <c r="E14" s="736"/>
      <c r="F14" s="736"/>
      <c r="G14" s="53"/>
      <c r="H14" s="663"/>
      <c r="I14" s="230"/>
      <c r="J14" s="230"/>
      <c r="K14" s="230"/>
    </row>
    <row r="15" spans="1:14" s="202" customFormat="1" ht="14.25" customHeight="1" x14ac:dyDescent="0.2">
      <c r="A15" s="515" t="s">
        <v>939</v>
      </c>
      <c r="B15" s="438"/>
      <c r="C15" s="666"/>
      <c r="D15" s="666"/>
      <c r="E15" s="666"/>
      <c r="F15" s="666"/>
      <c r="H15" s="663"/>
      <c r="I15" s="230"/>
      <c r="J15" s="230"/>
      <c r="K15" s="230"/>
    </row>
    <row r="16" spans="1:14" s="202" customFormat="1" ht="14.25" customHeight="1" x14ac:dyDescent="0.2">
      <c r="A16" s="515" t="s">
        <v>1022</v>
      </c>
      <c r="B16" s="438"/>
      <c r="C16" s="103"/>
      <c r="D16" s="437"/>
      <c r="E16" s="437"/>
      <c r="F16" s="437"/>
      <c r="H16" s="230"/>
      <c r="I16" s="230"/>
      <c r="J16" s="230"/>
    </row>
    <row r="17" spans="1:19" s="202" customFormat="1" ht="14.25" customHeight="1" x14ac:dyDescent="0.2">
      <c r="A17" s="515"/>
      <c r="B17" s="438"/>
      <c r="C17" s="103"/>
      <c r="D17" s="437"/>
      <c r="E17" s="103"/>
      <c r="F17" s="103"/>
      <c r="I17" s="230"/>
      <c r="J17" s="230"/>
    </row>
    <row r="18" spans="1:19" s="103" customFormat="1" ht="12.75" customHeight="1" x14ac:dyDescent="0.2">
      <c r="A18" s="722" t="s">
        <v>832</v>
      </c>
      <c r="B18" s="722"/>
      <c r="C18" s="440"/>
      <c r="D18" s="440"/>
      <c r="E18" s="441"/>
      <c r="F18" s="452"/>
    </row>
    <row r="19" spans="1:19" s="103" customFormat="1" ht="26.25" customHeight="1" x14ac:dyDescent="0.2">
      <c r="A19" s="664" t="s">
        <v>86</v>
      </c>
      <c r="B19" s="724" t="s">
        <v>1025</v>
      </c>
      <c r="C19" s="724"/>
      <c r="D19" s="724"/>
      <c r="E19" s="452">
        <v>58.31</v>
      </c>
      <c r="F19" s="438" t="s">
        <v>11</v>
      </c>
    </row>
    <row r="20" spans="1:19" s="202" customFormat="1" ht="5.0999999999999996" customHeight="1" x14ac:dyDescent="0.2">
      <c r="B20" s="445"/>
      <c r="C20" s="446"/>
      <c r="D20" s="447"/>
      <c r="E20" s="256"/>
      <c r="F20" s="256"/>
      <c r="G20" s="103"/>
      <c r="H20" s="103"/>
      <c r="I20" s="103"/>
      <c r="J20" s="103"/>
      <c r="K20" s="103"/>
      <c r="L20" s="103"/>
      <c r="M20" s="103"/>
      <c r="N20" s="103"/>
      <c r="O20" s="103"/>
      <c r="P20" s="103"/>
      <c r="Q20" s="103"/>
      <c r="R20" s="103"/>
      <c r="S20" s="103"/>
    </row>
    <row r="21" spans="1:19" s="103" customFormat="1" ht="12.75" customHeight="1" x14ac:dyDescent="0.2">
      <c r="A21" s="738" t="s">
        <v>833</v>
      </c>
      <c r="B21" s="738"/>
      <c r="C21" s="450"/>
      <c r="D21" s="440"/>
      <c r="E21" s="308"/>
      <c r="F21" s="451"/>
      <c r="J21" s="230"/>
    </row>
    <row r="22" spans="1:19" s="103" customFormat="1" ht="27" customHeight="1" x14ac:dyDescent="0.2">
      <c r="A22" s="664" t="s">
        <v>7</v>
      </c>
      <c r="B22" s="724" t="s">
        <v>1023</v>
      </c>
      <c r="C22" s="724"/>
      <c r="D22" s="724"/>
      <c r="E22" s="452">
        <f>J11</f>
        <v>320.68</v>
      </c>
      <c r="F22" s="438" t="s">
        <v>13</v>
      </c>
    </row>
    <row r="23" spans="1:19" s="202" customFormat="1" ht="5.0999999999999996" customHeight="1" x14ac:dyDescent="0.25">
      <c r="B23" s="453"/>
      <c r="C23" s="453"/>
      <c r="D23" s="453"/>
      <c r="E23" s="454"/>
      <c r="F23" s="455"/>
    </row>
    <row r="24" spans="1:19" s="103" customFormat="1" ht="12.75" customHeight="1" x14ac:dyDescent="0.2">
      <c r="A24" s="738" t="s">
        <v>834</v>
      </c>
      <c r="B24" s="738"/>
      <c r="C24" s="450"/>
      <c r="D24" s="440"/>
      <c r="E24" s="308"/>
      <c r="F24" s="451"/>
      <c r="J24" s="230"/>
    </row>
    <row r="25" spans="1:19" s="103" customFormat="1" ht="65.25" customHeight="1" x14ac:dyDescent="0.2">
      <c r="A25" s="664" t="s">
        <v>9</v>
      </c>
      <c r="B25" s="721" t="s">
        <v>1026</v>
      </c>
      <c r="C25" s="721"/>
      <c r="D25" s="721"/>
      <c r="E25" s="452">
        <f>K8</f>
        <v>118.22</v>
      </c>
      <c r="F25" s="438" t="s">
        <v>11</v>
      </c>
    </row>
    <row r="26" spans="1:19" s="202" customFormat="1" ht="5.0999999999999996" customHeight="1" x14ac:dyDescent="0.2">
      <c r="B26" s="445"/>
      <c r="C26" s="446"/>
      <c r="D26" s="447"/>
      <c r="E26" s="256"/>
      <c r="F26" s="256"/>
      <c r="G26" s="103"/>
      <c r="H26" s="103"/>
      <c r="I26" s="103"/>
      <c r="J26" s="103"/>
      <c r="K26" s="103"/>
      <c r="L26" s="103"/>
      <c r="M26" s="103"/>
      <c r="N26" s="103"/>
      <c r="O26" s="103"/>
      <c r="P26" s="103"/>
      <c r="Q26" s="103"/>
      <c r="R26" s="103"/>
      <c r="S26" s="103"/>
    </row>
    <row r="27" spans="1:19" s="103" customFormat="1" ht="39" customHeight="1" x14ac:dyDescent="0.2">
      <c r="A27" s="664" t="s">
        <v>12</v>
      </c>
      <c r="B27" s="721" t="s">
        <v>1024</v>
      </c>
      <c r="C27" s="721"/>
      <c r="D27" s="721"/>
      <c r="E27" s="452">
        <f>E22</f>
        <v>320.68</v>
      </c>
      <c r="F27" s="438" t="s">
        <v>13</v>
      </c>
    </row>
    <row r="28" spans="1:19" s="202" customFormat="1" ht="5.0999999999999996" customHeight="1" x14ac:dyDescent="0.2">
      <c r="B28" s="445"/>
      <c r="C28" s="446"/>
      <c r="D28" s="447"/>
      <c r="E28" s="256"/>
      <c r="F28" s="256"/>
      <c r="G28" s="103"/>
      <c r="H28" s="103"/>
      <c r="I28" s="103"/>
      <c r="J28" s="103"/>
      <c r="K28" s="103"/>
      <c r="L28" s="103"/>
      <c r="M28" s="103"/>
      <c r="N28" s="103"/>
      <c r="O28" s="103"/>
      <c r="P28" s="103"/>
      <c r="Q28" s="103"/>
      <c r="R28" s="103"/>
      <c r="S28" s="103"/>
    </row>
    <row r="29" spans="1:19" s="103" customFormat="1" ht="12.75" customHeight="1" x14ac:dyDescent="0.2">
      <c r="A29" s="739" t="s">
        <v>835</v>
      </c>
      <c r="B29" s="739"/>
      <c r="C29" s="440"/>
      <c r="D29" s="440"/>
      <c r="E29" s="441"/>
      <c r="F29" s="442"/>
    </row>
    <row r="30" spans="1:19" s="103" customFormat="1" ht="129" customHeight="1" x14ac:dyDescent="0.2">
      <c r="A30" s="664" t="s">
        <v>129</v>
      </c>
      <c r="B30" s="725" t="s">
        <v>1027</v>
      </c>
      <c r="C30" s="724"/>
      <c r="D30" s="724"/>
      <c r="E30" s="638">
        <f>M30</f>
        <v>6.1</v>
      </c>
      <c r="F30" s="438" t="s">
        <v>128</v>
      </c>
      <c r="G30" s="460">
        <f>10.09*1.2/2+10.13*1.2/2+(46.74+46.86)*1.2+1.2*1.2/2+1.2*1.2/2</f>
        <v>125.89</v>
      </c>
      <c r="H30" s="460">
        <f>G30-E41</f>
        <v>107.89</v>
      </c>
      <c r="I30" s="460"/>
      <c r="J30" s="460">
        <f>H30*0.06</f>
        <v>6.47</v>
      </c>
      <c r="K30" s="460">
        <f>4.42+4.42+33.04+33.15+4.61+5.21+2.7+2+1.54+1.4</f>
        <v>92.49</v>
      </c>
      <c r="L30" s="460">
        <f>K30*0.2*0.02</f>
        <v>0.37</v>
      </c>
      <c r="M30" s="460">
        <f>J30-L30</f>
        <v>6.1</v>
      </c>
    </row>
    <row r="31" spans="1:19" s="202" customFormat="1" ht="5.0999999999999996" customHeight="1" x14ac:dyDescent="0.2">
      <c r="B31" s="445"/>
      <c r="C31" s="446"/>
      <c r="D31" s="447"/>
      <c r="E31" s="256"/>
      <c r="F31" s="256"/>
      <c r="G31" s="448"/>
      <c r="H31" s="448"/>
    </row>
    <row r="32" spans="1:19" s="103" customFormat="1" ht="79.5" customHeight="1" x14ac:dyDescent="0.2">
      <c r="A32" s="664" t="s">
        <v>131</v>
      </c>
      <c r="B32" s="721" t="s">
        <v>1028</v>
      </c>
      <c r="C32" s="721"/>
      <c r="D32" s="721"/>
      <c r="E32" s="639">
        <f>G32</f>
        <v>18.5</v>
      </c>
      <c r="F32" s="640" t="s">
        <v>13</v>
      </c>
      <c r="G32" s="648">
        <f>K30*0.2</f>
        <v>18.5</v>
      </c>
      <c r="H32" s="438"/>
      <c r="J32" s="460"/>
      <c r="K32" s="460"/>
      <c r="L32" s="461"/>
      <c r="M32" s="461"/>
      <c r="N32" s="460"/>
      <c r="O32" s="460"/>
      <c r="Q32" s="460"/>
    </row>
    <row r="33" spans="1:18" s="103" customFormat="1" ht="5.0999999999999996" customHeight="1" x14ac:dyDescent="0.2">
      <c r="B33" s="456"/>
      <c r="C33" s="456"/>
      <c r="D33" s="456"/>
      <c r="E33" s="457"/>
      <c r="F33" s="458"/>
    </row>
    <row r="34" spans="1:18" s="103" customFormat="1" ht="12.75" customHeight="1" x14ac:dyDescent="0.2">
      <c r="A34" s="739" t="s">
        <v>836</v>
      </c>
      <c r="B34" s="739"/>
      <c r="C34" s="440"/>
      <c r="D34" s="440"/>
      <c r="E34" s="441"/>
      <c r="F34" s="442"/>
    </row>
    <row r="35" spans="1:18" s="103" customFormat="1" ht="78" customHeight="1" x14ac:dyDescent="0.2">
      <c r="A35" s="664" t="s">
        <v>158</v>
      </c>
      <c r="B35" s="721" t="s">
        <v>905</v>
      </c>
      <c r="C35" s="721"/>
      <c r="D35" s="721"/>
      <c r="E35" s="637">
        <f>K35</f>
        <v>1.05</v>
      </c>
      <c r="F35" s="641" t="s">
        <v>128</v>
      </c>
      <c r="G35" s="460">
        <f>7.5*N8*M8*0.06</f>
        <v>1.08</v>
      </c>
      <c r="H35" s="461">
        <f>(1.2*2+1.5)*M8</f>
        <v>7.8</v>
      </c>
      <c r="I35" s="461"/>
      <c r="J35" s="461">
        <f>H35*0.2*0.02</f>
        <v>0.03</v>
      </c>
      <c r="K35" s="460">
        <f>G35-J35</f>
        <v>1.05</v>
      </c>
      <c r="N35" s="103">
        <f>(7.5*1.2)*7+5.75+6.31+5.25+6.11+5.71+5.24+5.25+7.18+7.07+5.2+5.25+5.15</f>
        <v>132.47</v>
      </c>
      <c r="O35" s="461">
        <f>N35*0.06</f>
        <v>7.95</v>
      </c>
      <c r="P35" s="461">
        <f>(1.2*3*7+1.05+2.42+1.05+4.76+1.42/2+2+1.05+3+1.05+2.66+1.05+2.01+1.05+3+1.05+1.05+1.05+1.05+1.05+1.05+1.05+2+1.05+2+1.05+2+0.99)</f>
        <v>68.5</v>
      </c>
      <c r="Q35" s="461">
        <f>P35*0.2*0.02</f>
        <v>0.27</v>
      </c>
      <c r="R35" s="103">
        <f>P35*0.2</f>
        <v>13.7</v>
      </c>
    </row>
    <row r="36" spans="1:18" s="202" customFormat="1" ht="5.0999999999999996" customHeight="1" x14ac:dyDescent="0.25">
      <c r="B36" s="445"/>
      <c r="C36" s="446"/>
      <c r="D36" s="447"/>
      <c r="E36" s="207"/>
      <c r="F36" s="642"/>
      <c r="G36" s="448"/>
      <c r="H36" s="448"/>
    </row>
    <row r="37" spans="1:18" s="103" customFormat="1" ht="78" customHeight="1" x14ac:dyDescent="0.2">
      <c r="A37" s="664" t="s">
        <v>170</v>
      </c>
      <c r="B37" s="721" t="s">
        <v>906</v>
      </c>
      <c r="C37" s="721"/>
      <c r="D37" s="721"/>
      <c r="E37" s="637">
        <f>E35</f>
        <v>1.05</v>
      </c>
      <c r="F37" s="641" t="s">
        <v>128</v>
      </c>
      <c r="G37" s="438"/>
      <c r="H37" s="438"/>
      <c r="I37" s="460"/>
      <c r="J37" s="461"/>
      <c r="K37" s="461"/>
      <c r="L37" s="461"/>
      <c r="M37" s="460"/>
    </row>
    <row r="38" spans="1:18" s="202" customFormat="1" ht="5.0999999999999996" customHeight="1" x14ac:dyDescent="0.2">
      <c r="B38" s="445"/>
      <c r="C38" s="446"/>
      <c r="D38" s="447"/>
      <c r="E38" s="256"/>
      <c r="F38" s="256"/>
      <c r="G38" s="448"/>
      <c r="H38" s="448"/>
    </row>
    <row r="39" spans="1:18" s="103" customFormat="1" ht="53.25" customHeight="1" x14ac:dyDescent="0.2">
      <c r="A39" s="664" t="s">
        <v>203</v>
      </c>
      <c r="B39" s="721" t="s">
        <v>907</v>
      </c>
      <c r="C39" s="721"/>
      <c r="D39" s="721"/>
      <c r="E39" s="637">
        <f>G39</f>
        <v>1.56</v>
      </c>
      <c r="F39" s="640" t="s">
        <v>13</v>
      </c>
      <c r="G39" s="645">
        <f>(N8*2+1.5)*M8*0.2</f>
        <v>1.56</v>
      </c>
      <c r="H39" s="438"/>
      <c r="J39" s="460"/>
      <c r="K39" s="460"/>
      <c r="L39" s="461"/>
      <c r="M39" s="461"/>
      <c r="N39" s="460"/>
      <c r="O39" s="460"/>
      <c r="Q39" s="460"/>
    </row>
    <row r="40" spans="1:18" s="202" customFormat="1" ht="5.0999999999999996" customHeight="1" x14ac:dyDescent="0.2">
      <c r="B40" s="445"/>
      <c r="C40" s="446"/>
      <c r="D40" s="447"/>
      <c r="E40" s="256"/>
      <c r="F40" s="256"/>
      <c r="G40" s="448"/>
      <c r="H40" s="448"/>
    </row>
    <row r="41" spans="1:18" s="103" customFormat="1" ht="40.5" customHeight="1" x14ac:dyDescent="0.2">
      <c r="A41" s="664" t="s">
        <v>181</v>
      </c>
      <c r="B41" s="726" t="s">
        <v>908</v>
      </c>
      <c r="C41" s="726"/>
      <c r="D41" s="726"/>
      <c r="E41" s="647">
        <f>G41</f>
        <v>18</v>
      </c>
      <c r="F41" s="641" t="s">
        <v>13</v>
      </c>
      <c r="G41" s="646">
        <f>7.5*N8*M8:M8</f>
        <v>18</v>
      </c>
      <c r="H41" s="438"/>
      <c r="J41" s="460"/>
      <c r="K41" s="460"/>
    </row>
    <row r="42" spans="1:18" s="103" customFormat="1" ht="5.0999999999999996" customHeight="1" x14ac:dyDescent="0.2">
      <c r="B42" s="456"/>
      <c r="C42" s="456"/>
      <c r="D42" s="456"/>
      <c r="E42" s="457"/>
      <c r="F42" s="458"/>
      <c r="G42" s="458"/>
      <c r="H42" s="458"/>
    </row>
    <row r="43" spans="1:18" s="103" customFormat="1" ht="12.75" customHeight="1" x14ac:dyDescent="0.2">
      <c r="A43" s="738" t="s">
        <v>837</v>
      </c>
      <c r="B43" s="738"/>
      <c r="C43" s="440"/>
      <c r="D43" s="440"/>
      <c r="E43" s="441"/>
      <c r="F43" s="442"/>
    </row>
    <row r="44" spans="1:18" s="103" customFormat="1" ht="39" customHeight="1" x14ac:dyDescent="0.2">
      <c r="A44" s="664" t="s">
        <v>175</v>
      </c>
      <c r="B44" s="721" t="s">
        <v>850</v>
      </c>
      <c r="C44" s="721"/>
      <c r="D44" s="721"/>
      <c r="E44" s="459">
        <v>1</v>
      </c>
      <c r="F44" s="438" t="s">
        <v>279</v>
      </c>
    </row>
    <row r="45" spans="1:18" s="202" customFormat="1" ht="5.0999999999999996" customHeight="1" x14ac:dyDescent="0.2">
      <c r="B45" s="445"/>
      <c r="C45" s="446"/>
      <c r="D45" s="447"/>
      <c r="E45" s="256"/>
      <c r="F45" s="256"/>
      <c r="G45" s="448"/>
      <c r="H45" s="448"/>
    </row>
    <row r="46" spans="1:18" s="103" customFormat="1" ht="39" customHeight="1" x14ac:dyDescent="0.2">
      <c r="A46" s="664" t="s">
        <v>246</v>
      </c>
      <c r="B46" s="721" t="s">
        <v>851</v>
      </c>
      <c r="C46" s="721"/>
      <c r="D46" s="721"/>
      <c r="E46" s="459">
        <v>1</v>
      </c>
      <c r="F46" s="438" t="s">
        <v>279</v>
      </c>
    </row>
    <row r="47" spans="1:18" s="202" customFormat="1" ht="5.0999999999999996" customHeight="1" x14ac:dyDescent="0.2">
      <c r="B47" s="445"/>
      <c r="C47" s="446"/>
      <c r="D47" s="447"/>
      <c r="E47" s="256"/>
      <c r="F47" s="256"/>
      <c r="G47" s="448"/>
      <c r="H47" s="448"/>
    </row>
    <row r="48" spans="1:18" s="103" customFormat="1" ht="12.75" customHeight="1" x14ac:dyDescent="0.2">
      <c r="A48" s="738" t="s">
        <v>852</v>
      </c>
      <c r="B48" s="738"/>
      <c r="C48" s="440"/>
      <c r="D48" s="440"/>
      <c r="E48" s="441"/>
      <c r="F48" s="442"/>
    </row>
    <row r="49" spans="1:9" s="103" customFormat="1" ht="25.5" customHeight="1" x14ac:dyDescent="0.2">
      <c r="A49" s="664" t="s">
        <v>255</v>
      </c>
      <c r="B49" s="721" t="s">
        <v>1029</v>
      </c>
      <c r="C49" s="721"/>
      <c r="D49" s="721"/>
      <c r="E49" s="459">
        <f>E25*(0.15+0.13)</f>
        <v>33.1</v>
      </c>
      <c r="F49" s="438" t="s">
        <v>13</v>
      </c>
      <c r="H49" s="103" t="e">
        <f>#REF!*0.28</f>
        <v>#REF!</v>
      </c>
    </row>
    <row r="50" spans="1:9" s="103" customFormat="1" ht="5.0999999999999996" customHeight="1" x14ac:dyDescent="0.2">
      <c r="E50" s="441"/>
      <c r="F50" s="442"/>
    </row>
    <row r="51" spans="1:9" s="202" customFormat="1" ht="24.75" customHeight="1" x14ac:dyDescent="0.2">
      <c r="A51" s="664" t="s">
        <v>853</v>
      </c>
      <c r="B51" s="721" t="s">
        <v>707</v>
      </c>
      <c r="C51" s="721"/>
      <c r="D51" s="721"/>
      <c r="E51" s="442">
        <v>1</v>
      </c>
      <c r="F51" s="53" t="s">
        <v>279</v>
      </c>
      <c r="H51" s="202">
        <v>3.9</v>
      </c>
      <c r="I51" s="202">
        <v>216</v>
      </c>
    </row>
    <row r="52" spans="1:9" s="103" customFormat="1" ht="5.0999999999999996" customHeight="1" x14ac:dyDescent="0.2">
      <c r="B52" s="456"/>
      <c r="C52" s="456"/>
      <c r="D52" s="456"/>
      <c r="E52" s="457"/>
      <c r="F52" s="458"/>
      <c r="G52" s="458"/>
      <c r="H52" s="458"/>
    </row>
    <row r="53" spans="1:9" s="103" customFormat="1" ht="39" customHeight="1" x14ac:dyDescent="0.2">
      <c r="A53" s="664" t="s">
        <v>882</v>
      </c>
      <c r="B53" s="721" t="s">
        <v>885</v>
      </c>
      <c r="C53" s="721"/>
      <c r="D53" s="721"/>
      <c r="E53" s="459">
        <v>1</v>
      </c>
      <c r="F53" s="438" t="s">
        <v>279</v>
      </c>
    </row>
    <row r="54" spans="1:9" s="202" customFormat="1" ht="5.0999999999999996" customHeight="1" x14ac:dyDescent="0.2">
      <c r="B54" s="445"/>
      <c r="C54" s="446"/>
      <c r="D54" s="447"/>
      <c r="E54" s="256"/>
      <c r="F54" s="256"/>
      <c r="G54" s="448"/>
      <c r="H54" s="448"/>
    </row>
    <row r="55" spans="1:9" x14ac:dyDescent="0.2">
      <c r="A55" s="103" t="s">
        <v>265</v>
      </c>
    </row>
    <row r="56" spans="1:9" x14ac:dyDescent="0.2">
      <c r="A56" s="103" t="str">
        <f>A2</f>
        <v>PREFEITURA MUNICIPAL DE MAMANGUAPE</v>
      </c>
    </row>
    <row r="57" spans="1:9" ht="5.0999999999999996" customHeight="1" x14ac:dyDescent="0.2"/>
    <row r="58" spans="1:9" s="103" customFormat="1" ht="12.75" customHeight="1" x14ac:dyDescent="0.25">
      <c r="A58" s="729" t="s">
        <v>433</v>
      </c>
      <c r="B58" s="729"/>
      <c r="C58" s="729"/>
      <c r="D58" s="729"/>
      <c r="E58" s="729"/>
      <c r="F58" s="729"/>
      <c r="H58" s="460"/>
    </row>
    <row r="59" spans="1:9" s="202" customFormat="1" ht="18" customHeight="1" x14ac:dyDescent="0.25">
      <c r="A59" s="735" t="str">
        <f>A6</f>
        <v>Travessa Cunha de Vasconcelos</v>
      </c>
      <c r="B59" s="735"/>
      <c r="C59" s="735"/>
      <c r="D59" s="735"/>
      <c r="E59" s="735"/>
      <c r="F59" s="735"/>
      <c r="G59" s="53"/>
    </row>
    <row r="60" spans="1:9" s="202" customFormat="1" ht="5.0999999999999996" customHeight="1" x14ac:dyDescent="0.25">
      <c r="B60" s="436"/>
      <c r="C60" s="437"/>
      <c r="D60" s="437"/>
      <c r="E60" s="257"/>
      <c r="F60" s="257"/>
      <c r="G60" s="53"/>
    </row>
    <row r="61" spans="1:9" s="202" customFormat="1" ht="12.75" customHeight="1" x14ac:dyDescent="0.2">
      <c r="A61" s="730" t="s">
        <v>53</v>
      </c>
      <c r="B61" s="732" t="s">
        <v>267</v>
      </c>
      <c r="C61" s="732" t="s">
        <v>268</v>
      </c>
      <c r="D61" s="732" t="s">
        <v>434</v>
      </c>
      <c r="E61" s="732" t="s">
        <v>435</v>
      </c>
      <c r="F61" s="734"/>
    </row>
    <row r="62" spans="1:9" s="202" customFormat="1" ht="12.75" customHeight="1" x14ac:dyDescent="0.2">
      <c r="A62" s="731"/>
      <c r="B62" s="733"/>
      <c r="C62" s="733"/>
      <c r="D62" s="733"/>
      <c r="E62" s="462" t="s">
        <v>436</v>
      </c>
      <c r="F62" s="463" t="s">
        <v>437</v>
      </c>
    </row>
    <row r="63" spans="1:9" s="202" customFormat="1" ht="12.75" customHeight="1" x14ac:dyDescent="0.2">
      <c r="A63" s="464" t="s">
        <v>4</v>
      </c>
      <c r="B63" s="465" t="s">
        <v>438</v>
      </c>
      <c r="C63" s="466"/>
      <c r="D63" s="467"/>
      <c r="E63" s="467"/>
      <c r="F63" s="468">
        <f>SUM(F64)</f>
        <v>33.24</v>
      </c>
    </row>
    <row r="64" spans="1:9" s="202" customFormat="1" ht="25.5" x14ac:dyDescent="0.2">
      <c r="A64" s="469" t="s">
        <v>86</v>
      </c>
      <c r="B64" s="470" t="str">
        <f>'Planilha Global'!B11</f>
        <v>Execução de linhas de referência em gabarito ou cavalete (locação de pavimentação)</v>
      </c>
      <c r="C64" s="490" t="str">
        <f>F19</f>
        <v>m</v>
      </c>
      <c r="D64" s="472">
        <f>E19</f>
        <v>58.31</v>
      </c>
      <c r="E64" s="473">
        <f>'Planilha Global'!N11</f>
        <v>0.56999999999999995</v>
      </c>
      <c r="F64" s="474">
        <f>ROUND(D64,2)*ROUND(E64,2)</f>
        <v>33.24</v>
      </c>
    </row>
    <row r="65" spans="1:12" s="202" customFormat="1" ht="6.75" customHeight="1" x14ac:dyDescent="0.2">
      <c r="A65" s="486"/>
      <c r="B65" s="487"/>
      <c r="C65" s="482"/>
      <c r="D65" s="472"/>
      <c r="E65" s="488"/>
      <c r="F65" s="474"/>
    </row>
    <row r="66" spans="1:12" s="202" customFormat="1" ht="12.75" customHeight="1" x14ac:dyDescent="0.2">
      <c r="A66" s="464" t="s">
        <v>6</v>
      </c>
      <c r="B66" s="465" t="s">
        <v>511</v>
      </c>
      <c r="C66" s="466"/>
      <c r="D66" s="467"/>
      <c r="E66" s="467"/>
      <c r="F66" s="468">
        <f>SUM(F67:F67)</f>
        <v>801.7</v>
      </c>
    </row>
    <row r="67" spans="1:12" s="202" customFormat="1" ht="25.5" x14ac:dyDescent="0.2">
      <c r="A67" s="469" t="s">
        <v>7</v>
      </c>
      <c r="B67" s="470" t="str">
        <f>'Planilha Global'!B14</f>
        <v>Regularização e compactação do subleito até 20 cm de espessura</v>
      </c>
      <c r="C67" s="482" t="str">
        <f>F22</f>
        <v>m²</v>
      </c>
      <c r="D67" s="472">
        <f>E22</f>
        <v>320.68</v>
      </c>
      <c r="E67" s="473">
        <f>'Planilha Global'!N14</f>
        <v>2.5</v>
      </c>
      <c r="F67" s="474">
        <f>ROUND(D67,2)*ROUND(E67,2)</f>
        <v>801.7</v>
      </c>
      <c r="H67" s="485"/>
    </row>
    <row r="68" spans="1:12" s="202" customFormat="1" ht="6.75" customHeight="1" x14ac:dyDescent="0.2">
      <c r="A68" s="486"/>
      <c r="B68" s="487"/>
      <c r="C68" s="482"/>
      <c r="D68" s="472"/>
      <c r="E68" s="488"/>
      <c r="F68" s="474"/>
    </row>
    <row r="69" spans="1:12" s="202" customFormat="1" ht="12.75" customHeight="1" thickBot="1" x14ac:dyDescent="0.25">
      <c r="A69" s="464" t="s">
        <v>8</v>
      </c>
      <c r="B69" s="465" t="s">
        <v>439</v>
      </c>
      <c r="C69" s="466"/>
      <c r="D69" s="467"/>
      <c r="E69" s="489"/>
      <c r="F69" s="468">
        <f>SUM(F70:F71)</f>
        <v>40427.949999999997</v>
      </c>
    </row>
    <row r="70" spans="1:12" s="226" customFormat="1" ht="63.75" x14ac:dyDescent="0.2">
      <c r="A70" s="469" t="s">
        <v>12</v>
      </c>
      <c r="B70" s="470" t="str">
        <f>'Planilha Global'!B17</f>
        <v>Assentamento de guia (meio-fio) em trecho reto, confeccionada em concreto pré-fabricado, dimensões 100x15x13x30 cm (comprimento x base inferior x base superior x altura), para vias urbanas (uso viário)</v>
      </c>
      <c r="C70" s="482" t="str">
        <f>F25</f>
        <v>m</v>
      </c>
      <c r="D70" s="472">
        <f>E25</f>
        <v>118.22</v>
      </c>
      <c r="E70" s="473">
        <f>'Planilha Global'!N17</f>
        <v>49.53</v>
      </c>
      <c r="F70" s="474">
        <f>ROUND(D70,2)*ROUND(E70,2)</f>
        <v>5855.44</v>
      </c>
      <c r="H70" s="492"/>
      <c r="I70" s="493"/>
      <c r="J70" s="494"/>
    </row>
    <row r="71" spans="1:12" s="226" customFormat="1" ht="39" thickBot="1" x14ac:dyDescent="0.25">
      <c r="A71" s="469" t="s">
        <v>108</v>
      </c>
      <c r="B71" s="470" t="str">
        <f>'Planilha Global'!B18</f>
        <v>Execução de pavimento em paralelepípedos, rejuntamento com argamassa traço 1:3 (cimento e areia)</v>
      </c>
      <c r="C71" s="482" t="str">
        <f>F27</f>
        <v>m²</v>
      </c>
      <c r="D71" s="472">
        <f>E27</f>
        <v>320.68</v>
      </c>
      <c r="E71" s="473">
        <f>'Planilha Global'!N18</f>
        <v>107.81</v>
      </c>
      <c r="F71" s="474">
        <f>ROUND(D71,2)*ROUND(E71,2)</f>
        <v>34572.51</v>
      </c>
      <c r="H71" s="495"/>
      <c r="I71" s="496"/>
      <c r="J71" s="497"/>
    </row>
    <row r="72" spans="1:12" s="202" customFormat="1" ht="6.75" customHeight="1" x14ac:dyDescent="0.2">
      <c r="A72" s="486"/>
      <c r="B72" s="487"/>
      <c r="C72" s="482"/>
      <c r="D72" s="472"/>
      <c r="E72" s="488"/>
      <c r="F72" s="474"/>
    </row>
    <row r="73" spans="1:12" s="258" customFormat="1" ht="15" customHeight="1" thickBot="1" x14ac:dyDescent="0.3">
      <c r="A73" s="498" t="s">
        <v>14</v>
      </c>
      <c r="B73" s="499" t="s">
        <v>605</v>
      </c>
      <c r="C73" s="466"/>
      <c r="D73" s="467"/>
      <c r="E73" s="500"/>
      <c r="F73" s="468">
        <f>SUM(F74:F75)</f>
        <v>8853.02</v>
      </c>
      <c r="I73" s="501"/>
      <c r="J73" s="502"/>
      <c r="K73" s="502"/>
      <c r="L73" s="503"/>
    </row>
    <row r="74" spans="1:12" s="226" customFormat="1" ht="38.25" x14ac:dyDescent="0.2">
      <c r="A74" s="469" t="s">
        <v>129</v>
      </c>
      <c r="B74" s="661" t="str">
        <f>'Planilha Global'!B23</f>
        <v>Execução de passeio (calçada) ou piso de concreto com concreto moldado in loco, feito em obra, acabamento convencional, não armado</v>
      </c>
      <c r="C74" s="490" t="str">
        <f>F30</f>
        <v>m³</v>
      </c>
      <c r="D74" s="472">
        <f>'Travessa Cunha'!E30</f>
        <v>6.1</v>
      </c>
      <c r="E74" s="473">
        <f>'Planilha Global'!N23</f>
        <v>943.02</v>
      </c>
      <c r="F74" s="474">
        <f>ROUND(D74,2)*ROUND(E74,2)</f>
        <v>5752.42</v>
      </c>
      <c r="H74" s="226">
        <v>703.2</v>
      </c>
    </row>
    <row r="75" spans="1:12" s="226" customFormat="1" ht="25.5" x14ac:dyDescent="0.2">
      <c r="A75" s="469" t="s">
        <v>131</v>
      </c>
      <c r="B75" s="661" t="str">
        <f>'Planilha Global'!B24</f>
        <v>Piso podotátil de alerta ou direcional, de concreto, assentado sobre argamassa</v>
      </c>
      <c r="C75" s="490" t="str">
        <f>F32</f>
        <v>m²</v>
      </c>
      <c r="D75" s="472">
        <f>E32</f>
        <v>18.5</v>
      </c>
      <c r="E75" s="473">
        <f>'Planilha Global'!N24</f>
        <v>167.6</v>
      </c>
      <c r="F75" s="474">
        <f>ROUND(D75,2)*ROUND(E75,2)</f>
        <v>3100.6</v>
      </c>
      <c r="H75" s="226">
        <v>109.78</v>
      </c>
    </row>
    <row r="76" spans="1:12" s="202" customFormat="1" ht="6.75" customHeight="1" x14ac:dyDescent="0.2">
      <c r="A76" s="486"/>
      <c r="B76" s="487"/>
      <c r="C76" s="482"/>
      <c r="D76" s="472"/>
      <c r="E76" s="488"/>
      <c r="F76" s="474"/>
    </row>
    <row r="77" spans="1:12" s="258" customFormat="1" ht="15" customHeight="1" thickBot="1" x14ac:dyDescent="0.3">
      <c r="A77" s="498" t="s">
        <v>157</v>
      </c>
      <c r="B77" s="499" t="s">
        <v>606</v>
      </c>
      <c r="C77" s="466"/>
      <c r="D77" s="467"/>
      <c r="E77" s="500"/>
      <c r="F77" s="468">
        <f>SUM(F78:F81)</f>
        <v>1623.4</v>
      </c>
      <c r="I77" s="501"/>
      <c r="J77" s="502"/>
      <c r="K77" s="502"/>
      <c r="L77" s="503"/>
    </row>
    <row r="78" spans="1:12" s="226" customFormat="1" ht="39" thickBot="1" x14ac:dyDescent="0.25">
      <c r="A78" s="469" t="s">
        <v>158</v>
      </c>
      <c r="B78" s="661" t="str">
        <f>'Planilha Global'!B27</f>
        <v>Concreto Fck = 15mpa, traço 1:3,4:3,5 (em massa seca de cimento/ areia média/ brita 1), preparo mecânico com betoneira 400 L</v>
      </c>
      <c r="C78" s="490" t="str">
        <f>F35</f>
        <v>m³</v>
      </c>
      <c r="D78" s="472">
        <f>E35</f>
        <v>1.05</v>
      </c>
      <c r="E78" s="473">
        <f>'Planilha Global'!N27</f>
        <v>553.16</v>
      </c>
      <c r="F78" s="474">
        <f>ROUND(D78,2)*ROUND(E78,2)</f>
        <v>580.82000000000005</v>
      </c>
      <c r="H78" s="226">
        <v>410.85</v>
      </c>
    </row>
    <row r="79" spans="1:12" s="202" customFormat="1" ht="25.5" x14ac:dyDescent="0.2">
      <c r="A79" s="469" t="s">
        <v>170</v>
      </c>
      <c r="B79" s="661" t="str">
        <f>'Planilha Global'!B28</f>
        <v>Lançamento com uso de baldes, adensamento e acabamento de concreto em estruturas</v>
      </c>
      <c r="C79" s="490" t="str">
        <f>F37</f>
        <v>m³</v>
      </c>
      <c r="D79" s="472">
        <f>E37</f>
        <v>1.05</v>
      </c>
      <c r="E79" s="473">
        <f>'Planilha Global'!N28</f>
        <v>324.95</v>
      </c>
      <c r="F79" s="474">
        <f>ROUND(D79,2)*ROUND(E79,2)</f>
        <v>341.2</v>
      </c>
      <c r="H79" s="202">
        <v>223.25</v>
      </c>
      <c r="I79" s="506"/>
      <c r="J79" s="507"/>
      <c r="K79" s="507"/>
      <c r="L79" s="508"/>
    </row>
    <row r="80" spans="1:12" s="226" customFormat="1" ht="25.5" x14ac:dyDescent="0.2">
      <c r="A80" s="469" t="s">
        <v>203</v>
      </c>
      <c r="B80" s="661" t="str">
        <f>'Planilha Global'!B29</f>
        <v>Piso podotátil de alerta ou direcional, de concreto, assentado sobre argamassa</v>
      </c>
      <c r="C80" s="490" t="str">
        <f>F39</f>
        <v>m²</v>
      </c>
      <c r="D80" s="472">
        <f>E39</f>
        <v>1.56</v>
      </c>
      <c r="E80" s="473">
        <f>'Planilha Global'!N29</f>
        <v>167.6</v>
      </c>
      <c r="F80" s="474">
        <f>ROUND(D80,2)*ROUND(E80,2)</f>
        <v>261.45999999999998</v>
      </c>
      <c r="H80" s="226">
        <v>109.78</v>
      </c>
    </row>
    <row r="81" spans="1:11" s="226" customFormat="1" ht="25.5" x14ac:dyDescent="0.2">
      <c r="A81" s="469" t="s">
        <v>181</v>
      </c>
      <c r="B81" s="661" t="str">
        <f>'Planilha Global'!B30</f>
        <v>Pintura de piso com tinta acrílica, aplicação manual, 2 demãos, incluso fundo preparador</v>
      </c>
      <c r="C81" s="490" t="str">
        <f>F41</f>
        <v>m²</v>
      </c>
      <c r="D81" s="472">
        <f>E41</f>
        <v>18</v>
      </c>
      <c r="E81" s="473">
        <f>'Planilha Global'!N30</f>
        <v>24.44</v>
      </c>
      <c r="F81" s="474">
        <f>ROUND(D81,2)*ROUND(E81,2)</f>
        <v>439.92</v>
      </c>
      <c r="H81" s="226">
        <v>14.87</v>
      </c>
    </row>
    <row r="82" spans="1:11" s="202" customFormat="1" ht="6.75" customHeight="1" x14ac:dyDescent="0.2">
      <c r="A82" s="486"/>
      <c r="B82" s="487"/>
      <c r="C82" s="482"/>
      <c r="D82" s="472"/>
      <c r="E82" s="488"/>
      <c r="F82" s="474"/>
    </row>
    <row r="83" spans="1:11" s="258" customFormat="1" ht="15" customHeight="1" thickBot="1" x14ac:dyDescent="0.3">
      <c r="A83" s="498" t="s">
        <v>174</v>
      </c>
      <c r="B83" s="499" t="s">
        <v>706</v>
      </c>
      <c r="C83" s="466"/>
      <c r="D83" s="467"/>
      <c r="E83" s="500"/>
      <c r="F83" s="468">
        <f>SUM(F84:F85)</f>
        <v>464.45</v>
      </c>
      <c r="H83" s="501"/>
      <c r="I83" s="502"/>
      <c r="J83" s="502"/>
      <c r="K83" s="503"/>
    </row>
    <row r="84" spans="1:11" s="202" customFormat="1" ht="38.25" x14ac:dyDescent="0.2">
      <c r="A84" s="469" t="s">
        <v>175</v>
      </c>
      <c r="B84" s="661" t="str">
        <f>'Planilha Global'!B33</f>
        <v>Fornecimento e instalação de suporte de madeira para placas de sinalização, em solo, com h= de 2,0 m e seção de 7,5 x 7,5 cm</v>
      </c>
      <c r="C84" s="490" t="str">
        <f>F44</f>
        <v>unid</v>
      </c>
      <c r="D84" s="472">
        <f>E44</f>
        <v>1</v>
      </c>
      <c r="E84" s="473">
        <f>'Planilha Global'!N33</f>
        <v>120.58</v>
      </c>
      <c r="F84" s="474">
        <f t="shared" ref="F84:F85" si="1">ROUND(D84*E84,2)</f>
        <v>120.58</v>
      </c>
      <c r="H84" s="665"/>
    </row>
    <row r="85" spans="1:11" s="226" customFormat="1" ht="38.25" x14ac:dyDescent="0.2">
      <c r="A85" s="469" t="s">
        <v>246</v>
      </c>
      <c r="B85" s="661" t="str">
        <f>'Planilha Global'!B34</f>
        <v>Placa de advertência em aço, lado de 0,60 m - película retrorrefletiva tipo I + SI - fornecimento e implantação</v>
      </c>
      <c r="C85" s="490" t="str">
        <f>F46</f>
        <v>unid</v>
      </c>
      <c r="D85" s="472">
        <f>E46</f>
        <v>1</v>
      </c>
      <c r="E85" s="473">
        <f>'Planilha Global'!N34</f>
        <v>343.87</v>
      </c>
      <c r="F85" s="505">
        <f t="shared" si="1"/>
        <v>343.87</v>
      </c>
      <c r="H85" s="226">
        <v>349.41</v>
      </c>
    </row>
    <row r="86" spans="1:11" s="202" customFormat="1" ht="6.75" customHeight="1" x14ac:dyDescent="0.2">
      <c r="A86" s="509"/>
      <c r="B86" s="41"/>
      <c r="C86" s="482"/>
      <c r="D86" s="472"/>
      <c r="E86" s="510"/>
      <c r="F86" s="474"/>
      <c r="H86" s="511"/>
      <c r="K86" s="512"/>
    </row>
    <row r="87" spans="1:11" s="258" customFormat="1" ht="15" customHeight="1" thickBot="1" x14ac:dyDescent="0.3">
      <c r="A87" s="498" t="s">
        <v>254</v>
      </c>
      <c r="B87" s="499" t="s">
        <v>849</v>
      </c>
      <c r="C87" s="466"/>
      <c r="D87" s="467"/>
      <c r="E87" s="500"/>
      <c r="F87" s="468">
        <f>SUM(F88:F90)</f>
        <v>360.43</v>
      </c>
      <c r="H87" s="501"/>
      <c r="I87" s="502"/>
      <c r="J87" s="502"/>
      <c r="K87" s="503"/>
    </row>
    <row r="88" spans="1:11" s="202" customFormat="1" ht="26.25" thickBot="1" x14ac:dyDescent="0.25">
      <c r="A88" s="469" t="s">
        <v>255</v>
      </c>
      <c r="B88" s="661" t="str">
        <f>'Planilha Global'!B37</f>
        <v>Pintura de meio-fio com tinta branca a base de cal (caiação)</v>
      </c>
      <c r="C88" s="490" t="str">
        <f>F49</f>
        <v>m²</v>
      </c>
      <c r="D88" s="472">
        <f>E49</f>
        <v>33.1</v>
      </c>
      <c r="E88" s="473">
        <f>'Planilha Global'!N37</f>
        <v>1.78</v>
      </c>
      <c r="F88" s="474">
        <f>ROUND(D88,2)*ROUND(E88,2)</f>
        <v>58.92</v>
      </c>
      <c r="H88" s="506"/>
      <c r="I88" s="507"/>
      <c r="J88" s="507"/>
      <c r="K88" s="508"/>
    </row>
    <row r="89" spans="1:11" s="202" customFormat="1" ht="25.5" x14ac:dyDescent="0.2">
      <c r="A89" s="469" t="s">
        <v>853</v>
      </c>
      <c r="B89" s="661" t="str">
        <f>'Planilha Global'!B38</f>
        <v>Placa esmaltada para identificação de nome de rua, dimensões 45x20cm</v>
      </c>
      <c r="C89" s="490" t="str">
        <f>F51</f>
        <v>unid</v>
      </c>
      <c r="D89" s="472">
        <f>E51</f>
        <v>1</v>
      </c>
      <c r="E89" s="473">
        <f>'Planilha Global'!N38</f>
        <v>180.93</v>
      </c>
      <c r="F89" s="474">
        <f>ROUND(D89,2)*ROUND(E89,2)</f>
        <v>180.93</v>
      </c>
      <c r="H89" s="506"/>
      <c r="I89" s="507"/>
      <c r="J89" s="507"/>
      <c r="K89" s="508"/>
    </row>
    <row r="90" spans="1:11" s="202" customFormat="1" ht="38.25" x14ac:dyDescent="0.2">
      <c r="A90" s="469" t="s">
        <v>882</v>
      </c>
      <c r="B90" s="661" t="str">
        <f>'Planilha Global'!B39</f>
        <v>Fornecimento e instalação de suporte de madeira para placas de identificação de rua, em solo, com h= de 2,0 m e seção de 7,5 x 7,5 cm</v>
      </c>
      <c r="C90" s="490" t="str">
        <f>F53</f>
        <v>unid</v>
      </c>
      <c r="D90" s="472">
        <f>E53</f>
        <v>1</v>
      </c>
      <c r="E90" s="473">
        <f>'Planilha Global'!N39</f>
        <v>120.58</v>
      </c>
      <c r="F90" s="474">
        <f t="shared" ref="F90" si="2">ROUND(D90*E90,2)</f>
        <v>120.58</v>
      </c>
      <c r="H90" s="665"/>
    </row>
    <row r="91" spans="1:11" s="202" customFormat="1" ht="6.75" customHeight="1" x14ac:dyDescent="0.2">
      <c r="A91" s="509"/>
      <c r="B91" s="41"/>
      <c r="C91" s="482"/>
      <c r="D91" s="472"/>
      <c r="E91" s="510"/>
      <c r="F91" s="474"/>
      <c r="H91" s="511"/>
      <c r="K91" s="512"/>
    </row>
    <row r="92" spans="1:11" s="202" customFormat="1" ht="12.75" customHeight="1" x14ac:dyDescent="0.2">
      <c r="A92" s="727" t="s">
        <v>440</v>
      </c>
      <c r="B92" s="728"/>
      <c r="C92" s="728"/>
      <c r="D92" s="728"/>
      <c r="E92" s="728"/>
      <c r="F92" s="543">
        <f>F63+F66+F69+F73+F77+F83+F87</f>
        <v>52564.19</v>
      </c>
    </row>
    <row r="93" spans="1:11" s="202" customFormat="1" ht="5.25" customHeight="1" x14ac:dyDescent="0.2">
      <c r="B93" s="256"/>
      <c r="C93" s="281"/>
      <c r="E93" s="281"/>
    </row>
    <row r="94" spans="1:11" s="202" customFormat="1" ht="12.75" customHeight="1" x14ac:dyDescent="0.2">
      <c r="A94" s="64" t="s">
        <v>1052</v>
      </c>
      <c r="B94" s="256"/>
      <c r="C94" s="281"/>
      <c r="E94" s="281"/>
      <c r="F94" s="513"/>
      <c r="G94" s="202">
        <f>175162.63/D71</f>
        <v>546.22249594611401</v>
      </c>
    </row>
    <row r="95" spans="1:11" s="202" customFormat="1" ht="12.75" customHeight="1" x14ac:dyDescent="0.2">
      <c r="A95" s="64" t="str">
        <f>'Composição Custos Unit'!G37</f>
        <v>Referência: SINAPI PB Fevereiro/25; DER PB Jan-Mar/25</v>
      </c>
      <c r="B95" s="256"/>
      <c r="C95" s="636" t="str">
        <f>'Planilha Global'!A43</f>
        <v>BDI: 28,99%</v>
      </c>
      <c r="E95" s="281"/>
    </row>
    <row r="96" spans="1:11" s="202" customFormat="1" ht="12.75" customHeight="1" x14ac:dyDescent="0.2">
      <c r="E96" s="281"/>
      <c r="F96" s="247"/>
    </row>
    <row r="97" spans="6:7" ht="12.75" customHeight="1" x14ac:dyDescent="0.2">
      <c r="G97" t="e">
        <f>F92/#REF!</f>
        <v>#REF!</v>
      </c>
    </row>
    <row r="98" spans="6:7" ht="12.75" customHeight="1" x14ac:dyDescent="0.2">
      <c r="F98" s="514">
        <f>F92/D67</f>
        <v>163.91</v>
      </c>
    </row>
    <row r="100" spans="6:7" x14ac:dyDescent="0.2">
      <c r="F100" s="514">
        <f>'Maria Livramento - T1'!F106+'Maria Livramento - T2'!F108+'Fábio Vaz - T1'!F114+'Travessa Cunha'!F92</f>
        <v>420642.61</v>
      </c>
    </row>
  </sheetData>
  <mergeCells count="36">
    <mergeCell ref="B25:D25"/>
    <mergeCell ref="A18:B18"/>
    <mergeCell ref="A4:F4"/>
    <mergeCell ref="C8:F8"/>
    <mergeCell ref="C9:F9"/>
    <mergeCell ref="C10:F10"/>
    <mergeCell ref="C13:F13"/>
    <mergeCell ref="C14:F14"/>
    <mergeCell ref="A21:B21"/>
    <mergeCell ref="B22:D22"/>
    <mergeCell ref="A24:B24"/>
    <mergeCell ref="B19:D19"/>
    <mergeCell ref="A34:B34"/>
    <mergeCell ref="B27:D27"/>
    <mergeCell ref="A29:B29"/>
    <mergeCell ref="B30:D30"/>
    <mergeCell ref="B32:D32"/>
    <mergeCell ref="A92:E92"/>
    <mergeCell ref="A59:F59"/>
    <mergeCell ref="A61:A62"/>
    <mergeCell ref="B61:B62"/>
    <mergeCell ref="C61:C62"/>
    <mergeCell ref="D61:D62"/>
    <mergeCell ref="E61:F61"/>
    <mergeCell ref="A58:F58"/>
    <mergeCell ref="B35:D35"/>
    <mergeCell ref="B37:D37"/>
    <mergeCell ref="B39:D39"/>
    <mergeCell ref="B41:D41"/>
    <mergeCell ref="A43:B43"/>
    <mergeCell ref="B44:D44"/>
    <mergeCell ref="B46:D46"/>
    <mergeCell ref="A48:B48"/>
    <mergeCell ref="B49:D49"/>
    <mergeCell ref="B51:D51"/>
    <mergeCell ref="B53:D53"/>
  </mergeCells>
  <printOptions horizontalCentered="1"/>
  <pageMargins left="0.51181102362204722" right="0.51181102362204722" top="0.39370078740157483" bottom="0.59055118110236227" header="0.31496062992125984" footer="0.31496062992125984"/>
  <pageSetup paperSize="9" scale="95" orientation="portrait" r:id="rId1"/>
  <rowBreaks count="1" manualBreakCount="1">
    <brk id="54" max="5" man="1"/>
  </rowBreaks>
  <legacy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72C26C-A451-4865-B66D-7446E9128727}">
  <dimension ref="A1:V51"/>
  <sheetViews>
    <sheetView view="pageBreakPreview" topLeftCell="A28" zoomScaleNormal="90" zoomScaleSheetLayoutView="100" workbookViewId="0">
      <selection activeCell="O28" activeCellId="1" sqref="R15 O28"/>
    </sheetView>
  </sheetViews>
  <sheetFormatPr defaultRowHeight="12.75" x14ac:dyDescent="0.2"/>
  <cols>
    <col min="1" max="1" width="6.5703125" customWidth="1"/>
    <col min="2" max="2" width="44" customWidth="1"/>
    <col min="3" max="3" width="6.5703125" customWidth="1"/>
    <col min="4" max="5" width="11.7109375" hidden="1" customWidth="1"/>
    <col min="6" max="6" width="16.42578125" hidden="1" customWidth="1"/>
    <col min="7" max="7" width="11.7109375" hidden="1" customWidth="1"/>
    <col min="8" max="8" width="16.5703125" hidden="1" customWidth="1"/>
    <col min="9" max="11" width="11.7109375" hidden="1" customWidth="1"/>
    <col min="12" max="14" width="11.7109375" customWidth="1"/>
    <col min="15" max="15" width="15.140625" customWidth="1"/>
    <col min="16" max="16" width="17.5703125" customWidth="1"/>
    <col min="17" max="17" width="15.140625" bestFit="1" customWidth="1"/>
    <col min="18" max="19" width="15.140625" customWidth="1"/>
    <col min="20" max="20" width="17.5703125" customWidth="1"/>
    <col min="21" max="21" width="14.5703125" bestFit="1" customWidth="1"/>
    <col min="22" max="22" width="10.42578125" bestFit="1" customWidth="1"/>
    <col min="24" max="24" width="10.42578125" bestFit="1" customWidth="1"/>
    <col min="251" max="251" width="6.5703125" customWidth="1"/>
    <col min="252" max="252" width="43.42578125" customWidth="1"/>
    <col min="253" max="253" width="6.5703125" customWidth="1"/>
    <col min="254" max="255" width="11.7109375" customWidth="1"/>
    <col min="256" max="256" width="12.7109375" customWidth="1"/>
    <col min="257" max="257" width="11.7109375" customWidth="1"/>
    <col min="258" max="258" width="12.7109375" customWidth="1"/>
    <col min="259" max="260" width="11.7109375" customWidth="1"/>
    <col min="261" max="261" width="12.7109375" customWidth="1"/>
    <col min="262" max="271" width="11.7109375" customWidth="1"/>
    <col min="272" max="272" width="13.7109375" customWidth="1"/>
    <col min="273" max="273" width="15.140625" bestFit="1" customWidth="1"/>
    <col min="274" max="275" width="15.140625" customWidth="1"/>
    <col min="276" max="276" width="17.5703125" customWidth="1"/>
    <col min="277" max="277" width="14.5703125" bestFit="1" customWidth="1"/>
    <col min="278" max="278" width="10.42578125" bestFit="1" customWidth="1"/>
    <col min="280" max="280" width="10.42578125" bestFit="1" customWidth="1"/>
    <col min="507" max="507" width="6.5703125" customWidth="1"/>
    <col min="508" max="508" width="43.42578125" customWidth="1"/>
    <col min="509" max="509" width="6.5703125" customWidth="1"/>
    <col min="510" max="511" width="11.7109375" customWidth="1"/>
    <col min="512" max="512" width="12.7109375" customWidth="1"/>
    <col min="513" max="513" width="11.7109375" customWidth="1"/>
    <col min="514" max="514" width="12.7109375" customWidth="1"/>
    <col min="515" max="516" width="11.7109375" customWidth="1"/>
    <col min="517" max="517" width="12.7109375" customWidth="1"/>
    <col min="518" max="527" width="11.7109375" customWidth="1"/>
    <col min="528" max="528" width="13.7109375" customWidth="1"/>
    <col min="529" max="529" width="15.140625" bestFit="1" customWidth="1"/>
    <col min="530" max="531" width="15.140625" customWidth="1"/>
    <col min="532" max="532" width="17.5703125" customWidth="1"/>
    <col min="533" max="533" width="14.5703125" bestFit="1" customWidth="1"/>
    <col min="534" max="534" width="10.42578125" bestFit="1" customWidth="1"/>
    <col min="536" max="536" width="10.42578125" bestFit="1" customWidth="1"/>
    <col min="763" max="763" width="6.5703125" customWidth="1"/>
    <col min="764" max="764" width="43.42578125" customWidth="1"/>
    <col min="765" max="765" width="6.5703125" customWidth="1"/>
    <col min="766" max="767" width="11.7109375" customWidth="1"/>
    <col min="768" max="768" width="12.7109375" customWidth="1"/>
    <col min="769" max="769" width="11.7109375" customWidth="1"/>
    <col min="770" max="770" width="12.7109375" customWidth="1"/>
    <col min="771" max="772" width="11.7109375" customWidth="1"/>
    <col min="773" max="773" width="12.7109375" customWidth="1"/>
    <col min="774" max="783" width="11.7109375" customWidth="1"/>
    <col min="784" max="784" width="13.7109375" customWidth="1"/>
    <col min="785" max="785" width="15.140625" bestFit="1" customWidth="1"/>
    <col min="786" max="787" width="15.140625" customWidth="1"/>
    <col min="788" max="788" width="17.5703125" customWidth="1"/>
    <col min="789" max="789" width="14.5703125" bestFit="1" customWidth="1"/>
    <col min="790" max="790" width="10.42578125" bestFit="1" customWidth="1"/>
    <col min="792" max="792" width="10.42578125" bestFit="1" customWidth="1"/>
    <col min="1019" max="1019" width="6.5703125" customWidth="1"/>
    <col min="1020" max="1020" width="43.42578125" customWidth="1"/>
    <col min="1021" max="1021" width="6.5703125" customWidth="1"/>
    <col min="1022" max="1023" width="11.7109375" customWidth="1"/>
    <col min="1024" max="1024" width="12.7109375" customWidth="1"/>
    <col min="1025" max="1025" width="11.7109375" customWidth="1"/>
    <col min="1026" max="1026" width="12.7109375" customWidth="1"/>
    <col min="1027" max="1028" width="11.7109375" customWidth="1"/>
    <col min="1029" max="1029" width="12.7109375" customWidth="1"/>
    <col min="1030" max="1039" width="11.7109375" customWidth="1"/>
    <col min="1040" max="1040" width="13.7109375" customWidth="1"/>
    <col min="1041" max="1041" width="15.140625" bestFit="1" customWidth="1"/>
    <col min="1042" max="1043" width="15.140625" customWidth="1"/>
    <col min="1044" max="1044" width="17.5703125" customWidth="1"/>
    <col min="1045" max="1045" width="14.5703125" bestFit="1" customWidth="1"/>
    <col min="1046" max="1046" width="10.42578125" bestFit="1" customWidth="1"/>
    <col min="1048" max="1048" width="10.42578125" bestFit="1" customWidth="1"/>
    <col min="1275" max="1275" width="6.5703125" customWidth="1"/>
    <col min="1276" max="1276" width="43.42578125" customWidth="1"/>
    <col min="1277" max="1277" width="6.5703125" customWidth="1"/>
    <col min="1278" max="1279" width="11.7109375" customWidth="1"/>
    <col min="1280" max="1280" width="12.7109375" customWidth="1"/>
    <col min="1281" max="1281" width="11.7109375" customWidth="1"/>
    <col min="1282" max="1282" width="12.7109375" customWidth="1"/>
    <col min="1283" max="1284" width="11.7109375" customWidth="1"/>
    <col min="1285" max="1285" width="12.7109375" customWidth="1"/>
    <col min="1286" max="1295" width="11.7109375" customWidth="1"/>
    <col min="1296" max="1296" width="13.7109375" customWidth="1"/>
    <col min="1297" max="1297" width="15.140625" bestFit="1" customWidth="1"/>
    <col min="1298" max="1299" width="15.140625" customWidth="1"/>
    <col min="1300" max="1300" width="17.5703125" customWidth="1"/>
    <col min="1301" max="1301" width="14.5703125" bestFit="1" customWidth="1"/>
    <col min="1302" max="1302" width="10.42578125" bestFit="1" customWidth="1"/>
    <col min="1304" max="1304" width="10.42578125" bestFit="1" customWidth="1"/>
    <col min="1531" max="1531" width="6.5703125" customWidth="1"/>
    <col min="1532" max="1532" width="43.42578125" customWidth="1"/>
    <col min="1533" max="1533" width="6.5703125" customWidth="1"/>
    <col min="1534" max="1535" width="11.7109375" customWidth="1"/>
    <col min="1536" max="1536" width="12.7109375" customWidth="1"/>
    <col min="1537" max="1537" width="11.7109375" customWidth="1"/>
    <col min="1538" max="1538" width="12.7109375" customWidth="1"/>
    <col min="1539" max="1540" width="11.7109375" customWidth="1"/>
    <col min="1541" max="1541" width="12.7109375" customWidth="1"/>
    <col min="1542" max="1551" width="11.7109375" customWidth="1"/>
    <col min="1552" max="1552" width="13.7109375" customWidth="1"/>
    <col min="1553" max="1553" width="15.140625" bestFit="1" customWidth="1"/>
    <col min="1554" max="1555" width="15.140625" customWidth="1"/>
    <col min="1556" max="1556" width="17.5703125" customWidth="1"/>
    <col min="1557" max="1557" width="14.5703125" bestFit="1" customWidth="1"/>
    <col min="1558" max="1558" width="10.42578125" bestFit="1" customWidth="1"/>
    <col min="1560" max="1560" width="10.42578125" bestFit="1" customWidth="1"/>
    <col min="1787" max="1787" width="6.5703125" customWidth="1"/>
    <col min="1788" max="1788" width="43.42578125" customWidth="1"/>
    <col min="1789" max="1789" width="6.5703125" customWidth="1"/>
    <col min="1790" max="1791" width="11.7109375" customWidth="1"/>
    <col min="1792" max="1792" width="12.7109375" customWidth="1"/>
    <col min="1793" max="1793" width="11.7109375" customWidth="1"/>
    <col min="1794" max="1794" width="12.7109375" customWidth="1"/>
    <col min="1795" max="1796" width="11.7109375" customWidth="1"/>
    <col min="1797" max="1797" width="12.7109375" customWidth="1"/>
    <col min="1798" max="1807" width="11.7109375" customWidth="1"/>
    <col min="1808" max="1808" width="13.7109375" customWidth="1"/>
    <col min="1809" max="1809" width="15.140625" bestFit="1" customWidth="1"/>
    <col min="1810" max="1811" width="15.140625" customWidth="1"/>
    <col min="1812" max="1812" width="17.5703125" customWidth="1"/>
    <col min="1813" max="1813" width="14.5703125" bestFit="1" customWidth="1"/>
    <col min="1814" max="1814" width="10.42578125" bestFit="1" customWidth="1"/>
    <col min="1816" max="1816" width="10.42578125" bestFit="1" customWidth="1"/>
    <col min="2043" max="2043" width="6.5703125" customWidth="1"/>
    <col min="2044" max="2044" width="43.42578125" customWidth="1"/>
    <col min="2045" max="2045" width="6.5703125" customWidth="1"/>
    <col min="2046" max="2047" width="11.7109375" customWidth="1"/>
    <col min="2048" max="2048" width="12.7109375" customWidth="1"/>
    <col min="2049" max="2049" width="11.7109375" customWidth="1"/>
    <col min="2050" max="2050" width="12.7109375" customWidth="1"/>
    <col min="2051" max="2052" width="11.7109375" customWidth="1"/>
    <col min="2053" max="2053" width="12.7109375" customWidth="1"/>
    <col min="2054" max="2063" width="11.7109375" customWidth="1"/>
    <col min="2064" max="2064" width="13.7109375" customWidth="1"/>
    <col min="2065" max="2065" width="15.140625" bestFit="1" customWidth="1"/>
    <col min="2066" max="2067" width="15.140625" customWidth="1"/>
    <col min="2068" max="2068" width="17.5703125" customWidth="1"/>
    <col min="2069" max="2069" width="14.5703125" bestFit="1" customWidth="1"/>
    <col min="2070" max="2070" width="10.42578125" bestFit="1" customWidth="1"/>
    <col min="2072" max="2072" width="10.42578125" bestFit="1" customWidth="1"/>
    <col min="2299" max="2299" width="6.5703125" customWidth="1"/>
    <col min="2300" max="2300" width="43.42578125" customWidth="1"/>
    <col min="2301" max="2301" width="6.5703125" customWidth="1"/>
    <col min="2302" max="2303" width="11.7109375" customWidth="1"/>
    <col min="2304" max="2304" width="12.7109375" customWidth="1"/>
    <col min="2305" max="2305" width="11.7109375" customWidth="1"/>
    <col min="2306" max="2306" width="12.7109375" customWidth="1"/>
    <col min="2307" max="2308" width="11.7109375" customWidth="1"/>
    <col min="2309" max="2309" width="12.7109375" customWidth="1"/>
    <col min="2310" max="2319" width="11.7109375" customWidth="1"/>
    <col min="2320" max="2320" width="13.7109375" customWidth="1"/>
    <col min="2321" max="2321" width="15.140625" bestFit="1" customWidth="1"/>
    <col min="2322" max="2323" width="15.140625" customWidth="1"/>
    <col min="2324" max="2324" width="17.5703125" customWidth="1"/>
    <col min="2325" max="2325" width="14.5703125" bestFit="1" customWidth="1"/>
    <col min="2326" max="2326" width="10.42578125" bestFit="1" customWidth="1"/>
    <col min="2328" max="2328" width="10.42578125" bestFit="1" customWidth="1"/>
    <col min="2555" max="2555" width="6.5703125" customWidth="1"/>
    <col min="2556" max="2556" width="43.42578125" customWidth="1"/>
    <col min="2557" max="2557" width="6.5703125" customWidth="1"/>
    <col min="2558" max="2559" width="11.7109375" customWidth="1"/>
    <col min="2560" max="2560" width="12.7109375" customWidth="1"/>
    <col min="2561" max="2561" width="11.7109375" customWidth="1"/>
    <col min="2562" max="2562" width="12.7109375" customWidth="1"/>
    <col min="2563" max="2564" width="11.7109375" customWidth="1"/>
    <col min="2565" max="2565" width="12.7109375" customWidth="1"/>
    <col min="2566" max="2575" width="11.7109375" customWidth="1"/>
    <col min="2576" max="2576" width="13.7109375" customWidth="1"/>
    <col min="2577" max="2577" width="15.140625" bestFit="1" customWidth="1"/>
    <col min="2578" max="2579" width="15.140625" customWidth="1"/>
    <col min="2580" max="2580" width="17.5703125" customWidth="1"/>
    <col min="2581" max="2581" width="14.5703125" bestFit="1" customWidth="1"/>
    <col min="2582" max="2582" width="10.42578125" bestFit="1" customWidth="1"/>
    <col min="2584" max="2584" width="10.42578125" bestFit="1" customWidth="1"/>
    <col min="2811" max="2811" width="6.5703125" customWidth="1"/>
    <col min="2812" max="2812" width="43.42578125" customWidth="1"/>
    <col min="2813" max="2813" width="6.5703125" customWidth="1"/>
    <col min="2814" max="2815" width="11.7109375" customWidth="1"/>
    <col min="2816" max="2816" width="12.7109375" customWidth="1"/>
    <col min="2817" max="2817" width="11.7109375" customWidth="1"/>
    <col min="2818" max="2818" width="12.7109375" customWidth="1"/>
    <col min="2819" max="2820" width="11.7109375" customWidth="1"/>
    <col min="2821" max="2821" width="12.7109375" customWidth="1"/>
    <col min="2822" max="2831" width="11.7109375" customWidth="1"/>
    <col min="2832" max="2832" width="13.7109375" customWidth="1"/>
    <col min="2833" max="2833" width="15.140625" bestFit="1" customWidth="1"/>
    <col min="2834" max="2835" width="15.140625" customWidth="1"/>
    <col min="2836" max="2836" width="17.5703125" customWidth="1"/>
    <col min="2837" max="2837" width="14.5703125" bestFit="1" customWidth="1"/>
    <col min="2838" max="2838" width="10.42578125" bestFit="1" customWidth="1"/>
    <col min="2840" max="2840" width="10.42578125" bestFit="1" customWidth="1"/>
    <col min="3067" max="3067" width="6.5703125" customWidth="1"/>
    <col min="3068" max="3068" width="43.42578125" customWidth="1"/>
    <col min="3069" max="3069" width="6.5703125" customWidth="1"/>
    <col min="3070" max="3071" width="11.7109375" customWidth="1"/>
    <col min="3072" max="3072" width="12.7109375" customWidth="1"/>
    <col min="3073" max="3073" width="11.7109375" customWidth="1"/>
    <col min="3074" max="3074" width="12.7109375" customWidth="1"/>
    <col min="3075" max="3076" width="11.7109375" customWidth="1"/>
    <col min="3077" max="3077" width="12.7109375" customWidth="1"/>
    <col min="3078" max="3087" width="11.7109375" customWidth="1"/>
    <col min="3088" max="3088" width="13.7109375" customWidth="1"/>
    <col min="3089" max="3089" width="15.140625" bestFit="1" customWidth="1"/>
    <col min="3090" max="3091" width="15.140625" customWidth="1"/>
    <col min="3092" max="3092" width="17.5703125" customWidth="1"/>
    <col min="3093" max="3093" width="14.5703125" bestFit="1" customWidth="1"/>
    <col min="3094" max="3094" width="10.42578125" bestFit="1" customWidth="1"/>
    <col min="3096" max="3096" width="10.42578125" bestFit="1" customWidth="1"/>
    <col min="3323" max="3323" width="6.5703125" customWidth="1"/>
    <col min="3324" max="3324" width="43.42578125" customWidth="1"/>
    <col min="3325" max="3325" width="6.5703125" customWidth="1"/>
    <col min="3326" max="3327" width="11.7109375" customWidth="1"/>
    <col min="3328" max="3328" width="12.7109375" customWidth="1"/>
    <col min="3329" max="3329" width="11.7109375" customWidth="1"/>
    <col min="3330" max="3330" width="12.7109375" customWidth="1"/>
    <col min="3331" max="3332" width="11.7109375" customWidth="1"/>
    <col min="3333" max="3333" width="12.7109375" customWidth="1"/>
    <col min="3334" max="3343" width="11.7109375" customWidth="1"/>
    <col min="3344" max="3344" width="13.7109375" customWidth="1"/>
    <col min="3345" max="3345" width="15.140625" bestFit="1" customWidth="1"/>
    <col min="3346" max="3347" width="15.140625" customWidth="1"/>
    <col min="3348" max="3348" width="17.5703125" customWidth="1"/>
    <col min="3349" max="3349" width="14.5703125" bestFit="1" customWidth="1"/>
    <col min="3350" max="3350" width="10.42578125" bestFit="1" customWidth="1"/>
    <col min="3352" max="3352" width="10.42578125" bestFit="1" customWidth="1"/>
    <col min="3579" max="3579" width="6.5703125" customWidth="1"/>
    <col min="3580" max="3580" width="43.42578125" customWidth="1"/>
    <col min="3581" max="3581" width="6.5703125" customWidth="1"/>
    <col min="3582" max="3583" width="11.7109375" customWidth="1"/>
    <col min="3584" max="3584" width="12.7109375" customWidth="1"/>
    <col min="3585" max="3585" width="11.7109375" customWidth="1"/>
    <col min="3586" max="3586" width="12.7109375" customWidth="1"/>
    <col min="3587" max="3588" width="11.7109375" customWidth="1"/>
    <col min="3589" max="3589" width="12.7109375" customWidth="1"/>
    <col min="3590" max="3599" width="11.7109375" customWidth="1"/>
    <col min="3600" max="3600" width="13.7109375" customWidth="1"/>
    <col min="3601" max="3601" width="15.140625" bestFit="1" customWidth="1"/>
    <col min="3602" max="3603" width="15.140625" customWidth="1"/>
    <col min="3604" max="3604" width="17.5703125" customWidth="1"/>
    <col min="3605" max="3605" width="14.5703125" bestFit="1" customWidth="1"/>
    <col min="3606" max="3606" width="10.42578125" bestFit="1" customWidth="1"/>
    <col min="3608" max="3608" width="10.42578125" bestFit="1" customWidth="1"/>
    <col min="3835" max="3835" width="6.5703125" customWidth="1"/>
    <col min="3836" max="3836" width="43.42578125" customWidth="1"/>
    <col min="3837" max="3837" width="6.5703125" customWidth="1"/>
    <col min="3838" max="3839" width="11.7109375" customWidth="1"/>
    <col min="3840" max="3840" width="12.7109375" customWidth="1"/>
    <col min="3841" max="3841" width="11.7109375" customWidth="1"/>
    <col min="3842" max="3842" width="12.7109375" customWidth="1"/>
    <col min="3843" max="3844" width="11.7109375" customWidth="1"/>
    <col min="3845" max="3845" width="12.7109375" customWidth="1"/>
    <col min="3846" max="3855" width="11.7109375" customWidth="1"/>
    <col min="3856" max="3856" width="13.7109375" customWidth="1"/>
    <col min="3857" max="3857" width="15.140625" bestFit="1" customWidth="1"/>
    <col min="3858" max="3859" width="15.140625" customWidth="1"/>
    <col min="3860" max="3860" width="17.5703125" customWidth="1"/>
    <col min="3861" max="3861" width="14.5703125" bestFit="1" customWidth="1"/>
    <col min="3862" max="3862" width="10.42578125" bestFit="1" customWidth="1"/>
    <col min="3864" max="3864" width="10.42578125" bestFit="1" customWidth="1"/>
    <col min="4091" max="4091" width="6.5703125" customWidth="1"/>
    <col min="4092" max="4092" width="43.42578125" customWidth="1"/>
    <col min="4093" max="4093" width="6.5703125" customWidth="1"/>
    <col min="4094" max="4095" width="11.7109375" customWidth="1"/>
    <col min="4096" max="4096" width="12.7109375" customWidth="1"/>
    <col min="4097" max="4097" width="11.7109375" customWidth="1"/>
    <col min="4098" max="4098" width="12.7109375" customWidth="1"/>
    <col min="4099" max="4100" width="11.7109375" customWidth="1"/>
    <col min="4101" max="4101" width="12.7109375" customWidth="1"/>
    <col min="4102" max="4111" width="11.7109375" customWidth="1"/>
    <col min="4112" max="4112" width="13.7109375" customWidth="1"/>
    <col min="4113" max="4113" width="15.140625" bestFit="1" customWidth="1"/>
    <col min="4114" max="4115" width="15.140625" customWidth="1"/>
    <col min="4116" max="4116" width="17.5703125" customWidth="1"/>
    <col min="4117" max="4117" width="14.5703125" bestFit="1" customWidth="1"/>
    <col min="4118" max="4118" width="10.42578125" bestFit="1" customWidth="1"/>
    <col min="4120" max="4120" width="10.42578125" bestFit="1" customWidth="1"/>
    <col min="4347" max="4347" width="6.5703125" customWidth="1"/>
    <col min="4348" max="4348" width="43.42578125" customWidth="1"/>
    <col min="4349" max="4349" width="6.5703125" customWidth="1"/>
    <col min="4350" max="4351" width="11.7109375" customWidth="1"/>
    <col min="4352" max="4352" width="12.7109375" customWidth="1"/>
    <col min="4353" max="4353" width="11.7109375" customWidth="1"/>
    <col min="4354" max="4354" width="12.7109375" customWidth="1"/>
    <col min="4355" max="4356" width="11.7109375" customWidth="1"/>
    <col min="4357" max="4357" width="12.7109375" customWidth="1"/>
    <col min="4358" max="4367" width="11.7109375" customWidth="1"/>
    <col min="4368" max="4368" width="13.7109375" customWidth="1"/>
    <col min="4369" max="4369" width="15.140625" bestFit="1" customWidth="1"/>
    <col min="4370" max="4371" width="15.140625" customWidth="1"/>
    <col min="4372" max="4372" width="17.5703125" customWidth="1"/>
    <col min="4373" max="4373" width="14.5703125" bestFit="1" customWidth="1"/>
    <col min="4374" max="4374" width="10.42578125" bestFit="1" customWidth="1"/>
    <col min="4376" max="4376" width="10.42578125" bestFit="1" customWidth="1"/>
    <col min="4603" max="4603" width="6.5703125" customWidth="1"/>
    <col min="4604" max="4604" width="43.42578125" customWidth="1"/>
    <col min="4605" max="4605" width="6.5703125" customWidth="1"/>
    <col min="4606" max="4607" width="11.7109375" customWidth="1"/>
    <col min="4608" max="4608" width="12.7109375" customWidth="1"/>
    <col min="4609" max="4609" width="11.7109375" customWidth="1"/>
    <col min="4610" max="4610" width="12.7109375" customWidth="1"/>
    <col min="4611" max="4612" width="11.7109375" customWidth="1"/>
    <col min="4613" max="4613" width="12.7109375" customWidth="1"/>
    <col min="4614" max="4623" width="11.7109375" customWidth="1"/>
    <col min="4624" max="4624" width="13.7109375" customWidth="1"/>
    <col min="4625" max="4625" width="15.140625" bestFit="1" customWidth="1"/>
    <col min="4626" max="4627" width="15.140625" customWidth="1"/>
    <col min="4628" max="4628" width="17.5703125" customWidth="1"/>
    <col min="4629" max="4629" width="14.5703125" bestFit="1" customWidth="1"/>
    <col min="4630" max="4630" width="10.42578125" bestFit="1" customWidth="1"/>
    <col min="4632" max="4632" width="10.42578125" bestFit="1" customWidth="1"/>
    <col min="4859" max="4859" width="6.5703125" customWidth="1"/>
    <col min="4860" max="4860" width="43.42578125" customWidth="1"/>
    <col min="4861" max="4861" width="6.5703125" customWidth="1"/>
    <col min="4862" max="4863" width="11.7109375" customWidth="1"/>
    <col min="4864" max="4864" width="12.7109375" customWidth="1"/>
    <col min="4865" max="4865" width="11.7109375" customWidth="1"/>
    <col min="4866" max="4866" width="12.7109375" customWidth="1"/>
    <col min="4867" max="4868" width="11.7109375" customWidth="1"/>
    <col min="4869" max="4869" width="12.7109375" customWidth="1"/>
    <col min="4870" max="4879" width="11.7109375" customWidth="1"/>
    <col min="4880" max="4880" width="13.7109375" customWidth="1"/>
    <col min="4881" max="4881" width="15.140625" bestFit="1" customWidth="1"/>
    <col min="4882" max="4883" width="15.140625" customWidth="1"/>
    <col min="4884" max="4884" width="17.5703125" customWidth="1"/>
    <col min="4885" max="4885" width="14.5703125" bestFit="1" customWidth="1"/>
    <col min="4886" max="4886" width="10.42578125" bestFit="1" customWidth="1"/>
    <col min="4888" max="4888" width="10.42578125" bestFit="1" customWidth="1"/>
    <col min="5115" max="5115" width="6.5703125" customWidth="1"/>
    <col min="5116" max="5116" width="43.42578125" customWidth="1"/>
    <col min="5117" max="5117" width="6.5703125" customWidth="1"/>
    <col min="5118" max="5119" width="11.7109375" customWidth="1"/>
    <col min="5120" max="5120" width="12.7109375" customWidth="1"/>
    <col min="5121" max="5121" width="11.7109375" customWidth="1"/>
    <col min="5122" max="5122" width="12.7109375" customWidth="1"/>
    <col min="5123" max="5124" width="11.7109375" customWidth="1"/>
    <col min="5125" max="5125" width="12.7109375" customWidth="1"/>
    <col min="5126" max="5135" width="11.7109375" customWidth="1"/>
    <col min="5136" max="5136" width="13.7109375" customWidth="1"/>
    <col min="5137" max="5137" width="15.140625" bestFit="1" customWidth="1"/>
    <col min="5138" max="5139" width="15.140625" customWidth="1"/>
    <col min="5140" max="5140" width="17.5703125" customWidth="1"/>
    <col min="5141" max="5141" width="14.5703125" bestFit="1" customWidth="1"/>
    <col min="5142" max="5142" width="10.42578125" bestFit="1" customWidth="1"/>
    <col min="5144" max="5144" width="10.42578125" bestFit="1" customWidth="1"/>
    <col min="5371" max="5371" width="6.5703125" customWidth="1"/>
    <col min="5372" max="5372" width="43.42578125" customWidth="1"/>
    <col min="5373" max="5373" width="6.5703125" customWidth="1"/>
    <col min="5374" max="5375" width="11.7109375" customWidth="1"/>
    <col min="5376" max="5376" width="12.7109375" customWidth="1"/>
    <col min="5377" max="5377" width="11.7109375" customWidth="1"/>
    <col min="5378" max="5378" width="12.7109375" customWidth="1"/>
    <col min="5379" max="5380" width="11.7109375" customWidth="1"/>
    <col min="5381" max="5381" width="12.7109375" customWidth="1"/>
    <col min="5382" max="5391" width="11.7109375" customWidth="1"/>
    <col min="5392" max="5392" width="13.7109375" customWidth="1"/>
    <col min="5393" max="5393" width="15.140625" bestFit="1" customWidth="1"/>
    <col min="5394" max="5395" width="15.140625" customWidth="1"/>
    <col min="5396" max="5396" width="17.5703125" customWidth="1"/>
    <col min="5397" max="5397" width="14.5703125" bestFit="1" customWidth="1"/>
    <col min="5398" max="5398" width="10.42578125" bestFit="1" customWidth="1"/>
    <col min="5400" max="5400" width="10.42578125" bestFit="1" customWidth="1"/>
    <col min="5627" max="5627" width="6.5703125" customWidth="1"/>
    <col min="5628" max="5628" width="43.42578125" customWidth="1"/>
    <col min="5629" max="5629" width="6.5703125" customWidth="1"/>
    <col min="5630" max="5631" width="11.7109375" customWidth="1"/>
    <col min="5632" max="5632" width="12.7109375" customWidth="1"/>
    <col min="5633" max="5633" width="11.7109375" customWidth="1"/>
    <col min="5634" max="5634" width="12.7109375" customWidth="1"/>
    <col min="5635" max="5636" width="11.7109375" customWidth="1"/>
    <col min="5637" max="5637" width="12.7109375" customWidth="1"/>
    <col min="5638" max="5647" width="11.7109375" customWidth="1"/>
    <col min="5648" max="5648" width="13.7109375" customWidth="1"/>
    <col min="5649" max="5649" width="15.140625" bestFit="1" customWidth="1"/>
    <col min="5650" max="5651" width="15.140625" customWidth="1"/>
    <col min="5652" max="5652" width="17.5703125" customWidth="1"/>
    <col min="5653" max="5653" width="14.5703125" bestFit="1" customWidth="1"/>
    <col min="5654" max="5654" width="10.42578125" bestFit="1" customWidth="1"/>
    <col min="5656" max="5656" width="10.42578125" bestFit="1" customWidth="1"/>
    <col min="5883" max="5883" width="6.5703125" customWidth="1"/>
    <col min="5884" max="5884" width="43.42578125" customWidth="1"/>
    <col min="5885" max="5885" width="6.5703125" customWidth="1"/>
    <col min="5886" max="5887" width="11.7109375" customWidth="1"/>
    <col min="5888" max="5888" width="12.7109375" customWidth="1"/>
    <col min="5889" max="5889" width="11.7109375" customWidth="1"/>
    <col min="5890" max="5890" width="12.7109375" customWidth="1"/>
    <col min="5891" max="5892" width="11.7109375" customWidth="1"/>
    <col min="5893" max="5893" width="12.7109375" customWidth="1"/>
    <col min="5894" max="5903" width="11.7109375" customWidth="1"/>
    <col min="5904" max="5904" width="13.7109375" customWidth="1"/>
    <col min="5905" max="5905" width="15.140625" bestFit="1" customWidth="1"/>
    <col min="5906" max="5907" width="15.140625" customWidth="1"/>
    <col min="5908" max="5908" width="17.5703125" customWidth="1"/>
    <col min="5909" max="5909" width="14.5703125" bestFit="1" customWidth="1"/>
    <col min="5910" max="5910" width="10.42578125" bestFit="1" customWidth="1"/>
    <col min="5912" max="5912" width="10.42578125" bestFit="1" customWidth="1"/>
    <col min="6139" max="6139" width="6.5703125" customWidth="1"/>
    <col min="6140" max="6140" width="43.42578125" customWidth="1"/>
    <col min="6141" max="6141" width="6.5703125" customWidth="1"/>
    <col min="6142" max="6143" width="11.7109375" customWidth="1"/>
    <col min="6144" max="6144" width="12.7109375" customWidth="1"/>
    <col min="6145" max="6145" width="11.7109375" customWidth="1"/>
    <col min="6146" max="6146" width="12.7109375" customWidth="1"/>
    <col min="6147" max="6148" width="11.7109375" customWidth="1"/>
    <col min="6149" max="6149" width="12.7109375" customWidth="1"/>
    <col min="6150" max="6159" width="11.7109375" customWidth="1"/>
    <col min="6160" max="6160" width="13.7109375" customWidth="1"/>
    <col min="6161" max="6161" width="15.140625" bestFit="1" customWidth="1"/>
    <col min="6162" max="6163" width="15.140625" customWidth="1"/>
    <col min="6164" max="6164" width="17.5703125" customWidth="1"/>
    <col min="6165" max="6165" width="14.5703125" bestFit="1" customWidth="1"/>
    <col min="6166" max="6166" width="10.42578125" bestFit="1" customWidth="1"/>
    <col min="6168" max="6168" width="10.42578125" bestFit="1" customWidth="1"/>
    <col min="6395" max="6395" width="6.5703125" customWidth="1"/>
    <col min="6396" max="6396" width="43.42578125" customWidth="1"/>
    <col min="6397" max="6397" width="6.5703125" customWidth="1"/>
    <col min="6398" max="6399" width="11.7109375" customWidth="1"/>
    <col min="6400" max="6400" width="12.7109375" customWidth="1"/>
    <col min="6401" max="6401" width="11.7109375" customWidth="1"/>
    <col min="6402" max="6402" width="12.7109375" customWidth="1"/>
    <col min="6403" max="6404" width="11.7109375" customWidth="1"/>
    <col min="6405" max="6405" width="12.7109375" customWidth="1"/>
    <col min="6406" max="6415" width="11.7109375" customWidth="1"/>
    <col min="6416" max="6416" width="13.7109375" customWidth="1"/>
    <col min="6417" max="6417" width="15.140625" bestFit="1" customWidth="1"/>
    <col min="6418" max="6419" width="15.140625" customWidth="1"/>
    <col min="6420" max="6420" width="17.5703125" customWidth="1"/>
    <col min="6421" max="6421" width="14.5703125" bestFit="1" customWidth="1"/>
    <col min="6422" max="6422" width="10.42578125" bestFit="1" customWidth="1"/>
    <col min="6424" max="6424" width="10.42578125" bestFit="1" customWidth="1"/>
    <col min="6651" max="6651" width="6.5703125" customWidth="1"/>
    <col min="6652" max="6652" width="43.42578125" customWidth="1"/>
    <col min="6653" max="6653" width="6.5703125" customWidth="1"/>
    <col min="6654" max="6655" width="11.7109375" customWidth="1"/>
    <col min="6656" max="6656" width="12.7109375" customWidth="1"/>
    <col min="6657" max="6657" width="11.7109375" customWidth="1"/>
    <col min="6658" max="6658" width="12.7109375" customWidth="1"/>
    <col min="6659" max="6660" width="11.7109375" customWidth="1"/>
    <col min="6661" max="6661" width="12.7109375" customWidth="1"/>
    <col min="6662" max="6671" width="11.7109375" customWidth="1"/>
    <col min="6672" max="6672" width="13.7109375" customWidth="1"/>
    <col min="6673" max="6673" width="15.140625" bestFit="1" customWidth="1"/>
    <col min="6674" max="6675" width="15.140625" customWidth="1"/>
    <col min="6676" max="6676" width="17.5703125" customWidth="1"/>
    <col min="6677" max="6677" width="14.5703125" bestFit="1" customWidth="1"/>
    <col min="6678" max="6678" width="10.42578125" bestFit="1" customWidth="1"/>
    <col min="6680" max="6680" width="10.42578125" bestFit="1" customWidth="1"/>
    <col min="6907" max="6907" width="6.5703125" customWidth="1"/>
    <col min="6908" max="6908" width="43.42578125" customWidth="1"/>
    <col min="6909" max="6909" width="6.5703125" customWidth="1"/>
    <col min="6910" max="6911" width="11.7109375" customWidth="1"/>
    <col min="6912" max="6912" width="12.7109375" customWidth="1"/>
    <col min="6913" max="6913" width="11.7109375" customWidth="1"/>
    <col min="6914" max="6914" width="12.7109375" customWidth="1"/>
    <col min="6915" max="6916" width="11.7109375" customWidth="1"/>
    <col min="6917" max="6917" width="12.7109375" customWidth="1"/>
    <col min="6918" max="6927" width="11.7109375" customWidth="1"/>
    <col min="6928" max="6928" width="13.7109375" customWidth="1"/>
    <col min="6929" max="6929" width="15.140625" bestFit="1" customWidth="1"/>
    <col min="6930" max="6931" width="15.140625" customWidth="1"/>
    <col min="6932" max="6932" width="17.5703125" customWidth="1"/>
    <col min="6933" max="6933" width="14.5703125" bestFit="1" customWidth="1"/>
    <col min="6934" max="6934" width="10.42578125" bestFit="1" customWidth="1"/>
    <col min="6936" max="6936" width="10.42578125" bestFit="1" customWidth="1"/>
    <col min="7163" max="7163" width="6.5703125" customWidth="1"/>
    <col min="7164" max="7164" width="43.42578125" customWidth="1"/>
    <col min="7165" max="7165" width="6.5703125" customWidth="1"/>
    <col min="7166" max="7167" width="11.7109375" customWidth="1"/>
    <col min="7168" max="7168" width="12.7109375" customWidth="1"/>
    <col min="7169" max="7169" width="11.7109375" customWidth="1"/>
    <col min="7170" max="7170" width="12.7109375" customWidth="1"/>
    <col min="7171" max="7172" width="11.7109375" customWidth="1"/>
    <col min="7173" max="7173" width="12.7109375" customWidth="1"/>
    <col min="7174" max="7183" width="11.7109375" customWidth="1"/>
    <col min="7184" max="7184" width="13.7109375" customWidth="1"/>
    <col min="7185" max="7185" width="15.140625" bestFit="1" customWidth="1"/>
    <col min="7186" max="7187" width="15.140625" customWidth="1"/>
    <col min="7188" max="7188" width="17.5703125" customWidth="1"/>
    <col min="7189" max="7189" width="14.5703125" bestFit="1" customWidth="1"/>
    <col min="7190" max="7190" width="10.42578125" bestFit="1" customWidth="1"/>
    <col min="7192" max="7192" width="10.42578125" bestFit="1" customWidth="1"/>
    <col min="7419" max="7419" width="6.5703125" customWidth="1"/>
    <col min="7420" max="7420" width="43.42578125" customWidth="1"/>
    <col min="7421" max="7421" width="6.5703125" customWidth="1"/>
    <col min="7422" max="7423" width="11.7109375" customWidth="1"/>
    <col min="7424" max="7424" width="12.7109375" customWidth="1"/>
    <col min="7425" max="7425" width="11.7109375" customWidth="1"/>
    <col min="7426" max="7426" width="12.7109375" customWidth="1"/>
    <col min="7427" max="7428" width="11.7109375" customWidth="1"/>
    <col min="7429" max="7429" width="12.7109375" customWidth="1"/>
    <col min="7430" max="7439" width="11.7109375" customWidth="1"/>
    <col min="7440" max="7440" width="13.7109375" customWidth="1"/>
    <col min="7441" max="7441" width="15.140625" bestFit="1" customWidth="1"/>
    <col min="7442" max="7443" width="15.140625" customWidth="1"/>
    <col min="7444" max="7444" width="17.5703125" customWidth="1"/>
    <col min="7445" max="7445" width="14.5703125" bestFit="1" customWidth="1"/>
    <col min="7446" max="7446" width="10.42578125" bestFit="1" customWidth="1"/>
    <col min="7448" max="7448" width="10.42578125" bestFit="1" customWidth="1"/>
    <col min="7675" max="7675" width="6.5703125" customWidth="1"/>
    <col min="7676" max="7676" width="43.42578125" customWidth="1"/>
    <col min="7677" max="7677" width="6.5703125" customWidth="1"/>
    <col min="7678" max="7679" width="11.7109375" customWidth="1"/>
    <col min="7680" max="7680" width="12.7109375" customWidth="1"/>
    <col min="7681" max="7681" width="11.7109375" customWidth="1"/>
    <col min="7682" max="7682" width="12.7109375" customWidth="1"/>
    <col min="7683" max="7684" width="11.7109375" customWidth="1"/>
    <col min="7685" max="7685" width="12.7109375" customWidth="1"/>
    <col min="7686" max="7695" width="11.7109375" customWidth="1"/>
    <col min="7696" max="7696" width="13.7109375" customWidth="1"/>
    <col min="7697" max="7697" width="15.140625" bestFit="1" customWidth="1"/>
    <col min="7698" max="7699" width="15.140625" customWidth="1"/>
    <col min="7700" max="7700" width="17.5703125" customWidth="1"/>
    <col min="7701" max="7701" width="14.5703125" bestFit="1" customWidth="1"/>
    <col min="7702" max="7702" width="10.42578125" bestFit="1" customWidth="1"/>
    <col min="7704" max="7704" width="10.42578125" bestFit="1" customWidth="1"/>
    <col min="7931" max="7931" width="6.5703125" customWidth="1"/>
    <col min="7932" max="7932" width="43.42578125" customWidth="1"/>
    <col min="7933" max="7933" width="6.5703125" customWidth="1"/>
    <col min="7934" max="7935" width="11.7109375" customWidth="1"/>
    <col min="7936" max="7936" width="12.7109375" customWidth="1"/>
    <col min="7937" max="7937" width="11.7109375" customWidth="1"/>
    <col min="7938" max="7938" width="12.7109375" customWidth="1"/>
    <col min="7939" max="7940" width="11.7109375" customWidth="1"/>
    <col min="7941" max="7941" width="12.7109375" customWidth="1"/>
    <col min="7942" max="7951" width="11.7109375" customWidth="1"/>
    <col min="7952" max="7952" width="13.7109375" customWidth="1"/>
    <col min="7953" max="7953" width="15.140625" bestFit="1" customWidth="1"/>
    <col min="7954" max="7955" width="15.140625" customWidth="1"/>
    <col min="7956" max="7956" width="17.5703125" customWidth="1"/>
    <col min="7957" max="7957" width="14.5703125" bestFit="1" customWidth="1"/>
    <col min="7958" max="7958" width="10.42578125" bestFit="1" customWidth="1"/>
    <col min="7960" max="7960" width="10.42578125" bestFit="1" customWidth="1"/>
    <col min="8187" max="8187" width="6.5703125" customWidth="1"/>
    <col min="8188" max="8188" width="43.42578125" customWidth="1"/>
    <col min="8189" max="8189" width="6.5703125" customWidth="1"/>
    <col min="8190" max="8191" width="11.7109375" customWidth="1"/>
    <col min="8192" max="8192" width="12.7109375" customWidth="1"/>
    <col min="8193" max="8193" width="11.7109375" customWidth="1"/>
    <col min="8194" max="8194" width="12.7109375" customWidth="1"/>
    <col min="8195" max="8196" width="11.7109375" customWidth="1"/>
    <col min="8197" max="8197" width="12.7109375" customWidth="1"/>
    <col min="8198" max="8207" width="11.7109375" customWidth="1"/>
    <col min="8208" max="8208" width="13.7109375" customWidth="1"/>
    <col min="8209" max="8209" width="15.140625" bestFit="1" customWidth="1"/>
    <col min="8210" max="8211" width="15.140625" customWidth="1"/>
    <col min="8212" max="8212" width="17.5703125" customWidth="1"/>
    <col min="8213" max="8213" width="14.5703125" bestFit="1" customWidth="1"/>
    <col min="8214" max="8214" width="10.42578125" bestFit="1" customWidth="1"/>
    <col min="8216" max="8216" width="10.42578125" bestFit="1" customWidth="1"/>
    <col min="8443" max="8443" width="6.5703125" customWidth="1"/>
    <col min="8444" max="8444" width="43.42578125" customWidth="1"/>
    <col min="8445" max="8445" width="6.5703125" customWidth="1"/>
    <col min="8446" max="8447" width="11.7109375" customWidth="1"/>
    <col min="8448" max="8448" width="12.7109375" customWidth="1"/>
    <col min="8449" max="8449" width="11.7109375" customWidth="1"/>
    <col min="8450" max="8450" width="12.7109375" customWidth="1"/>
    <col min="8451" max="8452" width="11.7109375" customWidth="1"/>
    <col min="8453" max="8453" width="12.7109375" customWidth="1"/>
    <col min="8454" max="8463" width="11.7109375" customWidth="1"/>
    <col min="8464" max="8464" width="13.7109375" customWidth="1"/>
    <col min="8465" max="8465" width="15.140625" bestFit="1" customWidth="1"/>
    <col min="8466" max="8467" width="15.140625" customWidth="1"/>
    <col min="8468" max="8468" width="17.5703125" customWidth="1"/>
    <col min="8469" max="8469" width="14.5703125" bestFit="1" customWidth="1"/>
    <col min="8470" max="8470" width="10.42578125" bestFit="1" customWidth="1"/>
    <col min="8472" max="8472" width="10.42578125" bestFit="1" customWidth="1"/>
    <col min="8699" max="8699" width="6.5703125" customWidth="1"/>
    <col min="8700" max="8700" width="43.42578125" customWidth="1"/>
    <col min="8701" max="8701" width="6.5703125" customWidth="1"/>
    <col min="8702" max="8703" width="11.7109375" customWidth="1"/>
    <col min="8704" max="8704" width="12.7109375" customWidth="1"/>
    <col min="8705" max="8705" width="11.7109375" customWidth="1"/>
    <col min="8706" max="8706" width="12.7109375" customWidth="1"/>
    <col min="8707" max="8708" width="11.7109375" customWidth="1"/>
    <col min="8709" max="8709" width="12.7109375" customWidth="1"/>
    <col min="8710" max="8719" width="11.7109375" customWidth="1"/>
    <col min="8720" max="8720" width="13.7109375" customWidth="1"/>
    <col min="8721" max="8721" width="15.140625" bestFit="1" customWidth="1"/>
    <col min="8722" max="8723" width="15.140625" customWidth="1"/>
    <col min="8724" max="8724" width="17.5703125" customWidth="1"/>
    <col min="8725" max="8725" width="14.5703125" bestFit="1" customWidth="1"/>
    <col min="8726" max="8726" width="10.42578125" bestFit="1" customWidth="1"/>
    <col min="8728" max="8728" width="10.42578125" bestFit="1" customWidth="1"/>
    <col min="8955" max="8955" width="6.5703125" customWidth="1"/>
    <col min="8956" max="8956" width="43.42578125" customWidth="1"/>
    <col min="8957" max="8957" width="6.5703125" customWidth="1"/>
    <col min="8958" max="8959" width="11.7109375" customWidth="1"/>
    <col min="8960" max="8960" width="12.7109375" customWidth="1"/>
    <col min="8961" max="8961" width="11.7109375" customWidth="1"/>
    <col min="8962" max="8962" width="12.7109375" customWidth="1"/>
    <col min="8963" max="8964" width="11.7109375" customWidth="1"/>
    <col min="8965" max="8965" width="12.7109375" customWidth="1"/>
    <col min="8966" max="8975" width="11.7109375" customWidth="1"/>
    <col min="8976" max="8976" width="13.7109375" customWidth="1"/>
    <col min="8977" max="8977" width="15.140625" bestFit="1" customWidth="1"/>
    <col min="8978" max="8979" width="15.140625" customWidth="1"/>
    <col min="8980" max="8980" width="17.5703125" customWidth="1"/>
    <col min="8981" max="8981" width="14.5703125" bestFit="1" customWidth="1"/>
    <col min="8982" max="8982" width="10.42578125" bestFit="1" customWidth="1"/>
    <col min="8984" max="8984" width="10.42578125" bestFit="1" customWidth="1"/>
    <col min="9211" max="9211" width="6.5703125" customWidth="1"/>
    <col min="9212" max="9212" width="43.42578125" customWidth="1"/>
    <col min="9213" max="9213" width="6.5703125" customWidth="1"/>
    <col min="9214" max="9215" width="11.7109375" customWidth="1"/>
    <col min="9216" max="9216" width="12.7109375" customWidth="1"/>
    <col min="9217" max="9217" width="11.7109375" customWidth="1"/>
    <col min="9218" max="9218" width="12.7109375" customWidth="1"/>
    <col min="9219" max="9220" width="11.7109375" customWidth="1"/>
    <col min="9221" max="9221" width="12.7109375" customWidth="1"/>
    <col min="9222" max="9231" width="11.7109375" customWidth="1"/>
    <col min="9232" max="9232" width="13.7109375" customWidth="1"/>
    <col min="9233" max="9233" width="15.140625" bestFit="1" customWidth="1"/>
    <col min="9234" max="9235" width="15.140625" customWidth="1"/>
    <col min="9236" max="9236" width="17.5703125" customWidth="1"/>
    <col min="9237" max="9237" width="14.5703125" bestFit="1" customWidth="1"/>
    <col min="9238" max="9238" width="10.42578125" bestFit="1" customWidth="1"/>
    <col min="9240" max="9240" width="10.42578125" bestFit="1" customWidth="1"/>
    <col min="9467" max="9467" width="6.5703125" customWidth="1"/>
    <col min="9468" max="9468" width="43.42578125" customWidth="1"/>
    <col min="9469" max="9469" width="6.5703125" customWidth="1"/>
    <col min="9470" max="9471" width="11.7109375" customWidth="1"/>
    <col min="9472" max="9472" width="12.7109375" customWidth="1"/>
    <col min="9473" max="9473" width="11.7109375" customWidth="1"/>
    <col min="9474" max="9474" width="12.7109375" customWidth="1"/>
    <col min="9475" max="9476" width="11.7109375" customWidth="1"/>
    <col min="9477" max="9477" width="12.7109375" customWidth="1"/>
    <col min="9478" max="9487" width="11.7109375" customWidth="1"/>
    <col min="9488" max="9488" width="13.7109375" customWidth="1"/>
    <col min="9489" max="9489" width="15.140625" bestFit="1" customWidth="1"/>
    <col min="9490" max="9491" width="15.140625" customWidth="1"/>
    <col min="9492" max="9492" width="17.5703125" customWidth="1"/>
    <col min="9493" max="9493" width="14.5703125" bestFit="1" customWidth="1"/>
    <col min="9494" max="9494" width="10.42578125" bestFit="1" customWidth="1"/>
    <col min="9496" max="9496" width="10.42578125" bestFit="1" customWidth="1"/>
    <col min="9723" max="9723" width="6.5703125" customWidth="1"/>
    <col min="9724" max="9724" width="43.42578125" customWidth="1"/>
    <col min="9725" max="9725" width="6.5703125" customWidth="1"/>
    <col min="9726" max="9727" width="11.7109375" customWidth="1"/>
    <col min="9728" max="9728" width="12.7109375" customWidth="1"/>
    <col min="9729" max="9729" width="11.7109375" customWidth="1"/>
    <col min="9730" max="9730" width="12.7109375" customWidth="1"/>
    <col min="9731" max="9732" width="11.7109375" customWidth="1"/>
    <col min="9733" max="9733" width="12.7109375" customWidth="1"/>
    <col min="9734" max="9743" width="11.7109375" customWidth="1"/>
    <col min="9744" max="9744" width="13.7109375" customWidth="1"/>
    <col min="9745" max="9745" width="15.140625" bestFit="1" customWidth="1"/>
    <col min="9746" max="9747" width="15.140625" customWidth="1"/>
    <col min="9748" max="9748" width="17.5703125" customWidth="1"/>
    <col min="9749" max="9749" width="14.5703125" bestFit="1" customWidth="1"/>
    <col min="9750" max="9750" width="10.42578125" bestFit="1" customWidth="1"/>
    <col min="9752" max="9752" width="10.42578125" bestFit="1" customWidth="1"/>
    <col min="9979" max="9979" width="6.5703125" customWidth="1"/>
    <col min="9980" max="9980" width="43.42578125" customWidth="1"/>
    <col min="9981" max="9981" width="6.5703125" customWidth="1"/>
    <col min="9982" max="9983" width="11.7109375" customWidth="1"/>
    <col min="9984" max="9984" width="12.7109375" customWidth="1"/>
    <col min="9985" max="9985" width="11.7109375" customWidth="1"/>
    <col min="9986" max="9986" width="12.7109375" customWidth="1"/>
    <col min="9987" max="9988" width="11.7109375" customWidth="1"/>
    <col min="9989" max="9989" width="12.7109375" customWidth="1"/>
    <col min="9990" max="9999" width="11.7109375" customWidth="1"/>
    <col min="10000" max="10000" width="13.7109375" customWidth="1"/>
    <col min="10001" max="10001" width="15.140625" bestFit="1" customWidth="1"/>
    <col min="10002" max="10003" width="15.140625" customWidth="1"/>
    <col min="10004" max="10004" width="17.5703125" customWidth="1"/>
    <col min="10005" max="10005" width="14.5703125" bestFit="1" customWidth="1"/>
    <col min="10006" max="10006" width="10.42578125" bestFit="1" customWidth="1"/>
    <col min="10008" max="10008" width="10.42578125" bestFit="1" customWidth="1"/>
    <col min="10235" max="10235" width="6.5703125" customWidth="1"/>
    <col min="10236" max="10236" width="43.42578125" customWidth="1"/>
    <col min="10237" max="10237" width="6.5703125" customWidth="1"/>
    <col min="10238" max="10239" width="11.7109375" customWidth="1"/>
    <col min="10240" max="10240" width="12.7109375" customWidth="1"/>
    <col min="10241" max="10241" width="11.7109375" customWidth="1"/>
    <col min="10242" max="10242" width="12.7109375" customWidth="1"/>
    <col min="10243" max="10244" width="11.7109375" customWidth="1"/>
    <col min="10245" max="10245" width="12.7109375" customWidth="1"/>
    <col min="10246" max="10255" width="11.7109375" customWidth="1"/>
    <col min="10256" max="10256" width="13.7109375" customWidth="1"/>
    <col min="10257" max="10257" width="15.140625" bestFit="1" customWidth="1"/>
    <col min="10258" max="10259" width="15.140625" customWidth="1"/>
    <col min="10260" max="10260" width="17.5703125" customWidth="1"/>
    <col min="10261" max="10261" width="14.5703125" bestFit="1" customWidth="1"/>
    <col min="10262" max="10262" width="10.42578125" bestFit="1" customWidth="1"/>
    <col min="10264" max="10264" width="10.42578125" bestFit="1" customWidth="1"/>
    <col min="10491" max="10491" width="6.5703125" customWidth="1"/>
    <col min="10492" max="10492" width="43.42578125" customWidth="1"/>
    <col min="10493" max="10493" width="6.5703125" customWidth="1"/>
    <col min="10494" max="10495" width="11.7109375" customWidth="1"/>
    <col min="10496" max="10496" width="12.7109375" customWidth="1"/>
    <col min="10497" max="10497" width="11.7109375" customWidth="1"/>
    <col min="10498" max="10498" width="12.7109375" customWidth="1"/>
    <col min="10499" max="10500" width="11.7109375" customWidth="1"/>
    <col min="10501" max="10501" width="12.7109375" customWidth="1"/>
    <col min="10502" max="10511" width="11.7109375" customWidth="1"/>
    <col min="10512" max="10512" width="13.7109375" customWidth="1"/>
    <col min="10513" max="10513" width="15.140625" bestFit="1" customWidth="1"/>
    <col min="10514" max="10515" width="15.140625" customWidth="1"/>
    <col min="10516" max="10516" width="17.5703125" customWidth="1"/>
    <col min="10517" max="10517" width="14.5703125" bestFit="1" customWidth="1"/>
    <col min="10518" max="10518" width="10.42578125" bestFit="1" customWidth="1"/>
    <col min="10520" max="10520" width="10.42578125" bestFit="1" customWidth="1"/>
    <col min="10747" max="10747" width="6.5703125" customWidth="1"/>
    <col min="10748" max="10748" width="43.42578125" customWidth="1"/>
    <col min="10749" max="10749" width="6.5703125" customWidth="1"/>
    <col min="10750" max="10751" width="11.7109375" customWidth="1"/>
    <col min="10752" max="10752" width="12.7109375" customWidth="1"/>
    <col min="10753" max="10753" width="11.7109375" customWidth="1"/>
    <col min="10754" max="10754" width="12.7109375" customWidth="1"/>
    <col min="10755" max="10756" width="11.7109375" customWidth="1"/>
    <col min="10757" max="10757" width="12.7109375" customWidth="1"/>
    <col min="10758" max="10767" width="11.7109375" customWidth="1"/>
    <col min="10768" max="10768" width="13.7109375" customWidth="1"/>
    <col min="10769" max="10769" width="15.140625" bestFit="1" customWidth="1"/>
    <col min="10770" max="10771" width="15.140625" customWidth="1"/>
    <col min="10772" max="10772" width="17.5703125" customWidth="1"/>
    <col min="10773" max="10773" width="14.5703125" bestFit="1" customWidth="1"/>
    <col min="10774" max="10774" width="10.42578125" bestFit="1" customWidth="1"/>
    <col min="10776" max="10776" width="10.42578125" bestFit="1" customWidth="1"/>
    <col min="11003" max="11003" width="6.5703125" customWidth="1"/>
    <col min="11004" max="11004" width="43.42578125" customWidth="1"/>
    <col min="11005" max="11005" width="6.5703125" customWidth="1"/>
    <col min="11006" max="11007" width="11.7109375" customWidth="1"/>
    <col min="11008" max="11008" width="12.7109375" customWidth="1"/>
    <col min="11009" max="11009" width="11.7109375" customWidth="1"/>
    <col min="11010" max="11010" width="12.7109375" customWidth="1"/>
    <col min="11011" max="11012" width="11.7109375" customWidth="1"/>
    <col min="11013" max="11013" width="12.7109375" customWidth="1"/>
    <col min="11014" max="11023" width="11.7109375" customWidth="1"/>
    <col min="11024" max="11024" width="13.7109375" customWidth="1"/>
    <col min="11025" max="11025" width="15.140625" bestFit="1" customWidth="1"/>
    <col min="11026" max="11027" width="15.140625" customWidth="1"/>
    <col min="11028" max="11028" width="17.5703125" customWidth="1"/>
    <col min="11029" max="11029" width="14.5703125" bestFit="1" customWidth="1"/>
    <col min="11030" max="11030" width="10.42578125" bestFit="1" customWidth="1"/>
    <col min="11032" max="11032" width="10.42578125" bestFit="1" customWidth="1"/>
    <col min="11259" max="11259" width="6.5703125" customWidth="1"/>
    <col min="11260" max="11260" width="43.42578125" customWidth="1"/>
    <col min="11261" max="11261" width="6.5703125" customWidth="1"/>
    <col min="11262" max="11263" width="11.7109375" customWidth="1"/>
    <col min="11264" max="11264" width="12.7109375" customWidth="1"/>
    <col min="11265" max="11265" width="11.7109375" customWidth="1"/>
    <col min="11266" max="11266" width="12.7109375" customWidth="1"/>
    <col min="11267" max="11268" width="11.7109375" customWidth="1"/>
    <col min="11269" max="11269" width="12.7109375" customWidth="1"/>
    <col min="11270" max="11279" width="11.7109375" customWidth="1"/>
    <col min="11280" max="11280" width="13.7109375" customWidth="1"/>
    <col min="11281" max="11281" width="15.140625" bestFit="1" customWidth="1"/>
    <col min="11282" max="11283" width="15.140625" customWidth="1"/>
    <col min="11284" max="11284" width="17.5703125" customWidth="1"/>
    <col min="11285" max="11285" width="14.5703125" bestFit="1" customWidth="1"/>
    <col min="11286" max="11286" width="10.42578125" bestFit="1" customWidth="1"/>
    <col min="11288" max="11288" width="10.42578125" bestFit="1" customWidth="1"/>
    <col min="11515" max="11515" width="6.5703125" customWidth="1"/>
    <col min="11516" max="11516" width="43.42578125" customWidth="1"/>
    <col min="11517" max="11517" width="6.5703125" customWidth="1"/>
    <col min="11518" max="11519" width="11.7109375" customWidth="1"/>
    <col min="11520" max="11520" width="12.7109375" customWidth="1"/>
    <col min="11521" max="11521" width="11.7109375" customWidth="1"/>
    <col min="11522" max="11522" width="12.7109375" customWidth="1"/>
    <col min="11523" max="11524" width="11.7109375" customWidth="1"/>
    <col min="11525" max="11525" width="12.7109375" customWidth="1"/>
    <col min="11526" max="11535" width="11.7109375" customWidth="1"/>
    <col min="11536" max="11536" width="13.7109375" customWidth="1"/>
    <col min="11537" max="11537" width="15.140625" bestFit="1" customWidth="1"/>
    <col min="11538" max="11539" width="15.140625" customWidth="1"/>
    <col min="11540" max="11540" width="17.5703125" customWidth="1"/>
    <col min="11541" max="11541" width="14.5703125" bestFit="1" customWidth="1"/>
    <col min="11542" max="11542" width="10.42578125" bestFit="1" customWidth="1"/>
    <col min="11544" max="11544" width="10.42578125" bestFit="1" customWidth="1"/>
    <col min="11771" max="11771" width="6.5703125" customWidth="1"/>
    <col min="11772" max="11772" width="43.42578125" customWidth="1"/>
    <col min="11773" max="11773" width="6.5703125" customWidth="1"/>
    <col min="11774" max="11775" width="11.7109375" customWidth="1"/>
    <col min="11776" max="11776" width="12.7109375" customWidth="1"/>
    <col min="11777" max="11777" width="11.7109375" customWidth="1"/>
    <col min="11778" max="11778" width="12.7109375" customWidth="1"/>
    <col min="11779" max="11780" width="11.7109375" customWidth="1"/>
    <col min="11781" max="11781" width="12.7109375" customWidth="1"/>
    <col min="11782" max="11791" width="11.7109375" customWidth="1"/>
    <col min="11792" max="11792" width="13.7109375" customWidth="1"/>
    <col min="11793" max="11793" width="15.140625" bestFit="1" customWidth="1"/>
    <col min="11794" max="11795" width="15.140625" customWidth="1"/>
    <col min="11796" max="11796" width="17.5703125" customWidth="1"/>
    <col min="11797" max="11797" width="14.5703125" bestFit="1" customWidth="1"/>
    <col min="11798" max="11798" width="10.42578125" bestFit="1" customWidth="1"/>
    <col min="11800" max="11800" width="10.42578125" bestFit="1" customWidth="1"/>
    <col min="12027" max="12027" width="6.5703125" customWidth="1"/>
    <col min="12028" max="12028" width="43.42578125" customWidth="1"/>
    <col min="12029" max="12029" width="6.5703125" customWidth="1"/>
    <col min="12030" max="12031" width="11.7109375" customWidth="1"/>
    <col min="12032" max="12032" width="12.7109375" customWidth="1"/>
    <col min="12033" max="12033" width="11.7109375" customWidth="1"/>
    <col min="12034" max="12034" width="12.7109375" customWidth="1"/>
    <col min="12035" max="12036" width="11.7109375" customWidth="1"/>
    <col min="12037" max="12037" width="12.7109375" customWidth="1"/>
    <col min="12038" max="12047" width="11.7109375" customWidth="1"/>
    <col min="12048" max="12048" width="13.7109375" customWidth="1"/>
    <col min="12049" max="12049" width="15.140625" bestFit="1" customWidth="1"/>
    <col min="12050" max="12051" width="15.140625" customWidth="1"/>
    <col min="12052" max="12052" width="17.5703125" customWidth="1"/>
    <col min="12053" max="12053" width="14.5703125" bestFit="1" customWidth="1"/>
    <col min="12054" max="12054" width="10.42578125" bestFit="1" customWidth="1"/>
    <col min="12056" max="12056" width="10.42578125" bestFit="1" customWidth="1"/>
    <col min="12283" max="12283" width="6.5703125" customWidth="1"/>
    <col min="12284" max="12284" width="43.42578125" customWidth="1"/>
    <col min="12285" max="12285" width="6.5703125" customWidth="1"/>
    <col min="12286" max="12287" width="11.7109375" customWidth="1"/>
    <col min="12288" max="12288" width="12.7109375" customWidth="1"/>
    <col min="12289" max="12289" width="11.7109375" customWidth="1"/>
    <col min="12290" max="12290" width="12.7109375" customWidth="1"/>
    <col min="12291" max="12292" width="11.7109375" customWidth="1"/>
    <col min="12293" max="12293" width="12.7109375" customWidth="1"/>
    <col min="12294" max="12303" width="11.7109375" customWidth="1"/>
    <col min="12304" max="12304" width="13.7109375" customWidth="1"/>
    <col min="12305" max="12305" width="15.140625" bestFit="1" customWidth="1"/>
    <col min="12306" max="12307" width="15.140625" customWidth="1"/>
    <col min="12308" max="12308" width="17.5703125" customWidth="1"/>
    <col min="12309" max="12309" width="14.5703125" bestFit="1" customWidth="1"/>
    <col min="12310" max="12310" width="10.42578125" bestFit="1" customWidth="1"/>
    <col min="12312" max="12312" width="10.42578125" bestFit="1" customWidth="1"/>
    <col min="12539" max="12539" width="6.5703125" customWidth="1"/>
    <col min="12540" max="12540" width="43.42578125" customWidth="1"/>
    <col min="12541" max="12541" width="6.5703125" customWidth="1"/>
    <col min="12542" max="12543" width="11.7109375" customWidth="1"/>
    <col min="12544" max="12544" width="12.7109375" customWidth="1"/>
    <col min="12545" max="12545" width="11.7109375" customWidth="1"/>
    <col min="12546" max="12546" width="12.7109375" customWidth="1"/>
    <col min="12547" max="12548" width="11.7109375" customWidth="1"/>
    <col min="12549" max="12549" width="12.7109375" customWidth="1"/>
    <col min="12550" max="12559" width="11.7109375" customWidth="1"/>
    <col min="12560" max="12560" width="13.7109375" customWidth="1"/>
    <col min="12561" max="12561" width="15.140625" bestFit="1" customWidth="1"/>
    <col min="12562" max="12563" width="15.140625" customWidth="1"/>
    <col min="12564" max="12564" width="17.5703125" customWidth="1"/>
    <col min="12565" max="12565" width="14.5703125" bestFit="1" customWidth="1"/>
    <col min="12566" max="12566" width="10.42578125" bestFit="1" customWidth="1"/>
    <col min="12568" max="12568" width="10.42578125" bestFit="1" customWidth="1"/>
    <col min="12795" max="12795" width="6.5703125" customWidth="1"/>
    <col min="12796" max="12796" width="43.42578125" customWidth="1"/>
    <col min="12797" max="12797" width="6.5703125" customWidth="1"/>
    <col min="12798" max="12799" width="11.7109375" customWidth="1"/>
    <col min="12800" max="12800" width="12.7109375" customWidth="1"/>
    <col min="12801" max="12801" width="11.7109375" customWidth="1"/>
    <col min="12802" max="12802" width="12.7109375" customWidth="1"/>
    <col min="12803" max="12804" width="11.7109375" customWidth="1"/>
    <col min="12805" max="12805" width="12.7109375" customWidth="1"/>
    <col min="12806" max="12815" width="11.7109375" customWidth="1"/>
    <col min="12816" max="12816" width="13.7109375" customWidth="1"/>
    <col min="12817" max="12817" width="15.140625" bestFit="1" customWidth="1"/>
    <col min="12818" max="12819" width="15.140625" customWidth="1"/>
    <col min="12820" max="12820" width="17.5703125" customWidth="1"/>
    <col min="12821" max="12821" width="14.5703125" bestFit="1" customWidth="1"/>
    <col min="12822" max="12822" width="10.42578125" bestFit="1" customWidth="1"/>
    <col min="12824" max="12824" width="10.42578125" bestFit="1" customWidth="1"/>
    <col min="13051" max="13051" width="6.5703125" customWidth="1"/>
    <col min="13052" max="13052" width="43.42578125" customWidth="1"/>
    <col min="13053" max="13053" width="6.5703125" customWidth="1"/>
    <col min="13054" max="13055" width="11.7109375" customWidth="1"/>
    <col min="13056" max="13056" width="12.7109375" customWidth="1"/>
    <col min="13057" max="13057" width="11.7109375" customWidth="1"/>
    <col min="13058" max="13058" width="12.7109375" customWidth="1"/>
    <col min="13059" max="13060" width="11.7109375" customWidth="1"/>
    <col min="13061" max="13061" width="12.7109375" customWidth="1"/>
    <col min="13062" max="13071" width="11.7109375" customWidth="1"/>
    <col min="13072" max="13072" width="13.7109375" customWidth="1"/>
    <col min="13073" max="13073" width="15.140625" bestFit="1" customWidth="1"/>
    <col min="13074" max="13075" width="15.140625" customWidth="1"/>
    <col min="13076" max="13076" width="17.5703125" customWidth="1"/>
    <col min="13077" max="13077" width="14.5703125" bestFit="1" customWidth="1"/>
    <col min="13078" max="13078" width="10.42578125" bestFit="1" customWidth="1"/>
    <col min="13080" max="13080" width="10.42578125" bestFit="1" customWidth="1"/>
    <col min="13307" max="13307" width="6.5703125" customWidth="1"/>
    <col min="13308" max="13308" width="43.42578125" customWidth="1"/>
    <col min="13309" max="13309" width="6.5703125" customWidth="1"/>
    <col min="13310" max="13311" width="11.7109375" customWidth="1"/>
    <col min="13312" max="13312" width="12.7109375" customWidth="1"/>
    <col min="13313" max="13313" width="11.7109375" customWidth="1"/>
    <col min="13314" max="13314" width="12.7109375" customWidth="1"/>
    <col min="13315" max="13316" width="11.7109375" customWidth="1"/>
    <col min="13317" max="13317" width="12.7109375" customWidth="1"/>
    <col min="13318" max="13327" width="11.7109375" customWidth="1"/>
    <col min="13328" max="13328" width="13.7109375" customWidth="1"/>
    <col min="13329" max="13329" width="15.140625" bestFit="1" customWidth="1"/>
    <col min="13330" max="13331" width="15.140625" customWidth="1"/>
    <col min="13332" max="13332" width="17.5703125" customWidth="1"/>
    <col min="13333" max="13333" width="14.5703125" bestFit="1" customWidth="1"/>
    <col min="13334" max="13334" width="10.42578125" bestFit="1" customWidth="1"/>
    <col min="13336" max="13336" width="10.42578125" bestFit="1" customWidth="1"/>
    <col min="13563" max="13563" width="6.5703125" customWidth="1"/>
    <col min="13564" max="13564" width="43.42578125" customWidth="1"/>
    <col min="13565" max="13565" width="6.5703125" customWidth="1"/>
    <col min="13566" max="13567" width="11.7109375" customWidth="1"/>
    <col min="13568" max="13568" width="12.7109375" customWidth="1"/>
    <col min="13569" max="13569" width="11.7109375" customWidth="1"/>
    <col min="13570" max="13570" width="12.7109375" customWidth="1"/>
    <col min="13571" max="13572" width="11.7109375" customWidth="1"/>
    <col min="13573" max="13573" width="12.7109375" customWidth="1"/>
    <col min="13574" max="13583" width="11.7109375" customWidth="1"/>
    <col min="13584" max="13584" width="13.7109375" customWidth="1"/>
    <col min="13585" max="13585" width="15.140625" bestFit="1" customWidth="1"/>
    <col min="13586" max="13587" width="15.140625" customWidth="1"/>
    <col min="13588" max="13588" width="17.5703125" customWidth="1"/>
    <col min="13589" max="13589" width="14.5703125" bestFit="1" customWidth="1"/>
    <col min="13590" max="13590" width="10.42578125" bestFit="1" customWidth="1"/>
    <col min="13592" max="13592" width="10.42578125" bestFit="1" customWidth="1"/>
    <col min="13819" max="13819" width="6.5703125" customWidth="1"/>
    <col min="13820" max="13820" width="43.42578125" customWidth="1"/>
    <col min="13821" max="13821" width="6.5703125" customWidth="1"/>
    <col min="13822" max="13823" width="11.7109375" customWidth="1"/>
    <col min="13824" max="13824" width="12.7109375" customWidth="1"/>
    <col min="13825" max="13825" width="11.7109375" customWidth="1"/>
    <col min="13826" max="13826" width="12.7109375" customWidth="1"/>
    <col min="13827" max="13828" width="11.7109375" customWidth="1"/>
    <col min="13829" max="13829" width="12.7109375" customWidth="1"/>
    <col min="13830" max="13839" width="11.7109375" customWidth="1"/>
    <col min="13840" max="13840" width="13.7109375" customWidth="1"/>
    <col min="13841" max="13841" width="15.140625" bestFit="1" customWidth="1"/>
    <col min="13842" max="13843" width="15.140625" customWidth="1"/>
    <col min="13844" max="13844" width="17.5703125" customWidth="1"/>
    <col min="13845" max="13845" width="14.5703125" bestFit="1" customWidth="1"/>
    <col min="13846" max="13846" width="10.42578125" bestFit="1" customWidth="1"/>
    <col min="13848" max="13848" width="10.42578125" bestFit="1" customWidth="1"/>
    <col min="14075" max="14075" width="6.5703125" customWidth="1"/>
    <col min="14076" max="14076" width="43.42578125" customWidth="1"/>
    <col min="14077" max="14077" width="6.5703125" customWidth="1"/>
    <col min="14078" max="14079" width="11.7109375" customWidth="1"/>
    <col min="14080" max="14080" width="12.7109375" customWidth="1"/>
    <col min="14081" max="14081" width="11.7109375" customWidth="1"/>
    <col min="14082" max="14082" width="12.7109375" customWidth="1"/>
    <col min="14083" max="14084" width="11.7109375" customWidth="1"/>
    <col min="14085" max="14085" width="12.7109375" customWidth="1"/>
    <col min="14086" max="14095" width="11.7109375" customWidth="1"/>
    <col min="14096" max="14096" width="13.7109375" customWidth="1"/>
    <col min="14097" max="14097" width="15.140625" bestFit="1" customWidth="1"/>
    <col min="14098" max="14099" width="15.140625" customWidth="1"/>
    <col min="14100" max="14100" width="17.5703125" customWidth="1"/>
    <col min="14101" max="14101" width="14.5703125" bestFit="1" customWidth="1"/>
    <col min="14102" max="14102" width="10.42578125" bestFit="1" customWidth="1"/>
    <col min="14104" max="14104" width="10.42578125" bestFit="1" customWidth="1"/>
    <col min="14331" max="14331" width="6.5703125" customWidth="1"/>
    <col min="14332" max="14332" width="43.42578125" customWidth="1"/>
    <col min="14333" max="14333" width="6.5703125" customWidth="1"/>
    <col min="14334" max="14335" width="11.7109375" customWidth="1"/>
    <col min="14336" max="14336" width="12.7109375" customWidth="1"/>
    <col min="14337" max="14337" width="11.7109375" customWidth="1"/>
    <col min="14338" max="14338" width="12.7109375" customWidth="1"/>
    <col min="14339" max="14340" width="11.7109375" customWidth="1"/>
    <col min="14341" max="14341" width="12.7109375" customWidth="1"/>
    <col min="14342" max="14351" width="11.7109375" customWidth="1"/>
    <col min="14352" max="14352" width="13.7109375" customWidth="1"/>
    <col min="14353" max="14353" width="15.140625" bestFit="1" customWidth="1"/>
    <col min="14354" max="14355" width="15.140625" customWidth="1"/>
    <col min="14356" max="14356" width="17.5703125" customWidth="1"/>
    <col min="14357" max="14357" width="14.5703125" bestFit="1" customWidth="1"/>
    <col min="14358" max="14358" width="10.42578125" bestFit="1" customWidth="1"/>
    <col min="14360" max="14360" width="10.42578125" bestFit="1" customWidth="1"/>
    <col min="14587" max="14587" width="6.5703125" customWidth="1"/>
    <col min="14588" max="14588" width="43.42578125" customWidth="1"/>
    <col min="14589" max="14589" width="6.5703125" customWidth="1"/>
    <col min="14590" max="14591" width="11.7109375" customWidth="1"/>
    <col min="14592" max="14592" width="12.7109375" customWidth="1"/>
    <col min="14593" max="14593" width="11.7109375" customWidth="1"/>
    <col min="14594" max="14594" width="12.7109375" customWidth="1"/>
    <col min="14595" max="14596" width="11.7109375" customWidth="1"/>
    <col min="14597" max="14597" width="12.7109375" customWidth="1"/>
    <col min="14598" max="14607" width="11.7109375" customWidth="1"/>
    <col min="14608" max="14608" width="13.7109375" customWidth="1"/>
    <col min="14609" max="14609" width="15.140625" bestFit="1" customWidth="1"/>
    <col min="14610" max="14611" width="15.140625" customWidth="1"/>
    <col min="14612" max="14612" width="17.5703125" customWidth="1"/>
    <col min="14613" max="14613" width="14.5703125" bestFit="1" customWidth="1"/>
    <col min="14614" max="14614" width="10.42578125" bestFit="1" customWidth="1"/>
    <col min="14616" max="14616" width="10.42578125" bestFit="1" customWidth="1"/>
    <col min="14843" max="14843" width="6.5703125" customWidth="1"/>
    <col min="14844" max="14844" width="43.42578125" customWidth="1"/>
    <col min="14845" max="14845" width="6.5703125" customWidth="1"/>
    <col min="14846" max="14847" width="11.7109375" customWidth="1"/>
    <col min="14848" max="14848" width="12.7109375" customWidth="1"/>
    <col min="14849" max="14849" width="11.7109375" customWidth="1"/>
    <col min="14850" max="14850" width="12.7109375" customWidth="1"/>
    <col min="14851" max="14852" width="11.7109375" customWidth="1"/>
    <col min="14853" max="14853" width="12.7109375" customWidth="1"/>
    <col min="14854" max="14863" width="11.7109375" customWidth="1"/>
    <col min="14864" max="14864" width="13.7109375" customWidth="1"/>
    <col min="14865" max="14865" width="15.140625" bestFit="1" customWidth="1"/>
    <col min="14866" max="14867" width="15.140625" customWidth="1"/>
    <col min="14868" max="14868" width="17.5703125" customWidth="1"/>
    <col min="14869" max="14869" width="14.5703125" bestFit="1" customWidth="1"/>
    <col min="14870" max="14870" width="10.42578125" bestFit="1" customWidth="1"/>
    <col min="14872" max="14872" width="10.42578125" bestFit="1" customWidth="1"/>
    <col min="15099" max="15099" width="6.5703125" customWidth="1"/>
    <col min="15100" max="15100" width="43.42578125" customWidth="1"/>
    <col min="15101" max="15101" width="6.5703125" customWidth="1"/>
    <col min="15102" max="15103" width="11.7109375" customWidth="1"/>
    <col min="15104" max="15104" width="12.7109375" customWidth="1"/>
    <col min="15105" max="15105" width="11.7109375" customWidth="1"/>
    <col min="15106" max="15106" width="12.7109375" customWidth="1"/>
    <col min="15107" max="15108" width="11.7109375" customWidth="1"/>
    <col min="15109" max="15109" width="12.7109375" customWidth="1"/>
    <col min="15110" max="15119" width="11.7109375" customWidth="1"/>
    <col min="15120" max="15120" width="13.7109375" customWidth="1"/>
    <col min="15121" max="15121" width="15.140625" bestFit="1" customWidth="1"/>
    <col min="15122" max="15123" width="15.140625" customWidth="1"/>
    <col min="15124" max="15124" width="17.5703125" customWidth="1"/>
    <col min="15125" max="15125" width="14.5703125" bestFit="1" customWidth="1"/>
    <col min="15126" max="15126" width="10.42578125" bestFit="1" customWidth="1"/>
    <col min="15128" max="15128" width="10.42578125" bestFit="1" customWidth="1"/>
    <col min="15355" max="15355" width="6.5703125" customWidth="1"/>
    <col min="15356" max="15356" width="43.42578125" customWidth="1"/>
    <col min="15357" max="15357" width="6.5703125" customWidth="1"/>
    <col min="15358" max="15359" width="11.7109375" customWidth="1"/>
    <col min="15360" max="15360" width="12.7109375" customWidth="1"/>
    <col min="15361" max="15361" width="11.7109375" customWidth="1"/>
    <col min="15362" max="15362" width="12.7109375" customWidth="1"/>
    <col min="15363" max="15364" width="11.7109375" customWidth="1"/>
    <col min="15365" max="15365" width="12.7109375" customWidth="1"/>
    <col min="15366" max="15375" width="11.7109375" customWidth="1"/>
    <col min="15376" max="15376" width="13.7109375" customWidth="1"/>
    <col min="15377" max="15377" width="15.140625" bestFit="1" customWidth="1"/>
    <col min="15378" max="15379" width="15.140625" customWidth="1"/>
    <col min="15380" max="15380" width="17.5703125" customWidth="1"/>
    <col min="15381" max="15381" width="14.5703125" bestFit="1" customWidth="1"/>
    <col min="15382" max="15382" width="10.42578125" bestFit="1" customWidth="1"/>
    <col min="15384" max="15384" width="10.42578125" bestFit="1" customWidth="1"/>
    <col min="15611" max="15611" width="6.5703125" customWidth="1"/>
    <col min="15612" max="15612" width="43.42578125" customWidth="1"/>
    <col min="15613" max="15613" width="6.5703125" customWidth="1"/>
    <col min="15614" max="15615" width="11.7109375" customWidth="1"/>
    <col min="15616" max="15616" width="12.7109375" customWidth="1"/>
    <col min="15617" max="15617" width="11.7109375" customWidth="1"/>
    <col min="15618" max="15618" width="12.7109375" customWidth="1"/>
    <col min="15619" max="15620" width="11.7109375" customWidth="1"/>
    <col min="15621" max="15621" width="12.7109375" customWidth="1"/>
    <col min="15622" max="15631" width="11.7109375" customWidth="1"/>
    <col min="15632" max="15632" width="13.7109375" customWidth="1"/>
    <col min="15633" max="15633" width="15.140625" bestFit="1" customWidth="1"/>
    <col min="15634" max="15635" width="15.140625" customWidth="1"/>
    <col min="15636" max="15636" width="17.5703125" customWidth="1"/>
    <col min="15637" max="15637" width="14.5703125" bestFit="1" customWidth="1"/>
    <col min="15638" max="15638" width="10.42578125" bestFit="1" customWidth="1"/>
    <col min="15640" max="15640" width="10.42578125" bestFit="1" customWidth="1"/>
    <col min="15867" max="15867" width="6.5703125" customWidth="1"/>
    <col min="15868" max="15868" width="43.42578125" customWidth="1"/>
    <col min="15869" max="15869" width="6.5703125" customWidth="1"/>
    <col min="15870" max="15871" width="11.7109375" customWidth="1"/>
    <col min="15872" max="15872" width="12.7109375" customWidth="1"/>
    <col min="15873" max="15873" width="11.7109375" customWidth="1"/>
    <col min="15874" max="15874" width="12.7109375" customWidth="1"/>
    <col min="15875" max="15876" width="11.7109375" customWidth="1"/>
    <col min="15877" max="15877" width="12.7109375" customWidth="1"/>
    <col min="15878" max="15887" width="11.7109375" customWidth="1"/>
    <col min="15888" max="15888" width="13.7109375" customWidth="1"/>
    <col min="15889" max="15889" width="15.140625" bestFit="1" customWidth="1"/>
    <col min="15890" max="15891" width="15.140625" customWidth="1"/>
    <col min="15892" max="15892" width="17.5703125" customWidth="1"/>
    <col min="15893" max="15893" width="14.5703125" bestFit="1" customWidth="1"/>
    <col min="15894" max="15894" width="10.42578125" bestFit="1" customWidth="1"/>
    <col min="15896" max="15896" width="10.42578125" bestFit="1" customWidth="1"/>
    <col min="16123" max="16123" width="6.5703125" customWidth="1"/>
    <col min="16124" max="16124" width="43.42578125" customWidth="1"/>
    <col min="16125" max="16125" width="6.5703125" customWidth="1"/>
    <col min="16126" max="16127" width="11.7109375" customWidth="1"/>
    <col min="16128" max="16128" width="12.7109375" customWidth="1"/>
    <col min="16129" max="16129" width="11.7109375" customWidth="1"/>
    <col min="16130" max="16130" width="12.7109375" customWidth="1"/>
    <col min="16131" max="16132" width="11.7109375" customWidth="1"/>
    <col min="16133" max="16133" width="12.7109375" customWidth="1"/>
    <col min="16134" max="16143" width="11.7109375" customWidth="1"/>
    <col min="16144" max="16144" width="13.7109375" customWidth="1"/>
    <col min="16145" max="16145" width="15.140625" bestFit="1" customWidth="1"/>
    <col min="16146" max="16147" width="15.140625" customWidth="1"/>
    <col min="16148" max="16148" width="17.5703125" customWidth="1"/>
    <col min="16149" max="16149" width="14.5703125" bestFit="1" customWidth="1"/>
    <col min="16150" max="16150" width="10.42578125" bestFit="1" customWidth="1"/>
    <col min="16152" max="16152" width="10.42578125" bestFit="1" customWidth="1"/>
  </cols>
  <sheetData>
    <row r="1" spans="1:22" x14ac:dyDescent="0.2">
      <c r="A1" s="53" t="s">
        <v>265</v>
      </c>
    </row>
    <row r="2" spans="1:22" x14ac:dyDescent="0.2">
      <c r="A2" s="53" t="s">
        <v>114</v>
      </c>
    </row>
    <row r="3" spans="1:22" ht="5.0999999999999996" customHeight="1" x14ac:dyDescent="0.2"/>
    <row r="4" spans="1:22" s="103" customFormat="1" ht="16.5" customHeight="1" x14ac:dyDescent="0.2">
      <c r="A4" s="750" t="s">
        <v>843</v>
      </c>
      <c r="B4" s="750"/>
      <c r="C4" s="750"/>
      <c r="D4" s="750"/>
      <c r="E4" s="750"/>
      <c r="F4" s="750"/>
      <c r="G4" s="750"/>
      <c r="H4" s="750"/>
      <c r="I4" s="750"/>
      <c r="J4" s="750"/>
      <c r="K4" s="750"/>
      <c r="L4" s="750"/>
      <c r="M4" s="750"/>
      <c r="N4" s="750"/>
      <c r="O4" s="750"/>
      <c r="P4" s="750"/>
    </row>
    <row r="5" spans="1:22" s="103" customFormat="1" ht="15.75" customHeight="1" x14ac:dyDescent="0.2">
      <c r="A5" s="750" t="s">
        <v>1055</v>
      </c>
      <c r="B5" s="750"/>
      <c r="C5" s="750"/>
      <c r="D5" s="750"/>
      <c r="E5" s="750"/>
      <c r="F5" s="750"/>
      <c r="G5" s="750"/>
      <c r="H5" s="750"/>
      <c r="I5" s="750"/>
      <c r="J5" s="750"/>
      <c r="K5" s="750"/>
      <c r="L5" s="750"/>
      <c r="M5" s="750"/>
      <c r="N5" s="750"/>
      <c r="O5" s="750"/>
      <c r="P5" s="750"/>
      <c r="Q5" s="634">
        <f>BDI!B16+1</f>
        <v>1.2899</v>
      </c>
    </row>
    <row r="6" spans="1:22" s="202" customFormat="1" ht="4.5" customHeight="1" x14ac:dyDescent="0.25">
      <c r="M6" s="571"/>
      <c r="N6" s="571"/>
      <c r="O6" s="572"/>
      <c r="P6" s="571"/>
      <c r="Q6" s="751"/>
      <c r="R6" s="205"/>
      <c r="S6" s="205"/>
      <c r="T6" s="206"/>
    </row>
    <row r="7" spans="1:22" s="202" customFormat="1" ht="12.75" customHeight="1" x14ac:dyDescent="0.2">
      <c r="A7" s="752" t="s">
        <v>53</v>
      </c>
      <c r="B7" s="752" t="s">
        <v>267</v>
      </c>
      <c r="C7" s="752" t="s">
        <v>268</v>
      </c>
      <c r="D7" s="746" t="s">
        <v>293</v>
      </c>
      <c r="E7" s="746" t="s">
        <v>296</v>
      </c>
      <c r="F7" s="746" t="s">
        <v>297</v>
      </c>
      <c r="G7" s="746" t="s">
        <v>298</v>
      </c>
      <c r="H7" s="746" t="s">
        <v>299</v>
      </c>
      <c r="I7" s="746" t="s">
        <v>269</v>
      </c>
      <c r="J7" s="746" t="s">
        <v>270</v>
      </c>
      <c r="K7" s="746" t="s">
        <v>271</v>
      </c>
      <c r="L7" s="746" t="s">
        <v>328</v>
      </c>
      <c r="M7" s="748" t="s">
        <v>273</v>
      </c>
      <c r="N7" s="748"/>
      <c r="O7" s="748"/>
      <c r="P7" s="749"/>
      <c r="Q7" s="751"/>
      <c r="R7" s="205"/>
      <c r="S7" s="205"/>
    </row>
    <row r="8" spans="1:22" s="202" customFormat="1" ht="40.5" customHeight="1" thickBot="1" x14ac:dyDescent="0.3">
      <c r="A8" s="753"/>
      <c r="B8" s="753"/>
      <c r="C8" s="753"/>
      <c r="D8" s="754"/>
      <c r="E8" s="747"/>
      <c r="F8" s="747"/>
      <c r="G8" s="747"/>
      <c r="H8" s="747"/>
      <c r="I8" s="747"/>
      <c r="J8" s="747"/>
      <c r="K8" s="747"/>
      <c r="L8" s="747"/>
      <c r="M8" s="546" t="s">
        <v>436</v>
      </c>
      <c r="N8" s="546" t="s">
        <v>1030</v>
      </c>
      <c r="O8" s="546" t="s">
        <v>322</v>
      </c>
      <c r="P8" s="546" t="s">
        <v>437</v>
      </c>
      <c r="Q8" s="751"/>
      <c r="R8" s="205" t="s">
        <v>1033</v>
      </c>
      <c r="S8" s="205"/>
      <c r="T8" s="207" t="s">
        <v>276</v>
      </c>
      <c r="U8" s="208">
        <v>0.2097</v>
      </c>
    </row>
    <row r="9" spans="1:22" s="216" customFormat="1" ht="12.75" customHeight="1" x14ac:dyDescent="0.2">
      <c r="A9" s="272" t="s">
        <v>4</v>
      </c>
      <c r="B9" s="209" t="s">
        <v>277</v>
      </c>
      <c r="C9" s="210"/>
      <c r="D9" s="211"/>
      <c r="E9" s="211"/>
      <c r="F9" s="213">
        <f>SUM(F11:F11)</f>
        <v>0</v>
      </c>
      <c r="G9" s="211"/>
      <c r="H9" s="213">
        <f>SUM(H11:H11)</f>
        <v>0</v>
      </c>
      <c r="I9" s="211"/>
      <c r="J9" s="211"/>
      <c r="K9" s="211"/>
      <c r="L9" s="213"/>
      <c r="M9" s="212"/>
      <c r="N9" s="212"/>
      <c r="O9" s="214"/>
      <c r="P9" s="212">
        <f>SUM(P10:P11)</f>
        <v>5327.19</v>
      </c>
      <c r="Q9" s="215"/>
      <c r="T9" s="217"/>
    </row>
    <row r="10" spans="1:22" s="216" customFormat="1" ht="25.5" x14ac:dyDescent="0.2">
      <c r="A10" s="279" t="s">
        <v>5</v>
      </c>
      <c r="B10" s="235" t="s">
        <v>839</v>
      </c>
      <c r="C10" s="265" t="s">
        <v>13</v>
      </c>
      <c r="D10" s="220">
        <v>0</v>
      </c>
      <c r="E10" s="220">
        <v>0</v>
      </c>
      <c r="F10" s="267">
        <v>0</v>
      </c>
      <c r="G10" s="220">
        <v>0</v>
      </c>
      <c r="H10" s="220">
        <v>0</v>
      </c>
      <c r="I10" s="220">
        <f>D10-G10</f>
        <v>0</v>
      </c>
      <c r="J10" s="266">
        <f>'Vale Verde 1'!D71</f>
        <v>8</v>
      </c>
      <c r="K10" s="220">
        <v>0</v>
      </c>
      <c r="L10" s="267">
        <f>'Maria Livramento - T1'!D75</f>
        <v>8</v>
      </c>
      <c r="M10" s="268">
        <v>459.22</v>
      </c>
      <c r="N10" s="268">
        <f>M10*$Q$5</f>
        <v>592.35</v>
      </c>
      <c r="O10" s="545" t="s">
        <v>1035</v>
      </c>
      <c r="P10" s="268">
        <f>L10*N10</f>
        <v>4738.8</v>
      </c>
      <c r="Q10" s="310">
        <f>'Maria Livramento - T1'!F75</f>
        <v>4738.8</v>
      </c>
      <c r="R10" s="216">
        <v>462.25</v>
      </c>
      <c r="T10" s="217"/>
    </row>
    <row r="11" spans="1:22" s="226" customFormat="1" ht="25.5" x14ac:dyDescent="0.2">
      <c r="A11" s="273" t="s">
        <v>86</v>
      </c>
      <c r="B11" s="218" t="s">
        <v>840</v>
      </c>
      <c r="C11" s="234" t="s">
        <v>11</v>
      </c>
      <c r="D11" s="220">
        <v>0</v>
      </c>
      <c r="E11" s="220">
        <v>0</v>
      </c>
      <c r="F11" s="220">
        <f>D11*E11</f>
        <v>0</v>
      </c>
      <c r="G11" s="220">
        <v>0</v>
      </c>
      <c r="H11" s="220">
        <v>0</v>
      </c>
      <c r="I11" s="220">
        <f>D11-G11</f>
        <v>0</v>
      </c>
      <c r="J11" s="220">
        <f>'Vale Verde 1'!D72</f>
        <v>300</v>
      </c>
      <c r="K11" s="220">
        <v>0</v>
      </c>
      <c r="L11" s="220">
        <f>'Maria Livramento - T1'!D76+'Maria Livramento - T2'!D78+'Fábio Vaz - T1'!D84+'Fábio Vaz - T2'!D69+'José Vieira - T1'!D63+'José Vieira - T2'!D78+'José Vieira - T3'!D64+'Genésio Andrade - T1'!D66+'Genésio Andrade - T2'!D69+'Travessa Cunha'!D64</f>
        <v>1032.25</v>
      </c>
      <c r="M11" s="221">
        <v>0.44</v>
      </c>
      <c r="N11" s="221">
        <f>M11*$Q$5</f>
        <v>0.56999999999999995</v>
      </c>
      <c r="O11" s="246" t="s">
        <v>1036</v>
      </c>
      <c r="P11" s="221">
        <f>L11*N11+0.01</f>
        <v>588.39</v>
      </c>
      <c r="Q11" s="310">
        <f>'Maria Livramento - T1'!F76+'Maria Livramento - T2'!F78+'Fábio Vaz - T1'!F84+'Fábio Vaz - T2'!F69+'José Vieira - T1'!F63+'José Vieira - T2'!F78+'José Vieira - T3'!F64+'Genésio Andrade - T1'!F66+'Genésio Andrade - T2'!F69+'Travessa Cunha'!F64</f>
        <v>588.39</v>
      </c>
      <c r="R11" s="224">
        <v>0.47</v>
      </c>
      <c r="S11" s="225"/>
      <c r="V11" s="227"/>
    </row>
    <row r="12" spans="1:22" s="202" customFormat="1" ht="5.0999999999999996" customHeight="1" x14ac:dyDescent="0.2">
      <c r="A12" s="239"/>
      <c r="B12" s="228"/>
      <c r="C12" s="219"/>
      <c r="D12" s="220"/>
      <c r="E12" s="220"/>
      <c r="F12" s="220"/>
      <c r="G12" s="220"/>
      <c r="H12" s="220"/>
      <c r="I12" s="220"/>
      <c r="J12" s="220"/>
      <c r="K12" s="220"/>
      <c r="L12" s="220"/>
      <c r="M12" s="221"/>
      <c r="N12" s="221"/>
      <c r="O12" s="222"/>
      <c r="P12" s="274"/>
      <c r="Q12" s="229"/>
      <c r="R12" s="224"/>
      <c r="S12" s="230"/>
    </row>
    <row r="13" spans="1:22" s="216" customFormat="1" ht="12.75" customHeight="1" x14ac:dyDescent="0.2">
      <c r="A13" s="272" t="s">
        <v>6</v>
      </c>
      <c r="B13" s="209" t="s">
        <v>278</v>
      </c>
      <c r="C13" s="210"/>
      <c r="D13" s="220"/>
      <c r="E13" s="232"/>
      <c r="F13" s="233">
        <f>SUM(F14:F14)</f>
        <v>0</v>
      </c>
      <c r="G13" s="211"/>
      <c r="H13" s="213">
        <f>SUM(H14:H14)</f>
        <v>0</v>
      </c>
      <c r="I13" s="211"/>
      <c r="J13" s="211"/>
      <c r="K13" s="211"/>
      <c r="L13" s="211"/>
      <c r="M13" s="221"/>
      <c r="N13" s="221"/>
      <c r="O13" s="222"/>
      <c r="P13" s="212">
        <f>SUM(P14:P14)</f>
        <v>15062.01</v>
      </c>
      <c r="Q13" s="215"/>
      <c r="R13" s="224"/>
      <c r="T13" s="217">
        <v>1.2097</v>
      </c>
    </row>
    <row r="14" spans="1:22" s="226" customFormat="1" ht="26.25" customHeight="1" x14ac:dyDescent="0.2">
      <c r="A14" s="273" t="s">
        <v>7</v>
      </c>
      <c r="B14" s="218" t="s">
        <v>280</v>
      </c>
      <c r="C14" s="234" t="s">
        <v>13</v>
      </c>
      <c r="D14" s="220">
        <v>0</v>
      </c>
      <c r="E14" s="220">
        <v>0</v>
      </c>
      <c r="F14" s="220">
        <f>D14*E14</f>
        <v>0</v>
      </c>
      <c r="G14" s="220">
        <v>0</v>
      </c>
      <c r="H14" s="220">
        <v>0</v>
      </c>
      <c r="I14" s="220">
        <f>D14-G14</f>
        <v>0</v>
      </c>
      <c r="J14" s="220">
        <f>'Vale Verde 1'!D75</f>
        <v>1739.21</v>
      </c>
      <c r="K14" s="220">
        <v>0</v>
      </c>
      <c r="L14" s="220">
        <f>'Maria Livramento - T1'!D79+'Maria Livramento - T2'!D81+'Fábio Vaz - T1'!D87+'Fábio Vaz - T2'!D72+'José Vieira - T1'!D66+'José Vieira - T2'!D81+'José Vieira - T3'!D67+'Genésio Andrade - T1'!D69+'Genésio Andrade - T2'!D72+'Travessa Cunha'!D67</f>
        <v>6024.8</v>
      </c>
      <c r="M14" s="221">
        <v>1.94</v>
      </c>
      <c r="N14" s="221">
        <f>M14*$Q$5</f>
        <v>2.5</v>
      </c>
      <c r="O14" s="246" t="s">
        <v>1037</v>
      </c>
      <c r="P14" s="221">
        <f>L14*N14+0.01</f>
        <v>15062.01</v>
      </c>
      <c r="Q14" s="311">
        <f>'Maria Livramento - T1'!F79+'Maria Livramento - T2'!F81+'Fábio Vaz - T1'!F87+'Fábio Vaz - T2'!F72+'José Vieira - T1'!F66+'José Vieira - T2'!F81+'José Vieira - T3'!F67+'Genésio Andrade - T1'!F69+'Genésio Andrade - T2'!F72+'Travessa Cunha'!F67</f>
        <v>15062.01</v>
      </c>
      <c r="R14" s="224">
        <v>1.99</v>
      </c>
      <c r="S14" s="225"/>
      <c r="V14" s="227"/>
    </row>
    <row r="15" spans="1:22" s="202" customFormat="1" ht="5.0999999999999996" customHeight="1" x14ac:dyDescent="0.2">
      <c r="A15" s="239"/>
      <c r="B15" s="228"/>
      <c r="C15" s="219"/>
      <c r="D15" s="220"/>
      <c r="E15" s="220"/>
      <c r="F15" s="220"/>
      <c r="G15" s="220"/>
      <c r="H15" s="220"/>
      <c r="I15" s="220"/>
      <c r="J15" s="220"/>
      <c r="K15" s="220"/>
      <c r="L15" s="220"/>
      <c r="M15" s="220"/>
      <c r="N15" s="220"/>
      <c r="O15" s="236"/>
      <c r="P15" s="274"/>
      <c r="Q15" s="312"/>
      <c r="R15" s="224"/>
      <c r="S15" s="230"/>
    </row>
    <row r="16" spans="1:22" s="216" customFormat="1" ht="12.75" customHeight="1" x14ac:dyDescent="0.2">
      <c r="A16" s="272" t="s">
        <v>8</v>
      </c>
      <c r="B16" s="209" t="s">
        <v>20</v>
      </c>
      <c r="C16" s="210"/>
      <c r="D16" s="211"/>
      <c r="E16" s="211"/>
      <c r="F16" s="233">
        <f>SUM(F17:F19)</f>
        <v>0</v>
      </c>
      <c r="G16" s="211"/>
      <c r="H16" s="213">
        <f>SUM(H17:H19)</f>
        <v>0</v>
      </c>
      <c r="I16" s="211"/>
      <c r="J16" s="211"/>
      <c r="K16" s="211"/>
      <c r="L16" s="211"/>
      <c r="M16" s="237"/>
      <c r="N16" s="237"/>
      <c r="O16" s="238"/>
      <c r="P16" s="212">
        <f>SUM(P17:P19)</f>
        <v>749495.47</v>
      </c>
      <c r="Q16" s="313"/>
      <c r="R16" s="224"/>
      <c r="T16" s="217"/>
    </row>
    <row r="17" spans="1:22" s="226" customFormat="1" ht="67.5" customHeight="1" x14ac:dyDescent="0.2">
      <c r="A17" s="273" t="s">
        <v>9</v>
      </c>
      <c r="B17" s="218" t="s">
        <v>260</v>
      </c>
      <c r="C17" s="219" t="s">
        <v>11</v>
      </c>
      <c r="D17" s="220">
        <v>0</v>
      </c>
      <c r="E17" s="220">
        <v>0</v>
      </c>
      <c r="F17" s="220">
        <f>D17*E17</f>
        <v>0</v>
      </c>
      <c r="G17" s="220">
        <v>0</v>
      </c>
      <c r="H17" s="220">
        <v>0</v>
      </c>
      <c r="I17" s="220">
        <f>D17-G17</f>
        <v>0</v>
      </c>
      <c r="J17" s="220">
        <f>'Vale Verde 1'!D78</f>
        <v>589.72</v>
      </c>
      <c r="K17" s="220">
        <v>0</v>
      </c>
      <c r="L17" s="220">
        <f>'Maria Livramento - T1'!D82+'Maria Livramento - T2'!D84+'Fábio Vaz - T1'!D90+'Fábio Vaz - T2'!D75+'José Vieira - T1'!D69+'José Vieira - T2'!D84+'José Vieira - T3'!D70+'Genésio Andrade - T1'!D72+'Genésio Andrade - T2'!D75+'Travessa Cunha'!D70</f>
        <v>1925.57</v>
      </c>
      <c r="M17" s="221">
        <v>38.4</v>
      </c>
      <c r="N17" s="221">
        <f>M17*$Q$5</f>
        <v>49.53</v>
      </c>
      <c r="O17" s="246" t="s">
        <v>1038</v>
      </c>
      <c r="P17" s="221">
        <f>L17*N17</f>
        <v>95373.48</v>
      </c>
      <c r="Q17" s="310">
        <f>'Maria Livramento - T1'!F82+'Maria Livramento - T2'!F84+'Fábio Vaz - T1'!F90+'Fábio Vaz - T2'!F75+'José Vieira - T1'!F69+'José Vieira - T2'!F84+'José Vieira - T3'!F70+'Genésio Andrade - T1'!F72+'Genésio Andrade - T2'!F75+'Travessa Cunha'!F70</f>
        <v>95373.48</v>
      </c>
      <c r="R17" s="224">
        <v>39.28</v>
      </c>
      <c r="S17" s="225"/>
      <c r="V17" s="227"/>
    </row>
    <row r="18" spans="1:22" s="226" customFormat="1" ht="41.25" customHeight="1" x14ac:dyDescent="0.2">
      <c r="A18" s="273" t="s">
        <v>12</v>
      </c>
      <c r="B18" s="218" t="s">
        <v>643</v>
      </c>
      <c r="C18" s="219" t="s">
        <v>13</v>
      </c>
      <c r="D18" s="220">
        <v>0</v>
      </c>
      <c r="E18" s="220">
        <v>0</v>
      </c>
      <c r="F18" s="220">
        <f>D18*E18</f>
        <v>0</v>
      </c>
      <c r="G18" s="220">
        <v>0</v>
      </c>
      <c r="H18" s="220">
        <v>0</v>
      </c>
      <c r="I18" s="220">
        <f>D18-G18</f>
        <v>0</v>
      </c>
      <c r="J18" s="220">
        <f>'Vale Verde 1'!D79</f>
        <v>1739.21</v>
      </c>
      <c r="K18" s="220">
        <v>0</v>
      </c>
      <c r="L18" s="220">
        <f>'Maria Livramento - T1'!D83+'Maria Livramento - T2'!D85+'Fábio Vaz - T1'!D91+'Fábio Vaz - T2'!D76+'José Vieira - T1'!D70+'José Vieira - T2'!D85+'José Vieira - T3'!D71+'Genésio Andrade - T1'!D73+'Genésio Andrade - T2'!D76+'Travessa Cunha'!D71</f>
        <v>6024.8</v>
      </c>
      <c r="M18" s="221">
        <v>83.58</v>
      </c>
      <c r="N18" s="221">
        <f>M18*$Q$5</f>
        <v>107.81</v>
      </c>
      <c r="O18" s="246" t="s">
        <v>1039</v>
      </c>
      <c r="P18" s="221">
        <f>L18*N18+0.01</f>
        <v>649533.69999999995</v>
      </c>
      <c r="Q18" s="310">
        <f>'Maria Livramento - T1'!F83+'Maria Livramento - T2'!F85+'Fábio Vaz - T1'!F91+'Fábio Vaz - T2'!F76+'José Vieira - T1'!F70+'José Vieira - T2'!F85+'José Vieira - T3'!F71+'Genésio Andrade - T1'!F73+'Genésio Andrade - T2'!F76+'Travessa Cunha'!F71</f>
        <v>649533.69999999995</v>
      </c>
      <c r="R18" s="224">
        <v>85.46</v>
      </c>
      <c r="S18" s="225"/>
      <c r="V18" s="227"/>
    </row>
    <row r="19" spans="1:22" s="226" customFormat="1" ht="25.5" x14ac:dyDescent="0.2">
      <c r="A19" s="273" t="s">
        <v>108</v>
      </c>
      <c r="B19" s="218" t="s">
        <v>306</v>
      </c>
      <c r="C19" s="219" t="s">
        <v>11</v>
      </c>
      <c r="D19" s="220">
        <v>0</v>
      </c>
      <c r="E19" s="220">
        <v>0</v>
      </c>
      <c r="F19" s="220">
        <f>D19*E19</f>
        <v>0</v>
      </c>
      <c r="G19" s="220">
        <v>0</v>
      </c>
      <c r="H19" s="220">
        <v>0</v>
      </c>
      <c r="I19" s="220">
        <f>D19-G19</f>
        <v>0</v>
      </c>
      <c r="J19" s="220">
        <f>'Vale Verde 1'!D80</f>
        <v>47.07</v>
      </c>
      <c r="K19" s="220">
        <v>0</v>
      </c>
      <c r="L19" s="220">
        <f>'Maria Livramento - T1'!D84+'Maria Livramento - T2'!D86+'Fábio Vaz - T1'!D92+'Fábio Vaz - T2'!D77+'José Vieira - T1'!D71+'José Vieira - T2'!D86</f>
        <v>73.66</v>
      </c>
      <c r="M19" s="221">
        <f>'Composição Custos Unit'!G20</f>
        <v>48.29</v>
      </c>
      <c r="N19" s="221">
        <f>M19*$Q$5</f>
        <v>62.29</v>
      </c>
      <c r="O19" s="316" t="s">
        <v>524</v>
      </c>
      <c r="P19" s="221">
        <f>L19*N19+0.01</f>
        <v>4588.29</v>
      </c>
      <c r="Q19" s="310">
        <f>'Maria Livramento - T1'!F84+'Maria Livramento - T2'!F86+'Fábio Vaz - T1'!F92+'Fábio Vaz - T2'!F77+'José Vieira - T1'!F71+'José Vieira - T2'!F86</f>
        <v>4588.29</v>
      </c>
      <c r="R19" s="224"/>
      <c r="S19" s="225"/>
      <c r="V19" s="227"/>
    </row>
    <row r="20" spans="1:22" s="202" customFormat="1" ht="5.0999999999999996" customHeight="1" x14ac:dyDescent="0.2">
      <c r="A20" s="239"/>
      <c r="B20" s="239"/>
      <c r="C20" s="219"/>
      <c r="D20" s="220"/>
      <c r="E20" s="220"/>
      <c r="F20" s="220"/>
      <c r="G20" s="220"/>
      <c r="H20" s="220"/>
      <c r="I20" s="220"/>
      <c r="J20" s="220"/>
      <c r="K20" s="220"/>
      <c r="L20" s="220"/>
      <c r="M20" s="221"/>
      <c r="N20" s="221"/>
      <c r="O20" s="222"/>
      <c r="P20" s="274"/>
      <c r="Q20" s="229"/>
      <c r="R20" s="224"/>
      <c r="S20" s="230"/>
    </row>
    <row r="21" spans="1:22" s="216" customFormat="1" ht="12.75" customHeight="1" x14ac:dyDescent="0.2">
      <c r="A21" s="521" t="s">
        <v>14</v>
      </c>
      <c r="B21" s="240" t="s">
        <v>610</v>
      </c>
      <c r="C21" s="219"/>
      <c r="D21" s="220"/>
      <c r="E21" s="220"/>
      <c r="F21" s="233">
        <f>SUM(F23:F23)</f>
        <v>0</v>
      </c>
      <c r="G21" s="241"/>
      <c r="H21" s="242">
        <f>SUM(H23:H23)</f>
        <v>0</v>
      </c>
      <c r="I21" s="241"/>
      <c r="J21" s="241"/>
      <c r="K21" s="241"/>
      <c r="L21" s="241"/>
      <c r="M21" s="221"/>
      <c r="N21" s="221"/>
      <c r="O21" s="222"/>
      <c r="P21" s="243">
        <f>SUM(P22:P24)</f>
        <v>172928.03</v>
      </c>
      <c r="Q21" s="215"/>
      <c r="R21" s="224"/>
      <c r="T21" s="217"/>
    </row>
    <row r="22" spans="1:22" s="226" customFormat="1" ht="51" x14ac:dyDescent="0.2">
      <c r="A22" s="273" t="s">
        <v>15</v>
      </c>
      <c r="B22" s="261" t="s">
        <v>644</v>
      </c>
      <c r="C22" s="234" t="s">
        <v>13</v>
      </c>
      <c r="D22" s="220">
        <v>0</v>
      </c>
      <c r="E22" s="220">
        <v>0</v>
      </c>
      <c r="F22" s="220">
        <f>D22*E22</f>
        <v>0</v>
      </c>
      <c r="G22" s="220">
        <v>0</v>
      </c>
      <c r="H22" s="220">
        <v>0</v>
      </c>
      <c r="I22" s="220">
        <v>0</v>
      </c>
      <c r="J22" s="220">
        <f>'Vale Verde 1'!D83</f>
        <v>108.16</v>
      </c>
      <c r="K22" s="220">
        <v>0</v>
      </c>
      <c r="L22" s="220">
        <f>'Maria Livramento - T1'!D87+'Maria Livramento - T2'!D89+'Fábio Vaz - T1'!D95+'Fábio Vaz - T2'!D80+'José Vieira - T1'!D74+'José Vieira - T2'!D89+'Genésio Andrade - T1'!D76</f>
        <v>164.48</v>
      </c>
      <c r="M22" s="221">
        <v>83.14</v>
      </c>
      <c r="N22" s="221">
        <f>M22*$Q$5</f>
        <v>107.24</v>
      </c>
      <c r="O22" s="271" t="s">
        <v>1040</v>
      </c>
      <c r="P22" s="221">
        <f>L22*N22</f>
        <v>17638.84</v>
      </c>
      <c r="Q22" s="223">
        <f>'Maria Livramento - T1'!F87+'Maria Livramento - T2'!F89+'Fábio Vaz - T1'!F95+'Fábio Vaz - T2'!F80+'José Vieira - T1'!F74+'José Vieira - T2'!F89+'Genésio Andrade - T1'!F76</f>
        <v>17638.84</v>
      </c>
      <c r="R22" s="224">
        <v>87.98</v>
      </c>
      <c r="S22" s="225"/>
      <c r="V22" s="227"/>
    </row>
    <row r="23" spans="1:22" s="226" customFormat="1" ht="38.25" x14ac:dyDescent="0.2">
      <c r="A23" s="273" t="s">
        <v>129</v>
      </c>
      <c r="B23" s="261" t="s">
        <v>127</v>
      </c>
      <c r="C23" s="234" t="s">
        <v>128</v>
      </c>
      <c r="D23" s="220">
        <f>'Planilha CT Original'!F111</f>
        <v>0</v>
      </c>
      <c r="E23" s="220">
        <f>'Planilha CT Original'!H111</f>
        <v>0</v>
      </c>
      <c r="F23" s="220">
        <f>D23*E23</f>
        <v>0</v>
      </c>
      <c r="G23" s="220">
        <v>0</v>
      </c>
      <c r="H23" s="220">
        <f>E23*G23</f>
        <v>0</v>
      </c>
      <c r="I23" s="220">
        <f>D23-G23</f>
        <v>0</v>
      </c>
      <c r="J23" s="220">
        <f>'Vale Verde 1'!D84</f>
        <v>34.92</v>
      </c>
      <c r="K23" s="220">
        <v>0</v>
      </c>
      <c r="L23" s="220">
        <f>'Maria Livramento - T1'!D88+'Maria Livramento - T2'!D90+'Fábio Vaz - T1'!D96+'Fábio Vaz - T2'!D81+'José Vieira - T1'!D75+'José Vieira - T2'!D90+'José Vieira - T3'!D74+'Genésio Andrade - T1'!D77+'Genésio Andrade - T2'!D79+'Travessa Cunha'!D74</f>
        <v>105.69</v>
      </c>
      <c r="M23" s="221">
        <v>731.08</v>
      </c>
      <c r="N23" s="221">
        <f>M23*$Q$5</f>
        <v>943.02</v>
      </c>
      <c r="O23" s="316" t="s">
        <v>1041</v>
      </c>
      <c r="P23" s="221">
        <f>L23*N23+0.01</f>
        <v>99667.79</v>
      </c>
      <c r="Q23" s="223">
        <f>'Maria Livramento - T1'!F88+'Maria Livramento - T2'!F90+'Fábio Vaz - T1'!F96+'Fábio Vaz - T2'!F81+'José Vieira - T1'!F75+'José Vieira - T2'!F90+'José Vieira - T3'!F74+'Genésio Andrade - T1'!F77+'Genésio Andrade - T2'!F79+'Travessa Cunha'!F74</f>
        <v>99667.79</v>
      </c>
      <c r="R23" s="224">
        <v>749.93</v>
      </c>
      <c r="S23" s="225"/>
      <c r="V23" s="227"/>
    </row>
    <row r="24" spans="1:22" s="226" customFormat="1" ht="25.5" x14ac:dyDescent="0.2">
      <c r="A24" s="273" t="s">
        <v>131</v>
      </c>
      <c r="B24" s="261" t="s">
        <v>841</v>
      </c>
      <c r="C24" s="219" t="s">
        <v>13</v>
      </c>
      <c r="D24" s="220">
        <v>0</v>
      </c>
      <c r="E24" s="220" t="e">
        <f>'Planilha Global'!#REF!</f>
        <v>#REF!</v>
      </c>
      <c r="F24" s="220" t="e">
        <f>D24*E24</f>
        <v>#REF!</v>
      </c>
      <c r="G24" s="220">
        <v>0</v>
      </c>
      <c r="H24" s="220" t="e">
        <f>E24*G24</f>
        <v>#REF!</v>
      </c>
      <c r="I24" s="220">
        <f>D24-G24</f>
        <v>0</v>
      </c>
      <c r="J24" s="220">
        <f>'Vale Verde 1'!D85</f>
        <v>105.48</v>
      </c>
      <c r="K24" s="220">
        <v>0</v>
      </c>
      <c r="L24" s="220">
        <f>'Maria Livramento - T1'!D89+'Maria Livramento - T2'!D91+'Fábio Vaz - T1'!D97+'Fábio Vaz - T2'!D82+'José Vieira - T1'!D76+'José Vieira - T2'!D91+'José Vieira - T3'!D75+'Genésio Andrade - T1'!D78+'Genésio Andrade - T2'!D80+'Travessa Cunha'!D75</f>
        <v>331.87</v>
      </c>
      <c r="M24" s="221">
        <v>129.93</v>
      </c>
      <c r="N24" s="221">
        <f>M24*$Q$5</f>
        <v>167.6</v>
      </c>
      <c r="O24" s="316" t="s">
        <v>1042</v>
      </c>
      <c r="P24" s="221">
        <f>L24*N24-0.01</f>
        <v>55621.4</v>
      </c>
      <c r="Q24" s="223">
        <f>'Maria Livramento - T1'!F89+'Maria Livramento - T2'!F91+'Fábio Vaz - T1'!F97+'Fábio Vaz - T2'!F82+'José Vieira - T1'!F76+'José Vieira - T2'!F91+'José Vieira - T3'!F75+'Genésio Andrade - T1'!F78+'Genésio Andrade - T2'!F80+'Travessa Cunha'!F75</f>
        <v>55621.4</v>
      </c>
      <c r="R24" s="224">
        <v>133.32</v>
      </c>
      <c r="S24" s="225"/>
      <c r="V24" s="227"/>
    </row>
    <row r="25" spans="1:22" s="202" customFormat="1" ht="5.0999999999999996" customHeight="1" x14ac:dyDescent="0.2">
      <c r="A25" s="239"/>
      <c r="B25" s="239"/>
      <c r="C25" s="219"/>
      <c r="D25" s="220"/>
      <c r="E25" s="220"/>
      <c r="F25" s="220"/>
      <c r="G25" s="220"/>
      <c r="H25" s="220"/>
      <c r="I25" s="220"/>
      <c r="J25" s="220"/>
      <c r="K25" s="220"/>
      <c r="L25" s="220"/>
      <c r="M25" s="220"/>
      <c r="N25" s="220"/>
      <c r="O25" s="236"/>
      <c r="P25" s="274"/>
      <c r="Q25" s="229"/>
      <c r="R25" s="224"/>
      <c r="S25" s="230"/>
    </row>
    <row r="26" spans="1:22" s="216" customFormat="1" ht="12.75" customHeight="1" x14ac:dyDescent="0.2">
      <c r="A26" s="521" t="s">
        <v>157</v>
      </c>
      <c r="B26" s="240" t="s">
        <v>291</v>
      </c>
      <c r="C26" s="219"/>
      <c r="D26" s="220"/>
      <c r="E26" s="220"/>
      <c r="F26" s="231" t="e">
        <f>SUM(F27:F29)</f>
        <v>#REF!</v>
      </c>
      <c r="G26" s="241"/>
      <c r="H26" s="233" t="e">
        <f>SUM(H27:H29)</f>
        <v>#REF!</v>
      </c>
      <c r="I26" s="241"/>
      <c r="J26" s="241"/>
      <c r="K26" s="241"/>
      <c r="L26" s="241"/>
      <c r="M26" s="221"/>
      <c r="N26" s="221"/>
      <c r="O26" s="222"/>
      <c r="P26" s="243">
        <f>SUM(P27:P30)</f>
        <v>29221.11</v>
      </c>
      <c r="Q26" s="215"/>
      <c r="R26" s="224"/>
      <c r="T26" s="217"/>
    </row>
    <row r="27" spans="1:22" s="226" customFormat="1" ht="38.25" x14ac:dyDescent="0.2">
      <c r="A27" s="273" t="s">
        <v>158</v>
      </c>
      <c r="B27" s="261" t="s">
        <v>642</v>
      </c>
      <c r="C27" s="219" t="s">
        <v>128</v>
      </c>
      <c r="D27" s="220">
        <f>'Planilha CT Original'!F99</f>
        <v>0</v>
      </c>
      <c r="E27" s="220" t="e">
        <f>'Planilha Global'!#REF!</f>
        <v>#REF!</v>
      </c>
      <c r="F27" s="220" t="e">
        <f>D27*E27</f>
        <v>#REF!</v>
      </c>
      <c r="G27" s="220">
        <v>0</v>
      </c>
      <c r="H27" s="220" t="e">
        <f>E27*G27</f>
        <v>#REF!</v>
      </c>
      <c r="I27" s="220">
        <f>D27-G27</f>
        <v>0</v>
      </c>
      <c r="J27" s="220">
        <f>'Vale Verde 1'!D88</f>
        <v>5.24</v>
      </c>
      <c r="K27" s="220">
        <v>0</v>
      </c>
      <c r="L27" s="220">
        <f>'Maria Livramento - T1'!D92+'Maria Livramento - T2'!D94+'Fábio Vaz - T1'!D100+'Fábio Vaz - T2'!D85+'José Vieira - T1'!D79+'José Vieira - T2'!D94+'José Vieira - T3'!D78+'Genésio Andrade - T1'!D81+'Genésio Andrade - T2'!D83+'Travessa Cunha'!D78</f>
        <v>18.899999999999999</v>
      </c>
      <c r="M27" s="221">
        <v>428.84</v>
      </c>
      <c r="N27" s="221">
        <f>M27*$Q$5</f>
        <v>553.16</v>
      </c>
      <c r="O27" s="316" t="s">
        <v>1043</v>
      </c>
      <c r="P27" s="221">
        <f>L27*N27+0.03</f>
        <v>10454.75</v>
      </c>
      <c r="Q27" s="223">
        <f>'Maria Livramento - T1'!F92+'Maria Livramento - T2'!F94+'Fábio Vaz - T1'!F100+'Fábio Vaz - T2'!F85+'José Vieira - T1'!F79+'José Vieira - T2'!F94+'José Vieira - T3'!F78+'Genésio Andrade - T1'!F81+'Genésio Andrade - T2'!F83+'Travessa Cunha'!F78</f>
        <v>10454.75</v>
      </c>
      <c r="R27" s="224">
        <v>434.52</v>
      </c>
      <c r="S27" s="225"/>
      <c r="V27" s="227"/>
    </row>
    <row r="28" spans="1:22" s="226" customFormat="1" ht="40.5" customHeight="1" x14ac:dyDescent="0.2">
      <c r="A28" s="273" t="s">
        <v>170</v>
      </c>
      <c r="B28" s="261" t="s">
        <v>608</v>
      </c>
      <c r="C28" s="219" t="s">
        <v>128</v>
      </c>
      <c r="D28" s="220">
        <f>'Planilha CT Original'!F100</f>
        <v>0</v>
      </c>
      <c r="E28" s="220" t="e">
        <f>'Planilha Global'!#REF!</f>
        <v>#REF!</v>
      </c>
      <c r="F28" s="220" t="e">
        <f>D28*E28</f>
        <v>#REF!</v>
      </c>
      <c r="G28" s="220">
        <v>0</v>
      </c>
      <c r="H28" s="220" t="e">
        <f>E28*G28</f>
        <v>#REF!</v>
      </c>
      <c r="I28" s="220">
        <f>D28-G28</f>
        <v>0</v>
      </c>
      <c r="J28" s="220">
        <f>'Vale Verde 1'!D89</f>
        <v>5.24</v>
      </c>
      <c r="K28" s="220">
        <v>0</v>
      </c>
      <c r="L28" s="220">
        <f>'Maria Livramento - T1'!D93+'Maria Livramento - T2'!D95+'Fábio Vaz - T1'!D101+'Fábio Vaz - T2'!D86+'José Vieira - T1'!D80+'José Vieira - T2'!D95+'José Vieira - T3'!D79+'Genésio Andrade - T1'!D82+'Genésio Andrade - T2'!D84+'Travessa Cunha'!D79</f>
        <v>18.899999999999999</v>
      </c>
      <c r="M28" s="221">
        <v>251.92</v>
      </c>
      <c r="N28" s="221">
        <f>M28*$Q$5</f>
        <v>324.95</v>
      </c>
      <c r="O28" s="316" t="s">
        <v>1044</v>
      </c>
      <c r="P28" s="221">
        <f>L28*N28+0.03</f>
        <v>6141.59</v>
      </c>
      <c r="Q28" s="223">
        <f>'Maria Livramento - T1'!F93+'Maria Livramento - T2'!F95+'Fábio Vaz - T1'!F101+'Fábio Vaz - T2'!F86+'José Vieira - T1'!F80+'José Vieira - T2'!F95+'José Vieira - T3'!F79+'Genésio Andrade - T1'!F82+'Genésio Andrade - T2'!F84+'Travessa Cunha'!F79</f>
        <v>6141.59</v>
      </c>
      <c r="R28" s="224">
        <v>274.01</v>
      </c>
      <c r="S28" s="225"/>
      <c r="V28" s="227"/>
    </row>
    <row r="29" spans="1:22" s="226" customFormat="1" ht="25.5" x14ac:dyDescent="0.2">
      <c r="A29" s="273" t="s">
        <v>203</v>
      </c>
      <c r="B29" s="261" t="s">
        <v>841</v>
      </c>
      <c r="C29" s="219" t="s">
        <v>13</v>
      </c>
      <c r="D29" s="220">
        <f>'Planilha CT Original'!F101</f>
        <v>0</v>
      </c>
      <c r="E29" s="220" t="e">
        <f>'Planilha Global'!#REF!</f>
        <v>#REF!</v>
      </c>
      <c r="F29" s="220" t="e">
        <f>D29*E29</f>
        <v>#REF!</v>
      </c>
      <c r="G29" s="220">
        <v>0</v>
      </c>
      <c r="H29" s="220" t="e">
        <f>E29*G29</f>
        <v>#REF!</v>
      </c>
      <c r="I29" s="220">
        <f>D29-G29</f>
        <v>0</v>
      </c>
      <c r="J29" s="220">
        <f>'Vale Verde 1'!D90</f>
        <v>7.8</v>
      </c>
      <c r="K29" s="220">
        <v>0</v>
      </c>
      <c r="L29" s="220">
        <f>'Maria Livramento - T1'!D94+'Maria Livramento - T2'!D96+'Fábio Vaz - T1'!D102+'Fábio Vaz - T2'!D87+'José Vieira - T1'!D81+'José Vieira - T2'!D96+'José Vieira - T3'!D80+'Genésio Andrade - T1'!D83+'Genésio Andrade - T2'!D85+'Travessa Cunha'!D80</f>
        <v>28.08</v>
      </c>
      <c r="M29" s="221">
        <f>M24</f>
        <v>129.93</v>
      </c>
      <c r="N29" s="221">
        <f>M29*$Q$5</f>
        <v>167.6</v>
      </c>
      <c r="O29" s="316" t="s">
        <v>1045</v>
      </c>
      <c r="P29" s="221">
        <f>L29*N29</f>
        <v>4706.21</v>
      </c>
      <c r="Q29" s="223">
        <f>'Maria Livramento - T1'!F94+'Maria Livramento - T2'!F96+'Fábio Vaz - T1'!F102+'Fábio Vaz - T2'!F87+'José Vieira - T1'!F81+'José Vieira - T2'!F96+'José Vieira - T3'!F80+'Genésio Andrade - T1'!F83+'Genésio Andrade - T2'!F85+'Travessa Cunha'!F80</f>
        <v>4706.21</v>
      </c>
      <c r="R29" s="224">
        <f>R24</f>
        <v>133.32</v>
      </c>
      <c r="S29" s="225"/>
      <c r="V29" s="227"/>
    </row>
    <row r="30" spans="1:22" s="226" customFormat="1" ht="25.5" x14ac:dyDescent="0.2">
      <c r="A30" s="273" t="s">
        <v>181</v>
      </c>
      <c r="B30" s="261" t="s">
        <v>609</v>
      </c>
      <c r="C30" s="219" t="s">
        <v>13</v>
      </c>
      <c r="D30" s="220">
        <v>0</v>
      </c>
      <c r="E30" s="220">
        <v>0</v>
      </c>
      <c r="F30" s="220">
        <v>0</v>
      </c>
      <c r="G30" s="220">
        <v>0</v>
      </c>
      <c r="H30" s="220">
        <v>0</v>
      </c>
      <c r="I30" s="220">
        <v>0</v>
      </c>
      <c r="J30" s="220">
        <f>'Vale Verde 1'!D91</f>
        <v>90</v>
      </c>
      <c r="K30" s="220">
        <v>0</v>
      </c>
      <c r="L30" s="220">
        <f>'Maria Livramento - T1'!D95+'Maria Livramento - T2'!D97+'Fábio Vaz - T1'!D103+'Fábio Vaz - T2'!D88+'José Vieira - T1'!D82+'José Vieira - T2'!D97+'José Vieira - T3'!D81+'Genésio Andrade - T1'!D84+'Genésio Andrade - T2'!D86+'Travessa Cunha'!D81</f>
        <v>324</v>
      </c>
      <c r="M30" s="221">
        <v>18.95</v>
      </c>
      <c r="N30" s="221">
        <f>M30*$Q$5</f>
        <v>24.44</v>
      </c>
      <c r="O30" s="316" t="s">
        <v>1046</v>
      </c>
      <c r="P30" s="221">
        <f>L30*N30</f>
        <v>7918.56</v>
      </c>
      <c r="Q30" s="223">
        <f>'Maria Livramento - T1'!F95+'Maria Livramento - T2'!F97+'Fábio Vaz - T1'!F103+'Fábio Vaz - T2'!F88+'José Vieira - T1'!F82+'José Vieira - T2'!F97+'José Vieira - T3'!F81+'Genésio Andrade - T1'!F84+'Genésio Andrade - T2'!F86+'Travessa Cunha'!F81</f>
        <v>7918.56</v>
      </c>
      <c r="R30" s="224">
        <v>19.71</v>
      </c>
      <c r="S30" s="225"/>
    </row>
    <row r="31" spans="1:22" s="202" customFormat="1" ht="5.0999999999999996" customHeight="1" x14ac:dyDescent="0.2">
      <c r="A31" s="239"/>
      <c r="B31" s="239"/>
      <c r="C31" s="219"/>
      <c r="D31" s="220"/>
      <c r="E31" s="220"/>
      <c r="F31" s="220"/>
      <c r="G31" s="220"/>
      <c r="H31" s="220"/>
      <c r="I31" s="220"/>
      <c r="J31" s="220"/>
      <c r="K31" s="220"/>
      <c r="L31" s="220"/>
      <c r="M31" s="220"/>
      <c r="N31" s="220"/>
      <c r="O31" s="236"/>
      <c r="P31" s="274"/>
      <c r="Q31" s="223"/>
      <c r="R31" s="224"/>
      <c r="S31" s="230"/>
    </row>
    <row r="32" spans="1:22" s="216" customFormat="1" ht="12.75" customHeight="1" x14ac:dyDescent="0.2">
      <c r="A32" s="275" t="s">
        <v>174</v>
      </c>
      <c r="B32" s="240" t="s">
        <v>705</v>
      </c>
      <c r="C32" s="219"/>
      <c r="D32" s="220"/>
      <c r="E32" s="220"/>
      <c r="F32" s="233">
        <f>SUM(F33:F33)</f>
        <v>0</v>
      </c>
      <c r="G32" s="241"/>
      <c r="H32" s="242">
        <f>SUM(H33:H33)</f>
        <v>0</v>
      </c>
      <c r="I32" s="241"/>
      <c r="J32" s="241"/>
      <c r="K32" s="241"/>
      <c r="L32" s="241"/>
      <c r="M32" s="221"/>
      <c r="N32" s="221"/>
      <c r="O32" s="222"/>
      <c r="P32" s="243">
        <f>SUM(P33:P34)</f>
        <v>7895.65</v>
      </c>
      <c r="Q32" s="215"/>
      <c r="R32" s="224"/>
      <c r="T32" s="217"/>
    </row>
    <row r="33" spans="1:22" s="226" customFormat="1" ht="38.25" x14ac:dyDescent="0.2">
      <c r="A33" s="273" t="s">
        <v>175</v>
      </c>
      <c r="B33" s="261" t="s">
        <v>847</v>
      </c>
      <c r="C33" s="234" t="s">
        <v>279</v>
      </c>
      <c r="D33" s="220">
        <v>0</v>
      </c>
      <c r="E33" s="220">
        <f>'Planilha CT Original'!H113</f>
        <v>0</v>
      </c>
      <c r="F33" s="220">
        <f>D33*E33</f>
        <v>0</v>
      </c>
      <c r="G33" s="220">
        <v>0</v>
      </c>
      <c r="H33" s="220">
        <v>0</v>
      </c>
      <c r="I33" s="220">
        <f>D33-G33</f>
        <v>0</v>
      </c>
      <c r="J33" s="220">
        <f>'Vale Verde 1'!D90</f>
        <v>7.8</v>
      </c>
      <c r="K33" s="220">
        <v>0</v>
      </c>
      <c r="L33" s="220">
        <f>'Maria Livramento - T1'!D98+'Maria Livramento - T2'!D100+'Fábio Vaz - T1'!D106+'Fábio Vaz - T2'!D91+'José Vieira - T1'!D85+'José Vieira - T2'!D100+'José Vieira - T3'!D84+'Genésio Andrade - T1'!D87+'Genésio Andrade - T2'!D89+'Travessa Cunha'!D84</f>
        <v>17</v>
      </c>
      <c r="M33" s="221">
        <v>93.48</v>
      </c>
      <c r="N33" s="221">
        <f>M33*$Q$5</f>
        <v>120.58</v>
      </c>
      <c r="O33" s="316" t="s">
        <v>1047</v>
      </c>
      <c r="P33" s="221">
        <f>L33*N33</f>
        <v>2049.86</v>
      </c>
      <c r="Q33" s="223">
        <f>'Maria Livramento - T1'!F98+'Maria Livramento - T2'!F100+'Fábio Vaz - T1'!F106+'Fábio Vaz - T2'!F91+'José Vieira - T1'!F85+'José Vieira - T2'!F100+'José Vieira - T3'!F84+'Genésio Andrade - T1'!F87+'Genésio Andrade - T2'!F89+'Travessa Cunha'!F84</f>
        <v>2049.86</v>
      </c>
      <c r="R33" s="224">
        <v>96.29</v>
      </c>
      <c r="S33" s="225"/>
      <c r="V33" s="227"/>
    </row>
    <row r="34" spans="1:22" s="226" customFormat="1" ht="38.25" x14ac:dyDescent="0.2">
      <c r="A34" s="273" t="s">
        <v>246</v>
      </c>
      <c r="B34" s="261" t="s">
        <v>848</v>
      </c>
      <c r="C34" s="234" t="s">
        <v>279</v>
      </c>
      <c r="D34" s="220"/>
      <c r="E34" s="220"/>
      <c r="F34" s="220"/>
      <c r="G34" s="220"/>
      <c r="H34" s="220"/>
      <c r="I34" s="220"/>
      <c r="J34" s="220"/>
      <c r="K34" s="220"/>
      <c r="L34" s="220">
        <f>'Maria Livramento - T1'!D99+'Maria Livramento - T2'!D101+'Fábio Vaz - T1'!D107+'Fábio Vaz - T2'!D92+'José Vieira - T1'!D86+'José Vieira - T2'!D101+'José Vieira - T3'!D85+'Genésio Andrade - T1'!D88+'Genésio Andrade - T2'!D90+'Travessa Cunha'!D85</f>
        <v>17</v>
      </c>
      <c r="M34" s="221">
        <v>266.58999999999997</v>
      </c>
      <c r="N34" s="221">
        <f>M34*$Q$5</f>
        <v>343.87</v>
      </c>
      <c r="O34" s="316" t="s">
        <v>1034</v>
      </c>
      <c r="P34" s="221">
        <f>L34*N34</f>
        <v>5845.79</v>
      </c>
      <c r="Q34" s="223">
        <f>'Maria Livramento - T1'!F99+'Maria Livramento - T2'!F101+'Fábio Vaz - T1'!F107+'Fábio Vaz - T2'!F92+'José Vieira - T1'!F86+'José Vieira - T2'!F101+'José Vieira - T3'!F85+'Genésio Andrade - T1'!F88+'Genésio Andrade - T2'!F90+'Travessa Cunha'!F85</f>
        <v>5845.79</v>
      </c>
      <c r="R34" s="224"/>
      <c r="S34" s="225"/>
      <c r="V34" s="227"/>
    </row>
    <row r="35" spans="1:22" s="202" customFormat="1" ht="4.5" customHeight="1" x14ac:dyDescent="0.2">
      <c r="A35" s="326"/>
      <c r="B35" s="327"/>
      <c r="C35" s="328"/>
      <c r="D35" s="329"/>
      <c r="E35" s="329"/>
      <c r="F35" s="329"/>
      <c r="G35" s="329"/>
      <c r="H35" s="329"/>
      <c r="I35" s="329"/>
      <c r="J35" s="329"/>
      <c r="K35" s="329"/>
      <c r="L35" s="329"/>
      <c r="M35" s="330"/>
      <c r="N35" s="330"/>
      <c r="O35" s="331"/>
      <c r="P35" s="332"/>
      <c r="Q35" s="229"/>
    </row>
    <row r="36" spans="1:22" s="216" customFormat="1" ht="12.75" customHeight="1" x14ac:dyDescent="0.2">
      <c r="A36" s="275" t="s">
        <v>254</v>
      </c>
      <c r="B36" s="240" t="s">
        <v>25</v>
      </c>
      <c r="C36" s="219"/>
      <c r="D36" s="220"/>
      <c r="E36" s="220"/>
      <c r="F36" s="233" t="e">
        <f>SUM(#REF!)</f>
        <v>#REF!</v>
      </c>
      <c r="G36" s="241"/>
      <c r="H36" s="242" t="e">
        <f>SUM(#REF!)</f>
        <v>#REF!</v>
      </c>
      <c r="I36" s="241"/>
      <c r="J36" s="241"/>
      <c r="K36" s="241"/>
      <c r="L36" s="241"/>
      <c r="M36" s="221"/>
      <c r="N36" s="221"/>
      <c r="O36" s="222"/>
      <c r="P36" s="243">
        <f>SUM(P37:P39)</f>
        <v>3974.84</v>
      </c>
      <c r="Q36" s="215"/>
      <c r="R36" s="224"/>
      <c r="T36" s="217"/>
    </row>
    <row r="37" spans="1:22" s="226" customFormat="1" ht="25.5" x14ac:dyDescent="0.2">
      <c r="A37" s="273" t="s">
        <v>255</v>
      </c>
      <c r="B37" s="261" t="s">
        <v>633</v>
      </c>
      <c r="C37" s="234" t="s">
        <v>13</v>
      </c>
      <c r="D37" s="220">
        <v>0</v>
      </c>
      <c r="E37" s="220">
        <f>'Planilha CT Original'!H119</f>
        <v>0</v>
      </c>
      <c r="F37" s="220">
        <f>D37*E37</f>
        <v>0</v>
      </c>
      <c r="G37" s="220">
        <v>0</v>
      </c>
      <c r="H37" s="220">
        <v>0</v>
      </c>
      <c r="I37" s="220">
        <f>D37-G37</f>
        <v>0</v>
      </c>
      <c r="J37" s="220">
        <f>'Vale Verde 1'!D94</f>
        <v>165.12</v>
      </c>
      <c r="K37" s="220">
        <v>0</v>
      </c>
      <c r="L37" s="220">
        <f>'Maria Livramento - T1'!D102+'Maria Livramento - T2'!D104+'Fábio Vaz - T1'!D110+'Fábio Vaz - T2'!D95+'José Vieira - T1'!D89+'José Vieira - T2'!D104+'José Vieira - T3'!D88+'Genésio Andrade - T1'!D91+'Genésio Andrade - T2'!D93+'Travessa Cunha'!D88</f>
        <v>539.16999999999996</v>
      </c>
      <c r="M37" s="221">
        <v>1.38</v>
      </c>
      <c r="N37" s="221">
        <f>M37*$Q$5</f>
        <v>1.78</v>
      </c>
      <c r="O37" s="271" t="s">
        <v>1048</v>
      </c>
      <c r="P37" s="221">
        <f>L37*N37+0.02</f>
        <v>959.74</v>
      </c>
      <c r="Q37" s="223">
        <f>'Maria Livramento - T1'!F102+'Maria Livramento - T2'!F104+'Fábio Vaz - T1'!F110+'Fábio Vaz - T2'!F95+'José Vieira - T1'!F89+'José Vieira - T2'!F104+'José Vieira - T3'!F88+'Genésio Andrade - T1'!F91+'Genésio Andrade - T2'!F93+'Travessa Cunha'!F88</f>
        <v>959.74</v>
      </c>
      <c r="R37" s="224">
        <v>1.49</v>
      </c>
      <c r="S37" s="225"/>
      <c r="V37" s="227"/>
    </row>
    <row r="38" spans="1:22" s="226" customFormat="1" ht="25.5" x14ac:dyDescent="0.2">
      <c r="A38" s="273" t="s">
        <v>853</v>
      </c>
      <c r="B38" s="261" t="s">
        <v>499</v>
      </c>
      <c r="C38" s="234" t="s">
        <v>279</v>
      </c>
      <c r="D38" s="220">
        <v>0</v>
      </c>
      <c r="E38" s="220">
        <f>'Planilha CT Original'!H115</f>
        <v>0</v>
      </c>
      <c r="F38" s="220">
        <f>D38*E38</f>
        <v>0</v>
      </c>
      <c r="G38" s="220">
        <v>0</v>
      </c>
      <c r="H38" s="220">
        <v>0</v>
      </c>
      <c r="I38" s="220">
        <f>D38-G38</f>
        <v>0</v>
      </c>
      <c r="J38" s="220">
        <f>'Vale Verde 1'!D91</f>
        <v>90</v>
      </c>
      <c r="K38" s="220">
        <v>0</v>
      </c>
      <c r="L38" s="220">
        <f>'Maria Livramento - T1'!D103+'Maria Livramento - T2'!D105+'Fábio Vaz - T1'!D111+'Fábio Vaz - T2'!D96+'José Vieira - T1'!D90+'José Vieira - T2'!D105+'José Vieira - T3'!D89+'Genésio Andrade - T1'!D92+'Genésio Andrade - T2'!D94+'Travessa Cunha'!D89</f>
        <v>10</v>
      </c>
      <c r="M38" s="221">
        <f>'Composição Custos Unit'!G35</f>
        <v>140.27000000000001</v>
      </c>
      <c r="N38" s="221">
        <f>M38*$Q$5</f>
        <v>180.93</v>
      </c>
      <c r="O38" s="271" t="s">
        <v>512</v>
      </c>
      <c r="P38" s="221">
        <f>L38*N38</f>
        <v>1809.3</v>
      </c>
      <c r="Q38" s="223">
        <f>'Maria Livramento - T1'!F103+'Maria Livramento - T2'!F105+'Fábio Vaz - T1'!F111+'Fábio Vaz - T2'!F96+'José Vieira - T1'!F90+'José Vieira - T2'!F105+'José Vieira - T3'!F89+'Genésio Andrade - T1'!F92+'Genésio Andrade - T2'!F94+'Travessa Cunha'!F89</f>
        <v>1809.3</v>
      </c>
      <c r="R38" s="224"/>
      <c r="S38" s="225"/>
      <c r="V38" s="227"/>
    </row>
    <row r="39" spans="1:22" s="226" customFormat="1" ht="38.25" x14ac:dyDescent="0.2">
      <c r="A39" s="273" t="s">
        <v>882</v>
      </c>
      <c r="B39" s="261" t="s">
        <v>884</v>
      </c>
      <c r="C39" s="234" t="s">
        <v>279</v>
      </c>
      <c r="D39" s="220">
        <v>0</v>
      </c>
      <c r="E39" s="220">
        <f>'Planilha CT Original'!H119</f>
        <v>0</v>
      </c>
      <c r="F39" s="220">
        <f>D39*E39</f>
        <v>0</v>
      </c>
      <c r="G39" s="220">
        <v>0</v>
      </c>
      <c r="H39" s="220">
        <v>0</v>
      </c>
      <c r="I39" s="220">
        <f>D39-G39</f>
        <v>0</v>
      </c>
      <c r="J39" s="220">
        <f>'Vale Verde 1'!D96</f>
        <v>2</v>
      </c>
      <c r="K39" s="220">
        <v>0</v>
      </c>
      <c r="L39" s="220">
        <f>'Maria Livramento - T1'!D104+'Maria Livramento - T2'!D106+'Fábio Vaz - T1'!D112+'Fábio Vaz - T2'!D97+'José Vieira - T1'!D91+'José Vieira - T2'!D106+'José Vieira - T3'!D90+'Genésio Andrade - T1'!D93+'Genésio Andrade - T2'!D95+'Travessa Cunha'!D90</f>
        <v>10</v>
      </c>
      <c r="M39" s="221">
        <f>M33</f>
        <v>93.48</v>
      </c>
      <c r="N39" s="221">
        <f>M39*$Q$5</f>
        <v>120.58</v>
      </c>
      <c r="O39" s="316" t="s">
        <v>1047</v>
      </c>
      <c r="P39" s="221">
        <f>L39*N39</f>
        <v>1205.8</v>
      </c>
      <c r="Q39" s="223">
        <f>'Maria Livramento - T1'!F104+'Maria Livramento - T2'!F106+'Fábio Vaz - T1'!F112+'Fábio Vaz - T2'!F97+'José Vieira - T1'!F91+'José Vieira - T2'!F106+'José Vieira - T3'!F90+'Genésio Andrade - T1'!F93+'Genésio Andrade - T2'!F95+'Travessa Cunha'!F90</f>
        <v>1205.8</v>
      </c>
      <c r="R39" s="224">
        <v>96.29</v>
      </c>
      <c r="S39" s="225"/>
      <c r="V39" s="227"/>
    </row>
    <row r="40" spans="1:22" s="202" customFormat="1" ht="4.5" customHeight="1" thickBot="1" x14ac:dyDescent="0.25">
      <c r="A40" s="326"/>
      <c r="B40" s="327"/>
      <c r="C40" s="328"/>
      <c r="D40" s="329"/>
      <c r="E40" s="329"/>
      <c r="F40" s="329"/>
      <c r="G40" s="329"/>
      <c r="H40" s="329"/>
      <c r="I40" s="329"/>
      <c r="J40" s="329"/>
      <c r="K40" s="329"/>
      <c r="L40" s="329"/>
      <c r="M40" s="330"/>
      <c r="N40" s="330"/>
      <c r="O40" s="331"/>
      <c r="P40" s="332"/>
      <c r="Q40" s="229"/>
    </row>
    <row r="41" spans="1:22" s="254" customFormat="1" ht="20.25" customHeight="1" thickBot="1" x14ac:dyDescent="0.25">
      <c r="A41" s="743" t="s">
        <v>838</v>
      </c>
      <c r="B41" s="744"/>
      <c r="C41" s="744"/>
      <c r="D41" s="744"/>
      <c r="E41" s="744"/>
      <c r="F41" s="744"/>
      <c r="G41" s="744"/>
      <c r="H41" s="744"/>
      <c r="I41" s="744"/>
      <c r="J41" s="744"/>
      <c r="K41" s="744"/>
      <c r="L41" s="744"/>
      <c r="M41" s="744"/>
      <c r="N41" s="744"/>
      <c r="O41" s="745"/>
      <c r="P41" s="560">
        <f>P9+P13+P16+P21+P26+P32+P36</f>
        <v>983904.3</v>
      </c>
      <c r="Q41" s="253"/>
      <c r="R41" s="254">
        <f>P41/L14</f>
        <v>163.30903930420899</v>
      </c>
      <c r="T41" s="255"/>
    </row>
    <row r="42" spans="1:22" s="202" customFormat="1" ht="5.25" customHeight="1" x14ac:dyDescent="0.2">
      <c r="B42" s="256"/>
      <c r="C42" s="204"/>
      <c r="O42" s="204"/>
      <c r="P42" s="256"/>
    </row>
    <row r="43" spans="1:22" s="202" customFormat="1" ht="14.25" customHeight="1" x14ac:dyDescent="0.25">
      <c r="A43" s="567" t="s">
        <v>1031</v>
      </c>
      <c r="B43" s="75"/>
      <c r="C43" s="568"/>
      <c r="D43" s="567"/>
      <c r="E43" s="570"/>
      <c r="F43" s="741"/>
      <c r="G43" s="741"/>
      <c r="H43" s="741"/>
      <c r="I43" s="741"/>
      <c r="J43" s="742"/>
      <c r="K43" s="742"/>
      <c r="L43" s="518"/>
      <c r="M43" s="518"/>
      <c r="N43" s="518"/>
      <c r="O43" s="518"/>
      <c r="P43" s="518"/>
    </row>
    <row r="44" spans="1:22" s="202" customFormat="1" ht="14.25" customHeight="1" x14ac:dyDescent="0.25">
      <c r="A44" s="567" t="s">
        <v>1053</v>
      </c>
      <c r="B44" s="567"/>
      <c r="C44" s="568"/>
      <c r="D44" s="567"/>
      <c r="E44" s="570"/>
      <c r="F44" s="740"/>
      <c r="G44" s="740"/>
      <c r="H44" s="259"/>
      <c r="L44" s="518"/>
      <c r="M44" s="518"/>
      <c r="N44" s="518"/>
      <c r="O44" s="518"/>
      <c r="P44" s="518"/>
      <c r="R44" s="338"/>
    </row>
    <row r="45" spans="1:22" ht="14.25" customHeight="1" x14ac:dyDescent="0.25">
      <c r="A45" s="567" t="s">
        <v>1049</v>
      </c>
      <c r="B45" s="567"/>
      <c r="C45" s="567"/>
      <c r="D45" s="570"/>
      <c r="E45" s="570"/>
      <c r="F45" s="258"/>
      <c r="G45" s="258"/>
      <c r="H45" s="259"/>
      <c r="L45" s="518"/>
      <c r="M45" s="518"/>
      <c r="N45" s="518"/>
      <c r="O45" s="518"/>
      <c r="P45" s="518"/>
    </row>
    <row r="46" spans="1:22" s="202" customFormat="1" ht="12.75" customHeight="1" x14ac:dyDescent="0.2">
      <c r="B46" s="256"/>
      <c r="C46" s="204"/>
      <c r="O46" s="204"/>
      <c r="P46" s="202">
        <v>887645.87</v>
      </c>
    </row>
    <row r="47" spans="1:22" s="202" customFormat="1" ht="12.75" customHeight="1" x14ac:dyDescent="0.25">
      <c r="B47" s="256"/>
      <c r="C47" s="204"/>
      <c r="M47" s="247"/>
      <c r="N47" s="247"/>
      <c r="O47" s="204"/>
      <c r="P47" s="260" t="e">
        <f>P46-#REF!</f>
        <v>#REF!</v>
      </c>
    </row>
    <row r="48" spans="1:22" x14ac:dyDescent="0.2">
      <c r="I48">
        <v>7977.41</v>
      </c>
      <c r="P48" s="27" t="e">
        <f>P47-#REF!</f>
        <v>#REF!</v>
      </c>
    </row>
    <row r="50" spans="9:18" x14ac:dyDescent="0.2">
      <c r="I50">
        <v>2825.2</v>
      </c>
      <c r="P50">
        <f>'Maria Livramento - T1'!F106+'Maria Livramento - T2'!F108+'Fábio Vaz - T1'!F114+'Fábio Vaz - T2'!F99+'José Vieira - T1'!F93+'José Vieira - T2'!F108+'José Vieira - T3'!F92+'Genésio Andrade - T1'!F95+'Genésio Andrade - T2'!F97+'Travessa Cunha'!F92</f>
        <v>983904.3</v>
      </c>
      <c r="Q50">
        <v>960019</v>
      </c>
      <c r="R50">
        <f>P50-Q50</f>
        <v>23885.3</v>
      </c>
    </row>
    <row r="51" spans="9:18" x14ac:dyDescent="0.2">
      <c r="L51" s="27">
        <v>102.9</v>
      </c>
    </row>
  </sheetData>
  <mergeCells count="20">
    <mergeCell ref="A4:P4"/>
    <mergeCell ref="A5:P5"/>
    <mergeCell ref="Q6:Q8"/>
    <mergeCell ref="A7:A8"/>
    <mergeCell ref="B7:B8"/>
    <mergeCell ref="C7:C8"/>
    <mergeCell ref="D7:D8"/>
    <mergeCell ref="E7:E8"/>
    <mergeCell ref="F7:F8"/>
    <mergeCell ref="G7:G8"/>
    <mergeCell ref="F44:G44"/>
    <mergeCell ref="F43:I43"/>
    <mergeCell ref="J43:K43"/>
    <mergeCell ref="A41:O41"/>
    <mergeCell ref="H7:H8"/>
    <mergeCell ref="I7:I8"/>
    <mergeCell ref="J7:J8"/>
    <mergeCell ref="K7:K8"/>
    <mergeCell ref="L7:L8"/>
    <mergeCell ref="M7:P7"/>
  </mergeCells>
  <printOptions horizontalCentered="1"/>
  <pageMargins left="0.31496062992125984" right="0.31496062992125984" top="0.39370078740157483" bottom="0.39370078740157483" header="0.31496062992125984" footer="0.31496062992125984"/>
  <pageSetup paperSize="9" scale="75" orientation="portrait" horizontalDpi="360" verticalDpi="360" r:id="rId1"/>
  <colBreaks count="1" manualBreakCount="1">
    <brk id="16"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6F6E4E-974A-42ED-9DBA-A76FCF1563B2}">
  <dimension ref="A1:J38"/>
  <sheetViews>
    <sheetView view="pageBreakPreview" zoomScaleNormal="100" zoomScaleSheetLayoutView="100" workbookViewId="0">
      <selection activeCell="O28" activeCellId="1" sqref="R15 O28"/>
    </sheetView>
  </sheetViews>
  <sheetFormatPr defaultRowHeight="14.25" x14ac:dyDescent="0.2"/>
  <cols>
    <col min="1" max="1" width="9.140625" style="202"/>
    <col min="2" max="2" width="51.42578125" style="202" customWidth="1"/>
    <col min="3" max="3" width="10.140625" style="202" customWidth="1"/>
    <col min="4" max="4" width="12.7109375" style="202" customWidth="1"/>
    <col min="5" max="6" width="17.28515625" style="202" customWidth="1"/>
    <col min="7" max="7" width="11.42578125" style="202" customWidth="1"/>
    <col min="8" max="9" width="9.140625" style="202"/>
    <col min="10" max="10" width="9.85546875" style="202" bestFit="1" customWidth="1"/>
    <col min="11" max="257" width="9.140625" style="202"/>
    <col min="258" max="258" width="43" style="202" customWidth="1"/>
    <col min="259" max="259" width="10.140625" style="202" customWidth="1"/>
    <col min="260" max="260" width="12.7109375" style="202" customWidth="1"/>
    <col min="261" max="262" width="17.28515625" style="202" customWidth="1"/>
    <col min="263" max="263" width="11.42578125" style="202" customWidth="1"/>
    <col min="264" max="513" width="9.140625" style="202"/>
    <col min="514" max="514" width="43" style="202" customWidth="1"/>
    <col min="515" max="515" width="10.140625" style="202" customWidth="1"/>
    <col min="516" max="516" width="12.7109375" style="202" customWidth="1"/>
    <col min="517" max="518" width="17.28515625" style="202" customWidth="1"/>
    <col min="519" max="519" width="11.42578125" style="202" customWidth="1"/>
    <col min="520" max="769" width="9.140625" style="202"/>
    <col min="770" max="770" width="43" style="202" customWidth="1"/>
    <col min="771" max="771" width="10.140625" style="202" customWidth="1"/>
    <col min="772" max="772" width="12.7109375" style="202" customWidth="1"/>
    <col min="773" max="774" width="17.28515625" style="202" customWidth="1"/>
    <col min="775" max="775" width="11.42578125" style="202" customWidth="1"/>
    <col min="776" max="1025" width="9.140625" style="202"/>
    <col min="1026" max="1026" width="43" style="202" customWidth="1"/>
    <col min="1027" max="1027" width="10.140625" style="202" customWidth="1"/>
    <col min="1028" max="1028" width="12.7109375" style="202" customWidth="1"/>
    <col min="1029" max="1030" width="17.28515625" style="202" customWidth="1"/>
    <col min="1031" max="1031" width="11.42578125" style="202" customWidth="1"/>
    <col min="1032" max="1281" width="9.140625" style="202"/>
    <col min="1282" max="1282" width="43" style="202" customWidth="1"/>
    <col min="1283" max="1283" width="10.140625" style="202" customWidth="1"/>
    <col min="1284" max="1284" width="12.7109375" style="202" customWidth="1"/>
    <col min="1285" max="1286" width="17.28515625" style="202" customWidth="1"/>
    <col min="1287" max="1287" width="11.42578125" style="202" customWidth="1"/>
    <col min="1288" max="1537" width="9.140625" style="202"/>
    <col min="1538" max="1538" width="43" style="202" customWidth="1"/>
    <col min="1539" max="1539" width="10.140625" style="202" customWidth="1"/>
    <col min="1540" max="1540" width="12.7109375" style="202" customWidth="1"/>
    <col min="1541" max="1542" width="17.28515625" style="202" customWidth="1"/>
    <col min="1543" max="1543" width="11.42578125" style="202" customWidth="1"/>
    <col min="1544" max="1793" width="9.140625" style="202"/>
    <col min="1794" max="1794" width="43" style="202" customWidth="1"/>
    <col min="1795" max="1795" width="10.140625" style="202" customWidth="1"/>
    <col min="1796" max="1796" width="12.7109375" style="202" customWidth="1"/>
    <col min="1797" max="1798" width="17.28515625" style="202" customWidth="1"/>
    <col min="1799" max="1799" width="11.42578125" style="202" customWidth="1"/>
    <col min="1800" max="2049" width="9.140625" style="202"/>
    <col min="2050" max="2050" width="43" style="202" customWidth="1"/>
    <col min="2051" max="2051" width="10.140625" style="202" customWidth="1"/>
    <col min="2052" max="2052" width="12.7109375" style="202" customWidth="1"/>
    <col min="2053" max="2054" width="17.28515625" style="202" customWidth="1"/>
    <col min="2055" max="2055" width="11.42578125" style="202" customWidth="1"/>
    <col min="2056" max="2305" width="9.140625" style="202"/>
    <col min="2306" max="2306" width="43" style="202" customWidth="1"/>
    <col min="2307" max="2307" width="10.140625" style="202" customWidth="1"/>
    <col min="2308" max="2308" width="12.7109375" style="202" customWidth="1"/>
    <col min="2309" max="2310" width="17.28515625" style="202" customWidth="1"/>
    <col min="2311" max="2311" width="11.42578125" style="202" customWidth="1"/>
    <col min="2312" max="2561" width="9.140625" style="202"/>
    <col min="2562" max="2562" width="43" style="202" customWidth="1"/>
    <col min="2563" max="2563" width="10.140625" style="202" customWidth="1"/>
    <col min="2564" max="2564" width="12.7109375" style="202" customWidth="1"/>
    <col min="2565" max="2566" width="17.28515625" style="202" customWidth="1"/>
    <col min="2567" max="2567" width="11.42578125" style="202" customWidth="1"/>
    <col min="2568" max="2817" width="9.140625" style="202"/>
    <col min="2818" max="2818" width="43" style="202" customWidth="1"/>
    <col min="2819" max="2819" width="10.140625" style="202" customWidth="1"/>
    <col min="2820" max="2820" width="12.7109375" style="202" customWidth="1"/>
    <col min="2821" max="2822" width="17.28515625" style="202" customWidth="1"/>
    <col min="2823" max="2823" width="11.42578125" style="202" customWidth="1"/>
    <col min="2824" max="3073" width="9.140625" style="202"/>
    <col min="3074" max="3074" width="43" style="202" customWidth="1"/>
    <col min="3075" max="3075" width="10.140625" style="202" customWidth="1"/>
    <col min="3076" max="3076" width="12.7109375" style="202" customWidth="1"/>
    <col min="3077" max="3078" width="17.28515625" style="202" customWidth="1"/>
    <col min="3079" max="3079" width="11.42578125" style="202" customWidth="1"/>
    <col min="3080" max="3329" width="9.140625" style="202"/>
    <col min="3330" max="3330" width="43" style="202" customWidth="1"/>
    <col min="3331" max="3331" width="10.140625" style="202" customWidth="1"/>
    <col min="3332" max="3332" width="12.7109375" style="202" customWidth="1"/>
    <col min="3333" max="3334" width="17.28515625" style="202" customWidth="1"/>
    <col min="3335" max="3335" width="11.42578125" style="202" customWidth="1"/>
    <col min="3336" max="3585" width="9.140625" style="202"/>
    <col min="3586" max="3586" width="43" style="202" customWidth="1"/>
    <col min="3587" max="3587" width="10.140625" style="202" customWidth="1"/>
    <col min="3588" max="3588" width="12.7109375" style="202" customWidth="1"/>
    <col min="3589" max="3590" width="17.28515625" style="202" customWidth="1"/>
    <col min="3591" max="3591" width="11.42578125" style="202" customWidth="1"/>
    <col min="3592" max="3841" width="9.140625" style="202"/>
    <col min="3842" max="3842" width="43" style="202" customWidth="1"/>
    <col min="3843" max="3843" width="10.140625" style="202" customWidth="1"/>
    <col min="3844" max="3844" width="12.7109375" style="202" customWidth="1"/>
    <col min="3845" max="3846" width="17.28515625" style="202" customWidth="1"/>
    <col min="3847" max="3847" width="11.42578125" style="202" customWidth="1"/>
    <col min="3848" max="4097" width="9.140625" style="202"/>
    <col min="4098" max="4098" width="43" style="202" customWidth="1"/>
    <col min="4099" max="4099" width="10.140625" style="202" customWidth="1"/>
    <col min="4100" max="4100" width="12.7109375" style="202" customWidth="1"/>
    <col min="4101" max="4102" width="17.28515625" style="202" customWidth="1"/>
    <col min="4103" max="4103" width="11.42578125" style="202" customWidth="1"/>
    <col min="4104" max="4353" width="9.140625" style="202"/>
    <col min="4354" max="4354" width="43" style="202" customWidth="1"/>
    <col min="4355" max="4355" width="10.140625" style="202" customWidth="1"/>
    <col min="4356" max="4356" width="12.7109375" style="202" customWidth="1"/>
    <col min="4357" max="4358" width="17.28515625" style="202" customWidth="1"/>
    <col min="4359" max="4359" width="11.42578125" style="202" customWidth="1"/>
    <col min="4360" max="4609" width="9.140625" style="202"/>
    <col min="4610" max="4610" width="43" style="202" customWidth="1"/>
    <col min="4611" max="4611" width="10.140625" style="202" customWidth="1"/>
    <col min="4612" max="4612" width="12.7109375" style="202" customWidth="1"/>
    <col min="4613" max="4614" width="17.28515625" style="202" customWidth="1"/>
    <col min="4615" max="4615" width="11.42578125" style="202" customWidth="1"/>
    <col min="4616" max="4865" width="9.140625" style="202"/>
    <col min="4866" max="4866" width="43" style="202" customWidth="1"/>
    <col min="4867" max="4867" width="10.140625" style="202" customWidth="1"/>
    <col min="4868" max="4868" width="12.7109375" style="202" customWidth="1"/>
    <col min="4869" max="4870" width="17.28515625" style="202" customWidth="1"/>
    <col min="4871" max="4871" width="11.42578125" style="202" customWidth="1"/>
    <col min="4872" max="5121" width="9.140625" style="202"/>
    <col min="5122" max="5122" width="43" style="202" customWidth="1"/>
    <col min="5123" max="5123" width="10.140625" style="202" customWidth="1"/>
    <col min="5124" max="5124" width="12.7109375" style="202" customWidth="1"/>
    <col min="5125" max="5126" width="17.28515625" style="202" customWidth="1"/>
    <col min="5127" max="5127" width="11.42578125" style="202" customWidth="1"/>
    <col min="5128" max="5377" width="9.140625" style="202"/>
    <col min="5378" max="5378" width="43" style="202" customWidth="1"/>
    <col min="5379" max="5379" width="10.140625" style="202" customWidth="1"/>
    <col min="5380" max="5380" width="12.7109375" style="202" customWidth="1"/>
    <col min="5381" max="5382" width="17.28515625" style="202" customWidth="1"/>
    <col min="5383" max="5383" width="11.42578125" style="202" customWidth="1"/>
    <col min="5384" max="5633" width="9.140625" style="202"/>
    <col min="5634" max="5634" width="43" style="202" customWidth="1"/>
    <col min="5635" max="5635" width="10.140625" style="202" customWidth="1"/>
    <col min="5636" max="5636" width="12.7109375" style="202" customWidth="1"/>
    <col min="5637" max="5638" width="17.28515625" style="202" customWidth="1"/>
    <col min="5639" max="5639" width="11.42578125" style="202" customWidth="1"/>
    <col min="5640" max="5889" width="9.140625" style="202"/>
    <col min="5890" max="5890" width="43" style="202" customWidth="1"/>
    <col min="5891" max="5891" width="10.140625" style="202" customWidth="1"/>
    <col min="5892" max="5892" width="12.7109375" style="202" customWidth="1"/>
    <col min="5893" max="5894" width="17.28515625" style="202" customWidth="1"/>
    <col min="5895" max="5895" width="11.42578125" style="202" customWidth="1"/>
    <col min="5896" max="6145" width="9.140625" style="202"/>
    <col min="6146" max="6146" width="43" style="202" customWidth="1"/>
    <col min="6147" max="6147" width="10.140625" style="202" customWidth="1"/>
    <col min="6148" max="6148" width="12.7109375" style="202" customWidth="1"/>
    <col min="6149" max="6150" width="17.28515625" style="202" customWidth="1"/>
    <col min="6151" max="6151" width="11.42578125" style="202" customWidth="1"/>
    <col min="6152" max="6401" width="9.140625" style="202"/>
    <col min="6402" max="6402" width="43" style="202" customWidth="1"/>
    <col min="6403" max="6403" width="10.140625" style="202" customWidth="1"/>
    <col min="6404" max="6404" width="12.7109375" style="202" customWidth="1"/>
    <col min="6405" max="6406" width="17.28515625" style="202" customWidth="1"/>
    <col min="6407" max="6407" width="11.42578125" style="202" customWidth="1"/>
    <col min="6408" max="6657" width="9.140625" style="202"/>
    <col min="6658" max="6658" width="43" style="202" customWidth="1"/>
    <col min="6659" max="6659" width="10.140625" style="202" customWidth="1"/>
    <col min="6660" max="6660" width="12.7109375" style="202" customWidth="1"/>
    <col min="6661" max="6662" width="17.28515625" style="202" customWidth="1"/>
    <col min="6663" max="6663" width="11.42578125" style="202" customWidth="1"/>
    <col min="6664" max="6913" width="9.140625" style="202"/>
    <col min="6914" max="6914" width="43" style="202" customWidth="1"/>
    <col min="6915" max="6915" width="10.140625" style="202" customWidth="1"/>
    <col min="6916" max="6916" width="12.7109375" style="202" customWidth="1"/>
    <col min="6917" max="6918" width="17.28515625" style="202" customWidth="1"/>
    <col min="6919" max="6919" width="11.42578125" style="202" customWidth="1"/>
    <col min="6920" max="7169" width="9.140625" style="202"/>
    <col min="7170" max="7170" width="43" style="202" customWidth="1"/>
    <col min="7171" max="7171" width="10.140625" style="202" customWidth="1"/>
    <col min="7172" max="7172" width="12.7109375" style="202" customWidth="1"/>
    <col min="7173" max="7174" width="17.28515625" style="202" customWidth="1"/>
    <col min="7175" max="7175" width="11.42578125" style="202" customWidth="1"/>
    <col min="7176" max="7425" width="9.140625" style="202"/>
    <col min="7426" max="7426" width="43" style="202" customWidth="1"/>
    <col min="7427" max="7427" width="10.140625" style="202" customWidth="1"/>
    <col min="7428" max="7428" width="12.7109375" style="202" customWidth="1"/>
    <col min="7429" max="7430" width="17.28515625" style="202" customWidth="1"/>
    <col min="7431" max="7431" width="11.42578125" style="202" customWidth="1"/>
    <col min="7432" max="7681" width="9.140625" style="202"/>
    <col min="7682" max="7682" width="43" style="202" customWidth="1"/>
    <col min="7683" max="7683" width="10.140625" style="202" customWidth="1"/>
    <col min="7684" max="7684" width="12.7109375" style="202" customWidth="1"/>
    <col min="7685" max="7686" width="17.28515625" style="202" customWidth="1"/>
    <col min="7687" max="7687" width="11.42578125" style="202" customWidth="1"/>
    <col min="7688" max="7937" width="9.140625" style="202"/>
    <col min="7938" max="7938" width="43" style="202" customWidth="1"/>
    <col min="7939" max="7939" width="10.140625" style="202" customWidth="1"/>
    <col min="7940" max="7940" width="12.7109375" style="202" customWidth="1"/>
    <col min="7941" max="7942" width="17.28515625" style="202" customWidth="1"/>
    <col min="7943" max="7943" width="11.42578125" style="202" customWidth="1"/>
    <col min="7944" max="8193" width="9.140625" style="202"/>
    <col min="8194" max="8194" width="43" style="202" customWidth="1"/>
    <col min="8195" max="8195" width="10.140625" style="202" customWidth="1"/>
    <col min="8196" max="8196" width="12.7109375" style="202" customWidth="1"/>
    <col min="8197" max="8198" width="17.28515625" style="202" customWidth="1"/>
    <col min="8199" max="8199" width="11.42578125" style="202" customWidth="1"/>
    <col min="8200" max="8449" width="9.140625" style="202"/>
    <col min="8450" max="8450" width="43" style="202" customWidth="1"/>
    <col min="8451" max="8451" width="10.140625" style="202" customWidth="1"/>
    <col min="8452" max="8452" width="12.7109375" style="202" customWidth="1"/>
    <col min="8453" max="8454" width="17.28515625" style="202" customWidth="1"/>
    <col min="8455" max="8455" width="11.42578125" style="202" customWidth="1"/>
    <col min="8456" max="8705" width="9.140625" style="202"/>
    <col min="8706" max="8706" width="43" style="202" customWidth="1"/>
    <col min="8707" max="8707" width="10.140625" style="202" customWidth="1"/>
    <col min="8708" max="8708" width="12.7109375" style="202" customWidth="1"/>
    <col min="8709" max="8710" width="17.28515625" style="202" customWidth="1"/>
    <col min="8711" max="8711" width="11.42578125" style="202" customWidth="1"/>
    <col min="8712" max="8961" width="9.140625" style="202"/>
    <col min="8962" max="8962" width="43" style="202" customWidth="1"/>
    <col min="8963" max="8963" width="10.140625" style="202" customWidth="1"/>
    <col min="8964" max="8964" width="12.7109375" style="202" customWidth="1"/>
    <col min="8965" max="8966" width="17.28515625" style="202" customWidth="1"/>
    <col min="8967" max="8967" width="11.42578125" style="202" customWidth="1"/>
    <col min="8968" max="9217" width="9.140625" style="202"/>
    <col min="9218" max="9218" width="43" style="202" customWidth="1"/>
    <col min="9219" max="9219" width="10.140625" style="202" customWidth="1"/>
    <col min="9220" max="9220" width="12.7109375" style="202" customWidth="1"/>
    <col min="9221" max="9222" width="17.28515625" style="202" customWidth="1"/>
    <col min="9223" max="9223" width="11.42578125" style="202" customWidth="1"/>
    <col min="9224" max="9473" width="9.140625" style="202"/>
    <col min="9474" max="9474" width="43" style="202" customWidth="1"/>
    <col min="9475" max="9475" width="10.140625" style="202" customWidth="1"/>
    <col min="9476" max="9476" width="12.7109375" style="202" customWidth="1"/>
    <col min="9477" max="9478" width="17.28515625" style="202" customWidth="1"/>
    <col min="9479" max="9479" width="11.42578125" style="202" customWidth="1"/>
    <col min="9480" max="9729" width="9.140625" style="202"/>
    <col min="9730" max="9730" width="43" style="202" customWidth="1"/>
    <col min="9731" max="9731" width="10.140625" style="202" customWidth="1"/>
    <col min="9732" max="9732" width="12.7109375" style="202" customWidth="1"/>
    <col min="9733" max="9734" width="17.28515625" style="202" customWidth="1"/>
    <col min="9735" max="9735" width="11.42578125" style="202" customWidth="1"/>
    <col min="9736" max="9985" width="9.140625" style="202"/>
    <col min="9986" max="9986" width="43" style="202" customWidth="1"/>
    <col min="9987" max="9987" width="10.140625" style="202" customWidth="1"/>
    <col min="9988" max="9988" width="12.7109375" style="202" customWidth="1"/>
    <col min="9989" max="9990" width="17.28515625" style="202" customWidth="1"/>
    <col min="9991" max="9991" width="11.42578125" style="202" customWidth="1"/>
    <col min="9992" max="10241" width="9.140625" style="202"/>
    <col min="10242" max="10242" width="43" style="202" customWidth="1"/>
    <col min="10243" max="10243" width="10.140625" style="202" customWidth="1"/>
    <col min="10244" max="10244" width="12.7109375" style="202" customWidth="1"/>
    <col min="10245" max="10246" width="17.28515625" style="202" customWidth="1"/>
    <col min="10247" max="10247" width="11.42578125" style="202" customWidth="1"/>
    <col min="10248" max="10497" width="9.140625" style="202"/>
    <col min="10498" max="10498" width="43" style="202" customWidth="1"/>
    <col min="10499" max="10499" width="10.140625" style="202" customWidth="1"/>
    <col min="10500" max="10500" width="12.7109375" style="202" customWidth="1"/>
    <col min="10501" max="10502" width="17.28515625" style="202" customWidth="1"/>
    <col min="10503" max="10503" width="11.42578125" style="202" customWidth="1"/>
    <col min="10504" max="10753" width="9.140625" style="202"/>
    <col min="10754" max="10754" width="43" style="202" customWidth="1"/>
    <col min="10755" max="10755" width="10.140625" style="202" customWidth="1"/>
    <col min="10756" max="10756" width="12.7109375" style="202" customWidth="1"/>
    <col min="10757" max="10758" width="17.28515625" style="202" customWidth="1"/>
    <col min="10759" max="10759" width="11.42578125" style="202" customWidth="1"/>
    <col min="10760" max="11009" width="9.140625" style="202"/>
    <col min="11010" max="11010" width="43" style="202" customWidth="1"/>
    <col min="11011" max="11011" width="10.140625" style="202" customWidth="1"/>
    <col min="11012" max="11012" width="12.7109375" style="202" customWidth="1"/>
    <col min="11013" max="11014" width="17.28515625" style="202" customWidth="1"/>
    <col min="11015" max="11015" width="11.42578125" style="202" customWidth="1"/>
    <col min="11016" max="11265" width="9.140625" style="202"/>
    <col min="11266" max="11266" width="43" style="202" customWidth="1"/>
    <col min="11267" max="11267" width="10.140625" style="202" customWidth="1"/>
    <col min="11268" max="11268" width="12.7109375" style="202" customWidth="1"/>
    <col min="11269" max="11270" width="17.28515625" style="202" customWidth="1"/>
    <col min="11271" max="11271" width="11.42578125" style="202" customWidth="1"/>
    <col min="11272" max="11521" width="9.140625" style="202"/>
    <col min="11522" max="11522" width="43" style="202" customWidth="1"/>
    <col min="11523" max="11523" width="10.140625" style="202" customWidth="1"/>
    <col min="11524" max="11524" width="12.7109375" style="202" customWidth="1"/>
    <col min="11525" max="11526" width="17.28515625" style="202" customWidth="1"/>
    <col min="11527" max="11527" width="11.42578125" style="202" customWidth="1"/>
    <col min="11528" max="11777" width="9.140625" style="202"/>
    <col min="11778" max="11778" width="43" style="202" customWidth="1"/>
    <col min="11779" max="11779" width="10.140625" style="202" customWidth="1"/>
    <col min="11780" max="11780" width="12.7109375" style="202" customWidth="1"/>
    <col min="11781" max="11782" width="17.28515625" style="202" customWidth="1"/>
    <col min="11783" max="11783" width="11.42578125" style="202" customWidth="1"/>
    <col min="11784" max="12033" width="9.140625" style="202"/>
    <col min="12034" max="12034" width="43" style="202" customWidth="1"/>
    <col min="12035" max="12035" width="10.140625" style="202" customWidth="1"/>
    <col min="12036" max="12036" width="12.7109375" style="202" customWidth="1"/>
    <col min="12037" max="12038" width="17.28515625" style="202" customWidth="1"/>
    <col min="12039" max="12039" width="11.42578125" style="202" customWidth="1"/>
    <col min="12040" max="12289" width="9.140625" style="202"/>
    <col min="12290" max="12290" width="43" style="202" customWidth="1"/>
    <col min="12291" max="12291" width="10.140625" style="202" customWidth="1"/>
    <col min="12292" max="12292" width="12.7109375" style="202" customWidth="1"/>
    <col min="12293" max="12294" width="17.28515625" style="202" customWidth="1"/>
    <col min="12295" max="12295" width="11.42578125" style="202" customWidth="1"/>
    <col min="12296" max="12545" width="9.140625" style="202"/>
    <col min="12546" max="12546" width="43" style="202" customWidth="1"/>
    <col min="12547" max="12547" width="10.140625" style="202" customWidth="1"/>
    <col min="12548" max="12548" width="12.7109375" style="202" customWidth="1"/>
    <col min="12549" max="12550" width="17.28515625" style="202" customWidth="1"/>
    <col min="12551" max="12551" width="11.42578125" style="202" customWidth="1"/>
    <col min="12552" max="12801" width="9.140625" style="202"/>
    <col min="12802" max="12802" width="43" style="202" customWidth="1"/>
    <col min="12803" max="12803" width="10.140625" style="202" customWidth="1"/>
    <col min="12804" max="12804" width="12.7109375" style="202" customWidth="1"/>
    <col min="12805" max="12806" width="17.28515625" style="202" customWidth="1"/>
    <col min="12807" max="12807" width="11.42578125" style="202" customWidth="1"/>
    <col min="12808" max="13057" width="9.140625" style="202"/>
    <col min="13058" max="13058" width="43" style="202" customWidth="1"/>
    <col min="13059" max="13059" width="10.140625" style="202" customWidth="1"/>
    <col min="13060" max="13060" width="12.7109375" style="202" customWidth="1"/>
    <col min="13061" max="13062" width="17.28515625" style="202" customWidth="1"/>
    <col min="13063" max="13063" width="11.42578125" style="202" customWidth="1"/>
    <col min="13064" max="13313" width="9.140625" style="202"/>
    <col min="13314" max="13314" width="43" style="202" customWidth="1"/>
    <col min="13315" max="13315" width="10.140625" style="202" customWidth="1"/>
    <col min="13316" max="13316" width="12.7109375" style="202" customWidth="1"/>
    <col min="13317" max="13318" width="17.28515625" style="202" customWidth="1"/>
    <col min="13319" max="13319" width="11.42578125" style="202" customWidth="1"/>
    <col min="13320" max="13569" width="9.140625" style="202"/>
    <col min="13570" max="13570" width="43" style="202" customWidth="1"/>
    <col min="13571" max="13571" width="10.140625" style="202" customWidth="1"/>
    <col min="13572" max="13572" width="12.7109375" style="202" customWidth="1"/>
    <col min="13573" max="13574" width="17.28515625" style="202" customWidth="1"/>
    <col min="13575" max="13575" width="11.42578125" style="202" customWidth="1"/>
    <col min="13576" max="13825" width="9.140625" style="202"/>
    <col min="13826" max="13826" width="43" style="202" customWidth="1"/>
    <col min="13827" max="13827" width="10.140625" style="202" customWidth="1"/>
    <col min="13828" max="13828" width="12.7109375" style="202" customWidth="1"/>
    <col min="13829" max="13830" width="17.28515625" style="202" customWidth="1"/>
    <col min="13831" max="13831" width="11.42578125" style="202" customWidth="1"/>
    <col min="13832" max="14081" width="9.140625" style="202"/>
    <col min="14082" max="14082" width="43" style="202" customWidth="1"/>
    <col min="14083" max="14083" width="10.140625" style="202" customWidth="1"/>
    <col min="14084" max="14084" width="12.7109375" style="202" customWidth="1"/>
    <col min="14085" max="14086" width="17.28515625" style="202" customWidth="1"/>
    <col min="14087" max="14087" width="11.42578125" style="202" customWidth="1"/>
    <col min="14088" max="14337" width="9.140625" style="202"/>
    <col min="14338" max="14338" width="43" style="202" customWidth="1"/>
    <col min="14339" max="14339" width="10.140625" style="202" customWidth="1"/>
    <col min="14340" max="14340" width="12.7109375" style="202" customWidth="1"/>
    <col min="14341" max="14342" width="17.28515625" style="202" customWidth="1"/>
    <col min="14343" max="14343" width="11.42578125" style="202" customWidth="1"/>
    <col min="14344" max="14593" width="9.140625" style="202"/>
    <col min="14594" max="14594" width="43" style="202" customWidth="1"/>
    <col min="14595" max="14595" width="10.140625" style="202" customWidth="1"/>
    <col min="14596" max="14596" width="12.7109375" style="202" customWidth="1"/>
    <col min="14597" max="14598" width="17.28515625" style="202" customWidth="1"/>
    <col min="14599" max="14599" width="11.42578125" style="202" customWidth="1"/>
    <col min="14600" max="14849" width="9.140625" style="202"/>
    <col min="14850" max="14850" width="43" style="202" customWidth="1"/>
    <col min="14851" max="14851" width="10.140625" style="202" customWidth="1"/>
    <col min="14852" max="14852" width="12.7109375" style="202" customWidth="1"/>
    <col min="14853" max="14854" width="17.28515625" style="202" customWidth="1"/>
    <col min="14855" max="14855" width="11.42578125" style="202" customWidth="1"/>
    <col min="14856" max="15105" width="9.140625" style="202"/>
    <col min="15106" max="15106" width="43" style="202" customWidth="1"/>
    <col min="15107" max="15107" width="10.140625" style="202" customWidth="1"/>
    <col min="15108" max="15108" width="12.7109375" style="202" customWidth="1"/>
    <col min="15109" max="15110" width="17.28515625" style="202" customWidth="1"/>
    <col min="15111" max="15111" width="11.42578125" style="202" customWidth="1"/>
    <col min="15112" max="15361" width="9.140625" style="202"/>
    <col min="15362" max="15362" width="43" style="202" customWidth="1"/>
    <col min="15363" max="15363" width="10.140625" style="202" customWidth="1"/>
    <col min="15364" max="15364" width="12.7109375" style="202" customWidth="1"/>
    <col min="15365" max="15366" width="17.28515625" style="202" customWidth="1"/>
    <col min="15367" max="15367" width="11.42578125" style="202" customWidth="1"/>
    <col min="15368" max="15617" width="9.140625" style="202"/>
    <col min="15618" max="15618" width="43" style="202" customWidth="1"/>
    <col min="15619" max="15619" width="10.140625" style="202" customWidth="1"/>
    <col min="15620" max="15620" width="12.7109375" style="202" customWidth="1"/>
    <col min="15621" max="15622" width="17.28515625" style="202" customWidth="1"/>
    <col min="15623" max="15623" width="11.42578125" style="202" customWidth="1"/>
    <col min="15624" max="15873" width="9.140625" style="202"/>
    <col min="15874" max="15874" width="43" style="202" customWidth="1"/>
    <col min="15875" max="15875" width="10.140625" style="202" customWidth="1"/>
    <col min="15876" max="15876" width="12.7109375" style="202" customWidth="1"/>
    <col min="15877" max="15878" width="17.28515625" style="202" customWidth="1"/>
    <col min="15879" max="15879" width="11.42578125" style="202" customWidth="1"/>
    <col min="15880" max="16129" width="9.140625" style="202"/>
    <col min="16130" max="16130" width="43" style="202" customWidth="1"/>
    <col min="16131" max="16131" width="10.140625" style="202" customWidth="1"/>
    <col min="16132" max="16132" width="12.7109375" style="202" customWidth="1"/>
    <col min="16133" max="16134" width="17.28515625" style="202" customWidth="1"/>
    <col min="16135" max="16135" width="11.42578125" style="202" customWidth="1"/>
    <col min="16136" max="16384" width="9.140625" style="202"/>
  </cols>
  <sheetData>
    <row r="1" spans="1:10" ht="15" x14ac:dyDescent="0.25">
      <c r="A1" s="741" t="s">
        <v>46</v>
      </c>
      <c r="B1" s="741"/>
      <c r="C1" s="741"/>
      <c r="D1" s="741"/>
      <c r="E1" s="741"/>
      <c r="F1" s="741"/>
      <c r="G1" s="741"/>
    </row>
    <row r="2" spans="1:10" ht="15" x14ac:dyDescent="0.25">
      <c r="A2" s="741" t="str">
        <f>'[2]Planilha Global'!A2</f>
        <v>PREFEITURA MUNICIPAL DE MAMANGUAPE</v>
      </c>
      <c r="B2" s="741"/>
      <c r="C2" s="741"/>
      <c r="D2" s="741"/>
      <c r="E2" s="741"/>
      <c r="F2" s="741"/>
      <c r="G2" s="741"/>
    </row>
    <row r="3" spans="1:10" ht="9" customHeight="1" x14ac:dyDescent="0.25">
      <c r="A3" s="258"/>
    </row>
    <row r="4" spans="1:10" ht="18" customHeight="1" x14ac:dyDescent="0.2">
      <c r="A4" s="750" t="s">
        <v>326</v>
      </c>
      <c r="B4" s="750"/>
      <c r="C4" s="750"/>
      <c r="D4" s="750"/>
      <c r="E4" s="750"/>
      <c r="F4" s="750"/>
      <c r="G4" s="750"/>
    </row>
    <row r="5" spans="1:10" ht="31.5" customHeight="1" x14ac:dyDescent="0.2">
      <c r="A5" s="756" t="str">
        <f>'Planilha Global'!A5</f>
        <v>PAVIMENTAÇÃO EM RUAS DO MUNICÍPIO DE MAMANGUAPE-PB</v>
      </c>
      <c r="B5" s="756"/>
      <c r="C5" s="756"/>
      <c r="D5" s="756"/>
      <c r="E5" s="756"/>
      <c r="F5" s="756"/>
      <c r="G5" s="756"/>
      <c r="H5" s="280"/>
      <c r="J5" s="281"/>
    </row>
    <row r="6" spans="1:10" ht="10.5" customHeight="1" x14ac:dyDescent="0.2">
      <c r="A6" s="282"/>
      <c r="B6" s="282"/>
      <c r="C6" s="282"/>
      <c r="D6" s="282"/>
      <c r="E6" s="282"/>
      <c r="F6" s="282"/>
      <c r="G6" s="282"/>
    </row>
    <row r="7" spans="1:10" ht="29.25" customHeight="1" x14ac:dyDescent="0.25">
      <c r="A7" s="755" t="s">
        <v>842</v>
      </c>
      <c r="B7" s="755"/>
      <c r="C7" s="755"/>
      <c r="D7" s="755"/>
      <c r="E7" s="755"/>
      <c r="F7" s="755"/>
      <c r="G7" s="755"/>
    </row>
    <row r="8" spans="1:10" x14ac:dyDescent="0.2">
      <c r="A8" s="283"/>
      <c r="B8" s="284" t="s">
        <v>337</v>
      </c>
      <c r="C8" s="283"/>
      <c r="D8" s="283"/>
      <c r="E8" s="283"/>
      <c r="F8" s="283"/>
      <c r="G8" s="283"/>
    </row>
    <row r="9" spans="1:10" ht="30" x14ac:dyDescent="0.2">
      <c r="A9" s="285" t="s">
        <v>53</v>
      </c>
      <c r="B9" s="285" t="s">
        <v>327</v>
      </c>
      <c r="C9" s="285" t="s">
        <v>217</v>
      </c>
      <c r="D9" s="285" t="s">
        <v>328</v>
      </c>
      <c r="E9" s="286" t="s">
        <v>329</v>
      </c>
      <c r="F9" s="285" t="s">
        <v>330</v>
      </c>
      <c r="G9" s="286" t="s">
        <v>331</v>
      </c>
    </row>
    <row r="10" spans="1:10" ht="28.5" x14ac:dyDescent="0.2">
      <c r="A10" s="307">
        <v>1</v>
      </c>
      <c r="B10" s="293" t="s">
        <v>223</v>
      </c>
      <c r="C10" s="288" t="s">
        <v>213</v>
      </c>
      <c r="D10" s="289">
        <v>0.18</v>
      </c>
      <c r="E10" s="290">
        <v>23.1</v>
      </c>
      <c r="F10" s="291" t="s">
        <v>629</v>
      </c>
      <c r="G10" s="292">
        <f>D10*E10</f>
        <v>4.16</v>
      </c>
      <c r="I10" s="202">
        <v>25.21</v>
      </c>
      <c r="J10" s="204">
        <f>D10*I10</f>
        <v>4.54</v>
      </c>
    </row>
    <row r="11" spans="1:10" ht="28.5" x14ac:dyDescent="0.2">
      <c r="A11" s="307">
        <v>2</v>
      </c>
      <c r="B11" s="293" t="s">
        <v>332</v>
      </c>
      <c r="C11" s="288" t="s">
        <v>213</v>
      </c>
      <c r="D11" s="289">
        <v>0.36</v>
      </c>
      <c r="E11" s="290">
        <v>18.670000000000002</v>
      </c>
      <c r="F11" s="291" t="s">
        <v>333</v>
      </c>
      <c r="G11" s="292">
        <f>D11*E11</f>
        <v>6.72</v>
      </c>
      <c r="I11" s="202">
        <v>20.27</v>
      </c>
      <c r="J11" s="204">
        <f>D11*I11</f>
        <v>7.3</v>
      </c>
    </row>
    <row r="12" spans="1:10" ht="3" customHeight="1" x14ac:dyDescent="0.2">
      <c r="A12" s="517"/>
      <c r="B12" s="518"/>
      <c r="C12" s="282"/>
      <c r="D12" s="296"/>
      <c r="E12" s="290"/>
      <c r="F12" s="297"/>
      <c r="G12" s="292"/>
      <c r="J12" s="204">
        <f t="shared" ref="J12:J17" si="0">D12*I12</f>
        <v>0</v>
      </c>
    </row>
    <row r="13" spans="1:10" x14ac:dyDescent="0.2">
      <c r="A13" s="307"/>
      <c r="B13" s="519"/>
      <c r="C13" s="288"/>
      <c r="D13" s="289"/>
      <c r="E13" s="299" t="s">
        <v>334</v>
      </c>
      <c r="F13" s="300"/>
      <c r="G13" s="301">
        <f>SUM(G10:G11)</f>
        <v>10.88</v>
      </c>
      <c r="J13" s="204">
        <f>SUM(J10:J12)</f>
        <v>11.84</v>
      </c>
    </row>
    <row r="14" spans="1:10" ht="3" customHeight="1" x14ac:dyDescent="0.2">
      <c r="A14" s="517"/>
      <c r="B14" s="518"/>
      <c r="C14" s="282"/>
      <c r="D14" s="296"/>
      <c r="E14" s="290"/>
      <c r="F14" s="297"/>
      <c r="G14" s="292"/>
      <c r="J14" s="204"/>
    </row>
    <row r="15" spans="1:10" ht="42.75" x14ac:dyDescent="0.2">
      <c r="A15" s="307">
        <v>3</v>
      </c>
      <c r="B15" s="293" t="s">
        <v>632</v>
      </c>
      <c r="C15" s="288" t="s">
        <v>11</v>
      </c>
      <c r="D15" s="305">
        <v>1</v>
      </c>
      <c r="E15" s="290">
        <v>36.76</v>
      </c>
      <c r="F15" s="291" t="s">
        <v>1050</v>
      </c>
      <c r="G15" s="292">
        <f>D15*E15</f>
        <v>36.76</v>
      </c>
      <c r="I15" s="202">
        <v>37.630000000000003</v>
      </c>
      <c r="J15" s="204">
        <f t="shared" si="0"/>
        <v>37.630000000000003</v>
      </c>
    </row>
    <row r="16" spans="1:10" ht="28.5" x14ac:dyDescent="0.2">
      <c r="A16" s="307">
        <v>4</v>
      </c>
      <c r="B16" s="293" t="s">
        <v>631</v>
      </c>
      <c r="C16" s="288" t="s">
        <v>128</v>
      </c>
      <c r="D16" s="289">
        <v>1E-3</v>
      </c>
      <c r="E16" s="290">
        <v>647.87</v>
      </c>
      <c r="F16" s="291" t="s">
        <v>630</v>
      </c>
      <c r="G16" s="292">
        <f>D16*E16</f>
        <v>0.65</v>
      </c>
      <c r="I16" s="202">
        <v>661.58</v>
      </c>
      <c r="J16" s="204">
        <f t="shared" si="0"/>
        <v>0.66</v>
      </c>
    </row>
    <row r="17" spans="1:10" ht="3" customHeight="1" x14ac:dyDescent="0.2">
      <c r="A17" s="282"/>
      <c r="B17" s="295"/>
      <c r="C17" s="282"/>
      <c r="D17" s="296"/>
      <c r="E17" s="290"/>
      <c r="F17" s="297"/>
      <c r="G17" s="292"/>
      <c r="J17" s="204">
        <f t="shared" si="0"/>
        <v>0</v>
      </c>
    </row>
    <row r="18" spans="1:10" x14ac:dyDescent="0.2">
      <c r="A18" s="282"/>
      <c r="C18" s="282"/>
      <c r="D18" s="296"/>
      <c r="E18" s="299" t="s">
        <v>335</v>
      </c>
      <c r="F18" s="297"/>
      <c r="G18" s="301">
        <f>TRUNC(SUM(G15:G16),2)</f>
        <v>37.409999999999997</v>
      </c>
      <c r="J18" s="667">
        <f>SUM(J15:J17)</f>
        <v>38.29</v>
      </c>
    </row>
    <row r="19" spans="1:10" ht="3.75" customHeight="1" x14ac:dyDescent="0.2">
      <c r="A19" s="282"/>
      <c r="C19" s="282"/>
      <c r="D19" s="296"/>
      <c r="E19" s="288"/>
      <c r="F19" s="297"/>
      <c r="G19" s="292"/>
    </row>
    <row r="20" spans="1:10" ht="15" x14ac:dyDescent="0.25">
      <c r="B20" s="302"/>
      <c r="E20" s="303" t="s">
        <v>336</v>
      </c>
      <c r="F20" s="303"/>
      <c r="G20" s="304">
        <f>G13+G18</f>
        <v>48.29</v>
      </c>
      <c r="J20" s="667">
        <f>J13+J18</f>
        <v>50.13</v>
      </c>
    </row>
    <row r="21" spans="1:10" ht="11.25" customHeight="1" x14ac:dyDescent="0.2"/>
    <row r="22" spans="1:10" ht="7.5" customHeight="1" x14ac:dyDescent="0.2"/>
    <row r="23" spans="1:10" ht="15" x14ac:dyDescent="0.25">
      <c r="A23" s="755" t="s">
        <v>854</v>
      </c>
      <c r="B23" s="755"/>
      <c r="C23" s="755"/>
      <c r="D23" s="755"/>
      <c r="E23" s="755"/>
      <c r="F23" s="755"/>
      <c r="G23" s="755"/>
    </row>
    <row r="24" spans="1:10" x14ac:dyDescent="0.2">
      <c r="B24" s="306" t="s">
        <v>340</v>
      </c>
    </row>
    <row r="25" spans="1:10" ht="30" x14ac:dyDescent="0.2">
      <c r="A25" s="285" t="s">
        <v>53</v>
      </c>
      <c r="B25" s="285" t="s">
        <v>327</v>
      </c>
      <c r="C25" s="285" t="s">
        <v>217</v>
      </c>
      <c r="D25" s="285" t="s">
        <v>328</v>
      </c>
      <c r="E25" s="286" t="s">
        <v>329</v>
      </c>
      <c r="F25" s="285" t="s">
        <v>330</v>
      </c>
      <c r="G25" s="286" t="s">
        <v>331</v>
      </c>
    </row>
    <row r="26" spans="1:10" x14ac:dyDescent="0.2">
      <c r="A26" s="288">
        <v>1</v>
      </c>
      <c r="B26" s="287" t="s">
        <v>332</v>
      </c>
      <c r="C26" s="288" t="s">
        <v>213</v>
      </c>
      <c r="D26" s="289">
        <v>0.4</v>
      </c>
      <c r="E26" s="290">
        <f>E11</f>
        <v>18.670000000000002</v>
      </c>
      <c r="F26" s="297" t="s">
        <v>338</v>
      </c>
      <c r="G26" s="292">
        <f>D26*E26</f>
        <v>7.47</v>
      </c>
      <c r="I26" s="204">
        <f>I11</f>
        <v>20.27</v>
      </c>
      <c r="J26" s="204">
        <f>D26*I26</f>
        <v>8.11</v>
      </c>
    </row>
    <row r="27" spans="1:10" ht="3" customHeight="1" x14ac:dyDescent="0.2">
      <c r="A27" s="294"/>
      <c r="B27" s="295"/>
      <c r="C27" s="282"/>
      <c r="D27" s="296"/>
      <c r="E27" s="290"/>
      <c r="F27" s="297"/>
      <c r="G27" s="292"/>
      <c r="I27" s="204"/>
      <c r="J27" s="204">
        <f t="shared" ref="J27:J31" si="1">D27*I27</f>
        <v>0</v>
      </c>
    </row>
    <row r="28" spans="1:10" x14ac:dyDescent="0.2">
      <c r="A28" s="288"/>
      <c r="B28" s="298"/>
      <c r="C28" s="288"/>
      <c r="D28" s="289"/>
      <c r="E28" s="299" t="s">
        <v>334</v>
      </c>
      <c r="F28" s="300"/>
      <c r="G28" s="301">
        <f>SUM(G25:G26)</f>
        <v>7.47</v>
      </c>
      <c r="I28" s="204"/>
      <c r="J28" s="204">
        <f>SUM(J26:J27)</f>
        <v>8.11</v>
      </c>
    </row>
    <row r="29" spans="1:10" ht="3" customHeight="1" x14ac:dyDescent="0.2">
      <c r="A29" s="294"/>
      <c r="B29" s="295"/>
      <c r="C29" s="282"/>
      <c r="D29" s="296"/>
      <c r="E29" s="290"/>
      <c r="F29" s="297"/>
      <c r="G29" s="292"/>
      <c r="I29" s="204"/>
      <c r="J29" s="204">
        <f t="shared" si="1"/>
        <v>0</v>
      </c>
    </row>
    <row r="30" spans="1:10" ht="42.75" x14ac:dyDescent="0.2">
      <c r="A30" s="307">
        <v>2</v>
      </c>
      <c r="B30" s="287" t="s">
        <v>341</v>
      </c>
      <c r="C30" s="288" t="s">
        <v>279</v>
      </c>
      <c r="D30" s="289">
        <v>4</v>
      </c>
      <c r="E30" s="290">
        <v>0.2</v>
      </c>
      <c r="F30" s="297" t="s">
        <v>342</v>
      </c>
      <c r="G30" s="292">
        <f>D30*E30</f>
        <v>0.8</v>
      </c>
      <c r="I30" s="204">
        <v>0.2</v>
      </c>
      <c r="J30" s="204">
        <f t="shared" si="1"/>
        <v>0.8</v>
      </c>
    </row>
    <row r="31" spans="1:10" ht="28.5" x14ac:dyDescent="0.2">
      <c r="A31" s="307">
        <v>3</v>
      </c>
      <c r="B31" s="287" t="s">
        <v>343</v>
      </c>
      <c r="C31" s="288" t="s">
        <v>279</v>
      </c>
      <c r="D31" s="289">
        <v>1</v>
      </c>
      <c r="E31" s="290">
        <v>132</v>
      </c>
      <c r="F31" s="297" t="s">
        <v>344</v>
      </c>
      <c r="G31" s="292">
        <f>E31*D31</f>
        <v>132</v>
      </c>
      <c r="H31" s="202" t="s">
        <v>339</v>
      </c>
      <c r="I31" s="204">
        <v>132</v>
      </c>
      <c r="J31" s="204">
        <f t="shared" si="1"/>
        <v>132</v>
      </c>
    </row>
    <row r="32" spans="1:10" ht="3" customHeight="1" x14ac:dyDescent="0.2">
      <c r="A32" s="282"/>
      <c r="B32" s="295"/>
      <c r="C32" s="282"/>
      <c r="D32" s="296"/>
      <c r="E32" s="290"/>
      <c r="F32" s="297"/>
      <c r="G32" s="292"/>
    </row>
    <row r="33" spans="1:10" x14ac:dyDescent="0.2">
      <c r="A33" s="282"/>
      <c r="C33" s="282"/>
      <c r="D33" s="296"/>
      <c r="E33" s="299" t="s">
        <v>335</v>
      </c>
      <c r="F33" s="297"/>
      <c r="G33" s="301">
        <f>G30+G31</f>
        <v>132.80000000000001</v>
      </c>
      <c r="J33" s="667">
        <f>SUM(J29:J32)</f>
        <v>132.80000000000001</v>
      </c>
    </row>
    <row r="34" spans="1:10" ht="3" customHeight="1" x14ac:dyDescent="0.2">
      <c r="A34" s="282"/>
      <c r="C34" s="282"/>
      <c r="D34" s="296"/>
      <c r="E34" s="288"/>
      <c r="F34" s="297"/>
      <c r="G34" s="292"/>
    </row>
    <row r="35" spans="1:10" ht="15" x14ac:dyDescent="0.25">
      <c r="B35" s="302"/>
      <c r="E35" s="303" t="s">
        <v>336</v>
      </c>
      <c r="F35" s="303"/>
      <c r="G35" s="304">
        <f>G28+G33</f>
        <v>140.27000000000001</v>
      </c>
      <c r="J35" s="667">
        <f>J28+J33</f>
        <v>140.91</v>
      </c>
    </row>
    <row r="36" spans="1:10" ht="3" customHeight="1" x14ac:dyDescent="0.2"/>
    <row r="37" spans="1:10" x14ac:dyDescent="0.2">
      <c r="A37" s="282"/>
      <c r="E37" s="256"/>
      <c r="G37" s="308" t="s">
        <v>1051</v>
      </c>
    </row>
    <row r="38" spans="1:10" x14ac:dyDescent="0.2">
      <c r="A38" s="282"/>
      <c r="G38" s="308" t="s">
        <v>1052</v>
      </c>
    </row>
  </sheetData>
  <mergeCells count="6">
    <mergeCell ref="A23:G23"/>
    <mergeCell ref="A1:G1"/>
    <mergeCell ref="A2:G2"/>
    <mergeCell ref="A4:G4"/>
    <mergeCell ref="A5:G5"/>
    <mergeCell ref="A7:G7"/>
  </mergeCells>
  <pageMargins left="0.511811024" right="0.511811024" top="0.78740157499999996" bottom="0.78740157499999996" header="0.31496062000000002" footer="0.31496062000000002"/>
  <pageSetup paperSize="9" scale="71" orientation="portrait" r:id="rId1"/>
  <colBreaks count="1" manualBreakCount="1">
    <brk id="7" max="1048575" man="1"/>
  </colBreaks>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8FB5F1-1656-417C-B1BF-7F30E30A4062}">
  <dimension ref="A2:T29"/>
  <sheetViews>
    <sheetView view="pageBreakPreview" zoomScaleNormal="100" zoomScaleSheetLayoutView="100" workbookViewId="0">
      <selection activeCell="O28" activeCellId="1" sqref="R15 O28"/>
    </sheetView>
  </sheetViews>
  <sheetFormatPr defaultRowHeight="12.75" x14ac:dyDescent="0.2"/>
  <cols>
    <col min="1" max="1" width="31.42578125" customWidth="1"/>
    <col min="2" max="2" width="15" customWidth="1"/>
    <col min="3" max="3" width="10.28515625" customWidth="1"/>
    <col min="4" max="4" width="11" customWidth="1"/>
    <col min="5" max="5" width="9.5703125" customWidth="1"/>
    <col min="6" max="6" width="9.7109375" customWidth="1"/>
    <col min="7" max="7" width="9.85546875" customWidth="1"/>
    <col min="8" max="8" width="9.28515625" customWidth="1"/>
    <col min="257" max="257" width="31.42578125" customWidth="1"/>
    <col min="258" max="258" width="15" customWidth="1"/>
    <col min="259" max="259" width="10.28515625" customWidth="1"/>
    <col min="260" max="260" width="11" customWidth="1"/>
    <col min="261" max="261" width="9.5703125" customWidth="1"/>
    <col min="262" max="262" width="9.7109375" customWidth="1"/>
    <col min="263" max="263" width="9.85546875" customWidth="1"/>
    <col min="264" max="264" width="9.28515625" customWidth="1"/>
    <col min="513" max="513" width="31.42578125" customWidth="1"/>
    <col min="514" max="514" width="15" customWidth="1"/>
    <col min="515" max="515" width="10.28515625" customWidth="1"/>
    <col min="516" max="516" width="11" customWidth="1"/>
    <col min="517" max="517" width="9.5703125" customWidth="1"/>
    <col min="518" max="518" width="9.7109375" customWidth="1"/>
    <col min="519" max="519" width="9.85546875" customWidth="1"/>
    <col min="520" max="520" width="9.28515625" customWidth="1"/>
    <col min="769" max="769" width="31.42578125" customWidth="1"/>
    <col min="770" max="770" width="15" customWidth="1"/>
    <col min="771" max="771" width="10.28515625" customWidth="1"/>
    <col min="772" max="772" width="11" customWidth="1"/>
    <col min="773" max="773" width="9.5703125" customWidth="1"/>
    <col min="774" max="774" width="9.7109375" customWidth="1"/>
    <col min="775" max="775" width="9.85546875" customWidth="1"/>
    <col min="776" max="776" width="9.28515625" customWidth="1"/>
    <col min="1025" max="1025" width="31.42578125" customWidth="1"/>
    <col min="1026" max="1026" width="15" customWidth="1"/>
    <col min="1027" max="1027" width="10.28515625" customWidth="1"/>
    <col min="1028" max="1028" width="11" customWidth="1"/>
    <col min="1029" max="1029" width="9.5703125" customWidth="1"/>
    <col min="1030" max="1030" width="9.7109375" customWidth="1"/>
    <col min="1031" max="1031" width="9.85546875" customWidth="1"/>
    <col min="1032" max="1032" width="9.28515625" customWidth="1"/>
    <col min="1281" max="1281" width="31.42578125" customWidth="1"/>
    <col min="1282" max="1282" width="15" customWidth="1"/>
    <col min="1283" max="1283" width="10.28515625" customWidth="1"/>
    <col min="1284" max="1284" width="11" customWidth="1"/>
    <col min="1285" max="1285" width="9.5703125" customWidth="1"/>
    <col min="1286" max="1286" width="9.7109375" customWidth="1"/>
    <col min="1287" max="1287" width="9.85546875" customWidth="1"/>
    <col min="1288" max="1288" width="9.28515625" customWidth="1"/>
    <col min="1537" max="1537" width="31.42578125" customWidth="1"/>
    <col min="1538" max="1538" width="15" customWidth="1"/>
    <col min="1539" max="1539" width="10.28515625" customWidth="1"/>
    <col min="1540" max="1540" width="11" customWidth="1"/>
    <col min="1541" max="1541" width="9.5703125" customWidth="1"/>
    <col min="1542" max="1542" width="9.7109375" customWidth="1"/>
    <col min="1543" max="1543" width="9.85546875" customWidth="1"/>
    <col min="1544" max="1544" width="9.28515625" customWidth="1"/>
    <col min="1793" max="1793" width="31.42578125" customWidth="1"/>
    <col min="1794" max="1794" width="15" customWidth="1"/>
    <col min="1795" max="1795" width="10.28515625" customWidth="1"/>
    <col min="1796" max="1796" width="11" customWidth="1"/>
    <col min="1797" max="1797" width="9.5703125" customWidth="1"/>
    <col min="1798" max="1798" width="9.7109375" customWidth="1"/>
    <col min="1799" max="1799" width="9.85546875" customWidth="1"/>
    <col min="1800" max="1800" width="9.28515625" customWidth="1"/>
    <col min="2049" max="2049" width="31.42578125" customWidth="1"/>
    <col min="2050" max="2050" width="15" customWidth="1"/>
    <col min="2051" max="2051" width="10.28515625" customWidth="1"/>
    <col min="2052" max="2052" width="11" customWidth="1"/>
    <col min="2053" max="2053" width="9.5703125" customWidth="1"/>
    <col min="2054" max="2054" width="9.7109375" customWidth="1"/>
    <col min="2055" max="2055" width="9.85546875" customWidth="1"/>
    <col min="2056" max="2056" width="9.28515625" customWidth="1"/>
    <col min="2305" max="2305" width="31.42578125" customWidth="1"/>
    <col min="2306" max="2306" width="15" customWidth="1"/>
    <col min="2307" max="2307" width="10.28515625" customWidth="1"/>
    <col min="2308" max="2308" width="11" customWidth="1"/>
    <col min="2309" max="2309" width="9.5703125" customWidth="1"/>
    <col min="2310" max="2310" width="9.7109375" customWidth="1"/>
    <col min="2311" max="2311" width="9.85546875" customWidth="1"/>
    <col min="2312" max="2312" width="9.28515625" customWidth="1"/>
    <col min="2561" max="2561" width="31.42578125" customWidth="1"/>
    <col min="2562" max="2562" width="15" customWidth="1"/>
    <col min="2563" max="2563" width="10.28515625" customWidth="1"/>
    <col min="2564" max="2564" width="11" customWidth="1"/>
    <col min="2565" max="2565" width="9.5703125" customWidth="1"/>
    <col min="2566" max="2566" width="9.7109375" customWidth="1"/>
    <col min="2567" max="2567" width="9.85546875" customWidth="1"/>
    <col min="2568" max="2568" width="9.28515625" customWidth="1"/>
    <col min="2817" max="2817" width="31.42578125" customWidth="1"/>
    <col min="2818" max="2818" width="15" customWidth="1"/>
    <col min="2819" max="2819" width="10.28515625" customWidth="1"/>
    <col min="2820" max="2820" width="11" customWidth="1"/>
    <col min="2821" max="2821" width="9.5703125" customWidth="1"/>
    <col min="2822" max="2822" width="9.7109375" customWidth="1"/>
    <col min="2823" max="2823" width="9.85546875" customWidth="1"/>
    <col min="2824" max="2824" width="9.28515625" customWidth="1"/>
    <col min="3073" max="3073" width="31.42578125" customWidth="1"/>
    <col min="3074" max="3074" width="15" customWidth="1"/>
    <col min="3075" max="3075" width="10.28515625" customWidth="1"/>
    <col min="3076" max="3076" width="11" customWidth="1"/>
    <col min="3077" max="3077" width="9.5703125" customWidth="1"/>
    <col min="3078" max="3078" width="9.7109375" customWidth="1"/>
    <col min="3079" max="3079" width="9.85546875" customWidth="1"/>
    <col min="3080" max="3080" width="9.28515625" customWidth="1"/>
    <col min="3329" max="3329" width="31.42578125" customWidth="1"/>
    <col min="3330" max="3330" width="15" customWidth="1"/>
    <col min="3331" max="3331" width="10.28515625" customWidth="1"/>
    <col min="3332" max="3332" width="11" customWidth="1"/>
    <col min="3333" max="3333" width="9.5703125" customWidth="1"/>
    <col min="3334" max="3334" width="9.7109375" customWidth="1"/>
    <col min="3335" max="3335" width="9.85546875" customWidth="1"/>
    <col min="3336" max="3336" width="9.28515625" customWidth="1"/>
    <col min="3585" max="3585" width="31.42578125" customWidth="1"/>
    <col min="3586" max="3586" width="15" customWidth="1"/>
    <col min="3587" max="3587" width="10.28515625" customWidth="1"/>
    <col min="3588" max="3588" width="11" customWidth="1"/>
    <col min="3589" max="3589" width="9.5703125" customWidth="1"/>
    <col min="3590" max="3590" width="9.7109375" customWidth="1"/>
    <col min="3591" max="3591" width="9.85546875" customWidth="1"/>
    <col min="3592" max="3592" width="9.28515625" customWidth="1"/>
    <col min="3841" max="3841" width="31.42578125" customWidth="1"/>
    <col min="3842" max="3842" width="15" customWidth="1"/>
    <col min="3843" max="3843" width="10.28515625" customWidth="1"/>
    <col min="3844" max="3844" width="11" customWidth="1"/>
    <col min="3845" max="3845" width="9.5703125" customWidth="1"/>
    <col min="3846" max="3846" width="9.7109375" customWidth="1"/>
    <col min="3847" max="3847" width="9.85546875" customWidth="1"/>
    <col min="3848" max="3848" width="9.28515625" customWidth="1"/>
    <col min="4097" max="4097" width="31.42578125" customWidth="1"/>
    <col min="4098" max="4098" width="15" customWidth="1"/>
    <col min="4099" max="4099" width="10.28515625" customWidth="1"/>
    <col min="4100" max="4100" width="11" customWidth="1"/>
    <col min="4101" max="4101" width="9.5703125" customWidth="1"/>
    <col min="4102" max="4102" width="9.7109375" customWidth="1"/>
    <col min="4103" max="4103" width="9.85546875" customWidth="1"/>
    <col min="4104" max="4104" width="9.28515625" customWidth="1"/>
    <col min="4353" max="4353" width="31.42578125" customWidth="1"/>
    <col min="4354" max="4354" width="15" customWidth="1"/>
    <col min="4355" max="4355" width="10.28515625" customWidth="1"/>
    <col min="4356" max="4356" width="11" customWidth="1"/>
    <col min="4357" max="4357" width="9.5703125" customWidth="1"/>
    <col min="4358" max="4358" width="9.7109375" customWidth="1"/>
    <col min="4359" max="4359" width="9.85546875" customWidth="1"/>
    <col min="4360" max="4360" width="9.28515625" customWidth="1"/>
    <col min="4609" max="4609" width="31.42578125" customWidth="1"/>
    <col min="4610" max="4610" width="15" customWidth="1"/>
    <col min="4611" max="4611" width="10.28515625" customWidth="1"/>
    <col min="4612" max="4612" width="11" customWidth="1"/>
    <col min="4613" max="4613" width="9.5703125" customWidth="1"/>
    <col min="4614" max="4614" width="9.7109375" customWidth="1"/>
    <col min="4615" max="4615" width="9.85546875" customWidth="1"/>
    <col min="4616" max="4616" width="9.28515625" customWidth="1"/>
    <col min="4865" max="4865" width="31.42578125" customWidth="1"/>
    <col min="4866" max="4866" width="15" customWidth="1"/>
    <col min="4867" max="4867" width="10.28515625" customWidth="1"/>
    <col min="4868" max="4868" width="11" customWidth="1"/>
    <col min="4869" max="4869" width="9.5703125" customWidth="1"/>
    <col min="4870" max="4870" width="9.7109375" customWidth="1"/>
    <col min="4871" max="4871" width="9.85546875" customWidth="1"/>
    <col min="4872" max="4872" width="9.28515625" customWidth="1"/>
    <col min="5121" max="5121" width="31.42578125" customWidth="1"/>
    <col min="5122" max="5122" width="15" customWidth="1"/>
    <col min="5123" max="5123" width="10.28515625" customWidth="1"/>
    <col min="5124" max="5124" width="11" customWidth="1"/>
    <col min="5125" max="5125" width="9.5703125" customWidth="1"/>
    <col min="5126" max="5126" width="9.7109375" customWidth="1"/>
    <col min="5127" max="5127" width="9.85546875" customWidth="1"/>
    <col min="5128" max="5128" width="9.28515625" customWidth="1"/>
    <col min="5377" max="5377" width="31.42578125" customWidth="1"/>
    <col min="5378" max="5378" width="15" customWidth="1"/>
    <col min="5379" max="5379" width="10.28515625" customWidth="1"/>
    <col min="5380" max="5380" width="11" customWidth="1"/>
    <col min="5381" max="5381" width="9.5703125" customWidth="1"/>
    <col min="5382" max="5382" width="9.7109375" customWidth="1"/>
    <col min="5383" max="5383" width="9.85546875" customWidth="1"/>
    <col min="5384" max="5384" width="9.28515625" customWidth="1"/>
    <col min="5633" max="5633" width="31.42578125" customWidth="1"/>
    <col min="5634" max="5634" width="15" customWidth="1"/>
    <col min="5635" max="5635" width="10.28515625" customWidth="1"/>
    <col min="5636" max="5636" width="11" customWidth="1"/>
    <col min="5637" max="5637" width="9.5703125" customWidth="1"/>
    <col min="5638" max="5638" width="9.7109375" customWidth="1"/>
    <col min="5639" max="5639" width="9.85546875" customWidth="1"/>
    <col min="5640" max="5640" width="9.28515625" customWidth="1"/>
    <col min="5889" max="5889" width="31.42578125" customWidth="1"/>
    <col min="5890" max="5890" width="15" customWidth="1"/>
    <col min="5891" max="5891" width="10.28515625" customWidth="1"/>
    <col min="5892" max="5892" width="11" customWidth="1"/>
    <col min="5893" max="5893" width="9.5703125" customWidth="1"/>
    <col min="5894" max="5894" width="9.7109375" customWidth="1"/>
    <col min="5895" max="5895" width="9.85546875" customWidth="1"/>
    <col min="5896" max="5896" width="9.28515625" customWidth="1"/>
    <col min="6145" max="6145" width="31.42578125" customWidth="1"/>
    <col min="6146" max="6146" width="15" customWidth="1"/>
    <col min="6147" max="6147" width="10.28515625" customWidth="1"/>
    <col min="6148" max="6148" width="11" customWidth="1"/>
    <col min="6149" max="6149" width="9.5703125" customWidth="1"/>
    <col min="6150" max="6150" width="9.7109375" customWidth="1"/>
    <col min="6151" max="6151" width="9.85546875" customWidth="1"/>
    <col min="6152" max="6152" width="9.28515625" customWidth="1"/>
    <col min="6401" max="6401" width="31.42578125" customWidth="1"/>
    <col min="6402" max="6402" width="15" customWidth="1"/>
    <col min="6403" max="6403" width="10.28515625" customWidth="1"/>
    <col min="6404" max="6404" width="11" customWidth="1"/>
    <col min="6405" max="6405" width="9.5703125" customWidth="1"/>
    <col min="6406" max="6406" width="9.7109375" customWidth="1"/>
    <col min="6407" max="6407" width="9.85546875" customWidth="1"/>
    <col min="6408" max="6408" width="9.28515625" customWidth="1"/>
    <col min="6657" max="6657" width="31.42578125" customWidth="1"/>
    <col min="6658" max="6658" width="15" customWidth="1"/>
    <col min="6659" max="6659" width="10.28515625" customWidth="1"/>
    <col min="6660" max="6660" width="11" customWidth="1"/>
    <col min="6661" max="6661" width="9.5703125" customWidth="1"/>
    <col min="6662" max="6662" width="9.7109375" customWidth="1"/>
    <col min="6663" max="6663" width="9.85546875" customWidth="1"/>
    <col min="6664" max="6664" width="9.28515625" customWidth="1"/>
    <col min="6913" max="6913" width="31.42578125" customWidth="1"/>
    <col min="6914" max="6914" width="15" customWidth="1"/>
    <col min="6915" max="6915" width="10.28515625" customWidth="1"/>
    <col min="6916" max="6916" width="11" customWidth="1"/>
    <col min="6917" max="6917" width="9.5703125" customWidth="1"/>
    <col min="6918" max="6918" width="9.7109375" customWidth="1"/>
    <col min="6919" max="6919" width="9.85546875" customWidth="1"/>
    <col min="6920" max="6920" width="9.28515625" customWidth="1"/>
    <col min="7169" max="7169" width="31.42578125" customWidth="1"/>
    <col min="7170" max="7170" width="15" customWidth="1"/>
    <col min="7171" max="7171" width="10.28515625" customWidth="1"/>
    <col min="7172" max="7172" width="11" customWidth="1"/>
    <col min="7173" max="7173" width="9.5703125" customWidth="1"/>
    <col min="7174" max="7174" width="9.7109375" customWidth="1"/>
    <col min="7175" max="7175" width="9.85546875" customWidth="1"/>
    <col min="7176" max="7176" width="9.28515625" customWidth="1"/>
    <col min="7425" max="7425" width="31.42578125" customWidth="1"/>
    <col min="7426" max="7426" width="15" customWidth="1"/>
    <col min="7427" max="7427" width="10.28515625" customWidth="1"/>
    <col min="7428" max="7428" width="11" customWidth="1"/>
    <col min="7429" max="7429" width="9.5703125" customWidth="1"/>
    <col min="7430" max="7430" width="9.7109375" customWidth="1"/>
    <col min="7431" max="7431" width="9.85546875" customWidth="1"/>
    <col min="7432" max="7432" width="9.28515625" customWidth="1"/>
    <col min="7681" max="7681" width="31.42578125" customWidth="1"/>
    <col min="7682" max="7682" width="15" customWidth="1"/>
    <col min="7683" max="7683" width="10.28515625" customWidth="1"/>
    <col min="7684" max="7684" width="11" customWidth="1"/>
    <col min="7685" max="7685" width="9.5703125" customWidth="1"/>
    <col min="7686" max="7686" width="9.7109375" customWidth="1"/>
    <col min="7687" max="7687" width="9.85546875" customWidth="1"/>
    <col min="7688" max="7688" width="9.28515625" customWidth="1"/>
    <col min="7937" max="7937" width="31.42578125" customWidth="1"/>
    <col min="7938" max="7938" width="15" customWidth="1"/>
    <col min="7939" max="7939" width="10.28515625" customWidth="1"/>
    <col min="7940" max="7940" width="11" customWidth="1"/>
    <col min="7941" max="7941" width="9.5703125" customWidth="1"/>
    <col min="7942" max="7942" width="9.7109375" customWidth="1"/>
    <col min="7943" max="7943" width="9.85546875" customWidth="1"/>
    <col min="7944" max="7944" width="9.28515625" customWidth="1"/>
    <col min="8193" max="8193" width="31.42578125" customWidth="1"/>
    <col min="8194" max="8194" width="15" customWidth="1"/>
    <col min="8195" max="8195" width="10.28515625" customWidth="1"/>
    <col min="8196" max="8196" width="11" customWidth="1"/>
    <col min="8197" max="8197" width="9.5703125" customWidth="1"/>
    <col min="8198" max="8198" width="9.7109375" customWidth="1"/>
    <col min="8199" max="8199" width="9.85546875" customWidth="1"/>
    <col min="8200" max="8200" width="9.28515625" customWidth="1"/>
    <col min="8449" max="8449" width="31.42578125" customWidth="1"/>
    <col min="8450" max="8450" width="15" customWidth="1"/>
    <col min="8451" max="8451" width="10.28515625" customWidth="1"/>
    <col min="8452" max="8452" width="11" customWidth="1"/>
    <col min="8453" max="8453" width="9.5703125" customWidth="1"/>
    <col min="8454" max="8454" width="9.7109375" customWidth="1"/>
    <col min="8455" max="8455" width="9.85546875" customWidth="1"/>
    <col min="8456" max="8456" width="9.28515625" customWidth="1"/>
    <col min="8705" max="8705" width="31.42578125" customWidth="1"/>
    <col min="8706" max="8706" width="15" customWidth="1"/>
    <col min="8707" max="8707" width="10.28515625" customWidth="1"/>
    <col min="8708" max="8708" width="11" customWidth="1"/>
    <col min="8709" max="8709" width="9.5703125" customWidth="1"/>
    <col min="8710" max="8710" width="9.7109375" customWidth="1"/>
    <col min="8711" max="8711" width="9.85546875" customWidth="1"/>
    <col min="8712" max="8712" width="9.28515625" customWidth="1"/>
    <col min="8961" max="8961" width="31.42578125" customWidth="1"/>
    <col min="8962" max="8962" width="15" customWidth="1"/>
    <col min="8963" max="8963" width="10.28515625" customWidth="1"/>
    <col min="8964" max="8964" width="11" customWidth="1"/>
    <col min="8965" max="8965" width="9.5703125" customWidth="1"/>
    <col min="8966" max="8966" width="9.7109375" customWidth="1"/>
    <col min="8967" max="8967" width="9.85546875" customWidth="1"/>
    <col min="8968" max="8968" width="9.28515625" customWidth="1"/>
    <col min="9217" max="9217" width="31.42578125" customWidth="1"/>
    <col min="9218" max="9218" width="15" customWidth="1"/>
    <col min="9219" max="9219" width="10.28515625" customWidth="1"/>
    <col min="9220" max="9220" width="11" customWidth="1"/>
    <col min="9221" max="9221" width="9.5703125" customWidth="1"/>
    <col min="9222" max="9222" width="9.7109375" customWidth="1"/>
    <col min="9223" max="9223" width="9.85546875" customWidth="1"/>
    <col min="9224" max="9224" width="9.28515625" customWidth="1"/>
    <col min="9473" max="9473" width="31.42578125" customWidth="1"/>
    <col min="9474" max="9474" width="15" customWidth="1"/>
    <col min="9475" max="9475" width="10.28515625" customWidth="1"/>
    <col min="9476" max="9476" width="11" customWidth="1"/>
    <col min="9477" max="9477" width="9.5703125" customWidth="1"/>
    <col min="9478" max="9478" width="9.7109375" customWidth="1"/>
    <col min="9479" max="9479" width="9.85546875" customWidth="1"/>
    <col min="9480" max="9480" width="9.28515625" customWidth="1"/>
    <col min="9729" max="9729" width="31.42578125" customWidth="1"/>
    <col min="9730" max="9730" width="15" customWidth="1"/>
    <col min="9731" max="9731" width="10.28515625" customWidth="1"/>
    <col min="9732" max="9732" width="11" customWidth="1"/>
    <col min="9733" max="9733" width="9.5703125" customWidth="1"/>
    <col min="9734" max="9734" width="9.7109375" customWidth="1"/>
    <col min="9735" max="9735" width="9.85546875" customWidth="1"/>
    <col min="9736" max="9736" width="9.28515625" customWidth="1"/>
    <col min="9985" max="9985" width="31.42578125" customWidth="1"/>
    <col min="9986" max="9986" width="15" customWidth="1"/>
    <col min="9987" max="9987" width="10.28515625" customWidth="1"/>
    <col min="9988" max="9988" width="11" customWidth="1"/>
    <col min="9989" max="9989" width="9.5703125" customWidth="1"/>
    <col min="9990" max="9990" width="9.7109375" customWidth="1"/>
    <col min="9991" max="9991" width="9.85546875" customWidth="1"/>
    <col min="9992" max="9992" width="9.28515625" customWidth="1"/>
    <col min="10241" max="10241" width="31.42578125" customWidth="1"/>
    <col min="10242" max="10242" width="15" customWidth="1"/>
    <col min="10243" max="10243" width="10.28515625" customWidth="1"/>
    <col min="10244" max="10244" width="11" customWidth="1"/>
    <col min="10245" max="10245" width="9.5703125" customWidth="1"/>
    <col min="10246" max="10246" width="9.7109375" customWidth="1"/>
    <col min="10247" max="10247" width="9.85546875" customWidth="1"/>
    <col min="10248" max="10248" width="9.28515625" customWidth="1"/>
    <col min="10497" max="10497" width="31.42578125" customWidth="1"/>
    <col min="10498" max="10498" width="15" customWidth="1"/>
    <col min="10499" max="10499" width="10.28515625" customWidth="1"/>
    <col min="10500" max="10500" width="11" customWidth="1"/>
    <col min="10501" max="10501" width="9.5703125" customWidth="1"/>
    <col min="10502" max="10502" width="9.7109375" customWidth="1"/>
    <col min="10503" max="10503" width="9.85546875" customWidth="1"/>
    <col min="10504" max="10504" width="9.28515625" customWidth="1"/>
    <col min="10753" max="10753" width="31.42578125" customWidth="1"/>
    <col min="10754" max="10754" width="15" customWidth="1"/>
    <col min="10755" max="10755" width="10.28515625" customWidth="1"/>
    <col min="10756" max="10756" width="11" customWidth="1"/>
    <col min="10757" max="10757" width="9.5703125" customWidth="1"/>
    <col min="10758" max="10758" width="9.7109375" customWidth="1"/>
    <col min="10759" max="10759" width="9.85546875" customWidth="1"/>
    <col min="10760" max="10760" width="9.28515625" customWidth="1"/>
    <col min="11009" max="11009" width="31.42578125" customWidth="1"/>
    <col min="11010" max="11010" width="15" customWidth="1"/>
    <col min="11011" max="11011" width="10.28515625" customWidth="1"/>
    <col min="11012" max="11012" width="11" customWidth="1"/>
    <col min="11013" max="11013" width="9.5703125" customWidth="1"/>
    <col min="11014" max="11014" width="9.7109375" customWidth="1"/>
    <col min="11015" max="11015" width="9.85546875" customWidth="1"/>
    <col min="11016" max="11016" width="9.28515625" customWidth="1"/>
    <col min="11265" max="11265" width="31.42578125" customWidth="1"/>
    <col min="11266" max="11266" width="15" customWidth="1"/>
    <col min="11267" max="11267" width="10.28515625" customWidth="1"/>
    <col min="11268" max="11268" width="11" customWidth="1"/>
    <col min="11269" max="11269" width="9.5703125" customWidth="1"/>
    <col min="11270" max="11270" width="9.7109375" customWidth="1"/>
    <col min="11271" max="11271" width="9.85546875" customWidth="1"/>
    <col min="11272" max="11272" width="9.28515625" customWidth="1"/>
    <col min="11521" max="11521" width="31.42578125" customWidth="1"/>
    <col min="11522" max="11522" width="15" customWidth="1"/>
    <col min="11523" max="11523" width="10.28515625" customWidth="1"/>
    <col min="11524" max="11524" width="11" customWidth="1"/>
    <col min="11525" max="11525" width="9.5703125" customWidth="1"/>
    <col min="11526" max="11526" width="9.7109375" customWidth="1"/>
    <col min="11527" max="11527" width="9.85546875" customWidth="1"/>
    <col min="11528" max="11528" width="9.28515625" customWidth="1"/>
    <col min="11777" max="11777" width="31.42578125" customWidth="1"/>
    <col min="11778" max="11778" width="15" customWidth="1"/>
    <col min="11779" max="11779" width="10.28515625" customWidth="1"/>
    <col min="11780" max="11780" width="11" customWidth="1"/>
    <col min="11781" max="11781" width="9.5703125" customWidth="1"/>
    <col min="11782" max="11782" width="9.7109375" customWidth="1"/>
    <col min="11783" max="11783" width="9.85546875" customWidth="1"/>
    <col min="11784" max="11784" width="9.28515625" customWidth="1"/>
    <col min="12033" max="12033" width="31.42578125" customWidth="1"/>
    <col min="12034" max="12034" width="15" customWidth="1"/>
    <col min="12035" max="12035" width="10.28515625" customWidth="1"/>
    <col min="12036" max="12036" width="11" customWidth="1"/>
    <col min="12037" max="12037" width="9.5703125" customWidth="1"/>
    <col min="12038" max="12038" width="9.7109375" customWidth="1"/>
    <col min="12039" max="12039" width="9.85546875" customWidth="1"/>
    <col min="12040" max="12040" width="9.28515625" customWidth="1"/>
    <col min="12289" max="12289" width="31.42578125" customWidth="1"/>
    <col min="12290" max="12290" width="15" customWidth="1"/>
    <col min="12291" max="12291" width="10.28515625" customWidth="1"/>
    <col min="12292" max="12292" width="11" customWidth="1"/>
    <col min="12293" max="12293" width="9.5703125" customWidth="1"/>
    <col min="12294" max="12294" width="9.7109375" customWidth="1"/>
    <col min="12295" max="12295" width="9.85546875" customWidth="1"/>
    <col min="12296" max="12296" width="9.28515625" customWidth="1"/>
    <col min="12545" max="12545" width="31.42578125" customWidth="1"/>
    <col min="12546" max="12546" width="15" customWidth="1"/>
    <col min="12547" max="12547" width="10.28515625" customWidth="1"/>
    <col min="12548" max="12548" width="11" customWidth="1"/>
    <col min="12549" max="12549" width="9.5703125" customWidth="1"/>
    <col min="12550" max="12550" width="9.7109375" customWidth="1"/>
    <col min="12551" max="12551" width="9.85546875" customWidth="1"/>
    <col min="12552" max="12552" width="9.28515625" customWidth="1"/>
    <col min="12801" max="12801" width="31.42578125" customWidth="1"/>
    <col min="12802" max="12802" width="15" customWidth="1"/>
    <col min="12803" max="12803" width="10.28515625" customWidth="1"/>
    <col min="12804" max="12804" width="11" customWidth="1"/>
    <col min="12805" max="12805" width="9.5703125" customWidth="1"/>
    <col min="12806" max="12806" width="9.7109375" customWidth="1"/>
    <col min="12807" max="12807" width="9.85546875" customWidth="1"/>
    <col min="12808" max="12808" width="9.28515625" customWidth="1"/>
    <col min="13057" max="13057" width="31.42578125" customWidth="1"/>
    <col min="13058" max="13058" width="15" customWidth="1"/>
    <col min="13059" max="13059" width="10.28515625" customWidth="1"/>
    <col min="13060" max="13060" width="11" customWidth="1"/>
    <col min="13061" max="13061" width="9.5703125" customWidth="1"/>
    <col min="13062" max="13062" width="9.7109375" customWidth="1"/>
    <col min="13063" max="13063" width="9.85546875" customWidth="1"/>
    <col min="13064" max="13064" width="9.28515625" customWidth="1"/>
    <col min="13313" max="13313" width="31.42578125" customWidth="1"/>
    <col min="13314" max="13314" width="15" customWidth="1"/>
    <col min="13315" max="13315" width="10.28515625" customWidth="1"/>
    <col min="13316" max="13316" width="11" customWidth="1"/>
    <col min="13317" max="13317" width="9.5703125" customWidth="1"/>
    <col min="13318" max="13318" width="9.7109375" customWidth="1"/>
    <col min="13319" max="13319" width="9.85546875" customWidth="1"/>
    <col min="13320" max="13320" width="9.28515625" customWidth="1"/>
    <col min="13569" max="13569" width="31.42578125" customWidth="1"/>
    <col min="13570" max="13570" width="15" customWidth="1"/>
    <col min="13571" max="13571" width="10.28515625" customWidth="1"/>
    <col min="13572" max="13572" width="11" customWidth="1"/>
    <col min="13573" max="13573" width="9.5703125" customWidth="1"/>
    <col min="13574" max="13574" width="9.7109375" customWidth="1"/>
    <col min="13575" max="13575" width="9.85546875" customWidth="1"/>
    <col min="13576" max="13576" width="9.28515625" customWidth="1"/>
    <col min="13825" max="13825" width="31.42578125" customWidth="1"/>
    <col min="13826" max="13826" width="15" customWidth="1"/>
    <col min="13827" max="13827" width="10.28515625" customWidth="1"/>
    <col min="13828" max="13828" width="11" customWidth="1"/>
    <col min="13829" max="13829" width="9.5703125" customWidth="1"/>
    <col min="13830" max="13830" width="9.7109375" customWidth="1"/>
    <col min="13831" max="13831" width="9.85546875" customWidth="1"/>
    <col min="13832" max="13832" width="9.28515625" customWidth="1"/>
    <col min="14081" max="14081" width="31.42578125" customWidth="1"/>
    <col min="14082" max="14082" width="15" customWidth="1"/>
    <col min="14083" max="14083" width="10.28515625" customWidth="1"/>
    <col min="14084" max="14084" width="11" customWidth="1"/>
    <col min="14085" max="14085" width="9.5703125" customWidth="1"/>
    <col min="14086" max="14086" width="9.7109375" customWidth="1"/>
    <col min="14087" max="14087" width="9.85546875" customWidth="1"/>
    <col min="14088" max="14088" width="9.28515625" customWidth="1"/>
    <col min="14337" max="14337" width="31.42578125" customWidth="1"/>
    <col min="14338" max="14338" width="15" customWidth="1"/>
    <col min="14339" max="14339" width="10.28515625" customWidth="1"/>
    <col min="14340" max="14340" width="11" customWidth="1"/>
    <col min="14341" max="14341" width="9.5703125" customWidth="1"/>
    <col min="14342" max="14342" width="9.7109375" customWidth="1"/>
    <col min="14343" max="14343" width="9.85546875" customWidth="1"/>
    <col min="14344" max="14344" width="9.28515625" customWidth="1"/>
    <col min="14593" max="14593" width="31.42578125" customWidth="1"/>
    <col min="14594" max="14594" width="15" customWidth="1"/>
    <col min="14595" max="14595" width="10.28515625" customWidth="1"/>
    <col min="14596" max="14596" width="11" customWidth="1"/>
    <col min="14597" max="14597" width="9.5703125" customWidth="1"/>
    <col min="14598" max="14598" width="9.7109375" customWidth="1"/>
    <col min="14599" max="14599" width="9.85546875" customWidth="1"/>
    <col min="14600" max="14600" width="9.28515625" customWidth="1"/>
    <col min="14849" max="14849" width="31.42578125" customWidth="1"/>
    <col min="14850" max="14850" width="15" customWidth="1"/>
    <col min="14851" max="14851" width="10.28515625" customWidth="1"/>
    <col min="14852" max="14852" width="11" customWidth="1"/>
    <col min="14853" max="14853" width="9.5703125" customWidth="1"/>
    <col min="14854" max="14854" width="9.7109375" customWidth="1"/>
    <col min="14855" max="14855" width="9.85546875" customWidth="1"/>
    <col min="14856" max="14856" width="9.28515625" customWidth="1"/>
    <col min="15105" max="15105" width="31.42578125" customWidth="1"/>
    <col min="15106" max="15106" width="15" customWidth="1"/>
    <col min="15107" max="15107" width="10.28515625" customWidth="1"/>
    <col min="15108" max="15108" width="11" customWidth="1"/>
    <col min="15109" max="15109" width="9.5703125" customWidth="1"/>
    <col min="15110" max="15110" width="9.7109375" customWidth="1"/>
    <col min="15111" max="15111" width="9.85546875" customWidth="1"/>
    <col min="15112" max="15112" width="9.28515625" customWidth="1"/>
    <col min="15361" max="15361" width="31.42578125" customWidth="1"/>
    <col min="15362" max="15362" width="15" customWidth="1"/>
    <col min="15363" max="15363" width="10.28515625" customWidth="1"/>
    <col min="15364" max="15364" width="11" customWidth="1"/>
    <col min="15365" max="15365" width="9.5703125" customWidth="1"/>
    <col min="15366" max="15366" width="9.7109375" customWidth="1"/>
    <col min="15367" max="15367" width="9.85546875" customWidth="1"/>
    <col min="15368" max="15368" width="9.28515625" customWidth="1"/>
    <col min="15617" max="15617" width="31.42578125" customWidth="1"/>
    <col min="15618" max="15618" width="15" customWidth="1"/>
    <col min="15619" max="15619" width="10.28515625" customWidth="1"/>
    <col min="15620" max="15620" width="11" customWidth="1"/>
    <col min="15621" max="15621" width="9.5703125" customWidth="1"/>
    <col min="15622" max="15622" width="9.7109375" customWidth="1"/>
    <col min="15623" max="15623" width="9.85546875" customWidth="1"/>
    <col min="15624" max="15624" width="9.28515625" customWidth="1"/>
    <col min="15873" max="15873" width="31.42578125" customWidth="1"/>
    <col min="15874" max="15874" width="15" customWidth="1"/>
    <col min="15875" max="15875" width="10.28515625" customWidth="1"/>
    <col min="15876" max="15876" width="11" customWidth="1"/>
    <col min="15877" max="15877" width="9.5703125" customWidth="1"/>
    <col min="15878" max="15878" width="9.7109375" customWidth="1"/>
    <col min="15879" max="15879" width="9.85546875" customWidth="1"/>
    <col min="15880" max="15880" width="9.28515625" customWidth="1"/>
    <col min="16129" max="16129" width="31.42578125" customWidth="1"/>
    <col min="16130" max="16130" width="15" customWidth="1"/>
    <col min="16131" max="16131" width="10.28515625" customWidth="1"/>
    <col min="16132" max="16132" width="11" customWidth="1"/>
    <col min="16133" max="16133" width="9.5703125" customWidth="1"/>
    <col min="16134" max="16134" width="9.7109375" customWidth="1"/>
    <col min="16135" max="16135" width="9.85546875" customWidth="1"/>
    <col min="16136" max="16136" width="9.28515625" customWidth="1"/>
  </cols>
  <sheetData>
    <row r="2" spans="1:20" ht="13.5" thickBot="1" x14ac:dyDescent="0.25"/>
    <row r="3" spans="1:20" ht="174" customHeight="1" thickBot="1" x14ac:dyDescent="0.25">
      <c r="A3" s="780" t="s">
        <v>1054</v>
      </c>
      <c r="B3" s="781"/>
      <c r="C3" s="770" t="s">
        <v>538</v>
      </c>
      <c r="D3" s="771"/>
      <c r="E3" s="772"/>
      <c r="F3" s="770" t="s">
        <v>539</v>
      </c>
      <c r="G3" s="771"/>
      <c r="H3" s="772"/>
      <c r="I3" s="770" t="s">
        <v>540</v>
      </c>
      <c r="J3" s="771"/>
      <c r="K3" s="772"/>
      <c r="L3" s="770" t="s">
        <v>541</v>
      </c>
      <c r="M3" s="771"/>
      <c r="N3" s="772"/>
      <c r="O3" s="770" t="s">
        <v>542</v>
      </c>
      <c r="P3" s="771"/>
      <c r="Q3" s="772"/>
      <c r="R3" s="770" t="s">
        <v>543</v>
      </c>
      <c r="S3" s="771"/>
      <c r="T3" s="772"/>
    </row>
    <row r="4" spans="1:20" ht="15.75" customHeight="1" x14ac:dyDescent="0.2">
      <c r="A4" s="592" t="s">
        <v>544</v>
      </c>
      <c r="B4" s="593" t="s">
        <v>545</v>
      </c>
      <c r="C4" s="593" t="s">
        <v>546</v>
      </c>
      <c r="D4" s="593" t="s">
        <v>547</v>
      </c>
      <c r="E4" s="594" t="s">
        <v>548</v>
      </c>
      <c r="F4" s="595" t="s">
        <v>546</v>
      </c>
      <c r="G4" s="595" t="s">
        <v>547</v>
      </c>
      <c r="H4" s="596" t="s">
        <v>548</v>
      </c>
      <c r="I4" s="595" t="s">
        <v>546</v>
      </c>
      <c r="J4" s="595" t="s">
        <v>547</v>
      </c>
      <c r="K4" s="596" t="s">
        <v>548</v>
      </c>
      <c r="L4" s="595" t="s">
        <v>546</v>
      </c>
      <c r="M4" s="595" t="s">
        <v>547</v>
      </c>
      <c r="N4" s="596" t="s">
        <v>548</v>
      </c>
      <c r="O4" s="595" t="s">
        <v>546</v>
      </c>
      <c r="P4" s="595" t="s">
        <v>547</v>
      </c>
      <c r="Q4" s="596" t="s">
        <v>548</v>
      </c>
      <c r="R4" s="595" t="s">
        <v>546</v>
      </c>
      <c r="S4" s="595" t="s">
        <v>547</v>
      </c>
      <c r="T4" s="596" t="s">
        <v>548</v>
      </c>
    </row>
    <row r="5" spans="1:20" x14ac:dyDescent="0.2">
      <c r="A5" s="597" t="s">
        <v>549</v>
      </c>
      <c r="B5" s="598">
        <v>4.2</v>
      </c>
      <c r="C5" s="599">
        <v>3</v>
      </c>
      <c r="D5" s="599">
        <v>4</v>
      </c>
      <c r="E5" s="599">
        <v>5.5</v>
      </c>
      <c r="F5" s="599">
        <v>3.8</v>
      </c>
      <c r="G5" s="600">
        <v>4.01</v>
      </c>
      <c r="H5" s="600">
        <v>4.67</v>
      </c>
      <c r="I5" s="600">
        <v>3.43</v>
      </c>
      <c r="J5" s="600">
        <v>4.93</v>
      </c>
      <c r="K5" s="600">
        <v>6.71</v>
      </c>
      <c r="L5" s="601">
        <v>1.5</v>
      </c>
      <c r="M5" s="601">
        <v>3.45</v>
      </c>
      <c r="N5" s="601">
        <v>4.49</v>
      </c>
      <c r="O5" s="601">
        <v>5.29</v>
      </c>
      <c r="P5" s="601">
        <v>5.92</v>
      </c>
      <c r="Q5" s="601">
        <v>7.93</v>
      </c>
      <c r="R5" s="600">
        <v>4</v>
      </c>
      <c r="S5" s="600">
        <v>5.52</v>
      </c>
      <c r="T5" s="600" t="s">
        <v>550</v>
      </c>
    </row>
    <row r="6" spans="1:20" x14ac:dyDescent="0.2">
      <c r="A6" s="602" t="s">
        <v>551</v>
      </c>
      <c r="B6" s="603">
        <v>0.55000000000000004</v>
      </c>
      <c r="C6" s="604">
        <v>0.8</v>
      </c>
      <c r="D6" s="604">
        <v>0.8</v>
      </c>
      <c r="E6" s="604">
        <v>1</v>
      </c>
      <c r="F6" s="604">
        <v>0.32</v>
      </c>
      <c r="G6" s="601">
        <v>0.4</v>
      </c>
      <c r="H6" s="601">
        <v>0.74</v>
      </c>
      <c r="I6" s="601">
        <v>0.28000000000000003</v>
      </c>
      <c r="J6" s="601">
        <v>0.49</v>
      </c>
      <c r="K6" s="601">
        <v>0.75</v>
      </c>
      <c r="L6" s="601">
        <v>0.3</v>
      </c>
      <c r="M6" s="601">
        <v>0.48</v>
      </c>
      <c r="N6" s="601">
        <v>0.82</v>
      </c>
      <c r="O6" s="601">
        <v>0.25</v>
      </c>
      <c r="P6" s="601">
        <v>0.51</v>
      </c>
      <c r="Q6" s="601">
        <v>0.56000000000000005</v>
      </c>
      <c r="R6" s="601">
        <v>0.81</v>
      </c>
      <c r="S6" s="601">
        <v>1.22</v>
      </c>
      <c r="T6" s="601">
        <v>1.99</v>
      </c>
    </row>
    <row r="7" spans="1:20" x14ac:dyDescent="0.2">
      <c r="A7" s="602" t="s">
        <v>552</v>
      </c>
      <c r="B7" s="603">
        <v>0.8</v>
      </c>
      <c r="C7" s="604">
        <v>0.97</v>
      </c>
      <c r="D7" s="604">
        <v>1.27</v>
      </c>
      <c r="E7" s="604">
        <v>1.27</v>
      </c>
      <c r="F7" s="604">
        <v>0.5</v>
      </c>
      <c r="G7" s="601">
        <v>0.56000000000000005</v>
      </c>
      <c r="H7" s="601">
        <v>0.97</v>
      </c>
      <c r="I7" s="601">
        <v>1</v>
      </c>
      <c r="J7" s="601">
        <v>1.39</v>
      </c>
      <c r="K7" s="601">
        <v>1.74</v>
      </c>
      <c r="L7" s="601">
        <v>0.56000000000000005</v>
      </c>
      <c r="M7" s="601">
        <v>0.85</v>
      </c>
      <c r="N7" s="601">
        <v>0.89</v>
      </c>
      <c r="O7" s="601">
        <v>1</v>
      </c>
      <c r="P7" s="601">
        <v>1.48</v>
      </c>
      <c r="Q7" s="601">
        <v>1.97</v>
      </c>
      <c r="R7" s="601">
        <v>1.46</v>
      </c>
      <c r="S7" s="601">
        <v>2.3199999999999998</v>
      </c>
      <c r="T7" s="601">
        <v>3.16</v>
      </c>
    </row>
    <row r="8" spans="1:20" x14ac:dyDescent="0.2">
      <c r="A8" s="602" t="s">
        <v>553</v>
      </c>
      <c r="B8" s="603">
        <v>1.1499999999999999</v>
      </c>
      <c r="C8" s="604">
        <v>0.59</v>
      </c>
      <c r="D8" s="605">
        <v>1.23</v>
      </c>
      <c r="E8" s="606">
        <v>1.39</v>
      </c>
      <c r="F8" s="601">
        <v>1.02</v>
      </c>
      <c r="G8" s="601">
        <v>1.1100000000000001</v>
      </c>
      <c r="H8" s="607">
        <v>1.21</v>
      </c>
      <c r="I8" s="601">
        <v>0.94</v>
      </c>
      <c r="J8" s="601">
        <v>0.99</v>
      </c>
      <c r="K8" s="607">
        <v>1.17</v>
      </c>
      <c r="L8" s="601">
        <v>0.85</v>
      </c>
      <c r="M8" s="601">
        <v>0.85</v>
      </c>
      <c r="N8" s="607">
        <v>1.1100000000000001</v>
      </c>
      <c r="O8" s="601">
        <v>1.01</v>
      </c>
      <c r="P8" s="601">
        <v>1.07</v>
      </c>
      <c r="Q8" s="607">
        <v>1.1100000000000001</v>
      </c>
      <c r="R8" s="601">
        <v>0.94</v>
      </c>
      <c r="S8" s="601">
        <v>1.02</v>
      </c>
      <c r="T8" s="607">
        <v>1.33</v>
      </c>
    </row>
    <row r="9" spans="1:20" x14ac:dyDescent="0.2">
      <c r="A9" s="602" t="s">
        <v>554</v>
      </c>
      <c r="B9" s="603">
        <v>7.95</v>
      </c>
      <c r="C9" s="608">
        <v>6.16</v>
      </c>
      <c r="D9" s="609">
        <v>7.4</v>
      </c>
      <c r="E9" s="610">
        <v>8.9600000000000009</v>
      </c>
      <c r="F9" s="611">
        <v>6.64</v>
      </c>
      <c r="G9" s="611">
        <v>7.3</v>
      </c>
      <c r="H9" s="612">
        <v>8.69</v>
      </c>
      <c r="I9" s="611">
        <v>6.74</v>
      </c>
      <c r="J9" s="611">
        <v>8.0399999999999991</v>
      </c>
      <c r="K9" s="612">
        <v>9.4</v>
      </c>
      <c r="L9" s="601">
        <v>3.5</v>
      </c>
      <c r="M9" s="601">
        <v>5.1100000000000003</v>
      </c>
      <c r="N9" s="612">
        <v>6.22</v>
      </c>
      <c r="O9" s="613">
        <v>8</v>
      </c>
      <c r="P9" s="611">
        <v>8.31</v>
      </c>
      <c r="Q9" s="612">
        <v>9.51</v>
      </c>
      <c r="R9" s="611">
        <v>7.14</v>
      </c>
      <c r="S9" s="611">
        <v>8.4</v>
      </c>
      <c r="T9" s="612">
        <v>10.43</v>
      </c>
    </row>
    <row r="10" spans="1:20" x14ac:dyDescent="0.2">
      <c r="A10" s="614" t="s">
        <v>555</v>
      </c>
      <c r="B10" s="615">
        <f>0.65+3+2.5+4.5</f>
        <v>10.65</v>
      </c>
      <c r="C10" s="773" t="s">
        <v>556</v>
      </c>
      <c r="D10" s="773"/>
      <c r="E10" s="774"/>
      <c r="F10" s="773"/>
      <c r="G10" s="773"/>
      <c r="H10" s="773"/>
      <c r="I10" s="773"/>
      <c r="J10" s="773"/>
      <c r="K10" s="773"/>
      <c r="L10" s="773"/>
      <c r="M10" s="773"/>
      <c r="N10" s="773"/>
      <c r="O10" s="773"/>
      <c r="P10" s="773"/>
      <c r="Q10" s="773"/>
      <c r="R10" s="773"/>
      <c r="S10" s="773"/>
      <c r="T10" s="773"/>
    </row>
    <row r="11" spans="1:20" ht="13.5" thickBot="1" x14ac:dyDescent="0.25">
      <c r="C11" s="69"/>
      <c r="D11" s="69"/>
      <c r="E11" s="69"/>
    </row>
    <row r="12" spans="1:20" ht="13.5" thickBot="1" x14ac:dyDescent="0.25">
      <c r="A12" s="775" t="s">
        <v>557</v>
      </c>
      <c r="B12" s="775"/>
      <c r="C12" s="775"/>
      <c r="D12" s="775"/>
      <c r="E12" s="69"/>
      <c r="F12" s="776" t="s">
        <v>558</v>
      </c>
      <c r="G12" s="777"/>
      <c r="H12" s="777"/>
      <c r="I12" s="777"/>
      <c r="J12" s="777"/>
      <c r="K12" s="777"/>
      <c r="L12" s="777"/>
      <c r="M12" s="777"/>
      <c r="N12" s="778"/>
    </row>
    <row r="13" spans="1:20" ht="13.5" thickBot="1" x14ac:dyDescent="0.25">
      <c r="A13" s="779" t="s">
        <v>559</v>
      </c>
      <c r="B13" s="779"/>
      <c r="C13" s="779"/>
      <c r="D13" s="779"/>
      <c r="E13" s="69"/>
      <c r="F13" s="776" t="s">
        <v>560</v>
      </c>
      <c r="G13" s="777"/>
      <c r="H13" s="777"/>
      <c r="I13" s="777"/>
      <c r="J13" s="777"/>
      <c r="K13" s="777"/>
      <c r="L13" s="616" t="s">
        <v>546</v>
      </c>
      <c r="M13" s="617" t="s">
        <v>547</v>
      </c>
      <c r="N13" s="618" t="s">
        <v>548</v>
      </c>
    </row>
    <row r="14" spans="1:20" ht="25.5" customHeight="1" x14ac:dyDescent="0.2">
      <c r="A14" s="763" t="s">
        <v>561</v>
      </c>
      <c r="B14" s="763"/>
      <c r="C14" s="763"/>
      <c r="D14" s="763"/>
      <c r="E14" s="69"/>
      <c r="F14" s="764" t="s">
        <v>562</v>
      </c>
      <c r="G14" s="765"/>
      <c r="H14" s="765"/>
      <c r="I14" s="765"/>
      <c r="J14" s="765"/>
      <c r="K14" s="766"/>
      <c r="L14" s="619">
        <v>20.34</v>
      </c>
      <c r="M14" s="619">
        <v>22.12</v>
      </c>
      <c r="N14" s="619">
        <v>25</v>
      </c>
    </row>
    <row r="15" spans="1:20" ht="27" customHeight="1" x14ac:dyDescent="0.2">
      <c r="A15" s="763" t="s">
        <v>563</v>
      </c>
      <c r="B15" s="763"/>
      <c r="C15" s="763"/>
      <c r="D15" s="763"/>
      <c r="F15" s="757" t="s">
        <v>564</v>
      </c>
      <c r="G15" s="758"/>
      <c r="H15" s="758"/>
      <c r="I15" s="758"/>
      <c r="J15" s="758"/>
      <c r="K15" s="759"/>
      <c r="L15" s="620">
        <v>19.600000000000001</v>
      </c>
      <c r="M15" s="620">
        <v>20.97</v>
      </c>
      <c r="N15" s="620">
        <v>24.23</v>
      </c>
    </row>
    <row r="16" spans="1:20" ht="20.25" x14ac:dyDescent="0.3">
      <c r="A16" s="621" t="s">
        <v>565</v>
      </c>
      <c r="B16" s="622">
        <f>((1+(B5+B6+B7)/100)*((1+B8/100)*(1+B9/100))/(1-B10/100))-1</f>
        <v>0.28989999999999999</v>
      </c>
      <c r="C16" s="623"/>
      <c r="D16" s="623"/>
      <c r="F16" s="757" t="s">
        <v>566</v>
      </c>
      <c r="G16" s="758"/>
      <c r="H16" s="758"/>
      <c r="I16" s="758"/>
      <c r="J16" s="758"/>
      <c r="K16" s="759"/>
      <c r="L16" s="620">
        <v>20.76</v>
      </c>
      <c r="M16" s="620">
        <v>24.18</v>
      </c>
      <c r="N16" s="620">
        <v>26.44</v>
      </c>
    </row>
    <row r="17" spans="1:14" ht="18" x14ac:dyDescent="0.2">
      <c r="A17" s="767" t="s">
        <v>567</v>
      </c>
      <c r="B17" s="768"/>
      <c r="C17" s="768"/>
      <c r="D17" s="769"/>
      <c r="F17" s="757" t="s">
        <v>568</v>
      </c>
      <c r="G17" s="758"/>
      <c r="H17" s="758"/>
      <c r="I17" s="758"/>
      <c r="J17" s="758"/>
      <c r="K17" s="759"/>
      <c r="L17" s="620">
        <v>24</v>
      </c>
      <c r="M17" s="620">
        <v>25.84</v>
      </c>
      <c r="N17" s="620">
        <v>27.86</v>
      </c>
    </row>
    <row r="18" spans="1:14" ht="22.5" customHeight="1" x14ac:dyDescent="0.2">
      <c r="A18" s="624"/>
      <c r="B18" s="625"/>
      <c r="C18" s="625"/>
      <c r="D18" s="626"/>
      <c r="F18" s="757" t="s">
        <v>569</v>
      </c>
      <c r="G18" s="758"/>
      <c r="H18" s="758"/>
      <c r="I18" s="758"/>
      <c r="J18" s="758"/>
      <c r="K18" s="759"/>
      <c r="L18" s="620">
        <v>22.8</v>
      </c>
      <c r="M18" s="620">
        <v>27.48</v>
      </c>
      <c r="N18" s="620">
        <v>30.95</v>
      </c>
    </row>
    <row r="19" spans="1:14" ht="26.25" customHeight="1" x14ac:dyDescent="0.2">
      <c r="A19" s="627"/>
      <c r="D19" s="57"/>
      <c r="F19" s="760" t="s">
        <v>570</v>
      </c>
      <c r="G19" s="761"/>
      <c r="H19" s="761"/>
      <c r="I19" s="761"/>
      <c r="J19" s="761"/>
      <c r="K19" s="762"/>
      <c r="L19" s="628">
        <v>11.1</v>
      </c>
      <c r="M19" s="628">
        <v>14.02</v>
      </c>
      <c r="N19" s="628">
        <v>16.8</v>
      </c>
    </row>
    <row r="20" spans="1:14" x14ac:dyDescent="0.2">
      <c r="A20" s="629"/>
      <c r="B20" s="630"/>
      <c r="C20" s="630"/>
      <c r="D20" s="631"/>
    </row>
    <row r="22" spans="1:14" x14ac:dyDescent="0.2">
      <c r="A22" s="53"/>
      <c r="B22" s="103"/>
      <c r="C22" s="103"/>
    </row>
    <row r="23" spans="1:14" x14ac:dyDescent="0.2">
      <c r="A23" s="632"/>
    </row>
    <row r="25" spans="1:14" x14ac:dyDescent="0.2">
      <c r="A25" s="53"/>
    </row>
    <row r="26" spans="1:14" x14ac:dyDescent="0.2">
      <c r="A26" s="53"/>
    </row>
    <row r="29" spans="1:14" x14ac:dyDescent="0.2">
      <c r="A29" s="53"/>
    </row>
  </sheetData>
  <mergeCells count="21">
    <mergeCell ref="R3:T3"/>
    <mergeCell ref="C10:T10"/>
    <mergeCell ref="A12:D12"/>
    <mergeCell ref="F12:N12"/>
    <mergeCell ref="A13:D13"/>
    <mergeCell ref="F13:K13"/>
    <mergeCell ref="A3:B3"/>
    <mergeCell ref="C3:E3"/>
    <mergeCell ref="F3:H3"/>
    <mergeCell ref="I3:K3"/>
    <mergeCell ref="L3:N3"/>
    <mergeCell ref="O3:Q3"/>
    <mergeCell ref="F18:K18"/>
    <mergeCell ref="F19:K19"/>
    <mergeCell ref="A14:D14"/>
    <mergeCell ref="F14:K14"/>
    <mergeCell ref="A15:D15"/>
    <mergeCell ref="F15:K15"/>
    <mergeCell ref="F16:K16"/>
    <mergeCell ref="A17:D17"/>
    <mergeCell ref="F17:K17"/>
  </mergeCells>
  <printOptions horizontalCentered="1"/>
  <pageMargins left="0.19685039370078741" right="0.19685039370078741" top="0.39370078740157483" bottom="0.78740157480314965" header="0.31496062992125984" footer="0.31496062992125984"/>
  <pageSetup paperSize="9" scale="67" orientation="landscape" r:id="rId1"/>
  <rowBreaks count="1" manualBreakCount="1">
    <brk id="21" max="19" man="1"/>
  </rowBreaks>
  <drawing r:id="rId2"/>
  <legacyDrawing r:id="rId3"/>
  <oleObjects>
    <mc:AlternateContent xmlns:mc="http://schemas.openxmlformats.org/markup-compatibility/2006">
      <mc:Choice Requires="x14">
        <oleObject progId="Microsoft Equation 3.0" shapeId="30721" r:id="rId4">
          <objectPr defaultSize="0" autoPict="0" r:id="rId5">
            <anchor moveWithCells="1" sizeWithCells="1">
              <from>
                <xdr:col>0</xdr:col>
                <xdr:colOff>304800</xdr:colOff>
                <xdr:row>17</xdr:row>
                <xdr:rowOff>76200</xdr:rowOff>
              </from>
              <to>
                <xdr:col>3</xdr:col>
                <xdr:colOff>428625</xdr:colOff>
                <xdr:row>19</xdr:row>
                <xdr:rowOff>142875</xdr:rowOff>
              </to>
            </anchor>
          </objectPr>
        </oleObject>
      </mc:Choice>
      <mc:Fallback>
        <oleObject progId="Microsoft Equation 3.0" shapeId="30721" r:id="rId4"/>
      </mc:Fallback>
    </mc:AlternateContent>
  </oleObject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6CE5D3-6C9F-4609-BBB9-44AD3AE29D56}">
  <dimension ref="A1"/>
  <sheetViews>
    <sheetView view="pageBreakPreview" zoomScale="80" zoomScaleNormal="100" zoomScaleSheetLayoutView="80" workbookViewId="0">
      <selection activeCell="W25" sqref="W25"/>
    </sheetView>
  </sheetViews>
  <sheetFormatPr defaultRowHeight="12.75" x14ac:dyDescent="0.2"/>
  <cols>
    <col min="19" max="19" width="5.28515625" customWidth="1"/>
  </cols>
  <sheetData/>
  <printOptions horizontalCentered="1"/>
  <pageMargins left="0.31496062992125984" right="0.31496062992125984" top="0.39370078740157483" bottom="0.59055118110236227" header="0.31496062992125984" footer="0.31496062992125984"/>
  <pageSetup paperSize="9" scale="56"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FB0501-FDC4-4037-BB35-A66EE0F04490}">
  <dimension ref="B1:S26"/>
  <sheetViews>
    <sheetView view="pageBreakPreview" zoomScale="97" zoomScaleNormal="100" zoomScaleSheetLayoutView="97" workbookViewId="0">
      <selection activeCell="O28" activeCellId="1" sqref="R15 O28"/>
    </sheetView>
  </sheetViews>
  <sheetFormatPr defaultRowHeight="12.75" x14ac:dyDescent="0.2"/>
  <cols>
    <col min="2" max="2" width="5.85546875" customWidth="1"/>
    <col min="3" max="3" width="2.5703125" hidden="1" customWidth="1"/>
    <col min="4" max="4" width="5" hidden="1" customWidth="1"/>
    <col min="5" max="5" width="40.7109375" customWidth="1"/>
    <col min="6" max="6" width="15.140625" customWidth="1"/>
    <col min="7" max="7" width="17.85546875" hidden="1" customWidth="1"/>
    <col min="8" max="8" width="15.5703125" customWidth="1"/>
    <col min="9" max="9" width="11.140625" customWidth="1"/>
    <col min="10" max="10" width="12.5703125" customWidth="1"/>
    <col min="11" max="11" width="10.5703125" customWidth="1"/>
    <col min="12" max="12" width="12.85546875" customWidth="1"/>
    <col min="13" max="13" width="17.42578125" customWidth="1"/>
    <col min="15" max="15" width="13.7109375" bestFit="1" customWidth="1"/>
    <col min="16" max="16" width="16.140625" bestFit="1" customWidth="1"/>
  </cols>
  <sheetData>
    <row r="1" spans="2:19" ht="26.25" customHeight="1" x14ac:dyDescent="0.2"/>
    <row r="2" spans="2:19" ht="35.25" customHeight="1" x14ac:dyDescent="0.2"/>
    <row r="3" spans="2:19" x14ac:dyDescent="0.2">
      <c r="B3" s="782" t="s">
        <v>46</v>
      </c>
      <c r="C3" s="782"/>
      <c r="D3" s="782"/>
      <c r="E3" s="782"/>
      <c r="F3" s="782"/>
      <c r="G3" s="782"/>
      <c r="H3" s="782"/>
      <c r="I3" s="782"/>
      <c r="J3" s="782"/>
      <c r="K3" s="782"/>
      <c r="L3" s="782"/>
      <c r="M3" s="782"/>
    </row>
    <row r="4" spans="2:19" ht="15" x14ac:dyDescent="0.25">
      <c r="B4" s="783" t="s">
        <v>114</v>
      </c>
      <c r="C4" s="783"/>
      <c r="D4" s="783"/>
      <c r="E4" s="783"/>
      <c r="F4" s="783"/>
      <c r="G4" s="783"/>
      <c r="H4" s="783"/>
      <c r="I4" s="783"/>
      <c r="J4" s="783"/>
      <c r="K4" s="783"/>
      <c r="L4" s="783"/>
      <c r="M4" s="783"/>
    </row>
    <row r="5" spans="2:19" ht="33" customHeight="1" x14ac:dyDescent="0.25">
      <c r="B5" s="783" t="s">
        <v>1055</v>
      </c>
      <c r="C5" s="783"/>
      <c r="D5" s="783"/>
      <c r="E5" s="783"/>
      <c r="F5" s="783"/>
      <c r="G5" s="783"/>
      <c r="H5" s="783"/>
      <c r="I5" s="783"/>
      <c r="J5" s="783"/>
      <c r="K5" s="783"/>
      <c r="L5" s="783"/>
      <c r="M5" s="783"/>
    </row>
    <row r="6" spans="2:19" ht="3.75" customHeight="1" x14ac:dyDescent="0.25">
      <c r="B6" s="755"/>
      <c r="C6" s="755"/>
      <c r="D6" s="755"/>
      <c r="E6" s="755"/>
      <c r="F6" s="522"/>
      <c r="G6" s="523"/>
    </row>
    <row r="7" spans="2:19" ht="18" customHeight="1" x14ac:dyDescent="0.25">
      <c r="B7" s="784" t="s">
        <v>513</v>
      </c>
      <c r="C7" s="784"/>
      <c r="D7" s="784"/>
      <c r="E7" s="784"/>
      <c r="F7" s="784"/>
      <c r="G7" s="784"/>
      <c r="H7" s="784"/>
      <c r="I7" s="784"/>
      <c r="J7" s="784"/>
      <c r="K7" s="784"/>
      <c r="L7" s="784"/>
      <c r="M7" s="784"/>
    </row>
    <row r="8" spans="2:19" ht="15.75" thickBot="1" x14ac:dyDescent="0.3">
      <c r="B8" s="258"/>
    </row>
    <row r="9" spans="2:19" ht="42" customHeight="1" x14ac:dyDescent="0.2">
      <c r="B9" s="785" t="s">
        <v>53</v>
      </c>
      <c r="C9" s="786"/>
      <c r="D9" s="524"/>
      <c r="E9" s="525" t="s">
        <v>327</v>
      </c>
      <c r="F9" s="525" t="s">
        <v>514</v>
      </c>
      <c r="G9" s="525" t="s">
        <v>515</v>
      </c>
      <c r="H9" s="525" t="s">
        <v>516</v>
      </c>
      <c r="I9" s="525" t="s">
        <v>517</v>
      </c>
      <c r="J9" s="525" t="s">
        <v>518</v>
      </c>
      <c r="K9" s="525" t="s">
        <v>520</v>
      </c>
      <c r="L9" s="525" t="s">
        <v>519</v>
      </c>
      <c r="M9" s="526" t="s">
        <v>61</v>
      </c>
    </row>
    <row r="10" spans="2:19" ht="26.25" customHeight="1" x14ac:dyDescent="0.2">
      <c r="B10" s="787">
        <v>1</v>
      </c>
      <c r="C10" s="788"/>
      <c r="D10" s="536"/>
      <c r="E10" s="537" t="str">
        <f>'Maria Livramento - T1'!A6</f>
        <v>Rua Maria Livramento P. Lima (Trecho 01)</v>
      </c>
      <c r="F10" s="538">
        <f>'Maria Livramento - T1'!H2</f>
        <v>131.22</v>
      </c>
      <c r="G10" s="538"/>
      <c r="H10" s="538">
        <f>'Maria Livramento - T1'!E29</f>
        <v>792.7</v>
      </c>
      <c r="I10" s="538">
        <f>'Maria Livramento - T1'!E32</f>
        <v>262.48</v>
      </c>
      <c r="J10" s="538">
        <f>'Maria Livramento - T1'!G41</f>
        <v>314.98</v>
      </c>
      <c r="K10" s="538">
        <f>'Maria Livramento - T1'!E52</f>
        <v>36</v>
      </c>
      <c r="L10" s="538">
        <f>'Maria Livramento - T1'!D98</f>
        <v>2</v>
      </c>
      <c r="M10" s="541">
        <f>'Maria Livramento - T1'!F106</f>
        <v>136769.73000000001</v>
      </c>
    </row>
    <row r="11" spans="2:19" ht="24" customHeight="1" x14ac:dyDescent="0.2">
      <c r="B11" s="787">
        <v>2</v>
      </c>
      <c r="C11" s="788"/>
      <c r="D11" s="539"/>
      <c r="E11" s="540" t="str">
        <f>'Maria Livramento - T2'!A6</f>
        <v>Rua Maria Livramento P. Lima (Trecho 02)</v>
      </c>
      <c r="F11" s="538">
        <f>'Maria Livramento - T2'!H2</f>
        <v>108.51</v>
      </c>
      <c r="G11" s="538" t="e">
        <f>#REF!</f>
        <v>#REF!</v>
      </c>
      <c r="H11" s="538">
        <f>'Maria Livramento - T2'!E32</f>
        <v>660.02</v>
      </c>
      <c r="I11" s="538">
        <f>'Maria Livramento - T2'!E35</f>
        <v>209.32</v>
      </c>
      <c r="J11" s="538">
        <f>'Maria Livramento - T2'!G44</f>
        <v>251.18</v>
      </c>
      <c r="K11" s="538">
        <f>'Maria Livramento - T2'!E55</f>
        <v>36</v>
      </c>
      <c r="L11" s="538">
        <f>'Maria Livramento - T2'!D100</f>
        <v>1</v>
      </c>
      <c r="M11" s="541">
        <f>'Maria Livramento - T2'!F108</f>
        <v>109043.08</v>
      </c>
    </row>
    <row r="12" spans="2:19" ht="24" customHeight="1" x14ac:dyDescent="0.2">
      <c r="B12" s="787">
        <v>3</v>
      </c>
      <c r="C12" s="788"/>
      <c r="D12" s="539"/>
      <c r="E12" s="540" t="str">
        <f>'Fábio Vaz - T1'!A6</f>
        <v>Rua Fábio Barbosa Vaz (Trecho 01)</v>
      </c>
      <c r="F12" s="538">
        <f>'Fábio Vaz - T1'!H2</f>
        <v>129.91999999999999</v>
      </c>
      <c r="G12" s="538" t="e">
        <f>#REF!</f>
        <v>#REF!</v>
      </c>
      <c r="H12" s="538">
        <f>'Fábio Vaz - T1'!E37</f>
        <v>725.84</v>
      </c>
      <c r="I12" s="538">
        <f>'Fábio Vaz - T1'!E40</f>
        <v>259.95</v>
      </c>
      <c r="J12" s="538">
        <f>'Fábio Vaz - T1'!G49</f>
        <v>299.77</v>
      </c>
      <c r="K12" s="538">
        <f>'Fábio Vaz - T1'!E60</f>
        <v>36</v>
      </c>
      <c r="L12" s="538">
        <f>'Fábio Vaz - T1'!D106</f>
        <v>2</v>
      </c>
      <c r="M12" s="541">
        <f>'Fábio Vaz - T1'!F114</f>
        <v>122265.61</v>
      </c>
      <c r="S12" s="527"/>
    </row>
    <row r="13" spans="2:19" ht="24" customHeight="1" x14ac:dyDescent="0.2">
      <c r="B13" s="787">
        <v>4</v>
      </c>
      <c r="C13" s="788"/>
      <c r="D13" s="539"/>
      <c r="E13" s="540" t="str">
        <f>'Fábio Vaz - T2'!A6</f>
        <v>Rua Fábio Barbosa Vaz (Trecho 02)</v>
      </c>
      <c r="F13" s="538">
        <f>'Fábio Vaz - T2'!H2</f>
        <v>128.16</v>
      </c>
      <c r="G13" s="538" t="e">
        <f>#REF!</f>
        <v>#REF!</v>
      </c>
      <c r="H13" s="538">
        <f>'Fábio Vaz - T2'!E23</f>
        <v>646.34</v>
      </c>
      <c r="I13" s="538">
        <f>'Fábio Vaz - T2'!E26</f>
        <v>257.20999999999998</v>
      </c>
      <c r="J13" s="538">
        <f>'Fábio Vaz - T2'!G35</f>
        <v>296.86</v>
      </c>
      <c r="K13" s="538">
        <f>'Fábio Vaz - T2'!E46</f>
        <v>54</v>
      </c>
      <c r="L13" s="538">
        <f>'Fábio Vaz - T2'!D91</f>
        <v>2</v>
      </c>
      <c r="M13" s="541">
        <f>'Fábio Vaz - T2'!F99</f>
        <v>115755.19</v>
      </c>
      <c r="S13" s="527"/>
    </row>
    <row r="14" spans="2:19" ht="24" customHeight="1" x14ac:dyDescent="0.2">
      <c r="B14" s="787">
        <v>5</v>
      </c>
      <c r="C14" s="788"/>
      <c r="D14" s="539"/>
      <c r="E14" s="540" t="str">
        <f>'José Vieira - T1'!A6</f>
        <v>Rua José Vieira (Trecho 01)</v>
      </c>
      <c r="F14" s="538">
        <f>'José Vieira - T1'!E14</f>
        <v>63.93</v>
      </c>
      <c r="G14" s="538" t="e">
        <f>#REF!</f>
        <v>#REF!</v>
      </c>
      <c r="H14" s="538">
        <f>'José Vieira - T1'!D66</f>
        <v>341.76</v>
      </c>
      <c r="I14" s="538">
        <f>'José Vieira - T1'!D69</f>
        <v>131.03</v>
      </c>
      <c r="J14" s="538">
        <f>'José Vieira - T1'!G29</f>
        <v>149.15</v>
      </c>
      <c r="K14" s="538">
        <f>'José Vieira - T1'!E40</f>
        <v>36</v>
      </c>
      <c r="L14" s="538">
        <f>'José Vieira - T1'!D85</f>
        <v>2</v>
      </c>
      <c r="M14" s="541">
        <f>'José Vieira - T1'!F93</f>
        <v>58717.06</v>
      </c>
    </row>
    <row r="15" spans="2:19" ht="24" customHeight="1" x14ac:dyDescent="0.2">
      <c r="B15" s="787">
        <v>6</v>
      </c>
      <c r="C15" s="788"/>
      <c r="D15" s="539"/>
      <c r="E15" s="540" t="str">
        <f>'José Vieira - T2'!A6</f>
        <v>Rua José Vieira (Trecho 02)</v>
      </c>
      <c r="F15" s="538">
        <f>'José Vieira - T2'!E29</f>
        <v>112.1</v>
      </c>
      <c r="G15" s="538" t="e">
        <f>#REF!</f>
        <v>#REF!</v>
      </c>
      <c r="H15" s="538">
        <f>'José Vieira - T2'!D81</f>
        <v>681.86</v>
      </c>
      <c r="I15" s="538">
        <f>'José Vieira - T2'!D84</f>
        <v>227.24</v>
      </c>
      <c r="J15" s="538">
        <f>'José Vieira - T2'!G44</f>
        <v>256.7</v>
      </c>
      <c r="K15" s="538">
        <f>'José Vieira - T2'!E55</f>
        <v>36</v>
      </c>
      <c r="L15" s="538">
        <f>'José Vieira - T2'!E58</f>
        <v>2</v>
      </c>
      <c r="M15" s="541">
        <f>'José Vieira - T2'!F108</f>
        <v>110775.93</v>
      </c>
      <c r="S15" s="527"/>
    </row>
    <row r="16" spans="2:19" ht="24" customHeight="1" x14ac:dyDescent="0.2">
      <c r="B16" s="787">
        <v>7</v>
      </c>
      <c r="C16" s="788"/>
      <c r="D16" s="539"/>
      <c r="E16" s="540" t="str">
        <f>'José Vieira - T3'!A6</f>
        <v>Rua José Vieira (Trecho 03)</v>
      </c>
      <c r="F16" s="538">
        <f>'José Vieira - T3'!E19</f>
        <v>56.12</v>
      </c>
      <c r="G16" s="538" t="e">
        <f>#REF!</f>
        <v>#REF!</v>
      </c>
      <c r="H16" s="538">
        <f>'José Vieira - T3'!D67</f>
        <v>327.10000000000002</v>
      </c>
      <c r="I16" s="538">
        <f>'José Vieira - T3'!D70</f>
        <v>112.59</v>
      </c>
      <c r="J16" s="538">
        <f>'José Vieira - T3'!G30</f>
        <v>110.57</v>
      </c>
      <c r="K16" s="538">
        <f>'José Vieira - T3'!E41</f>
        <v>18</v>
      </c>
      <c r="L16" s="538">
        <f>'José Vieira - T3'!E44</f>
        <v>2</v>
      </c>
      <c r="M16" s="541">
        <f>'José Vieira - T3'!F92</f>
        <v>52130.06</v>
      </c>
      <c r="S16" s="527"/>
    </row>
    <row r="17" spans="2:19" ht="24" customHeight="1" x14ac:dyDescent="0.2">
      <c r="B17" s="787">
        <v>8</v>
      </c>
      <c r="C17" s="788"/>
      <c r="D17" s="539"/>
      <c r="E17" s="540" t="str">
        <f>'Genésio Andrade - T1'!A6</f>
        <v>Rua Genésio de Andrade (Trecho 01)</v>
      </c>
      <c r="F17" s="538">
        <f>'Genésio Andrade - T1'!E19</f>
        <v>128.63</v>
      </c>
      <c r="G17" s="538" t="e">
        <f>#REF!</f>
        <v>#REF!</v>
      </c>
      <c r="H17" s="538">
        <f>'Genésio Andrade - T1'!D69</f>
        <v>868.89</v>
      </c>
      <c r="I17" s="538">
        <f>'Genésio Andrade - T1'!D72</f>
        <v>257.36</v>
      </c>
      <c r="J17" s="538">
        <f>'Genésio Andrade - T1'!G32</f>
        <v>296.70999999999998</v>
      </c>
      <c r="K17" s="538">
        <f>'Genésio Andrade - T1'!E43</f>
        <v>36</v>
      </c>
      <c r="L17" s="538">
        <f>'Genésio Andrade - T1'!E46</f>
        <v>2</v>
      </c>
      <c r="M17" s="541">
        <f>'Genésio Andrade - T1'!F95</f>
        <v>137288.99</v>
      </c>
      <c r="S17" s="527"/>
    </row>
    <row r="18" spans="2:19" ht="24" customHeight="1" x14ac:dyDescent="0.2">
      <c r="B18" s="787">
        <v>9</v>
      </c>
      <c r="C18" s="788"/>
      <c r="D18" s="539"/>
      <c r="E18" s="540" t="str">
        <f>'Genésio Andrade - T2'!A6</f>
        <v>Rua Genésio de Andrade (Trecho 02)</v>
      </c>
      <c r="F18" s="538">
        <f>'Genésio Andrade - T2'!E24</f>
        <v>115.35</v>
      </c>
      <c r="G18" s="538" t="e">
        <f>#REF!</f>
        <v>#REF!</v>
      </c>
      <c r="H18" s="538">
        <f>'Genésio Andrade - T2'!D72</f>
        <v>659.61</v>
      </c>
      <c r="I18" s="538">
        <f>'Genésio Andrade - T2'!D75</f>
        <v>90.17</v>
      </c>
      <c r="J18" s="538">
        <f>'Genésio Andrade - T2'!G35</f>
        <v>94.45</v>
      </c>
      <c r="K18" s="538">
        <f>'Genésio Andrade - T2'!E46</f>
        <v>18</v>
      </c>
      <c r="L18" s="538">
        <f>'Genésio Andrade - T2'!E49</f>
        <v>1</v>
      </c>
      <c r="M18" s="541">
        <f>'Genésio Andrade - T2'!F97</f>
        <v>88594.46</v>
      </c>
      <c r="S18" s="527"/>
    </row>
    <row r="19" spans="2:19" ht="24" customHeight="1" x14ac:dyDescent="0.2">
      <c r="B19" s="787">
        <v>10</v>
      </c>
      <c r="C19" s="788"/>
      <c r="D19" s="539"/>
      <c r="E19" s="540" t="str">
        <f>'Travessa Cunha'!A6</f>
        <v>Travessa Cunha de Vasconcelos</v>
      </c>
      <c r="F19" s="538">
        <f>'Travessa Cunha'!E19</f>
        <v>58.31</v>
      </c>
      <c r="G19" s="538" t="e">
        <f>#REF!</f>
        <v>#REF!</v>
      </c>
      <c r="H19" s="538">
        <f>'Travessa Cunha'!D67</f>
        <v>320.68</v>
      </c>
      <c r="I19" s="538">
        <f>'Travessa Cunha'!D70</f>
        <v>118.22</v>
      </c>
      <c r="J19" s="538">
        <f>'Travessa Cunha'!G30</f>
        <v>125.89</v>
      </c>
      <c r="K19" s="538">
        <f>'Travessa Cunha'!E41</f>
        <v>18</v>
      </c>
      <c r="L19" s="538">
        <f>'Travessa Cunha'!E44</f>
        <v>1</v>
      </c>
      <c r="M19" s="541">
        <f>'Travessa Cunha'!F92</f>
        <v>52564.19</v>
      </c>
      <c r="S19" s="527"/>
    </row>
    <row r="20" spans="2:19" x14ac:dyDescent="0.2">
      <c r="B20" s="794"/>
      <c r="C20" s="795"/>
      <c r="D20" s="528"/>
      <c r="E20" s="796" t="s">
        <v>336</v>
      </c>
      <c r="F20" s="528"/>
      <c r="G20" s="528"/>
      <c r="H20" s="798">
        <f t="shared" ref="H20:M20" si="0">SUM(H10:H19)</f>
        <v>6024.8</v>
      </c>
      <c r="I20" s="798">
        <f t="shared" si="0"/>
        <v>1925.57</v>
      </c>
      <c r="J20" s="789">
        <f t="shared" si="0"/>
        <v>2196.2600000000002</v>
      </c>
      <c r="K20" s="789">
        <f t="shared" si="0"/>
        <v>324</v>
      </c>
      <c r="L20" s="789">
        <f t="shared" si="0"/>
        <v>17</v>
      </c>
      <c r="M20" s="791">
        <f t="shared" si="0"/>
        <v>983904.3</v>
      </c>
      <c r="O20" s="529"/>
    </row>
    <row r="21" spans="2:19" ht="13.5" thickBot="1" x14ac:dyDescent="0.25">
      <c r="B21" s="530"/>
      <c r="C21" s="531"/>
      <c r="D21" s="531"/>
      <c r="E21" s="797"/>
      <c r="F21" s="532"/>
      <c r="G21" s="532"/>
      <c r="H21" s="799"/>
      <c r="I21" s="799"/>
      <c r="J21" s="790"/>
      <c r="K21" s="790"/>
      <c r="L21" s="790"/>
      <c r="M21" s="792"/>
      <c r="O21" s="27"/>
    </row>
    <row r="22" spans="2:19" x14ac:dyDescent="0.2">
      <c r="B22" s="793"/>
      <c r="C22" s="793"/>
      <c r="D22" s="533"/>
      <c r="E22" s="534"/>
      <c r="F22" s="534"/>
      <c r="G22" s="534"/>
      <c r="H22" s="534"/>
      <c r="I22" s="534"/>
      <c r="J22" s="534"/>
      <c r="K22" s="534"/>
      <c r="L22" s="534"/>
      <c r="M22" s="533"/>
    </row>
    <row r="24" spans="2:19" x14ac:dyDescent="0.2">
      <c r="M24" s="155"/>
      <c r="P24" s="155"/>
    </row>
    <row r="25" spans="2:19" x14ac:dyDescent="0.2">
      <c r="M25" s="155"/>
    </row>
    <row r="26" spans="2:19" x14ac:dyDescent="0.2">
      <c r="M26" s="535"/>
    </row>
  </sheetData>
  <mergeCells count="25">
    <mergeCell ref="M20:M21"/>
    <mergeCell ref="B22:C22"/>
    <mergeCell ref="B20:C20"/>
    <mergeCell ref="E20:E21"/>
    <mergeCell ref="H20:H21"/>
    <mergeCell ref="I20:I21"/>
    <mergeCell ref="J20:J21"/>
    <mergeCell ref="K20:K21"/>
    <mergeCell ref="B9:C9"/>
    <mergeCell ref="B10:C10"/>
    <mergeCell ref="B11:C11"/>
    <mergeCell ref="B12:C12"/>
    <mergeCell ref="L20:L21"/>
    <mergeCell ref="B13:C13"/>
    <mergeCell ref="B14:C14"/>
    <mergeCell ref="B15:C15"/>
    <mergeCell ref="B16:C16"/>
    <mergeCell ref="B17:C17"/>
    <mergeCell ref="B18:C18"/>
    <mergeCell ref="B19:C19"/>
    <mergeCell ref="B3:M3"/>
    <mergeCell ref="B4:M4"/>
    <mergeCell ref="B6:E6"/>
    <mergeCell ref="B7:M7"/>
    <mergeCell ref="B5:M5"/>
  </mergeCells>
  <printOptions horizontalCentered="1"/>
  <pageMargins left="0.39370078740157483" right="0.39370078740157483" top="0.39370078740157483" bottom="0.59055118110236227" header="0.31496062992125984" footer="0.31496062992125984"/>
  <pageSetup paperSize="9" scale="85" orientation="landscape"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D82C21-CEF5-4F82-AF95-60B0DD846C2C}">
  <dimension ref="A2:R49"/>
  <sheetViews>
    <sheetView view="pageBreakPreview" topLeftCell="A14" zoomScale="98" zoomScaleNormal="100" zoomScaleSheetLayoutView="98" workbookViewId="0">
      <selection activeCell="L37" sqref="L37"/>
    </sheetView>
  </sheetViews>
  <sheetFormatPr defaultColWidth="9.42578125" defaultRowHeight="12.75" x14ac:dyDescent="0.2"/>
  <cols>
    <col min="1" max="1" width="6.85546875" style="668" customWidth="1"/>
    <col min="2" max="2" width="9.42578125" style="668"/>
    <col min="3" max="3" width="41.28515625" style="668" customWidth="1"/>
    <col min="4" max="5" width="15.7109375" style="668" customWidth="1"/>
    <col min="6" max="7" width="15.7109375" style="668" hidden="1" customWidth="1"/>
    <col min="8" max="8" width="8.140625" style="668" customWidth="1"/>
    <col min="9" max="16384" width="9.42578125" style="668"/>
  </cols>
  <sheetData>
    <row r="2" spans="1:18" ht="26.25" x14ac:dyDescent="0.2">
      <c r="A2" s="669"/>
      <c r="B2" s="669"/>
      <c r="C2" s="669"/>
      <c r="D2" s="669"/>
      <c r="E2" s="669"/>
      <c r="F2" s="669"/>
      <c r="G2" s="669"/>
      <c r="H2" s="669"/>
      <c r="I2" s="669"/>
      <c r="J2" s="669"/>
      <c r="K2" s="669"/>
      <c r="L2" s="669"/>
      <c r="M2" s="669"/>
      <c r="N2" s="669"/>
      <c r="O2" s="669"/>
      <c r="P2" s="669"/>
      <c r="Q2" s="669"/>
      <c r="R2" s="669"/>
    </row>
    <row r="3" spans="1:18" ht="26.25" x14ac:dyDescent="0.2">
      <c r="A3" s="802" t="s">
        <v>1056</v>
      </c>
      <c r="B3" s="802"/>
      <c r="C3" s="802"/>
      <c r="D3" s="802"/>
      <c r="E3" s="802"/>
      <c r="F3" s="802"/>
      <c r="G3" s="802"/>
      <c r="H3" s="802"/>
      <c r="I3" s="669"/>
      <c r="J3" s="669"/>
      <c r="K3" s="669"/>
      <c r="L3" s="669"/>
      <c r="M3" s="669"/>
      <c r="N3" s="669"/>
      <c r="O3" s="669"/>
      <c r="P3" s="669"/>
      <c r="Q3" s="669"/>
      <c r="R3" s="669"/>
    </row>
    <row r="4" spans="1:18" ht="26.25" x14ac:dyDescent="0.2">
      <c r="A4" s="802"/>
      <c r="B4" s="802"/>
      <c r="C4" s="802"/>
      <c r="D4" s="802"/>
      <c r="E4" s="802"/>
      <c r="F4" s="802"/>
      <c r="G4" s="802"/>
      <c r="H4" s="802"/>
      <c r="I4" s="669"/>
      <c r="J4" s="669"/>
      <c r="K4" s="669"/>
      <c r="L4" s="669"/>
      <c r="M4" s="669"/>
      <c r="N4" s="669"/>
      <c r="O4" s="669"/>
      <c r="P4" s="669"/>
      <c r="Q4" s="669"/>
      <c r="R4" s="669"/>
    </row>
    <row r="7" spans="1:18" ht="18.75" x14ac:dyDescent="0.2">
      <c r="B7" s="803" t="s">
        <v>1057</v>
      </c>
      <c r="C7" s="803"/>
      <c r="D7" s="803"/>
      <c r="E7" s="803"/>
      <c r="F7" s="803"/>
      <c r="G7" s="803"/>
    </row>
    <row r="8" spans="1:18" ht="15.75" x14ac:dyDescent="0.25">
      <c r="B8" s="804" t="s">
        <v>1058</v>
      </c>
      <c r="C8" s="804"/>
      <c r="D8" s="804"/>
      <c r="E8" s="804"/>
      <c r="F8" s="804"/>
      <c r="G8" s="804"/>
    </row>
    <row r="9" spans="1:18" ht="18.75" x14ac:dyDescent="0.3">
      <c r="B9" s="670"/>
    </row>
    <row r="10" spans="1:18" ht="15" x14ac:dyDescent="0.25">
      <c r="B10" s="671"/>
      <c r="C10" s="672"/>
      <c r="D10" s="805" t="s">
        <v>1059</v>
      </c>
      <c r="E10" s="806"/>
      <c r="F10" s="806" t="s">
        <v>1124</v>
      </c>
      <c r="G10" s="807"/>
    </row>
    <row r="11" spans="1:18" x14ac:dyDescent="0.2">
      <c r="B11" s="673" t="s">
        <v>1060</v>
      </c>
      <c r="C11" s="674" t="s">
        <v>1061</v>
      </c>
      <c r="D11" s="675" t="s">
        <v>1062</v>
      </c>
      <c r="E11" s="676" t="s">
        <v>1063</v>
      </c>
      <c r="F11" s="676" t="s">
        <v>1062</v>
      </c>
      <c r="G11" s="677" t="s">
        <v>1063</v>
      </c>
    </row>
    <row r="12" spans="1:18" x14ac:dyDescent="0.2">
      <c r="B12" s="678" t="s">
        <v>1064</v>
      </c>
      <c r="C12" s="679" t="s">
        <v>1065</v>
      </c>
      <c r="D12" s="680">
        <f>SUM(D13:D21)</f>
        <v>0.16800000000000001</v>
      </c>
      <c r="E12" s="680">
        <f>SUM(E13:E21)</f>
        <v>0.16800000000000001</v>
      </c>
      <c r="F12" s="680">
        <f>SUM(F13:F21)</f>
        <v>0.36799999999999999</v>
      </c>
      <c r="G12" s="681">
        <f>SUM(G13:G21)</f>
        <v>0.36799999999999999</v>
      </c>
    </row>
    <row r="13" spans="1:18" x14ac:dyDescent="0.2">
      <c r="B13" s="682" t="s">
        <v>1066</v>
      </c>
      <c r="C13" s="683" t="s">
        <v>1067</v>
      </c>
      <c r="D13" s="684">
        <v>0</v>
      </c>
      <c r="E13" s="684">
        <f>D13</f>
        <v>0</v>
      </c>
      <c r="F13" s="684">
        <v>0.2</v>
      </c>
      <c r="G13" s="684">
        <f>F13</f>
        <v>0.2</v>
      </c>
      <c r="I13" s="668" t="s">
        <v>1125</v>
      </c>
    </row>
    <row r="14" spans="1:18" x14ac:dyDescent="0.2">
      <c r="B14" s="682" t="s">
        <v>1068</v>
      </c>
      <c r="C14" s="683" t="s">
        <v>1069</v>
      </c>
      <c r="D14" s="684">
        <v>1.4999999999999999E-2</v>
      </c>
      <c r="E14" s="684">
        <f t="shared" ref="E14:E21" si="0">D14</f>
        <v>1.4999999999999999E-2</v>
      </c>
      <c r="F14" s="684">
        <f>D14</f>
        <v>1.4999999999999999E-2</v>
      </c>
      <c r="G14" s="684">
        <f>E14</f>
        <v>1.4999999999999999E-2</v>
      </c>
      <c r="I14" s="668" t="s">
        <v>1125</v>
      </c>
    </row>
    <row r="15" spans="1:18" x14ac:dyDescent="0.2">
      <c r="B15" s="682" t="s">
        <v>1070</v>
      </c>
      <c r="C15" s="683" t="s">
        <v>1071</v>
      </c>
      <c r="D15" s="684">
        <v>0.01</v>
      </c>
      <c r="E15" s="684">
        <f t="shared" si="0"/>
        <v>0.01</v>
      </c>
      <c r="F15" s="684">
        <f t="shared" ref="F15:F21" si="1">D15</f>
        <v>0.01</v>
      </c>
      <c r="G15" s="684">
        <f t="shared" ref="G15:G21" si="2">E15</f>
        <v>0.01</v>
      </c>
      <c r="I15" s="668" t="s">
        <v>1125</v>
      </c>
    </row>
    <row r="16" spans="1:18" x14ac:dyDescent="0.2">
      <c r="B16" s="682" t="s">
        <v>1072</v>
      </c>
      <c r="C16" s="683" t="s">
        <v>1073</v>
      </c>
      <c r="D16" s="684">
        <v>2E-3</v>
      </c>
      <c r="E16" s="684">
        <f t="shared" si="0"/>
        <v>2E-3</v>
      </c>
      <c r="F16" s="684">
        <f t="shared" si="1"/>
        <v>2E-3</v>
      </c>
      <c r="G16" s="684">
        <f t="shared" si="2"/>
        <v>2E-3</v>
      </c>
      <c r="I16" s="668" t="s">
        <v>1125</v>
      </c>
    </row>
    <row r="17" spans="2:9" x14ac:dyDescent="0.2">
      <c r="B17" s="682" t="s">
        <v>1074</v>
      </c>
      <c r="C17" s="683" t="s">
        <v>1075</v>
      </c>
      <c r="D17" s="684">
        <v>6.0000000000000001E-3</v>
      </c>
      <c r="E17" s="684">
        <f t="shared" si="0"/>
        <v>6.0000000000000001E-3</v>
      </c>
      <c r="F17" s="684">
        <f t="shared" si="1"/>
        <v>6.0000000000000001E-3</v>
      </c>
      <c r="G17" s="684">
        <f t="shared" si="2"/>
        <v>6.0000000000000001E-3</v>
      </c>
      <c r="I17" s="668" t="s">
        <v>1125</v>
      </c>
    </row>
    <row r="18" spans="2:9" x14ac:dyDescent="0.2">
      <c r="B18" s="682" t="s">
        <v>1076</v>
      </c>
      <c r="C18" s="683" t="s">
        <v>1077</v>
      </c>
      <c r="D18" s="684">
        <v>2.5000000000000001E-2</v>
      </c>
      <c r="E18" s="684">
        <f t="shared" si="0"/>
        <v>2.5000000000000001E-2</v>
      </c>
      <c r="F18" s="684">
        <f t="shared" si="1"/>
        <v>2.5000000000000001E-2</v>
      </c>
      <c r="G18" s="684">
        <f t="shared" si="2"/>
        <v>2.5000000000000001E-2</v>
      </c>
      <c r="I18" s="668" t="s">
        <v>1125</v>
      </c>
    </row>
    <row r="19" spans="2:9" x14ac:dyDescent="0.2">
      <c r="B19" s="682" t="s">
        <v>1078</v>
      </c>
      <c r="C19" s="683" t="s">
        <v>1079</v>
      </c>
      <c r="D19" s="684">
        <v>0.03</v>
      </c>
      <c r="E19" s="684">
        <f t="shared" si="0"/>
        <v>0.03</v>
      </c>
      <c r="F19" s="684">
        <f t="shared" si="1"/>
        <v>0.03</v>
      </c>
      <c r="G19" s="684">
        <f t="shared" si="2"/>
        <v>0.03</v>
      </c>
      <c r="I19" s="668" t="s">
        <v>1125</v>
      </c>
    </row>
    <row r="20" spans="2:9" x14ac:dyDescent="0.2">
      <c r="B20" s="682" t="s">
        <v>1080</v>
      </c>
      <c r="C20" s="683" t="s">
        <v>1081</v>
      </c>
      <c r="D20" s="684">
        <v>0.08</v>
      </c>
      <c r="E20" s="684">
        <f t="shared" si="0"/>
        <v>0.08</v>
      </c>
      <c r="F20" s="684">
        <f t="shared" si="1"/>
        <v>0.08</v>
      </c>
      <c r="G20" s="684">
        <f t="shared" si="2"/>
        <v>0.08</v>
      </c>
      <c r="I20" s="668" t="s">
        <v>1125</v>
      </c>
    </row>
    <row r="21" spans="2:9" x14ac:dyDescent="0.2">
      <c r="B21" s="685" t="s">
        <v>1082</v>
      </c>
      <c r="C21" s="686" t="s">
        <v>1083</v>
      </c>
      <c r="D21" s="687">
        <v>0</v>
      </c>
      <c r="E21" s="684">
        <f t="shared" si="0"/>
        <v>0</v>
      </c>
      <c r="F21" s="684">
        <f t="shared" si="1"/>
        <v>0</v>
      </c>
      <c r="G21" s="684">
        <f t="shared" si="2"/>
        <v>0</v>
      </c>
      <c r="H21" s="688"/>
      <c r="I21" s="668" t="s">
        <v>1125</v>
      </c>
    </row>
    <row r="22" spans="2:9" x14ac:dyDescent="0.2">
      <c r="B22" s="678" t="s">
        <v>1084</v>
      </c>
      <c r="C22" s="679" t="s">
        <v>1085</v>
      </c>
      <c r="D22" s="689">
        <f>SUM(D23:D32)</f>
        <v>0.47810000000000002</v>
      </c>
      <c r="E22" s="689">
        <f>SUM(E23:E32)</f>
        <v>0.1787</v>
      </c>
      <c r="F22" s="689">
        <f>SUM(F23:F32)</f>
        <v>0.47810000000000002</v>
      </c>
      <c r="G22" s="690">
        <f>SUM(G23:G32)</f>
        <v>0.1787</v>
      </c>
    </row>
    <row r="23" spans="2:9" x14ac:dyDescent="0.2">
      <c r="B23" s="691" t="s">
        <v>1086</v>
      </c>
      <c r="C23" s="692" t="s">
        <v>1087</v>
      </c>
      <c r="D23" s="693">
        <v>0.17979999999999999</v>
      </c>
      <c r="E23" s="693">
        <v>0</v>
      </c>
      <c r="F23" s="693">
        <f>D23</f>
        <v>0.17979999999999999</v>
      </c>
      <c r="G23" s="693">
        <f>E23</f>
        <v>0</v>
      </c>
    </row>
    <row r="24" spans="2:9" x14ac:dyDescent="0.2">
      <c r="B24" s="682" t="s">
        <v>1088</v>
      </c>
      <c r="C24" s="683" t="s">
        <v>1089</v>
      </c>
      <c r="D24" s="684">
        <v>4.3099999999999999E-2</v>
      </c>
      <c r="E24" s="684">
        <v>0</v>
      </c>
      <c r="F24" s="693">
        <f t="shared" ref="F24:F32" si="3">D24</f>
        <v>4.3099999999999999E-2</v>
      </c>
      <c r="G24" s="693">
        <f t="shared" ref="G24:G32" si="4">E24</f>
        <v>0</v>
      </c>
      <c r="I24" s="668" t="s">
        <v>1125</v>
      </c>
    </row>
    <row r="25" spans="2:9" x14ac:dyDescent="0.2">
      <c r="B25" s="682" t="s">
        <v>1090</v>
      </c>
      <c r="C25" s="683" t="s">
        <v>1091</v>
      </c>
      <c r="D25" s="684">
        <v>8.0999999999999996E-3</v>
      </c>
      <c r="E25" s="684">
        <v>6.0000000000000001E-3</v>
      </c>
      <c r="F25" s="693">
        <f t="shared" si="3"/>
        <v>8.0999999999999996E-3</v>
      </c>
      <c r="G25" s="693">
        <f t="shared" si="4"/>
        <v>6.0000000000000001E-3</v>
      </c>
    </row>
    <row r="26" spans="2:9" x14ac:dyDescent="0.2">
      <c r="B26" s="682" t="s">
        <v>1092</v>
      </c>
      <c r="C26" s="683" t="s">
        <v>1093</v>
      </c>
      <c r="D26" s="684">
        <v>0.1106</v>
      </c>
      <c r="E26" s="684">
        <v>8.3299999999999999E-2</v>
      </c>
      <c r="F26" s="693">
        <f t="shared" si="3"/>
        <v>0.1106</v>
      </c>
      <c r="G26" s="693">
        <f t="shared" si="4"/>
        <v>8.3299999999999999E-2</v>
      </c>
    </row>
    <row r="27" spans="2:9" x14ac:dyDescent="0.2">
      <c r="B27" s="682" t="s">
        <v>1094</v>
      </c>
      <c r="C27" s="683" t="s">
        <v>1095</v>
      </c>
      <c r="D27" s="684">
        <v>5.9999999999999995E-4</v>
      </c>
      <c r="E27" s="684">
        <v>4.0000000000000002E-4</v>
      </c>
      <c r="F27" s="693">
        <f t="shared" si="3"/>
        <v>5.9999999999999995E-4</v>
      </c>
      <c r="G27" s="693">
        <f t="shared" si="4"/>
        <v>4.0000000000000002E-4</v>
      </c>
    </row>
    <row r="28" spans="2:9" x14ac:dyDescent="0.2">
      <c r="B28" s="682" t="s">
        <v>1096</v>
      </c>
      <c r="C28" s="683" t="s">
        <v>1097</v>
      </c>
      <c r="D28" s="684">
        <v>6.7999999999999996E-3</v>
      </c>
      <c r="E28" s="684">
        <v>5.0000000000000001E-3</v>
      </c>
      <c r="F28" s="693">
        <f t="shared" si="3"/>
        <v>6.7999999999999996E-3</v>
      </c>
      <c r="G28" s="693">
        <f t="shared" si="4"/>
        <v>5.0000000000000001E-3</v>
      </c>
    </row>
    <row r="29" spans="2:9" x14ac:dyDescent="0.2">
      <c r="B29" s="682" t="s">
        <v>1098</v>
      </c>
      <c r="C29" s="683" t="s">
        <v>1099</v>
      </c>
      <c r="D29" s="684">
        <v>1.7000000000000001E-2</v>
      </c>
      <c r="E29" s="684">
        <v>0</v>
      </c>
      <c r="F29" s="693">
        <f t="shared" si="3"/>
        <v>1.7000000000000001E-2</v>
      </c>
      <c r="G29" s="693">
        <f t="shared" si="4"/>
        <v>0</v>
      </c>
    </row>
    <row r="30" spans="2:9" x14ac:dyDescent="0.2">
      <c r="B30" s="682" t="s">
        <v>1100</v>
      </c>
      <c r="C30" s="683" t="s">
        <v>1101</v>
      </c>
      <c r="D30" s="684">
        <v>1E-3</v>
      </c>
      <c r="E30" s="684">
        <v>8.0000000000000004E-4</v>
      </c>
      <c r="F30" s="693">
        <f t="shared" si="3"/>
        <v>1E-3</v>
      </c>
      <c r="G30" s="693">
        <f t="shared" si="4"/>
        <v>8.0000000000000004E-4</v>
      </c>
      <c r="I30" s="668" t="s">
        <v>1125</v>
      </c>
    </row>
    <row r="31" spans="2:9" x14ac:dyDescent="0.2">
      <c r="B31" s="682" t="s">
        <v>1102</v>
      </c>
      <c r="C31" s="683" t="s">
        <v>1103</v>
      </c>
      <c r="D31" s="684">
        <v>0.11070000000000001</v>
      </c>
      <c r="E31" s="684">
        <v>8.2900000000000001E-2</v>
      </c>
      <c r="F31" s="693">
        <f t="shared" si="3"/>
        <v>0.11070000000000001</v>
      </c>
      <c r="G31" s="693">
        <f t="shared" si="4"/>
        <v>8.2900000000000001E-2</v>
      </c>
    </row>
    <row r="32" spans="2:9" x14ac:dyDescent="0.2">
      <c r="B32" s="682" t="s">
        <v>1104</v>
      </c>
      <c r="C32" s="683" t="s">
        <v>1105</v>
      </c>
      <c r="D32" s="684">
        <v>4.0000000000000002E-4</v>
      </c>
      <c r="E32" s="684">
        <v>2.9999999999999997E-4</v>
      </c>
      <c r="F32" s="693">
        <f t="shared" si="3"/>
        <v>4.0000000000000002E-4</v>
      </c>
      <c r="G32" s="693">
        <f t="shared" si="4"/>
        <v>2.9999999999999997E-4</v>
      </c>
      <c r="I32" s="668" t="s">
        <v>1125</v>
      </c>
    </row>
    <row r="33" spans="1:14" x14ac:dyDescent="0.2">
      <c r="B33" s="694" t="s">
        <v>1106</v>
      </c>
      <c r="C33" s="695" t="s">
        <v>1107</v>
      </c>
      <c r="D33" s="696">
        <f>SUM(D34:D38)</f>
        <v>0.1099</v>
      </c>
      <c r="E33" s="696">
        <f>SUM(E34:E38)</f>
        <v>8.2900000000000001E-2</v>
      </c>
      <c r="F33" s="696">
        <f>SUM(F34:F38)</f>
        <v>0.1099</v>
      </c>
      <c r="G33" s="697">
        <f>SUM(G34:G38)</f>
        <v>8.2900000000000001E-2</v>
      </c>
    </row>
    <row r="34" spans="1:14" x14ac:dyDescent="0.2">
      <c r="B34" s="682" t="s">
        <v>1108</v>
      </c>
      <c r="C34" s="683" t="s">
        <v>1109</v>
      </c>
      <c r="D34" s="684">
        <v>4.5699999999999998E-2</v>
      </c>
      <c r="E34" s="684">
        <v>3.4500000000000003E-2</v>
      </c>
      <c r="F34" s="684">
        <f>D34</f>
        <v>4.5699999999999998E-2</v>
      </c>
      <c r="G34" s="684">
        <f>E34</f>
        <v>3.4500000000000003E-2</v>
      </c>
    </row>
    <row r="35" spans="1:14" x14ac:dyDescent="0.2">
      <c r="B35" s="682" t="s">
        <v>1110</v>
      </c>
      <c r="C35" s="683" t="s">
        <v>1111</v>
      </c>
      <c r="D35" s="684">
        <v>1.1000000000000001E-3</v>
      </c>
      <c r="E35" s="684">
        <v>8.0000000000000004E-4</v>
      </c>
      <c r="F35" s="684">
        <f>D35</f>
        <v>1.1000000000000001E-3</v>
      </c>
      <c r="G35" s="684">
        <f t="shared" ref="G35:G38" si="5">E35</f>
        <v>8.0000000000000004E-4</v>
      </c>
      <c r="I35" s="668" t="s">
        <v>1125</v>
      </c>
    </row>
    <row r="36" spans="1:14" x14ac:dyDescent="0.2">
      <c r="B36" s="682" t="s">
        <v>1112</v>
      </c>
      <c r="C36" s="683" t="s">
        <v>1113</v>
      </c>
      <c r="D36" s="684">
        <v>3.32E-2</v>
      </c>
      <c r="E36" s="684">
        <v>2.5100000000000001E-2</v>
      </c>
      <c r="F36" s="684">
        <f t="shared" ref="F36:F38" si="6">D36</f>
        <v>3.32E-2</v>
      </c>
      <c r="G36" s="684">
        <f t="shared" si="5"/>
        <v>2.5100000000000001E-2</v>
      </c>
    </row>
    <row r="37" spans="1:14" x14ac:dyDescent="0.2">
      <c r="B37" s="682" t="s">
        <v>1114</v>
      </c>
      <c r="C37" s="683" t="s">
        <v>1115</v>
      </c>
      <c r="D37" s="684">
        <v>2.6100000000000002E-2</v>
      </c>
      <c r="E37" s="684">
        <v>1.9599999999999999E-2</v>
      </c>
      <c r="F37" s="684">
        <f t="shared" si="6"/>
        <v>2.6100000000000002E-2</v>
      </c>
      <c r="G37" s="684">
        <f t="shared" si="5"/>
        <v>1.9599999999999999E-2</v>
      </c>
    </row>
    <row r="38" spans="1:14" x14ac:dyDescent="0.2">
      <c r="B38" s="682" t="s">
        <v>1116</v>
      </c>
      <c r="C38" s="683" t="s">
        <v>1117</v>
      </c>
      <c r="D38" s="684">
        <v>3.8E-3</v>
      </c>
      <c r="E38" s="684">
        <v>2.8999999999999998E-3</v>
      </c>
      <c r="F38" s="684">
        <f t="shared" si="6"/>
        <v>3.8E-3</v>
      </c>
      <c r="G38" s="684">
        <f t="shared" si="5"/>
        <v>2.8999999999999998E-3</v>
      </c>
      <c r="I38" s="668" t="s">
        <v>1125</v>
      </c>
    </row>
    <row r="39" spans="1:14" x14ac:dyDescent="0.2">
      <c r="B39" s="694" t="s">
        <v>1118</v>
      </c>
      <c r="C39" s="695" t="s">
        <v>1119</v>
      </c>
      <c r="D39" s="696">
        <f t="shared" ref="D39:G39" si="7">D40+D41</f>
        <v>8.4099999999999994E-2</v>
      </c>
      <c r="E39" s="696">
        <f t="shared" si="7"/>
        <v>3.2899999999999999E-2</v>
      </c>
      <c r="F39" s="696">
        <f t="shared" si="7"/>
        <v>0.18</v>
      </c>
      <c r="G39" s="697">
        <f t="shared" si="7"/>
        <v>6.8900000000000003E-2</v>
      </c>
    </row>
    <row r="40" spans="1:14" x14ac:dyDescent="0.2">
      <c r="B40" s="698" t="s">
        <v>1120</v>
      </c>
      <c r="C40" s="699" t="s">
        <v>1121</v>
      </c>
      <c r="D40" s="700">
        <f>ROUND(D12*D22,4)</f>
        <v>8.0299999999999996E-2</v>
      </c>
      <c r="E40" s="700">
        <f>ROUND(E12*E22,4)</f>
        <v>0.03</v>
      </c>
      <c r="F40" s="700">
        <f>ROUND(F12*F22,4)</f>
        <v>0.1759</v>
      </c>
      <c r="G40" s="700">
        <f>(G12*G22)</f>
        <v>6.5799999999999997E-2</v>
      </c>
      <c r="H40" s="701"/>
      <c r="I40" s="702"/>
      <c r="J40" s="702"/>
      <c r="K40" s="702"/>
      <c r="L40" s="702"/>
      <c r="M40" s="702"/>
      <c r="N40" s="702"/>
    </row>
    <row r="41" spans="1:14" ht="38.25" x14ac:dyDescent="0.2">
      <c r="B41" s="698" t="s">
        <v>1122</v>
      </c>
      <c r="C41" s="703" t="s">
        <v>1123</v>
      </c>
      <c r="D41" s="700">
        <f>(D34*D20)+(D12*D35)</f>
        <v>3.8E-3</v>
      </c>
      <c r="E41" s="700">
        <f>ROUND((E34*E20)+(E12*E35),4)</f>
        <v>2.8999999999999998E-3</v>
      </c>
      <c r="F41" s="700">
        <f>(F34*F20)+(F12*F35)</f>
        <v>4.1000000000000003E-3</v>
      </c>
      <c r="G41" s="700">
        <f>ROUND((G34*G20)+(G12*G35),4)</f>
        <v>3.0999999999999999E-3</v>
      </c>
      <c r="H41" s="701"/>
      <c r="I41" s="702"/>
      <c r="J41" s="702"/>
      <c r="K41" s="702"/>
      <c r="L41" s="702"/>
      <c r="M41" s="702"/>
      <c r="N41" s="702"/>
    </row>
    <row r="42" spans="1:14" ht="15" x14ac:dyDescent="0.2">
      <c r="B42" s="704"/>
      <c r="C42" s="705" t="s">
        <v>54</v>
      </c>
      <c r="D42" s="706">
        <f>SUM(D39+D33+D22+D12)</f>
        <v>0.84009999999999996</v>
      </c>
      <c r="E42" s="706">
        <f>SUM(E39+E33+E22+E12)</f>
        <v>0.46250000000000002</v>
      </c>
      <c r="F42" s="706">
        <f>SUM(F39+F33+F22+F12)</f>
        <v>1.1359999999999999</v>
      </c>
      <c r="G42" s="706">
        <f>SUM(G39+G33+G22+G12)</f>
        <v>0.69850000000000001</v>
      </c>
      <c r="J42" s="668">
        <v>91.01</v>
      </c>
      <c r="K42" s="668">
        <v>51.84</v>
      </c>
    </row>
    <row r="43" spans="1:14" x14ac:dyDescent="0.2">
      <c r="D43" s="709"/>
      <c r="E43" s="708"/>
      <c r="F43" s="708"/>
      <c r="G43" s="708"/>
    </row>
    <row r="44" spans="1:14" x14ac:dyDescent="0.2">
      <c r="D44" s="708"/>
      <c r="E44" s="708"/>
      <c r="F44" s="708"/>
      <c r="G44" s="708"/>
    </row>
    <row r="47" spans="1:14" s="707" customFormat="1" ht="43.15" customHeight="1" x14ac:dyDescent="0.2">
      <c r="A47" s="800"/>
      <c r="B47" s="801"/>
      <c r="C47" s="801"/>
      <c r="D47" s="801"/>
      <c r="E47" s="801"/>
      <c r="F47" s="801"/>
      <c r="G47" s="801"/>
      <c r="H47" s="801"/>
      <c r="I47" s="801"/>
      <c r="J47" s="801"/>
    </row>
    <row r="48" spans="1:14" x14ac:dyDescent="0.2">
      <c r="D48" s="668">
        <v>91.01</v>
      </c>
      <c r="E48" s="668">
        <v>51.84</v>
      </c>
    </row>
    <row r="49" spans="6:7" x14ac:dyDescent="0.2">
      <c r="F49" s="668">
        <v>113.6</v>
      </c>
      <c r="G49" s="668">
        <v>69.849999999999994</v>
      </c>
    </row>
  </sheetData>
  <mergeCells count="6">
    <mergeCell ref="A47:J47"/>
    <mergeCell ref="A3:H4"/>
    <mergeCell ref="B7:G7"/>
    <mergeCell ref="B8:G8"/>
    <mergeCell ref="D10:E10"/>
    <mergeCell ref="F10:G10"/>
  </mergeCells>
  <pageMargins left="0.511811024" right="0.511811024" top="0.78740157499999996" bottom="0.78740157499999996" header="0.31496062000000002" footer="0.31496062000000002"/>
  <pageSetup paperSize="9" scale="72"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A27BA0-4176-46CB-A212-DC5DAAACD881}">
  <dimension ref="A2:R47"/>
  <sheetViews>
    <sheetView tabSelected="1" view="pageBreakPreview" topLeftCell="A7" zoomScaleNormal="100" zoomScaleSheetLayoutView="100" workbookViewId="0">
      <selection activeCell="M29" sqref="M29"/>
    </sheetView>
  </sheetViews>
  <sheetFormatPr defaultColWidth="9.42578125" defaultRowHeight="12.75" x14ac:dyDescent="0.2"/>
  <cols>
    <col min="1" max="1" width="0.7109375" style="668" customWidth="1"/>
    <col min="2" max="2" width="9.42578125" style="668"/>
    <col min="3" max="3" width="41.28515625" style="668" customWidth="1"/>
    <col min="4" max="5" width="15.7109375" style="668" hidden="1" customWidth="1"/>
    <col min="6" max="7" width="15.7109375" style="668" customWidth="1"/>
    <col min="8" max="8" width="8.140625" style="668" customWidth="1"/>
    <col min="9" max="16384" width="9.42578125" style="668"/>
  </cols>
  <sheetData>
    <row r="2" spans="1:18" ht="26.25" x14ac:dyDescent="0.2">
      <c r="A2" s="802" t="s">
        <v>1126</v>
      </c>
      <c r="B2" s="802"/>
      <c r="C2" s="802"/>
      <c r="D2" s="802"/>
      <c r="E2" s="802"/>
      <c r="F2" s="802"/>
      <c r="G2" s="802"/>
      <c r="H2" s="802"/>
      <c r="I2" s="669"/>
      <c r="J2" s="669"/>
      <c r="K2" s="669"/>
      <c r="L2" s="669"/>
      <c r="M2" s="669"/>
      <c r="N2" s="669"/>
      <c r="O2" s="669"/>
      <c r="P2" s="669"/>
      <c r="Q2" s="669"/>
      <c r="R2" s="669"/>
    </row>
    <row r="3" spans="1:18" ht="26.25" x14ac:dyDescent="0.2">
      <c r="A3" s="802"/>
      <c r="B3" s="802"/>
      <c r="C3" s="802"/>
      <c r="D3" s="802"/>
      <c r="E3" s="802"/>
      <c r="F3" s="802"/>
      <c r="G3" s="802"/>
      <c r="H3" s="802"/>
      <c r="I3" s="669"/>
      <c r="J3" s="669"/>
      <c r="K3" s="669"/>
      <c r="L3" s="669"/>
      <c r="M3" s="669"/>
      <c r="N3" s="669"/>
      <c r="O3" s="669"/>
      <c r="P3" s="669"/>
      <c r="Q3" s="669"/>
      <c r="R3" s="669"/>
    </row>
    <row r="5" spans="1:18" ht="18.75" x14ac:dyDescent="0.2">
      <c r="B5" s="803" t="s">
        <v>1057</v>
      </c>
      <c r="C5" s="803"/>
      <c r="D5" s="803"/>
      <c r="E5" s="803"/>
      <c r="F5" s="803"/>
      <c r="G5" s="803"/>
    </row>
    <row r="6" spans="1:18" ht="15.75" x14ac:dyDescent="0.25">
      <c r="B6" s="804" t="s">
        <v>1058</v>
      </c>
      <c r="C6" s="804"/>
      <c r="D6" s="804"/>
      <c r="E6" s="804"/>
      <c r="F6" s="804"/>
      <c r="G6" s="804"/>
    </row>
    <row r="7" spans="1:18" ht="18.75" x14ac:dyDescent="0.3">
      <c r="B7" s="670"/>
    </row>
    <row r="8" spans="1:18" ht="15" x14ac:dyDescent="0.25">
      <c r="B8" s="671"/>
      <c r="C8" s="672"/>
      <c r="D8" s="805" t="s">
        <v>1059</v>
      </c>
      <c r="E8" s="806"/>
      <c r="F8" s="806" t="s">
        <v>1124</v>
      </c>
      <c r="G8" s="807"/>
    </row>
    <row r="9" spans="1:18" x14ac:dyDescent="0.2">
      <c r="B9" s="673" t="s">
        <v>1060</v>
      </c>
      <c r="C9" s="674" t="s">
        <v>1061</v>
      </c>
      <c r="D9" s="675" t="s">
        <v>1062</v>
      </c>
      <c r="E9" s="676" t="s">
        <v>1063</v>
      </c>
      <c r="F9" s="676" t="s">
        <v>1062</v>
      </c>
      <c r="G9" s="677" t="s">
        <v>1063</v>
      </c>
    </row>
    <row r="10" spans="1:18" x14ac:dyDescent="0.2">
      <c r="B10" s="678" t="s">
        <v>1064</v>
      </c>
      <c r="C10" s="679" t="s">
        <v>1065</v>
      </c>
      <c r="D10" s="680">
        <f>SUM(D11:D19)</f>
        <v>0.16800000000000001</v>
      </c>
      <c r="E10" s="680">
        <f>SUM(E11:E19)</f>
        <v>0.16800000000000001</v>
      </c>
      <c r="F10" s="680">
        <f>SUM(F11:F19)</f>
        <v>0.36799999999999999</v>
      </c>
      <c r="G10" s="681">
        <f>SUM(G11:G19)</f>
        <v>0.36799999999999999</v>
      </c>
    </row>
    <row r="11" spans="1:18" x14ac:dyDescent="0.2">
      <c r="B11" s="682" t="s">
        <v>1066</v>
      </c>
      <c r="C11" s="683" t="s">
        <v>1067</v>
      </c>
      <c r="D11" s="684">
        <v>0</v>
      </c>
      <c r="E11" s="684">
        <f>D11</f>
        <v>0</v>
      </c>
      <c r="F11" s="684">
        <v>0.2</v>
      </c>
      <c r="G11" s="684">
        <f>F11</f>
        <v>0.2</v>
      </c>
    </row>
    <row r="12" spans="1:18" x14ac:dyDescent="0.2">
      <c r="B12" s="682" t="s">
        <v>1068</v>
      </c>
      <c r="C12" s="683" t="s">
        <v>1069</v>
      </c>
      <c r="D12" s="684">
        <v>1.4999999999999999E-2</v>
      </c>
      <c r="E12" s="684">
        <f t="shared" ref="E12:E19" si="0">D12</f>
        <v>1.4999999999999999E-2</v>
      </c>
      <c r="F12" s="684">
        <f>D12</f>
        <v>1.4999999999999999E-2</v>
      </c>
      <c r="G12" s="684">
        <f>E12</f>
        <v>1.4999999999999999E-2</v>
      </c>
    </row>
    <row r="13" spans="1:18" x14ac:dyDescent="0.2">
      <c r="B13" s="682" t="s">
        <v>1070</v>
      </c>
      <c r="C13" s="683" t="s">
        <v>1071</v>
      </c>
      <c r="D13" s="684">
        <v>0.01</v>
      </c>
      <c r="E13" s="684">
        <f t="shared" si="0"/>
        <v>0.01</v>
      </c>
      <c r="F13" s="684">
        <f t="shared" ref="F13:G19" si="1">D13</f>
        <v>0.01</v>
      </c>
      <c r="G13" s="684">
        <f t="shared" si="1"/>
        <v>0.01</v>
      </c>
    </row>
    <row r="14" spans="1:18" x14ac:dyDescent="0.2">
      <c r="B14" s="682" t="s">
        <v>1072</v>
      </c>
      <c r="C14" s="683" t="s">
        <v>1073</v>
      </c>
      <c r="D14" s="684">
        <v>2E-3</v>
      </c>
      <c r="E14" s="684">
        <f t="shared" si="0"/>
        <v>2E-3</v>
      </c>
      <c r="F14" s="684">
        <f t="shared" si="1"/>
        <v>2E-3</v>
      </c>
      <c r="G14" s="684">
        <f t="shared" si="1"/>
        <v>2E-3</v>
      </c>
    </row>
    <row r="15" spans="1:18" x14ac:dyDescent="0.2">
      <c r="B15" s="682" t="s">
        <v>1074</v>
      </c>
      <c r="C15" s="683" t="s">
        <v>1075</v>
      </c>
      <c r="D15" s="684">
        <v>6.0000000000000001E-3</v>
      </c>
      <c r="E15" s="684">
        <f t="shared" si="0"/>
        <v>6.0000000000000001E-3</v>
      </c>
      <c r="F15" s="684">
        <f t="shared" si="1"/>
        <v>6.0000000000000001E-3</v>
      </c>
      <c r="G15" s="684">
        <f t="shared" si="1"/>
        <v>6.0000000000000001E-3</v>
      </c>
    </row>
    <row r="16" spans="1:18" x14ac:dyDescent="0.2">
      <c r="B16" s="682" t="s">
        <v>1076</v>
      </c>
      <c r="C16" s="683" t="s">
        <v>1077</v>
      </c>
      <c r="D16" s="684">
        <v>2.5000000000000001E-2</v>
      </c>
      <c r="E16" s="684">
        <f t="shared" si="0"/>
        <v>2.5000000000000001E-2</v>
      </c>
      <c r="F16" s="684">
        <f t="shared" si="1"/>
        <v>2.5000000000000001E-2</v>
      </c>
      <c r="G16" s="684">
        <f t="shared" si="1"/>
        <v>2.5000000000000001E-2</v>
      </c>
    </row>
    <row r="17" spans="2:8" x14ac:dyDescent="0.2">
      <c r="B17" s="682" t="s">
        <v>1078</v>
      </c>
      <c r="C17" s="683" t="s">
        <v>1079</v>
      </c>
      <c r="D17" s="684">
        <v>0.03</v>
      </c>
      <c r="E17" s="684">
        <f t="shared" si="0"/>
        <v>0.03</v>
      </c>
      <c r="F17" s="684">
        <f t="shared" si="1"/>
        <v>0.03</v>
      </c>
      <c r="G17" s="684">
        <f t="shared" si="1"/>
        <v>0.03</v>
      </c>
    </row>
    <row r="18" spans="2:8" x14ac:dyDescent="0.2">
      <c r="B18" s="682" t="s">
        <v>1080</v>
      </c>
      <c r="C18" s="683" t="s">
        <v>1081</v>
      </c>
      <c r="D18" s="684">
        <v>0.08</v>
      </c>
      <c r="E18" s="684">
        <f t="shared" si="0"/>
        <v>0.08</v>
      </c>
      <c r="F18" s="684">
        <f t="shared" si="1"/>
        <v>0.08</v>
      </c>
      <c r="G18" s="684">
        <f t="shared" si="1"/>
        <v>0.08</v>
      </c>
    </row>
    <row r="19" spans="2:8" x14ac:dyDescent="0.2">
      <c r="B19" s="685" t="s">
        <v>1082</v>
      </c>
      <c r="C19" s="686" t="s">
        <v>1083</v>
      </c>
      <c r="D19" s="687">
        <v>0</v>
      </c>
      <c r="E19" s="684">
        <f t="shared" si="0"/>
        <v>0</v>
      </c>
      <c r="F19" s="684">
        <f t="shared" si="1"/>
        <v>0</v>
      </c>
      <c r="G19" s="684">
        <f t="shared" si="1"/>
        <v>0</v>
      </c>
      <c r="H19" s="688"/>
    </row>
    <row r="20" spans="2:8" x14ac:dyDescent="0.2">
      <c r="B20" s="678" t="s">
        <v>1084</v>
      </c>
      <c r="C20" s="679" t="s">
        <v>1085</v>
      </c>
      <c r="D20" s="689">
        <f>SUM(D21:D30)</f>
        <v>0.47810000000000002</v>
      </c>
      <c r="E20" s="689">
        <f>SUM(E21:E30)</f>
        <v>0.1787</v>
      </c>
      <c r="F20" s="689">
        <f>SUM(F21:F30)</f>
        <v>0.46879999999999999</v>
      </c>
      <c r="G20" s="690">
        <f>SUM(G21:G30)</f>
        <v>0.1711</v>
      </c>
    </row>
    <row r="21" spans="2:8" x14ac:dyDescent="0.2">
      <c r="B21" s="691" t="s">
        <v>1086</v>
      </c>
      <c r="C21" s="692" t="s">
        <v>1087</v>
      </c>
      <c r="D21" s="693">
        <v>0.17979999999999999</v>
      </c>
      <c r="E21" s="693">
        <v>0</v>
      </c>
      <c r="F21" s="693">
        <v>0.1802</v>
      </c>
      <c r="G21" s="693">
        <f>E21</f>
        <v>0</v>
      </c>
    </row>
    <row r="22" spans="2:8" x14ac:dyDescent="0.2">
      <c r="B22" s="682" t="s">
        <v>1088</v>
      </c>
      <c r="C22" s="683" t="s">
        <v>1089</v>
      </c>
      <c r="D22" s="684">
        <v>4.3099999999999999E-2</v>
      </c>
      <c r="E22" s="684">
        <v>0</v>
      </c>
      <c r="F22" s="693">
        <f t="shared" ref="F22:G27" si="2">D22</f>
        <v>4.3099999999999999E-2</v>
      </c>
      <c r="G22" s="693">
        <f t="shared" si="2"/>
        <v>0</v>
      </c>
    </row>
    <row r="23" spans="2:8" x14ac:dyDescent="0.2">
      <c r="B23" s="682" t="s">
        <v>1090</v>
      </c>
      <c r="C23" s="683" t="s">
        <v>1091</v>
      </c>
      <c r="D23" s="684">
        <v>8.0999999999999996E-3</v>
      </c>
      <c r="E23" s="684">
        <v>6.0000000000000001E-3</v>
      </c>
      <c r="F23" s="693">
        <v>8.6E-3</v>
      </c>
      <c r="G23" s="693">
        <v>6.4999999999999997E-3</v>
      </c>
    </row>
    <row r="24" spans="2:8" x14ac:dyDescent="0.2">
      <c r="B24" s="682" t="s">
        <v>1092</v>
      </c>
      <c r="C24" s="683" t="s">
        <v>1093</v>
      </c>
      <c r="D24" s="684">
        <v>0.1106</v>
      </c>
      <c r="E24" s="684">
        <v>8.3299999999999999E-2</v>
      </c>
      <c r="F24" s="693">
        <v>0.1096</v>
      </c>
      <c r="G24" s="693">
        <v>8.3299999999999999E-2</v>
      </c>
    </row>
    <row r="25" spans="2:8" x14ac:dyDescent="0.2">
      <c r="B25" s="682" t="s">
        <v>1094</v>
      </c>
      <c r="C25" s="683" t="s">
        <v>1095</v>
      </c>
      <c r="D25" s="684">
        <v>5.9999999999999995E-4</v>
      </c>
      <c r="E25" s="684">
        <v>4.0000000000000002E-4</v>
      </c>
      <c r="F25" s="693">
        <v>6.9999999999999999E-4</v>
      </c>
      <c r="G25" s="693">
        <v>5.0000000000000001E-4</v>
      </c>
    </row>
    <row r="26" spans="2:8" x14ac:dyDescent="0.2">
      <c r="B26" s="682" t="s">
        <v>1096</v>
      </c>
      <c r="C26" s="683" t="s">
        <v>1097</v>
      </c>
      <c r="D26" s="684">
        <v>6.7999999999999996E-3</v>
      </c>
      <c r="E26" s="684">
        <v>5.0000000000000001E-3</v>
      </c>
      <c r="F26" s="693">
        <v>7.3000000000000001E-3</v>
      </c>
      <c r="G26" s="693">
        <v>5.5999999999999999E-3</v>
      </c>
    </row>
    <row r="27" spans="2:8" x14ac:dyDescent="0.2">
      <c r="B27" s="682" t="s">
        <v>1098</v>
      </c>
      <c r="C27" s="683" t="s">
        <v>1099</v>
      </c>
      <c r="D27" s="684">
        <v>1.7000000000000001E-2</v>
      </c>
      <c r="E27" s="684">
        <v>0</v>
      </c>
      <c r="F27" s="693">
        <v>2.0400000000000001E-2</v>
      </c>
      <c r="G27" s="693">
        <f t="shared" si="2"/>
        <v>0</v>
      </c>
    </row>
    <row r="28" spans="2:8" x14ac:dyDescent="0.2">
      <c r="B28" s="682" t="s">
        <v>1100</v>
      </c>
      <c r="C28" s="683" t="s">
        <v>1101</v>
      </c>
      <c r="D28" s="684">
        <v>1E-3</v>
      </c>
      <c r="E28" s="684">
        <v>8.0000000000000004E-4</v>
      </c>
      <c r="F28" s="693">
        <v>1E-3</v>
      </c>
      <c r="G28" s="693">
        <v>6.9999999999999999E-4</v>
      </c>
    </row>
    <row r="29" spans="2:8" x14ac:dyDescent="0.2">
      <c r="B29" s="682" t="s">
        <v>1102</v>
      </c>
      <c r="C29" s="683" t="s">
        <v>1103</v>
      </c>
      <c r="D29" s="684">
        <v>0.11070000000000001</v>
      </c>
      <c r="E29" s="684">
        <v>8.2900000000000001E-2</v>
      </c>
      <c r="F29" s="693">
        <v>9.7600000000000006E-2</v>
      </c>
      <c r="G29" s="693">
        <v>7.4200000000000002E-2</v>
      </c>
    </row>
    <row r="30" spans="2:8" x14ac:dyDescent="0.2">
      <c r="B30" s="682" t="s">
        <v>1104</v>
      </c>
      <c r="C30" s="683" t="s">
        <v>1105</v>
      </c>
      <c r="D30" s="684">
        <v>4.0000000000000002E-4</v>
      </c>
      <c r="E30" s="684">
        <v>2.9999999999999997E-4</v>
      </c>
      <c r="F30" s="693">
        <v>2.9999999999999997E-4</v>
      </c>
      <c r="G30" s="693">
        <v>2.9999999999999997E-4</v>
      </c>
    </row>
    <row r="31" spans="2:8" x14ac:dyDescent="0.2">
      <c r="B31" s="694" t="s">
        <v>1106</v>
      </c>
      <c r="C31" s="695" t="s">
        <v>1107</v>
      </c>
      <c r="D31" s="696">
        <f>SUM(D32:D36)</f>
        <v>0.1099</v>
      </c>
      <c r="E31" s="696">
        <f>SUM(E32:E36)</f>
        <v>8.2900000000000001E-2</v>
      </c>
      <c r="F31" s="696">
        <f>SUM(F32:F36)</f>
        <v>0.1227</v>
      </c>
      <c r="G31" s="697">
        <f>SUM(G32:G36)</f>
        <v>9.3299999999999994E-2</v>
      </c>
    </row>
    <row r="32" spans="2:8" x14ac:dyDescent="0.2">
      <c r="B32" s="682" t="s">
        <v>1108</v>
      </c>
      <c r="C32" s="683" t="s">
        <v>1109</v>
      </c>
      <c r="D32" s="684">
        <v>4.5699999999999998E-2</v>
      </c>
      <c r="E32" s="684">
        <v>3.4500000000000003E-2</v>
      </c>
      <c r="F32" s="684">
        <v>4.53E-2</v>
      </c>
      <c r="G32" s="684">
        <f>E32</f>
        <v>3.4500000000000003E-2</v>
      </c>
    </row>
    <row r="33" spans="1:14" x14ac:dyDescent="0.2">
      <c r="B33" s="682" t="s">
        <v>1110</v>
      </c>
      <c r="C33" s="683" t="s">
        <v>1111</v>
      </c>
      <c r="D33" s="684">
        <v>1.1000000000000001E-3</v>
      </c>
      <c r="E33" s="684">
        <v>8.0000000000000004E-4</v>
      </c>
      <c r="F33" s="684">
        <f>D33</f>
        <v>1.1000000000000001E-3</v>
      </c>
      <c r="G33" s="684">
        <f t="shared" ref="G33:G36" si="3">E33</f>
        <v>8.0000000000000004E-4</v>
      </c>
    </row>
    <row r="34" spans="1:14" x14ac:dyDescent="0.2">
      <c r="B34" s="682" t="s">
        <v>1112</v>
      </c>
      <c r="C34" s="683" t="s">
        <v>1113</v>
      </c>
      <c r="D34" s="684">
        <v>3.32E-2</v>
      </c>
      <c r="E34" s="684">
        <v>2.5100000000000001E-2</v>
      </c>
      <c r="F34" s="684">
        <v>4.2900000000000001E-2</v>
      </c>
      <c r="G34" s="684">
        <v>3.2599999999999997E-2</v>
      </c>
    </row>
    <row r="35" spans="1:14" x14ac:dyDescent="0.2">
      <c r="B35" s="682" t="s">
        <v>1114</v>
      </c>
      <c r="C35" s="683" t="s">
        <v>1115</v>
      </c>
      <c r="D35" s="684">
        <v>2.6100000000000002E-2</v>
      </c>
      <c r="E35" s="684">
        <v>1.9599999999999999E-2</v>
      </c>
      <c r="F35" s="684">
        <v>2.9600000000000001E-2</v>
      </c>
      <c r="G35" s="684">
        <v>2.2499999999999999E-2</v>
      </c>
    </row>
    <row r="36" spans="1:14" x14ac:dyDescent="0.2">
      <c r="B36" s="682" t="s">
        <v>1116</v>
      </c>
      <c r="C36" s="683" t="s">
        <v>1117</v>
      </c>
      <c r="D36" s="684">
        <v>3.8E-3</v>
      </c>
      <c r="E36" s="684">
        <v>2.8999999999999998E-3</v>
      </c>
      <c r="F36" s="684">
        <f t="shared" ref="F36" si="4">D36</f>
        <v>3.8E-3</v>
      </c>
      <c r="G36" s="684">
        <f t="shared" si="3"/>
        <v>2.8999999999999998E-3</v>
      </c>
    </row>
    <row r="37" spans="1:14" x14ac:dyDescent="0.2">
      <c r="B37" s="694" t="s">
        <v>1118</v>
      </c>
      <c r="C37" s="695" t="s">
        <v>1119</v>
      </c>
      <c r="D37" s="696">
        <f t="shared" ref="D37:G37" si="5">D38+D39</f>
        <v>8.4099999999999994E-2</v>
      </c>
      <c r="E37" s="696">
        <f t="shared" si="5"/>
        <v>3.2899999999999999E-2</v>
      </c>
      <c r="F37" s="696">
        <f t="shared" si="5"/>
        <v>0.17649999999999999</v>
      </c>
      <c r="G37" s="697">
        <f t="shared" si="5"/>
        <v>6.6100000000000006E-2</v>
      </c>
    </row>
    <row r="38" spans="1:14" x14ac:dyDescent="0.2">
      <c r="B38" s="698" t="s">
        <v>1120</v>
      </c>
      <c r="C38" s="699" t="s">
        <v>1121</v>
      </c>
      <c r="D38" s="700">
        <f>ROUND(D10*D20,4)</f>
        <v>8.0299999999999996E-2</v>
      </c>
      <c r="E38" s="700">
        <f>ROUND(E10*E20,4)</f>
        <v>0.03</v>
      </c>
      <c r="F38" s="700">
        <f>ROUND(F10*F20,4)</f>
        <v>0.17249999999999999</v>
      </c>
      <c r="G38" s="700">
        <f>(G10*G20)</f>
        <v>6.3E-2</v>
      </c>
      <c r="H38" s="701"/>
      <c r="I38" s="702"/>
      <c r="J38" s="702"/>
      <c r="K38" s="702"/>
      <c r="L38" s="702"/>
      <c r="M38" s="702"/>
      <c r="N38" s="702"/>
    </row>
    <row r="39" spans="1:14" ht="38.25" x14ac:dyDescent="0.2">
      <c r="B39" s="698" t="s">
        <v>1122</v>
      </c>
      <c r="C39" s="703" t="s">
        <v>1123</v>
      </c>
      <c r="D39" s="700">
        <f>(D32*D18)+(D10*D33)</f>
        <v>3.8E-3</v>
      </c>
      <c r="E39" s="700">
        <f>ROUND((E32*E18)+(E10*E33),4)</f>
        <v>2.8999999999999998E-3</v>
      </c>
      <c r="F39" s="700">
        <f>(F32*F18)+(F10*F33)</f>
        <v>4.0000000000000001E-3</v>
      </c>
      <c r="G39" s="700">
        <f>ROUND((G32*G18)+(G10*G33),4)</f>
        <v>3.0999999999999999E-3</v>
      </c>
      <c r="H39" s="701"/>
      <c r="I39" s="702"/>
      <c r="J39" s="702"/>
      <c r="K39" s="702"/>
      <c r="L39" s="702"/>
      <c r="M39" s="702"/>
      <c r="N39" s="702"/>
    </row>
    <row r="40" spans="1:14" ht="15" x14ac:dyDescent="0.2">
      <c r="B40" s="704"/>
      <c r="C40" s="705" t="s">
        <v>54</v>
      </c>
      <c r="D40" s="706">
        <f>SUM(D37+D31+D20+D10)</f>
        <v>0.84009999999999996</v>
      </c>
      <c r="E40" s="706">
        <f>SUM(E37+E31+E20+E10)</f>
        <v>0.46250000000000002</v>
      </c>
      <c r="F40" s="706">
        <f>SUM(F37+F31+F20+F10)</f>
        <v>1.1359999999999999</v>
      </c>
      <c r="G40" s="706">
        <f>SUM(G37+G31+G20+G10)</f>
        <v>0.69850000000000001</v>
      </c>
    </row>
    <row r="41" spans="1:14" x14ac:dyDescent="0.2">
      <c r="D41" s="709"/>
      <c r="E41" s="708"/>
      <c r="F41" s="708"/>
      <c r="G41" s="708"/>
    </row>
    <row r="42" spans="1:14" x14ac:dyDescent="0.2">
      <c r="D42" s="708"/>
      <c r="E42" s="708"/>
      <c r="F42" s="708"/>
      <c r="G42" s="708"/>
    </row>
    <row r="45" spans="1:14" s="707" customFormat="1" ht="43.15" customHeight="1" x14ac:dyDescent="0.2">
      <c r="A45" s="800"/>
      <c r="B45" s="801"/>
      <c r="C45" s="801"/>
      <c r="D45" s="801"/>
      <c r="E45" s="801"/>
      <c r="F45" s="801"/>
      <c r="G45" s="801"/>
      <c r="H45" s="801"/>
      <c r="I45" s="801"/>
      <c r="J45" s="801"/>
    </row>
    <row r="46" spans="1:14" x14ac:dyDescent="0.2">
      <c r="D46" s="668">
        <v>91.01</v>
      </c>
      <c r="E46" s="668">
        <v>51.84</v>
      </c>
    </row>
    <row r="47" spans="1:14" x14ac:dyDescent="0.2">
      <c r="F47" s="668">
        <v>113.6</v>
      </c>
      <c r="G47" s="668">
        <v>69.849999999999994</v>
      </c>
    </row>
  </sheetData>
  <mergeCells count="6">
    <mergeCell ref="A45:J45"/>
    <mergeCell ref="A2:H3"/>
    <mergeCell ref="B5:G5"/>
    <mergeCell ref="B6:G6"/>
    <mergeCell ref="D8:E8"/>
    <mergeCell ref="F8:G8"/>
  </mergeCells>
  <printOptions horizontalCentered="1"/>
  <pageMargins left="0.51181102362204722" right="0.51181102362204722" top="0.39370078740157483" bottom="0.78740157480314965" header="0.31496062992125984" footer="0.31496062992125984"/>
  <pageSetup paperSize="9" scale="105" orientation="portrait" r:id="rId1"/>
  <colBreaks count="1" manualBreakCount="1">
    <brk id="8" max="1048575" man="1"/>
  </colBreaks>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27311C-90CE-4E61-B9B7-C1B6FC52E782}">
  <dimension ref="A1:Q104"/>
  <sheetViews>
    <sheetView view="pageBreakPreview" topLeftCell="A40" zoomScaleNormal="100" zoomScaleSheetLayoutView="100" workbookViewId="0">
      <selection activeCell="H41" sqref="H41"/>
    </sheetView>
  </sheetViews>
  <sheetFormatPr defaultRowHeight="12.75" x14ac:dyDescent="0.2"/>
  <cols>
    <col min="1" max="1" width="4.7109375" customWidth="1"/>
    <col min="2" max="2" width="45" customWidth="1"/>
    <col min="3" max="3" width="8.42578125" customWidth="1"/>
    <col min="4" max="4" width="15.42578125" customWidth="1"/>
    <col min="5" max="5" width="9.28515625" bestFit="1" customWidth="1"/>
    <col min="6" max="6" width="12.140625" customWidth="1"/>
    <col min="7" max="8" width="14.42578125" customWidth="1"/>
    <col min="9" max="9" width="12.5703125" customWidth="1"/>
    <col min="10" max="10" width="17.7109375" customWidth="1"/>
    <col min="11" max="11" width="12.140625" customWidth="1"/>
    <col min="257" max="257" width="4.7109375" customWidth="1"/>
    <col min="258" max="258" width="45" customWidth="1"/>
    <col min="259" max="259" width="8.42578125" customWidth="1"/>
    <col min="260" max="260" width="15.42578125" customWidth="1"/>
    <col min="261" max="261" width="9.28515625" bestFit="1" customWidth="1"/>
    <col min="262" max="262" width="12.140625" customWidth="1"/>
    <col min="263" max="264" width="14.42578125" customWidth="1"/>
    <col min="265" max="265" width="12.5703125" customWidth="1"/>
    <col min="266" max="266" width="17.7109375" customWidth="1"/>
    <col min="267" max="267" width="12.140625" customWidth="1"/>
    <col min="513" max="513" width="4.7109375" customWidth="1"/>
    <col min="514" max="514" width="45" customWidth="1"/>
    <col min="515" max="515" width="8.42578125" customWidth="1"/>
    <col min="516" max="516" width="15.42578125" customWidth="1"/>
    <col min="517" max="517" width="9.28515625" bestFit="1" customWidth="1"/>
    <col min="518" max="518" width="12.140625" customWidth="1"/>
    <col min="519" max="520" width="14.42578125" customWidth="1"/>
    <col min="521" max="521" width="12.5703125" customWidth="1"/>
    <col min="522" max="522" width="17.7109375" customWidth="1"/>
    <col min="523" max="523" width="12.140625" customWidth="1"/>
    <col min="769" max="769" width="4.7109375" customWidth="1"/>
    <col min="770" max="770" width="45" customWidth="1"/>
    <col min="771" max="771" width="8.42578125" customWidth="1"/>
    <col min="772" max="772" width="15.42578125" customWidth="1"/>
    <col min="773" max="773" width="9.28515625" bestFit="1" customWidth="1"/>
    <col min="774" max="774" width="12.140625" customWidth="1"/>
    <col min="775" max="776" width="14.42578125" customWidth="1"/>
    <col min="777" max="777" width="12.5703125" customWidth="1"/>
    <col min="778" max="778" width="17.7109375" customWidth="1"/>
    <col min="779" max="779" width="12.140625" customWidth="1"/>
    <col min="1025" max="1025" width="4.7109375" customWidth="1"/>
    <col min="1026" max="1026" width="45" customWidth="1"/>
    <col min="1027" max="1027" width="8.42578125" customWidth="1"/>
    <col min="1028" max="1028" width="15.42578125" customWidth="1"/>
    <col min="1029" max="1029" width="9.28515625" bestFit="1" customWidth="1"/>
    <col min="1030" max="1030" width="12.140625" customWidth="1"/>
    <col min="1031" max="1032" width="14.42578125" customWidth="1"/>
    <col min="1033" max="1033" width="12.5703125" customWidth="1"/>
    <col min="1034" max="1034" width="17.7109375" customWidth="1"/>
    <col min="1035" max="1035" width="12.140625" customWidth="1"/>
    <col min="1281" max="1281" width="4.7109375" customWidth="1"/>
    <col min="1282" max="1282" width="45" customWidth="1"/>
    <col min="1283" max="1283" width="8.42578125" customWidth="1"/>
    <col min="1284" max="1284" width="15.42578125" customWidth="1"/>
    <col min="1285" max="1285" width="9.28515625" bestFit="1" customWidth="1"/>
    <col min="1286" max="1286" width="12.140625" customWidth="1"/>
    <col min="1287" max="1288" width="14.42578125" customWidth="1"/>
    <col min="1289" max="1289" width="12.5703125" customWidth="1"/>
    <col min="1290" max="1290" width="17.7109375" customWidth="1"/>
    <col min="1291" max="1291" width="12.140625" customWidth="1"/>
    <col min="1537" max="1537" width="4.7109375" customWidth="1"/>
    <col min="1538" max="1538" width="45" customWidth="1"/>
    <col min="1539" max="1539" width="8.42578125" customWidth="1"/>
    <col min="1540" max="1540" width="15.42578125" customWidth="1"/>
    <col min="1541" max="1541" width="9.28515625" bestFit="1" customWidth="1"/>
    <col min="1542" max="1542" width="12.140625" customWidth="1"/>
    <col min="1543" max="1544" width="14.42578125" customWidth="1"/>
    <col min="1545" max="1545" width="12.5703125" customWidth="1"/>
    <col min="1546" max="1546" width="17.7109375" customWidth="1"/>
    <col min="1547" max="1547" width="12.140625" customWidth="1"/>
    <col min="1793" max="1793" width="4.7109375" customWidth="1"/>
    <col min="1794" max="1794" width="45" customWidth="1"/>
    <col min="1795" max="1795" width="8.42578125" customWidth="1"/>
    <col min="1796" max="1796" width="15.42578125" customWidth="1"/>
    <col min="1797" max="1797" width="9.28515625" bestFit="1" customWidth="1"/>
    <col min="1798" max="1798" width="12.140625" customWidth="1"/>
    <col min="1799" max="1800" width="14.42578125" customWidth="1"/>
    <col min="1801" max="1801" width="12.5703125" customWidth="1"/>
    <col min="1802" max="1802" width="17.7109375" customWidth="1"/>
    <col min="1803" max="1803" width="12.140625" customWidth="1"/>
    <col min="2049" max="2049" width="4.7109375" customWidth="1"/>
    <col min="2050" max="2050" width="45" customWidth="1"/>
    <col min="2051" max="2051" width="8.42578125" customWidth="1"/>
    <col min="2052" max="2052" width="15.42578125" customWidth="1"/>
    <col min="2053" max="2053" width="9.28515625" bestFit="1" customWidth="1"/>
    <col min="2054" max="2054" width="12.140625" customWidth="1"/>
    <col min="2055" max="2056" width="14.42578125" customWidth="1"/>
    <col min="2057" max="2057" width="12.5703125" customWidth="1"/>
    <col min="2058" max="2058" width="17.7109375" customWidth="1"/>
    <col min="2059" max="2059" width="12.140625" customWidth="1"/>
    <col min="2305" max="2305" width="4.7109375" customWidth="1"/>
    <col min="2306" max="2306" width="45" customWidth="1"/>
    <col min="2307" max="2307" width="8.42578125" customWidth="1"/>
    <col min="2308" max="2308" width="15.42578125" customWidth="1"/>
    <col min="2309" max="2309" width="9.28515625" bestFit="1" customWidth="1"/>
    <col min="2310" max="2310" width="12.140625" customWidth="1"/>
    <col min="2311" max="2312" width="14.42578125" customWidth="1"/>
    <col min="2313" max="2313" width="12.5703125" customWidth="1"/>
    <col min="2314" max="2314" width="17.7109375" customWidth="1"/>
    <col min="2315" max="2315" width="12.140625" customWidth="1"/>
    <col min="2561" max="2561" width="4.7109375" customWidth="1"/>
    <col min="2562" max="2562" width="45" customWidth="1"/>
    <col min="2563" max="2563" width="8.42578125" customWidth="1"/>
    <col min="2564" max="2564" width="15.42578125" customWidth="1"/>
    <col min="2565" max="2565" width="9.28515625" bestFit="1" customWidth="1"/>
    <col min="2566" max="2566" width="12.140625" customWidth="1"/>
    <col min="2567" max="2568" width="14.42578125" customWidth="1"/>
    <col min="2569" max="2569" width="12.5703125" customWidth="1"/>
    <col min="2570" max="2570" width="17.7109375" customWidth="1"/>
    <col min="2571" max="2571" width="12.140625" customWidth="1"/>
    <col min="2817" max="2817" width="4.7109375" customWidth="1"/>
    <col min="2818" max="2818" width="45" customWidth="1"/>
    <col min="2819" max="2819" width="8.42578125" customWidth="1"/>
    <col min="2820" max="2820" width="15.42578125" customWidth="1"/>
    <col min="2821" max="2821" width="9.28515625" bestFit="1" customWidth="1"/>
    <col min="2822" max="2822" width="12.140625" customWidth="1"/>
    <col min="2823" max="2824" width="14.42578125" customWidth="1"/>
    <col min="2825" max="2825" width="12.5703125" customWidth="1"/>
    <col min="2826" max="2826" width="17.7109375" customWidth="1"/>
    <col min="2827" max="2827" width="12.140625" customWidth="1"/>
    <col min="3073" max="3073" width="4.7109375" customWidth="1"/>
    <col min="3074" max="3074" width="45" customWidth="1"/>
    <col min="3075" max="3075" width="8.42578125" customWidth="1"/>
    <col min="3076" max="3076" width="15.42578125" customWidth="1"/>
    <col min="3077" max="3077" width="9.28515625" bestFit="1" customWidth="1"/>
    <col min="3078" max="3078" width="12.140625" customWidth="1"/>
    <col min="3079" max="3080" width="14.42578125" customWidth="1"/>
    <col min="3081" max="3081" width="12.5703125" customWidth="1"/>
    <col min="3082" max="3082" width="17.7109375" customWidth="1"/>
    <col min="3083" max="3083" width="12.140625" customWidth="1"/>
    <col min="3329" max="3329" width="4.7109375" customWidth="1"/>
    <col min="3330" max="3330" width="45" customWidth="1"/>
    <col min="3331" max="3331" width="8.42578125" customWidth="1"/>
    <col min="3332" max="3332" width="15.42578125" customWidth="1"/>
    <col min="3333" max="3333" width="9.28515625" bestFit="1" customWidth="1"/>
    <col min="3334" max="3334" width="12.140625" customWidth="1"/>
    <col min="3335" max="3336" width="14.42578125" customWidth="1"/>
    <col min="3337" max="3337" width="12.5703125" customWidth="1"/>
    <col min="3338" max="3338" width="17.7109375" customWidth="1"/>
    <col min="3339" max="3339" width="12.140625" customWidth="1"/>
    <col min="3585" max="3585" width="4.7109375" customWidth="1"/>
    <col min="3586" max="3586" width="45" customWidth="1"/>
    <col min="3587" max="3587" width="8.42578125" customWidth="1"/>
    <col min="3588" max="3588" width="15.42578125" customWidth="1"/>
    <col min="3589" max="3589" width="9.28515625" bestFit="1" customWidth="1"/>
    <col min="3590" max="3590" width="12.140625" customWidth="1"/>
    <col min="3591" max="3592" width="14.42578125" customWidth="1"/>
    <col min="3593" max="3593" width="12.5703125" customWidth="1"/>
    <col min="3594" max="3594" width="17.7109375" customWidth="1"/>
    <col min="3595" max="3595" width="12.140625" customWidth="1"/>
    <col min="3841" max="3841" width="4.7109375" customWidth="1"/>
    <col min="3842" max="3842" width="45" customWidth="1"/>
    <col min="3843" max="3843" width="8.42578125" customWidth="1"/>
    <col min="3844" max="3844" width="15.42578125" customWidth="1"/>
    <col min="3845" max="3845" width="9.28515625" bestFit="1" customWidth="1"/>
    <col min="3846" max="3846" width="12.140625" customWidth="1"/>
    <col min="3847" max="3848" width="14.42578125" customWidth="1"/>
    <col min="3849" max="3849" width="12.5703125" customWidth="1"/>
    <col min="3850" max="3850" width="17.7109375" customWidth="1"/>
    <col min="3851" max="3851" width="12.140625" customWidth="1"/>
    <col min="4097" max="4097" width="4.7109375" customWidth="1"/>
    <col min="4098" max="4098" width="45" customWidth="1"/>
    <col min="4099" max="4099" width="8.42578125" customWidth="1"/>
    <col min="4100" max="4100" width="15.42578125" customWidth="1"/>
    <col min="4101" max="4101" width="9.28515625" bestFit="1" customWidth="1"/>
    <col min="4102" max="4102" width="12.140625" customWidth="1"/>
    <col min="4103" max="4104" width="14.42578125" customWidth="1"/>
    <col min="4105" max="4105" width="12.5703125" customWidth="1"/>
    <col min="4106" max="4106" width="17.7109375" customWidth="1"/>
    <col min="4107" max="4107" width="12.140625" customWidth="1"/>
    <col min="4353" max="4353" width="4.7109375" customWidth="1"/>
    <col min="4354" max="4354" width="45" customWidth="1"/>
    <col min="4355" max="4355" width="8.42578125" customWidth="1"/>
    <col min="4356" max="4356" width="15.42578125" customWidth="1"/>
    <col min="4357" max="4357" width="9.28515625" bestFit="1" customWidth="1"/>
    <col min="4358" max="4358" width="12.140625" customWidth="1"/>
    <col min="4359" max="4360" width="14.42578125" customWidth="1"/>
    <col min="4361" max="4361" width="12.5703125" customWidth="1"/>
    <col min="4362" max="4362" width="17.7109375" customWidth="1"/>
    <col min="4363" max="4363" width="12.140625" customWidth="1"/>
    <col min="4609" max="4609" width="4.7109375" customWidth="1"/>
    <col min="4610" max="4610" width="45" customWidth="1"/>
    <col min="4611" max="4611" width="8.42578125" customWidth="1"/>
    <col min="4612" max="4612" width="15.42578125" customWidth="1"/>
    <col min="4613" max="4613" width="9.28515625" bestFit="1" customWidth="1"/>
    <col min="4614" max="4614" width="12.140625" customWidth="1"/>
    <col min="4615" max="4616" width="14.42578125" customWidth="1"/>
    <col min="4617" max="4617" width="12.5703125" customWidth="1"/>
    <col min="4618" max="4618" width="17.7109375" customWidth="1"/>
    <col min="4619" max="4619" width="12.140625" customWidth="1"/>
    <col min="4865" max="4865" width="4.7109375" customWidth="1"/>
    <col min="4866" max="4866" width="45" customWidth="1"/>
    <col min="4867" max="4867" width="8.42578125" customWidth="1"/>
    <col min="4868" max="4868" width="15.42578125" customWidth="1"/>
    <col min="4869" max="4869" width="9.28515625" bestFit="1" customWidth="1"/>
    <col min="4870" max="4870" width="12.140625" customWidth="1"/>
    <col min="4871" max="4872" width="14.42578125" customWidth="1"/>
    <col min="4873" max="4873" width="12.5703125" customWidth="1"/>
    <col min="4874" max="4874" width="17.7109375" customWidth="1"/>
    <col min="4875" max="4875" width="12.140625" customWidth="1"/>
    <col min="5121" max="5121" width="4.7109375" customWidth="1"/>
    <col min="5122" max="5122" width="45" customWidth="1"/>
    <col min="5123" max="5123" width="8.42578125" customWidth="1"/>
    <col min="5124" max="5124" width="15.42578125" customWidth="1"/>
    <col min="5125" max="5125" width="9.28515625" bestFit="1" customWidth="1"/>
    <col min="5126" max="5126" width="12.140625" customWidth="1"/>
    <col min="5127" max="5128" width="14.42578125" customWidth="1"/>
    <col min="5129" max="5129" width="12.5703125" customWidth="1"/>
    <col min="5130" max="5130" width="17.7109375" customWidth="1"/>
    <col min="5131" max="5131" width="12.140625" customWidth="1"/>
    <col min="5377" max="5377" width="4.7109375" customWidth="1"/>
    <col min="5378" max="5378" width="45" customWidth="1"/>
    <col min="5379" max="5379" width="8.42578125" customWidth="1"/>
    <col min="5380" max="5380" width="15.42578125" customWidth="1"/>
    <col min="5381" max="5381" width="9.28515625" bestFit="1" customWidth="1"/>
    <col min="5382" max="5382" width="12.140625" customWidth="1"/>
    <col min="5383" max="5384" width="14.42578125" customWidth="1"/>
    <col min="5385" max="5385" width="12.5703125" customWidth="1"/>
    <col min="5386" max="5386" width="17.7109375" customWidth="1"/>
    <col min="5387" max="5387" width="12.140625" customWidth="1"/>
    <col min="5633" max="5633" width="4.7109375" customWidth="1"/>
    <col min="5634" max="5634" width="45" customWidth="1"/>
    <col min="5635" max="5635" width="8.42578125" customWidth="1"/>
    <col min="5636" max="5636" width="15.42578125" customWidth="1"/>
    <col min="5637" max="5637" width="9.28515625" bestFit="1" customWidth="1"/>
    <col min="5638" max="5638" width="12.140625" customWidth="1"/>
    <col min="5639" max="5640" width="14.42578125" customWidth="1"/>
    <col min="5641" max="5641" width="12.5703125" customWidth="1"/>
    <col min="5642" max="5642" width="17.7109375" customWidth="1"/>
    <col min="5643" max="5643" width="12.140625" customWidth="1"/>
    <col min="5889" max="5889" width="4.7109375" customWidth="1"/>
    <col min="5890" max="5890" width="45" customWidth="1"/>
    <col min="5891" max="5891" width="8.42578125" customWidth="1"/>
    <col min="5892" max="5892" width="15.42578125" customWidth="1"/>
    <col min="5893" max="5893" width="9.28515625" bestFit="1" customWidth="1"/>
    <col min="5894" max="5894" width="12.140625" customWidth="1"/>
    <col min="5895" max="5896" width="14.42578125" customWidth="1"/>
    <col min="5897" max="5897" width="12.5703125" customWidth="1"/>
    <col min="5898" max="5898" width="17.7109375" customWidth="1"/>
    <col min="5899" max="5899" width="12.140625" customWidth="1"/>
    <col min="6145" max="6145" width="4.7109375" customWidth="1"/>
    <col min="6146" max="6146" width="45" customWidth="1"/>
    <col min="6147" max="6147" width="8.42578125" customWidth="1"/>
    <col min="6148" max="6148" width="15.42578125" customWidth="1"/>
    <col min="6149" max="6149" width="9.28515625" bestFit="1" customWidth="1"/>
    <col min="6150" max="6150" width="12.140625" customWidth="1"/>
    <col min="6151" max="6152" width="14.42578125" customWidth="1"/>
    <col min="6153" max="6153" width="12.5703125" customWidth="1"/>
    <col min="6154" max="6154" width="17.7109375" customWidth="1"/>
    <col min="6155" max="6155" width="12.140625" customWidth="1"/>
    <col min="6401" max="6401" width="4.7109375" customWidth="1"/>
    <col min="6402" max="6402" width="45" customWidth="1"/>
    <col min="6403" max="6403" width="8.42578125" customWidth="1"/>
    <col min="6404" max="6404" width="15.42578125" customWidth="1"/>
    <col min="6405" max="6405" width="9.28515625" bestFit="1" customWidth="1"/>
    <col min="6406" max="6406" width="12.140625" customWidth="1"/>
    <col min="6407" max="6408" width="14.42578125" customWidth="1"/>
    <col min="6409" max="6409" width="12.5703125" customWidth="1"/>
    <col min="6410" max="6410" width="17.7109375" customWidth="1"/>
    <col min="6411" max="6411" width="12.140625" customWidth="1"/>
    <col min="6657" max="6657" width="4.7109375" customWidth="1"/>
    <col min="6658" max="6658" width="45" customWidth="1"/>
    <col min="6659" max="6659" width="8.42578125" customWidth="1"/>
    <col min="6660" max="6660" width="15.42578125" customWidth="1"/>
    <col min="6661" max="6661" width="9.28515625" bestFit="1" customWidth="1"/>
    <col min="6662" max="6662" width="12.140625" customWidth="1"/>
    <col min="6663" max="6664" width="14.42578125" customWidth="1"/>
    <col min="6665" max="6665" width="12.5703125" customWidth="1"/>
    <col min="6666" max="6666" width="17.7109375" customWidth="1"/>
    <col min="6667" max="6667" width="12.140625" customWidth="1"/>
    <col min="6913" max="6913" width="4.7109375" customWidth="1"/>
    <col min="6914" max="6914" width="45" customWidth="1"/>
    <col min="6915" max="6915" width="8.42578125" customWidth="1"/>
    <col min="6916" max="6916" width="15.42578125" customWidth="1"/>
    <col min="6917" max="6917" width="9.28515625" bestFit="1" customWidth="1"/>
    <col min="6918" max="6918" width="12.140625" customWidth="1"/>
    <col min="6919" max="6920" width="14.42578125" customWidth="1"/>
    <col min="6921" max="6921" width="12.5703125" customWidth="1"/>
    <col min="6922" max="6922" width="17.7109375" customWidth="1"/>
    <col min="6923" max="6923" width="12.140625" customWidth="1"/>
    <col min="7169" max="7169" width="4.7109375" customWidth="1"/>
    <col min="7170" max="7170" width="45" customWidth="1"/>
    <col min="7171" max="7171" width="8.42578125" customWidth="1"/>
    <col min="7172" max="7172" width="15.42578125" customWidth="1"/>
    <col min="7173" max="7173" width="9.28515625" bestFit="1" customWidth="1"/>
    <col min="7174" max="7174" width="12.140625" customWidth="1"/>
    <col min="7175" max="7176" width="14.42578125" customWidth="1"/>
    <col min="7177" max="7177" width="12.5703125" customWidth="1"/>
    <col min="7178" max="7178" width="17.7109375" customWidth="1"/>
    <col min="7179" max="7179" width="12.140625" customWidth="1"/>
    <col min="7425" max="7425" width="4.7109375" customWidth="1"/>
    <col min="7426" max="7426" width="45" customWidth="1"/>
    <col min="7427" max="7427" width="8.42578125" customWidth="1"/>
    <col min="7428" max="7428" width="15.42578125" customWidth="1"/>
    <col min="7429" max="7429" width="9.28515625" bestFit="1" customWidth="1"/>
    <col min="7430" max="7430" width="12.140625" customWidth="1"/>
    <col min="7431" max="7432" width="14.42578125" customWidth="1"/>
    <col min="7433" max="7433" width="12.5703125" customWidth="1"/>
    <col min="7434" max="7434" width="17.7109375" customWidth="1"/>
    <col min="7435" max="7435" width="12.140625" customWidth="1"/>
    <col min="7681" max="7681" width="4.7109375" customWidth="1"/>
    <col min="7682" max="7682" width="45" customWidth="1"/>
    <col min="7683" max="7683" width="8.42578125" customWidth="1"/>
    <col min="7684" max="7684" width="15.42578125" customWidth="1"/>
    <col min="7685" max="7685" width="9.28515625" bestFit="1" customWidth="1"/>
    <col min="7686" max="7686" width="12.140625" customWidth="1"/>
    <col min="7687" max="7688" width="14.42578125" customWidth="1"/>
    <col min="7689" max="7689" width="12.5703125" customWidth="1"/>
    <col min="7690" max="7690" width="17.7109375" customWidth="1"/>
    <col min="7691" max="7691" width="12.140625" customWidth="1"/>
    <col min="7937" max="7937" width="4.7109375" customWidth="1"/>
    <col min="7938" max="7938" width="45" customWidth="1"/>
    <col min="7939" max="7939" width="8.42578125" customWidth="1"/>
    <col min="7940" max="7940" width="15.42578125" customWidth="1"/>
    <col min="7941" max="7941" width="9.28515625" bestFit="1" customWidth="1"/>
    <col min="7942" max="7942" width="12.140625" customWidth="1"/>
    <col min="7943" max="7944" width="14.42578125" customWidth="1"/>
    <col min="7945" max="7945" width="12.5703125" customWidth="1"/>
    <col min="7946" max="7946" width="17.7109375" customWidth="1"/>
    <col min="7947" max="7947" width="12.140625" customWidth="1"/>
    <col min="8193" max="8193" width="4.7109375" customWidth="1"/>
    <col min="8194" max="8194" width="45" customWidth="1"/>
    <col min="8195" max="8195" width="8.42578125" customWidth="1"/>
    <col min="8196" max="8196" width="15.42578125" customWidth="1"/>
    <col min="8197" max="8197" width="9.28515625" bestFit="1" customWidth="1"/>
    <col min="8198" max="8198" width="12.140625" customWidth="1"/>
    <col min="8199" max="8200" width="14.42578125" customWidth="1"/>
    <col min="8201" max="8201" width="12.5703125" customWidth="1"/>
    <col min="8202" max="8202" width="17.7109375" customWidth="1"/>
    <col min="8203" max="8203" width="12.140625" customWidth="1"/>
    <col min="8449" max="8449" width="4.7109375" customWidth="1"/>
    <col min="8450" max="8450" width="45" customWidth="1"/>
    <col min="8451" max="8451" width="8.42578125" customWidth="1"/>
    <col min="8452" max="8452" width="15.42578125" customWidth="1"/>
    <col min="8453" max="8453" width="9.28515625" bestFit="1" customWidth="1"/>
    <col min="8454" max="8454" width="12.140625" customWidth="1"/>
    <col min="8455" max="8456" width="14.42578125" customWidth="1"/>
    <col min="8457" max="8457" width="12.5703125" customWidth="1"/>
    <col min="8458" max="8458" width="17.7109375" customWidth="1"/>
    <col min="8459" max="8459" width="12.140625" customWidth="1"/>
    <col min="8705" max="8705" width="4.7109375" customWidth="1"/>
    <col min="8706" max="8706" width="45" customWidth="1"/>
    <col min="8707" max="8707" width="8.42578125" customWidth="1"/>
    <col min="8708" max="8708" width="15.42578125" customWidth="1"/>
    <col min="8709" max="8709" width="9.28515625" bestFit="1" customWidth="1"/>
    <col min="8710" max="8710" width="12.140625" customWidth="1"/>
    <col min="8711" max="8712" width="14.42578125" customWidth="1"/>
    <col min="8713" max="8713" width="12.5703125" customWidth="1"/>
    <col min="8714" max="8714" width="17.7109375" customWidth="1"/>
    <col min="8715" max="8715" width="12.140625" customWidth="1"/>
    <col min="8961" max="8961" width="4.7109375" customWidth="1"/>
    <col min="8962" max="8962" width="45" customWidth="1"/>
    <col min="8963" max="8963" width="8.42578125" customWidth="1"/>
    <col min="8964" max="8964" width="15.42578125" customWidth="1"/>
    <col min="8965" max="8965" width="9.28515625" bestFit="1" customWidth="1"/>
    <col min="8966" max="8966" width="12.140625" customWidth="1"/>
    <col min="8967" max="8968" width="14.42578125" customWidth="1"/>
    <col min="8969" max="8969" width="12.5703125" customWidth="1"/>
    <col min="8970" max="8970" width="17.7109375" customWidth="1"/>
    <col min="8971" max="8971" width="12.140625" customWidth="1"/>
    <col min="9217" max="9217" width="4.7109375" customWidth="1"/>
    <col min="9218" max="9218" width="45" customWidth="1"/>
    <col min="9219" max="9219" width="8.42578125" customWidth="1"/>
    <col min="9220" max="9220" width="15.42578125" customWidth="1"/>
    <col min="9221" max="9221" width="9.28515625" bestFit="1" customWidth="1"/>
    <col min="9222" max="9222" width="12.140625" customWidth="1"/>
    <col min="9223" max="9224" width="14.42578125" customWidth="1"/>
    <col min="9225" max="9225" width="12.5703125" customWidth="1"/>
    <col min="9226" max="9226" width="17.7109375" customWidth="1"/>
    <col min="9227" max="9227" width="12.140625" customWidth="1"/>
    <col min="9473" max="9473" width="4.7109375" customWidth="1"/>
    <col min="9474" max="9474" width="45" customWidth="1"/>
    <col min="9475" max="9475" width="8.42578125" customWidth="1"/>
    <col min="9476" max="9476" width="15.42578125" customWidth="1"/>
    <col min="9477" max="9477" width="9.28515625" bestFit="1" customWidth="1"/>
    <col min="9478" max="9478" width="12.140625" customWidth="1"/>
    <col min="9479" max="9480" width="14.42578125" customWidth="1"/>
    <col min="9481" max="9481" width="12.5703125" customWidth="1"/>
    <col min="9482" max="9482" width="17.7109375" customWidth="1"/>
    <col min="9483" max="9483" width="12.140625" customWidth="1"/>
    <col min="9729" max="9729" width="4.7109375" customWidth="1"/>
    <col min="9730" max="9730" width="45" customWidth="1"/>
    <col min="9731" max="9731" width="8.42578125" customWidth="1"/>
    <col min="9732" max="9732" width="15.42578125" customWidth="1"/>
    <col min="9733" max="9733" width="9.28515625" bestFit="1" customWidth="1"/>
    <col min="9734" max="9734" width="12.140625" customWidth="1"/>
    <col min="9735" max="9736" width="14.42578125" customWidth="1"/>
    <col min="9737" max="9737" width="12.5703125" customWidth="1"/>
    <col min="9738" max="9738" width="17.7109375" customWidth="1"/>
    <col min="9739" max="9739" width="12.140625" customWidth="1"/>
    <col min="9985" max="9985" width="4.7109375" customWidth="1"/>
    <col min="9986" max="9986" width="45" customWidth="1"/>
    <col min="9987" max="9987" width="8.42578125" customWidth="1"/>
    <col min="9988" max="9988" width="15.42578125" customWidth="1"/>
    <col min="9989" max="9989" width="9.28515625" bestFit="1" customWidth="1"/>
    <col min="9990" max="9990" width="12.140625" customWidth="1"/>
    <col min="9991" max="9992" width="14.42578125" customWidth="1"/>
    <col min="9993" max="9993" width="12.5703125" customWidth="1"/>
    <col min="9994" max="9994" width="17.7109375" customWidth="1"/>
    <col min="9995" max="9995" width="12.140625" customWidth="1"/>
    <col min="10241" max="10241" width="4.7109375" customWidth="1"/>
    <col min="10242" max="10242" width="45" customWidth="1"/>
    <col min="10243" max="10243" width="8.42578125" customWidth="1"/>
    <col min="10244" max="10244" width="15.42578125" customWidth="1"/>
    <col min="10245" max="10245" width="9.28515625" bestFit="1" customWidth="1"/>
    <col min="10246" max="10246" width="12.140625" customWidth="1"/>
    <col min="10247" max="10248" width="14.42578125" customWidth="1"/>
    <col min="10249" max="10249" width="12.5703125" customWidth="1"/>
    <col min="10250" max="10250" width="17.7109375" customWidth="1"/>
    <col min="10251" max="10251" width="12.140625" customWidth="1"/>
    <col min="10497" max="10497" width="4.7109375" customWidth="1"/>
    <col min="10498" max="10498" width="45" customWidth="1"/>
    <col min="10499" max="10499" width="8.42578125" customWidth="1"/>
    <col min="10500" max="10500" width="15.42578125" customWidth="1"/>
    <col min="10501" max="10501" width="9.28515625" bestFit="1" customWidth="1"/>
    <col min="10502" max="10502" width="12.140625" customWidth="1"/>
    <col min="10503" max="10504" width="14.42578125" customWidth="1"/>
    <col min="10505" max="10505" width="12.5703125" customWidth="1"/>
    <col min="10506" max="10506" width="17.7109375" customWidth="1"/>
    <col min="10507" max="10507" width="12.140625" customWidth="1"/>
    <col min="10753" max="10753" width="4.7109375" customWidth="1"/>
    <col min="10754" max="10754" width="45" customWidth="1"/>
    <col min="10755" max="10755" width="8.42578125" customWidth="1"/>
    <col min="10756" max="10756" width="15.42578125" customWidth="1"/>
    <col min="10757" max="10757" width="9.28515625" bestFit="1" customWidth="1"/>
    <col min="10758" max="10758" width="12.140625" customWidth="1"/>
    <col min="10759" max="10760" width="14.42578125" customWidth="1"/>
    <col min="10761" max="10761" width="12.5703125" customWidth="1"/>
    <col min="10762" max="10762" width="17.7109375" customWidth="1"/>
    <col min="10763" max="10763" width="12.140625" customWidth="1"/>
    <col min="11009" max="11009" width="4.7109375" customWidth="1"/>
    <col min="11010" max="11010" width="45" customWidth="1"/>
    <col min="11011" max="11011" width="8.42578125" customWidth="1"/>
    <col min="11012" max="11012" width="15.42578125" customWidth="1"/>
    <col min="11013" max="11013" width="9.28515625" bestFit="1" customWidth="1"/>
    <col min="11014" max="11014" width="12.140625" customWidth="1"/>
    <col min="11015" max="11016" width="14.42578125" customWidth="1"/>
    <col min="11017" max="11017" width="12.5703125" customWidth="1"/>
    <col min="11018" max="11018" width="17.7109375" customWidth="1"/>
    <col min="11019" max="11019" width="12.140625" customWidth="1"/>
    <col min="11265" max="11265" width="4.7109375" customWidth="1"/>
    <col min="11266" max="11266" width="45" customWidth="1"/>
    <col min="11267" max="11267" width="8.42578125" customWidth="1"/>
    <col min="11268" max="11268" width="15.42578125" customWidth="1"/>
    <col min="11269" max="11269" width="9.28515625" bestFit="1" customWidth="1"/>
    <col min="11270" max="11270" width="12.140625" customWidth="1"/>
    <col min="11271" max="11272" width="14.42578125" customWidth="1"/>
    <col min="11273" max="11273" width="12.5703125" customWidth="1"/>
    <col min="11274" max="11274" width="17.7109375" customWidth="1"/>
    <col min="11275" max="11275" width="12.140625" customWidth="1"/>
    <col min="11521" max="11521" width="4.7109375" customWidth="1"/>
    <col min="11522" max="11522" width="45" customWidth="1"/>
    <col min="11523" max="11523" width="8.42578125" customWidth="1"/>
    <col min="11524" max="11524" width="15.42578125" customWidth="1"/>
    <col min="11525" max="11525" width="9.28515625" bestFit="1" customWidth="1"/>
    <col min="11526" max="11526" width="12.140625" customWidth="1"/>
    <col min="11527" max="11528" width="14.42578125" customWidth="1"/>
    <col min="11529" max="11529" width="12.5703125" customWidth="1"/>
    <col min="11530" max="11530" width="17.7109375" customWidth="1"/>
    <col min="11531" max="11531" width="12.140625" customWidth="1"/>
    <col min="11777" max="11777" width="4.7109375" customWidth="1"/>
    <col min="11778" max="11778" width="45" customWidth="1"/>
    <col min="11779" max="11779" width="8.42578125" customWidth="1"/>
    <col min="11780" max="11780" width="15.42578125" customWidth="1"/>
    <col min="11781" max="11781" width="9.28515625" bestFit="1" customWidth="1"/>
    <col min="11782" max="11782" width="12.140625" customWidth="1"/>
    <col min="11783" max="11784" width="14.42578125" customWidth="1"/>
    <col min="11785" max="11785" width="12.5703125" customWidth="1"/>
    <col min="11786" max="11786" width="17.7109375" customWidth="1"/>
    <col min="11787" max="11787" width="12.140625" customWidth="1"/>
    <col min="12033" max="12033" width="4.7109375" customWidth="1"/>
    <col min="12034" max="12034" width="45" customWidth="1"/>
    <col min="12035" max="12035" width="8.42578125" customWidth="1"/>
    <col min="12036" max="12036" width="15.42578125" customWidth="1"/>
    <col min="12037" max="12037" width="9.28515625" bestFit="1" customWidth="1"/>
    <col min="12038" max="12038" width="12.140625" customWidth="1"/>
    <col min="12039" max="12040" width="14.42578125" customWidth="1"/>
    <col min="12041" max="12041" width="12.5703125" customWidth="1"/>
    <col min="12042" max="12042" width="17.7109375" customWidth="1"/>
    <col min="12043" max="12043" width="12.140625" customWidth="1"/>
    <col min="12289" max="12289" width="4.7109375" customWidth="1"/>
    <col min="12290" max="12290" width="45" customWidth="1"/>
    <col min="12291" max="12291" width="8.42578125" customWidth="1"/>
    <col min="12292" max="12292" width="15.42578125" customWidth="1"/>
    <col min="12293" max="12293" width="9.28515625" bestFit="1" customWidth="1"/>
    <col min="12294" max="12294" width="12.140625" customWidth="1"/>
    <col min="12295" max="12296" width="14.42578125" customWidth="1"/>
    <col min="12297" max="12297" width="12.5703125" customWidth="1"/>
    <col min="12298" max="12298" width="17.7109375" customWidth="1"/>
    <col min="12299" max="12299" width="12.140625" customWidth="1"/>
    <col min="12545" max="12545" width="4.7109375" customWidth="1"/>
    <col min="12546" max="12546" width="45" customWidth="1"/>
    <col min="12547" max="12547" width="8.42578125" customWidth="1"/>
    <col min="12548" max="12548" width="15.42578125" customWidth="1"/>
    <col min="12549" max="12549" width="9.28515625" bestFit="1" customWidth="1"/>
    <col min="12550" max="12550" width="12.140625" customWidth="1"/>
    <col min="12551" max="12552" width="14.42578125" customWidth="1"/>
    <col min="12553" max="12553" width="12.5703125" customWidth="1"/>
    <col min="12554" max="12554" width="17.7109375" customWidth="1"/>
    <col min="12555" max="12555" width="12.140625" customWidth="1"/>
    <col min="12801" max="12801" width="4.7109375" customWidth="1"/>
    <col min="12802" max="12802" width="45" customWidth="1"/>
    <col min="12803" max="12803" width="8.42578125" customWidth="1"/>
    <col min="12804" max="12804" width="15.42578125" customWidth="1"/>
    <col min="12805" max="12805" width="9.28515625" bestFit="1" customWidth="1"/>
    <col min="12806" max="12806" width="12.140625" customWidth="1"/>
    <col min="12807" max="12808" width="14.42578125" customWidth="1"/>
    <col min="12809" max="12809" width="12.5703125" customWidth="1"/>
    <col min="12810" max="12810" width="17.7109375" customWidth="1"/>
    <col min="12811" max="12811" width="12.140625" customWidth="1"/>
    <col min="13057" max="13057" width="4.7109375" customWidth="1"/>
    <col min="13058" max="13058" width="45" customWidth="1"/>
    <col min="13059" max="13059" width="8.42578125" customWidth="1"/>
    <col min="13060" max="13060" width="15.42578125" customWidth="1"/>
    <col min="13061" max="13061" width="9.28515625" bestFit="1" customWidth="1"/>
    <col min="13062" max="13062" width="12.140625" customWidth="1"/>
    <col min="13063" max="13064" width="14.42578125" customWidth="1"/>
    <col min="13065" max="13065" width="12.5703125" customWidth="1"/>
    <col min="13066" max="13066" width="17.7109375" customWidth="1"/>
    <col min="13067" max="13067" width="12.140625" customWidth="1"/>
    <col min="13313" max="13313" width="4.7109375" customWidth="1"/>
    <col min="13314" max="13314" width="45" customWidth="1"/>
    <col min="13315" max="13315" width="8.42578125" customWidth="1"/>
    <col min="13316" max="13316" width="15.42578125" customWidth="1"/>
    <col min="13317" max="13317" width="9.28515625" bestFit="1" customWidth="1"/>
    <col min="13318" max="13318" width="12.140625" customWidth="1"/>
    <col min="13319" max="13320" width="14.42578125" customWidth="1"/>
    <col min="13321" max="13321" width="12.5703125" customWidth="1"/>
    <col min="13322" max="13322" width="17.7109375" customWidth="1"/>
    <col min="13323" max="13323" width="12.140625" customWidth="1"/>
    <col min="13569" max="13569" width="4.7109375" customWidth="1"/>
    <col min="13570" max="13570" width="45" customWidth="1"/>
    <col min="13571" max="13571" width="8.42578125" customWidth="1"/>
    <col min="13572" max="13572" width="15.42578125" customWidth="1"/>
    <col min="13573" max="13573" width="9.28515625" bestFit="1" customWidth="1"/>
    <col min="13574" max="13574" width="12.140625" customWidth="1"/>
    <col min="13575" max="13576" width="14.42578125" customWidth="1"/>
    <col min="13577" max="13577" width="12.5703125" customWidth="1"/>
    <col min="13578" max="13578" width="17.7109375" customWidth="1"/>
    <col min="13579" max="13579" width="12.140625" customWidth="1"/>
    <col min="13825" max="13825" width="4.7109375" customWidth="1"/>
    <col min="13826" max="13826" width="45" customWidth="1"/>
    <col min="13827" max="13827" width="8.42578125" customWidth="1"/>
    <col min="13828" max="13828" width="15.42578125" customWidth="1"/>
    <col min="13829" max="13829" width="9.28515625" bestFit="1" customWidth="1"/>
    <col min="13830" max="13830" width="12.140625" customWidth="1"/>
    <col min="13831" max="13832" width="14.42578125" customWidth="1"/>
    <col min="13833" max="13833" width="12.5703125" customWidth="1"/>
    <col min="13834" max="13834" width="17.7109375" customWidth="1"/>
    <col min="13835" max="13835" width="12.140625" customWidth="1"/>
    <col min="14081" max="14081" width="4.7109375" customWidth="1"/>
    <col min="14082" max="14082" width="45" customWidth="1"/>
    <col min="14083" max="14083" width="8.42578125" customWidth="1"/>
    <col min="14084" max="14084" width="15.42578125" customWidth="1"/>
    <col min="14085" max="14085" width="9.28515625" bestFit="1" customWidth="1"/>
    <col min="14086" max="14086" width="12.140625" customWidth="1"/>
    <col min="14087" max="14088" width="14.42578125" customWidth="1"/>
    <col min="14089" max="14089" width="12.5703125" customWidth="1"/>
    <col min="14090" max="14090" width="17.7109375" customWidth="1"/>
    <col min="14091" max="14091" width="12.140625" customWidth="1"/>
    <col min="14337" max="14337" width="4.7109375" customWidth="1"/>
    <col min="14338" max="14338" width="45" customWidth="1"/>
    <col min="14339" max="14339" width="8.42578125" customWidth="1"/>
    <col min="14340" max="14340" width="15.42578125" customWidth="1"/>
    <col min="14341" max="14341" width="9.28515625" bestFit="1" customWidth="1"/>
    <col min="14342" max="14342" width="12.140625" customWidth="1"/>
    <col min="14343" max="14344" width="14.42578125" customWidth="1"/>
    <col min="14345" max="14345" width="12.5703125" customWidth="1"/>
    <col min="14346" max="14346" width="17.7109375" customWidth="1"/>
    <col min="14347" max="14347" width="12.140625" customWidth="1"/>
    <col min="14593" max="14593" width="4.7109375" customWidth="1"/>
    <col min="14594" max="14594" width="45" customWidth="1"/>
    <col min="14595" max="14595" width="8.42578125" customWidth="1"/>
    <col min="14596" max="14596" width="15.42578125" customWidth="1"/>
    <col min="14597" max="14597" width="9.28515625" bestFit="1" customWidth="1"/>
    <col min="14598" max="14598" width="12.140625" customWidth="1"/>
    <col min="14599" max="14600" width="14.42578125" customWidth="1"/>
    <col min="14601" max="14601" width="12.5703125" customWidth="1"/>
    <col min="14602" max="14602" width="17.7109375" customWidth="1"/>
    <col min="14603" max="14603" width="12.140625" customWidth="1"/>
    <col min="14849" max="14849" width="4.7109375" customWidth="1"/>
    <col min="14850" max="14850" width="45" customWidth="1"/>
    <col min="14851" max="14851" width="8.42578125" customWidth="1"/>
    <col min="14852" max="14852" width="15.42578125" customWidth="1"/>
    <col min="14853" max="14853" width="9.28515625" bestFit="1" customWidth="1"/>
    <col min="14854" max="14854" width="12.140625" customWidth="1"/>
    <col min="14855" max="14856" width="14.42578125" customWidth="1"/>
    <col min="14857" max="14857" width="12.5703125" customWidth="1"/>
    <col min="14858" max="14858" width="17.7109375" customWidth="1"/>
    <col min="14859" max="14859" width="12.140625" customWidth="1"/>
    <col min="15105" max="15105" width="4.7109375" customWidth="1"/>
    <col min="15106" max="15106" width="45" customWidth="1"/>
    <col min="15107" max="15107" width="8.42578125" customWidth="1"/>
    <col min="15108" max="15108" width="15.42578125" customWidth="1"/>
    <col min="15109" max="15109" width="9.28515625" bestFit="1" customWidth="1"/>
    <col min="15110" max="15110" width="12.140625" customWidth="1"/>
    <col min="15111" max="15112" width="14.42578125" customWidth="1"/>
    <col min="15113" max="15113" width="12.5703125" customWidth="1"/>
    <col min="15114" max="15114" width="17.7109375" customWidth="1"/>
    <col min="15115" max="15115" width="12.140625" customWidth="1"/>
    <col min="15361" max="15361" width="4.7109375" customWidth="1"/>
    <col min="15362" max="15362" width="45" customWidth="1"/>
    <col min="15363" max="15363" width="8.42578125" customWidth="1"/>
    <col min="15364" max="15364" width="15.42578125" customWidth="1"/>
    <col min="15365" max="15365" width="9.28515625" bestFit="1" customWidth="1"/>
    <col min="15366" max="15366" width="12.140625" customWidth="1"/>
    <col min="15367" max="15368" width="14.42578125" customWidth="1"/>
    <col min="15369" max="15369" width="12.5703125" customWidth="1"/>
    <col min="15370" max="15370" width="17.7109375" customWidth="1"/>
    <col min="15371" max="15371" width="12.140625" customWidth="1"/>
    <col min="15617" max="15617" width="4.7109375" customWidth="1"/>
    <col min="15618" max="15618" width="45" customWidth="1"/>
    <col min="15619" max="15619" width="8.42578125" customWidth="1"/>
    <col min="15620" max="15620" width="15.42578125" customWidth="1"/>
    <col min="15621" max="15621" width="9.28515625" bestFit="1" customWidth="1"/>
    <col min="15622" max="15622" width="12.140625" customWidth="1"/>
    <col min="15623" max="15624" width="14.42578125" customWidth="1"/>
    <col min="15625" max="15625" width="12.5703125" customWidth="1"/>
    <col min="15626" max="15626" width="17.7109375" customWidth="1"/>
    <col min="15627" max="15627" width="12.140625" customWidth="1"/>
    <col min="15873" max="15873" width="4.7109375" customWidth="1"/>
    <col min="15874" max="15874" width="45" customWidth="1"/>
    <col min="15875" max="15875" width="8.42578125" customWidth="1"/>
    <col min="15876" max="15876" width="15.42578125" customWidth="1"/>
    <col min="15877" max="15877" width="9.28515625" bestFit="1" customWidth="1"/>
    <col min="15878" max="15878" width="12.140625" customWidth="1"/>
    <col min="15879" max="15880" width="14.42578125" customWidth="1"/>
    <col min="15881" max="15881" width="12.5703125" customWidth="1"/>
    <col min="15882" max="15882" width="17.7109375" customWidth="1"/>
    <col min="15883" max="15883" width="12.140625" customWidth="1"/>
    <col min="16129" max="16129" width="4.7109375" customWidth="1"/>
    <col min="16130" max="16130" width="45" customWidth="1"/>
    <col min="16131" max="16131" width="8.42578125" customWidth="1"/>
    <col min="16132" max="16132" width="15.42578125" customWidth="1"/>
    <col min="16133" max="16133" width="9.28515625" bestFit="1" customWidth="1"/>
    <col min="16134" max="16134" width="12.140625" customWidth="1"/>
    <col min="16135" max="16136" width="14.42578125" customWidth="1"/>
    <col min="16137" max="16137" width="12.5703125" customWidth="1"/>
    <col min="16138" max="16138" width="17.7109375" customWidth="1"/>
    <col min="16139" max="16139" width="12.140625" customWidth="1"/>
  </cols>
  <sheetData>
    <row r="1" spans="1:14" x14ac:dyDescent="0.2">
      <c r="A1" s="103" t="s">
        <v>265</v>
      </c>
    </row>
    <row r="2" spans="1:14" x14ac:dyDescent="0.2">
      <c r="A2" s="103" t="str">
        <f>'[3]Planilha Global'!A2</f>
        <v>PREFEITURA MUNICIPAL DE MAMANGUAPE</v>
      </c>
    </row>
    <row r="3" spans="1:14" ht="5.0999999999999996" customHeight="1" x14ac:dyDescent="0.2"/>
    <row r="4" spans="1:14" s="202" customFormat="1" ht="12.75" customHeight="1" x14ac:dyDescent="0.25">
      <c r="A4" s="729" t="s">
        <v>422</v>
      </c>
      <c r="B4" s="737"/>
      <c r="C4" s="737"/>
      <c r="D4" s="737"/>
      <c r="E4" s="737"/>
      <c r="F4" s="737"/>
      <c r="I4" s="202" t="s">
        <v>423</v>
      </c>
      <c r="J4" s="202" t="s">
        <v>424</v>
      </c>
      <c r="K4" s="202" t="s">
        <v>425</v>
      </c>
      <c r="L4" s="202" t="s">
        <v>426</v>
      </c>
      <c r="N4" s="202" t="s">
        <v>428</v>
      </c>
    </row>
    <row r="5" spans="1:14" s="202" customFormat="1" ht="7.5" customHeight="1" x14ac:dyDescent="0.25">
      <c r="A5" s="434"/>
      <c r="B5" s="435"/>
      <c r="C5" s="435"/>
      <c r="D5" s="435"/>
      <c r="E5" s="435"/>
      <c r="F5" s="435"/>
    </row>
    <row r="6" spans="1:14" s="202" customFormat="1" ht="15" customHeight="1" x14ac:dyDescent="0.25">
      <c r="A6" s="735" t="s">
        <v>636</v>
      </c>
      <c r="B6" s="735"/>
      <c r="C6" s="735" t="s">
        <v>637</v>
      </c>
      <c r="D6" s="735"/>
      <c r="E6" s="735"/>
      <c r="F6" s="735"/>
      <c r="G6" s="53"/>
      <c r="H6" s="53"/>
    </row>
    <row r="7" spans="1:14" s="202" customFormat="1" ht="5.0999999999999996" customHeight="1" x14ac:dyDescent="0.25">
      <c r="B7" s="436"/>
      <c r="C7" s="437"/>
      <c r="D7" s="437"/>
      <c r="E7" s="257"/>
      <c r="F7" s="257"/>
      <c r="G7" s="53"/>
      <c r="H7" s="53"/>
    </row>
    <row r="8" spans="1:14" s="202" customFormat="1" ht="15" customHeight="1" x14ac:dyDescent="0.25">
      <c r="A8" s="103" t="s">
        <v>611</v>
      </c>
      <c r="B8" s="436"/>
      <c r="C8" s="736" t="s">
        <v>612</v>
      </c>
      <c r="D8" s="736"/>
      <c r="E8" s="736"/>
      <c r="F8" s="736"/>
      <c r="G8" s="53"/>
      <c r="H8" s="53"/>
      <c r="I8" s="202">
        <v>6</v>
      </c>
      <c r="J8" s="202">
        <v>120.44</v>
      </c>
      <c r="K8" s="202">
        <f t="shared" ref="K8:K13" si="0">I8*J8</f>
        <v>722.64</v>
      </c>
      <c r="L8" s="202">
        <f>35.63+39.49+3.54+8.32+54.55+63.15+2.23+2.34+9.88+11.44+14.99+15.38+7.92+8.14+5.85+6.02+26.89+26.94+25.97+26.07+37.51+37.62+13.3+13.38+45.8+45.88+1.49</f>
        <v>589.72</v>
      </c>
      <c r="M8" s="202">
        <v>120.44</v>
      </c>
      <c r="N8" s="202">
        <v>10</v>
      </c>
    </row>
    <row r="9" spans="1:14" s="202" customFormat="1" ht="15" customHeight="1" x14ac:dyDescent="0.2">
      <c r="A9" s="103" t="s">
        <v>613</v>
      </c>
      <c r="B9" s="438"/>
      <c r="C9" s="736" t="s">
        <v>614</v>
      </c>
      <c r="D9" s="736"/>
      <c r="E9" s="736"/>
      <c r="F9" s="736"/>
      <c r="G9" s="53"/>
      <c r="H9" s="53"/>
      <c r="I9" s="230">
        <f>(6+5)/2</f>
        <v>5.5</v>
      </c>
      <c r="J9" s="202">
        <v>16.989999999999998</v>
      </c>
      <c r="K9" s="230">
        <f t="shared" si="0"/>
        <v>93.45</v>
      </c>
      <c r="L9" s="230"/>
      <c r="M9" s="202">
        <v>137.41999999999999</v>
      </c>
    </row>
    <row r="10" spans="1:14" s="202" customFormat="1" ht="14.25" customHeight="1" x14ac:dyDescent="0.2">
      <c r="A10" s="103" t="s">
        <v>595</v>
      </c>
      <c r="B10" s="438"/>
      <c r="C10" s="736" t="s">
        <v>580</v>
      </c>
      <c r="D10" s="736"/>
      <c r="E10" s="736"/>
      <c r="F10" s="736"/>
      <c r="I10" s="230">
        <v>5</v>
      </c>
      <c r="J10" s="202">
        <f>M10-M9</f>
        <v>39.08</v>
      </c>
      <c r="K10" s="230">
        <f t="shared" si="0"/>
        <v>195.4</v>
      </c>
      <c r="L10" s="230"/>
      <c r="M10" s="202">
        <v>176.5</v>
      </c>
    </row>
    <row r="11" spans="1:14" s="202" customFormat="1" ht="14.25" customHeight="1" x14ac:dyDescent="0.2">
      <c r="A11" s="103" t="s">
        <v>615</v>
      </c>
      <c r="B11" s="438"/>
      <c r="C11" s="437" t="s">
        <v>616</v>
      </c>
      <c r="D11" s="437"/>
      <c r="E11" s="437"/>
      <c r="F11" s="437"/>
      <c r="I11" s="230">
        <f>(5+6)/2</f>
        <v>5.5</v>
      </c>
      <c r="J11" s="202">
        <v>25.97</v>
      </c>
      <c r="K11" s="230">
        <f t="shared" si="0"/>
        <v>142.84</v>
      </c>
      <c r="M11" s="202">
        <v>202.52</v>
      </c>
    </row>
    <row r="12" spans="1:14" s="202" customFormat="1" ht="14.25" customHeight="1" x14ac:dyDescent="0.2">
      <c r="A12" s="103"/>
      <c r="B12" s="438"/>
      <c r="C12" s="103"/>
      <c r="D12" s="437"/>
      <c r="E12" s="103"/>
      <c r="F12" s="103"/>
      <c r="I12" s="202">
        <v>6</v>
      </c>
      <c r="J12" s="202">
        <f>M12-M11</f>
        <v>96.73</v>
      </c>
      <c r="K12" s="202">
        <f t="shared" si="0"/>
        <v>580.38</v>
      </c>
      <c r="M12" s="202">
        <v>299.25</v>
      </c>
    </row>
    <row r="13" spans="1:14" s="202" customFormat="1" ht="15" customHeight="1" x14ac:dyDescent="0.25">
      <c r="A13" s="103" t="s">
        <v>617</v>
      </c>
      <c r="B13" s="436"/>
      <c r="C13" s="736" t="s">
        <v>618</v>
      </c>
      <c r="D13" s="736"/>
      <c r="E13" s="736"/>
      <c r="F13" s="736"/>
      <c r="G13" s="53"/>
      <c r="H13" s="53"/>
      <c r="I13" s="202">
        <v>6</v>
      </c>
      <c r="J13" s="230">
        <f>1.49/2</f>
        <v>0.75</v>
      </c>
      <c r="K13" s="202">
        <f t="shared" si="0"/>
        <v>4.5</v>
      </c>
      <c r="L13" s="230"/>
    </row>
    <row r="14" spans="1:14" s="202" customFormat="1" ht="15" customHeight="1" x14ac:dyDescent="0.2">
      <c r="A14" s="103" t="s">
        <v>619</v>
      </c>
      <c r="B14" s="438"/>
      <c r="C14" s="736" t="s">
        <v>620</v>
      </c>
      <c r="D14" s="736"/>
      <c r="E14" s="736"/>
      <c r="F14" s="736"/>
      <c r="G14" s="53"/>
      <c r="H14" s="53"/>
      <c r="L14" s="230"/>
    </row>
    <row r="15" spans="1:14" s="202" customFormat="1" ht="14.25" customHeight="1" x14ac:dyDescent="0.2">
      <c r="A15" s="103" t="s">
        <v>587</v>
      </c>
      <c r="B15" s="438"/>
      <c r="C15" s="736" t="s">
        <v>588</v>
      </c>
      <c r="D15" s="736"/>
      <c r="E15" s="736"/>
      <c r="F15" s="736"/>
      <c r="K15" s="202">
        <f>SUM(K8:K14)</f>
        <v>1739.21</v>
      </c>
    </row>
    <row r="16" spans="1:14" s="202" customFormat="1" ht="14.25" customHeight="1" x14ac:dyDescent="0.2">
      <c r="A16" s="103" t="s">
        <v>621</v>
      </c>
      <c r="B16" s="438"/>
      <c r="C16" s="437" t="s">
        <v>622</v>
      </c>
      <c r="D16" s="437"/>
      <c r="E16" s="437"/>
      <c r="F16" s="437"/>
    </row>
    <row r="17" spans="1:12" s="202" customFormat="1" ht="14.25" customHeight="1" x14ac:dyDescent="0.25">
      <c r="B17" s="436"/>
      <c r="E17" s="257"/>
      <c r="F17" s="257"/>
    </row>
    <row r="18" spans="1:12" s="202" customFormat="1" ht="15" customHeight="1" x14ac:dyDescent="0.25">
      <c r="A18" s="103" t="s">
        <v>623</v>
      </c>
      <c r="B18" s="436"/>
      <c r="C18" s="736" t="s">
        <v>624</v>
      </c>
      <c r="D18" s="736"/>
      <c r="E18" s="736"/>
      <c r="F18" s="736"/>
      <c r="G18" s="53"/>
      <c r="H18" s="53"/>
    </row>
    <row r="19" spans="1:12" s="202" customFormat="1" ht="15" customHeight="1" x14ac:dyDescent="0.2">
      <c r="A19" s="103" t="s">
        <v>625</v>
      </c>
      <c r="B19" s="438"/>
      <c r="C19" s="736" t="s">
        <v>626</v>
      </c>
      <c r="D19" s="736"/>
      <c r="E19" s="736"/>
      <c r="F19" s="736"/>
      <c r="G19" s="53"/>
      <c r="H19" s="53"/>
      <c r="I19" s="230"/>
      <c r="J19" s="202" t="e">
        <f>'[3]Planilha Global'!H32</f>
        <v>#REF!</v>
      </c>
      <c r="K19" s="230"/>
      <c r="L19" s="230"/>
    </row>
    <row r="20" spans="1:12" s="202" customFormat="1" ht="14.25" customHeight="1" x14ac:dyDescent="0.2">
      <c r="A20" s="103" t="s">
        <v>595</v>
      </c>
      <c r="B20" s="438"/>
      <c r="C20" s="736" t="s">
        <v>579</v>
      </c>
      <c r="D20" s="736"/>
      <c r="E20" s="736"/>
      <c r="F20" s="736"/>
      <c r="I20" s="230"/>
      <c r="K20" s="230"/>
      <c r="L20" s="230"/>
    </row>
    <row r="21" spans="1:12" s="202" customFormat="1" ht="14.25" customHeight="1" x14ac:dyDescent="0.2">
      <c r="A21" s="103" t="s">
        <v>627</v>
      </c>
      <c r="B21" s="438"/>
      <c r="C21" s="437" t="s">
        <v>628</v>
      </c>
      <c r="D21" s="437"/>
      <c r="E21" s="437"/>
      <c r="F21" s="437"/>
      <c r="I21" s="230"/>
    </row>
    <row r="22" spans="1:12" s="202" customFormat="1" ht="14.25" customHeight="1" x14ac:dyDescent="0.2">
      <c r="A22" s="103"/>
      <c r="B22" s="438"/>
      <c r="C22" s="103"/>
      <c r="D22" s="437"/>
      <c r="E22" s="103"/>
      <c r="F22" s="103"/>
    </row>
    <row r="23" spans="1:12" s="202" customFormat="1" ht="12.75" customHeight="1" x14ac:dyDescent="0.2">
      <c r="A23" s="738" t="s">
        <v>430</v>
      </c>
      <c r="B23" s="738"/>
      <c r="C23" s="440"/>
      <c r="D23" s="440"/>
      <c r="E23" s="441"/>
      <c r="F23" s="442"/>
      <c r="I23" s="230"/>
    </row>
    <row r="24" spans="1:12" s="202" customFormat="1" ht="25.5" customHeight="1" x14ac:dyDescent="0.2">
      <c r="A24" s="282"/>
      <c r="B24" s="721" t="s">
        <v>673</v>
      </c>
      <c r="C24" s="721"/>
      <c r="D24" s="721"/>
      <c r="E24" s="442">
        <f>4*2</f>
        <v>8</v>
      </c>
      <c r="F24" s="444" t="s">
        <v>13</v>
      </c>
    </row>
    <row r="25" spans="1:12" s="202" customFormat="1" ht="5.0999999999999996" customHeight="1" x14ac:dyDescent="0.2">
      <c r="B25" s="445"/>
      <c r="C25" s="446"/>
      <c r="D25" s="447"/>
      <c r="E25" s="256"/>
      <c r="F25" s="256"/>
      <c r="G25" s="448"/>
      <c r="H25" s="448"/>
    </row>
    <row r="26" spans="1:12" s="103" customFormat="1" ht="26.25" customHeight="1" x14ac:dyDescent="0.2">
      <c r="B26" s="724" t="s">
        <v>674</v>
      </c>
      <c r="C26" s="724"/>
      <c r="D26" s="724"/>
      <c r="E26" s="452">
        <v>300</v>
      </c>
      <c r="F26" s="438" t="s">
        <v>11</v>
      </c>
    </row>
    <row r="27" spans="1:12" s="202" customFormat="1" ht="5.0999999999999996" customHeight="1" x14ac:dyDescent="0.2">
      <c r="B27" s="445"/>
      <c r="C27" s="446"/>
      <c r="D27" s="447"/>
      <c r="E27" s="256"/>
      <c r="F27" s="448"/>
    </row>
    <row r="28" spans="1:12" s="103" customFormat="1" ht="12.75" customHeight="1" x14ac:dyDescent="0.2">
      <c r="A28" s="738" t="s">
        <v>601</v>
      </c>
      <c r="B28" s="738"/>
      <c r="C28" s="450"/>
      <c r="D28" s="440"/>
      <c r="E28" s="308"/>
      <c r="F28" s="451"/>
    </row>
    <row r="29" spans="1:12" s="103" customFormat="1" ht="25.5" customHeight="1" x14ac:dyDescent="0.2">
      <c r="B29" s="724" t="s">
        <v>675</v>
      </c>
      <c r="C29" s="724"/>
      <c r="D29" s="724"/>
      <c r="E29" s="452">
        <f>K15</f>
        <v>1739.21</v>
      </c>
      <c r="F29" s="438" t="s">
        <v>13</v>
      </c>
    </row>
    <row r="30" spans="1:12" s="202" customFormat="1" ht="5.0999999999999996" customHeight="1" x14ac:dyDescent="0.25">
      <c r="B30" s="453"/>
      <c r="C30" s="453"/>
      <c r="D30" s="453"/>
      <c r="E30" s="454"/>
      <c r="F30" s="455"/>
    </row>
    <row r="31" spans="1:12" s="103" customFormat="1" ht="12.75" customHeight="1" x14ac:dyDescent="0.2">
      <c r="A31" s="738" t="s">
        <v>431</v>
      </c>
      <c r="B31" s="738"/>
      <c r="C31" s="440"/>
      <c r="D31" s="440"/>
      <c r="E31" s="441"/>
      <c r="F31" s="452"/>
    </row>
    <row r="32" spans="1:12" s="103" customFormat="1" ht="90.75" customHeight="1" x14ac:dyDescent="0.2">
      <c r="B32" s="721" t="s">
        <v>676</v>
      </c>
      <c r="C32" s="721"/>
      <c r="D32" s="721"/>
      <c r="E32" s="452">
        <f>L8</f>
        <v>589.72</v>
      </c>
      <c r="F32" s="438" t="s">
        <v>11</v>
      </c>
    </row>
    <row r="33" spans="1:17" s="202" customFormat="1" ht="5.0999999999999996" customHeight="1" x14ac:dyDescent="0.2">
      <c r="B33" s="445"/>
      <c r="C33" s="446"/>
      <c r="D33" s="447"/>
      <c r="E33" s="256"/>
      <c r="F33" s="256"/>
      <c r="G33" s="448"/>
      <c r="H33" s="448"/>
    </row>
    <row r="34" spans="1:17" s="103" customFormat="1" ht="39" customHeight="1" x14ac:dyDescent="0.2">
      <c r="B34" s="721" t="s">
        <v>677</v>
      </c>
      <c r="C34" s="721"/>
      <c r="D34" s="721"/>
      <c r="E34" s="452">
        <f>E29</f>
        <v>1739.21</v>
      </c>
      <c r="F34" s="438" t="s">
        <v>13</v>
      </c>
    </row>
    <row r="35" spans="1:17" s="202" customFormat="1" ht="5.0999999999999996" customHeight="1" x14ac:dyDescent="0.2">
      <c r="B35" s="445"/>
      <c r="C35" s="446"/>
      <c r="D35" s="447"/>
      <c r="E35" s="256"/>
      <c r="F35" s="256"/>
      <c r="G35" s="448"/>
      <c r="H35" s="448"/>
    </row>
    <row r="36" spans="1:17" s="103" customFormat="1" ht="51" customHeight="1" x14ac:dyDescent="0.2">
      <c r="B36" s="721" t="s">
        <v>678</v>
      </c>
      <c r="C36" s="721"/>
      <c r="D36" s="721"/>
      <c r="E36" s="452">
        <f>6.18+6*5+5+5.89</f>
        <v>47.07</v>
      </c>
      <c r="F36" s="438" t="s">
        <v>11</v>
      </c>
    </row>
    <row r="37" spans="1:17" s="103" customFormat="1" ht="5.0999999999999996" customHeight="1" x14ac:dyDescent="0.2">
      <c r="B37" s="456"/>
      <c r="C37" s="456"/>
      <c r="D37" s="456"/>
      <c r="E37" s="457"/>
      <c r="F37" s="458"/>
    </row>
    <row r="38" spans="1:17" s="103" customFormat="1" ht="12.75" customHeight="1" x14ac:dyDescent="0.2">
      <c r="A38" s="739" t="s">
        <v>602</v>
      </c>
      <c r="B38" s="739"/>
      <c r="C38" s="440"/>
      <c r="D38" s="440"/>
      <c r="E38" s="441"/>
      <c r="F38" s="442"/>
    </row>
    <row r="39" spans="1:17" s="103" customFormat="1" ht="90.75" customHeight="1" x14ac:dyDescent="0.2">
      <c r="B39" s="721" t="s">
        <v>679</v>
      </c>
      <c r="C39" s="721"/>
      <c r="D39" s="721"/>
      <c r="E39" s="637">
        <f>J39</f>
        <v>108.16</v>
      </c>
      <c r="F39" s="442" t="s">
        <v>13</v>
      </c>
      <c r="G39" s="442"/>
      <c r="H39" s="442"/>
      <c r="I39" s="461">
        <f>1.2+1.2+35.49+39.65+8.36+53.39+64.32+1.71+2.83+9.87+11.5+14.95+15.42+1.33+7.91+5.8+8.34+26.96+15.82+25.97+26.11+37.56+37.66+13.31+11.48+42.97+17.19+1.26+1.24</f>
        <v>540.79999999999995</v>
      </c>
      <c r="J39" s="103">
        <f>I39*0.2</f>
        <v>108.16</v>
      </c>
    </row>
    <row r="40" spans="1:17" s="202" customFormat="1" ht="5.0999999999999996" customHeight="1" x14ac:dyDescent="0.2">
      <c r="B40" s="445"/>
      <c r="C40" s="446"/>
      <c r="D40" s="447"/>
      <c r="E40" s="256"/>
      <c r="F40" s="256"/>
      <c r="G40" s="448"/>
      <c r="H40" s="448"/>
    </row>
    <row r="41" spans="1:17" s="103" customFormat="1" ht="194.25" customHeight="1" x14ac:dyDescent="0.2">
      <c r="B41" s="724" t="s">
        <v>680</v>
      </c>
      <c r="C41" s="724"/>
      <c r="D41" s="724"/>
      <c r="E41" s="638">
        <f>O41</f>
        <v>34.92</v>
      </c>
      <c r="F41" s="438" t="s">
        <v>128</v>
      </c>
      <c r="G41" s="438"/>
      <c r="H41" s="438"/>
      <c r="I41" s="460">
        <f>(35.63+39.49)*1.2+(1.2+0.94)*3.54/2+(8.32+54.55+63.15+2.23+2.34+9.88+11.44+14.99+15.38+7.92+8.14+5.85+6.02+26.89+26.94+25.97+26.07+37.51+37.62+13.3+13.38+45.8+45.88+1.49)*1.2</f>
        <v>707.2</v>
      </c>
      <c r="J41" s="460">
        <f>I41-I46</f>
        <v>617.20000000000005</v>
      </c>
      <c r="K41" s="460">
        <f>J41*0.06</f>
        <v>37.03</v>
      </c>
      <c r="L41" s="460"/>
      <c r="M41" s="460">
        <f>4.22+5+26.98+27.43+8.36+5.49+3.18+5.49+3.3+3.88+3.79+4.49+5.93+5.98+4.22+4.99+5.62+6.51+4.76+6.11+5.19+5.21+5.57+6.39+5.02+7.18+2.08+2.51+2.27+3.61+14.95+15.51+7.92+8.13+5.83+6.04+23.58+26.87+25.97+29.5+6.74+34.89+23.37+2.62+13.31+13.35+30.1+30.19+7.97+9.81</f>
        <v>527.41</v>
      </c>
      <c r="N41" s="460">
        <f>M41*0.2*0.02</f>
        <v>2.11</v>
      </c>
      <c r="O41" s="460">
        <f>K41-N41</f>
        <v>34.92</v>
      </c>
    </row>
    <row r="42" spans="1:17" s="202" customFormat="1" ht="5.0999999999999996" customHeight="1" x14ac:dyDescent="0.2">
      <c r="B42" s="445"/>
      <c r="C42" s="446"/>
      <c r="D42" s="447"/>
      <c r="E42" s="256"/>
      <c r="F42" s="256"/>
      <c r="G42" s="448"/>
      <c r="H42" s="448"/>
    </row>
    <row r="43" spans="1:17" s="103" customFormat="1" ht="78.75" customHeight="1" x14ac:dyDescent="0.2">
      <c r="B43" s="721" t="s">
        <v>681</v>
      </c>
      <c r="C43" s="721"/>
      <c r="D43" s="721"/>
      <c r="E43" s="639">
        <f>M41*0.2</f>
        <v>105.48</v>
      </c>
      <c r="F43" s="640" t="s">
        <v>13</v>
      </c>
      <c r="G43" s="438"/>
      <c r="H43" s="438"/>
      <c r="J43" s="460"/>
      <c r="K43" s="460"/>
      <c r="L43" s="461"/>
      <c r="M43" s="461"/>
      <c r="N43" s="460"/>
      <c r="O43" s="460"/>
      <c r="Q43" s="460"/>
    </row>
    <row r="44" spans="1:17" s="202" customFormat="1" ht="13.5" customHeight="1" x14ac:dyDescent="0.2">
      <c r="B44" s="445"/>
      <c r="C44" s="446"/>
      <c r="D44" s="447"/>
      <c r="E44" s="256"/>
      <c r="F44" s="256"/>
      <c r="G44" s="448"/>
      <c r="H44" s="448"/>
    </row>
    <row r="45" spans="1:17" s="103" customFormat="1" ht="12.75" customHeight="1" x14ac:dyDescent="0.2">
      <c r="A45" s="739" t="s">
        <v>603</v>
      </c>
      <c r="B45" s="739"/>
      <c r="C45" s="440"/>
      <c r="D45" s="440"/>
      <c r="E45" s="441"/>
      <c r="F45" s="442"/>
    </row>
    <row r="46" spans="1:17" s="103" customFormat="1" ht="78" customHeight="1" x14ac:dyDescent="0.2">
      <c r="B46" s="721" t="s">
        <v>682</v>
      </c>
      <c r="C46" s="721"/>
      <c r="D46" s="721"/>
      <c r="E46" s="637">
        <f>L46</f>
        <v>5.24</v>
      </c>
      <c r="F46" s="641" t="s">
        <v>128</v>
      </c>
      <c r="G46" s="438"/>
      <c r="H46" s="438"/>
      <c r="I46" s="460">
        <f>7.5*1.2*N8</f>
        <v>90</v>
      </c>
      <c r="J46" s="461">
        <f>I46*0.06</f>
        <v>5.4</v>
      </c>
      <c r="K46" s="461">
        <f>(1.2*2+1.5)*0.2*0.02*N8</f>
        <v>0.16</v>
      </c>
      <c r="L46" s="461">
        <f>J46-K46</f>
        <v>5.24</v>
      </c>
      <c r="M46" s="460"/>
    </row>
    <row r="47" spans="1:17" s="202" customFormat="1" ht="5.0999999999999996" customHeight="1" x14ac:dyDescent="0.25">
      <c r="B47" s="445"/>
      <c r="C47" s="446"/>
      <c r="D47" s="447"/>
      <c r="E47" s="207"/>
      <c r="F47" s="642"/>
      <c r="G47" s="448"/>
      <c r="H47" s="448"/>
    </row>
    <row r="48" spans="1:17" s="103" customFormat="1" ht="78" customHeight="1" x14ac:dyDescent="0.2">
      <c r="B48" s="721" t="s">
        <v>683</v>
      </c>
      <c r="C48" s="721"/>
      <c r="D48" s="721"/>
      <c r="E48" s="643">
        <f>E46</f>
        <v>5.24</v>
      </c>
      <c r="F48" s="641" t="s">
        <v>128</v>
      </c>
      <c r="G48" s="438"/>
      <c r="H48" s="438"/>
      <c r="I48" s="460"/>
      <c r="J48" s="461"/>
      <c r="K48" s="461"/>
      <c r="L48" s="461"/>
      <c r="M48" s="460"/>
    </row>
    <row r="49" spans="1:17" s="202" customFormat="1" ht="5.0999999999999996" customHeight="1" x14ac:dyDescent="0.2">
      <c r="B49" s="445"/>
      <c r="C49" s="446"/>
      <c r="D49" s="447"/>
      <c r="E49" s="256"/>
      <c r="F49" s="256"/>
      <c r="G49" s="448"/>
      <c r="H49" s="448"/>
    </row>
    <row r="50" spans="1:17" s="103" customFormat="1" ht="50.25" customHeight="1" x14ac:dyDescent="0.2">
      <c r="B50" s="721" t="s">
        <v>684</v>
      </c>
      <c r="C50" s="721"/>
      <c r="D50" s="721"/>
      <c r="E50" s="637">
        <f>(1.2*2+1.5)*0.2*N8</f>
        <v>7.8</v>
      </c>
      <c r="F50" s="640" t="s">
        <v>13</v>
      </c>
      <c r="G50" s="438"/>
      <c r="H50" s="438"/>
      <c r="J50" s="460"/>
      <c r="K50" s="460"/>
      <c r="L50" s="461"/>
      <c r="M50" s="461"/>
      <c r="N50" s="460"/>
      <c r="O50" s="460"/>
      <c r="Q50" s="460"/>
    </row>
    <row r="51" spans="1:17" s="202" customFormat="1" ht="5.0999999999999996" customHeight="1" x14ac:dyDescent="0.2">
      <c r="B51" s="445"/>
      <c r="C51" s="446"/>
      <c r="D51" s="447"/>
      <c r="E51" s="256"/>
      <c r="F51" s="256"/>
      <c r="G51" s="448"/>
      <c r="H51" s="448"/>
    </row>
    <row r="52" spans="1:17" s="103" customFormat="1" ht="40.5" customHeight="1" x14ac:dyDescent="0.2">
      <c r="B52" s="726" t="s">
        <v>685</v>
      </c>
      <c r="C52" s="726"/>
      <c r="D52" s="726"/>
      <c r="E52" s="644">
        <f>I46</f>
        <v>90</v>
      </c>
      <c r="F52" s="641" t="s">
        <v>13</v>
      </c>
      <c r="G52" s="438"/>
      <c r="H52" s="438"/>
      <c r="J52" s="460"/>
      <c r="K52" s="460"/>
    </row>
    <row r="53" spans="1:17" s="103" customFormat="1" ht="5.0999999999999996" customHeight="1" x14ac:dyDescent="0.2">
      <c r="B53" s="456"/>
      <c r="C53" s="456"/>
      <c r="D53" s="456"/>
      <c r="E53" s="457"/>
      <c r="F53" s="458"/>
      <c r="G53" s="458"/>
      <c r="H53" s="458"/>
    </row>
    <row r="54" spans="1:17" s="103" customFormat="1" ht="12.75" customHeight="1" x14ac:dyDescent="0.2">
      <c r="A54" s="738" t="s">
        <v>490</v>
      </c>
      <c r="B54" s="738"/>
      <c r="C54" s="440"/>
      <c r="D54" s="440"/>
      <c r="E54" s="441"/>
      <c r="F54" s="442"/>
    </row>
    <row r="55" spans="1:17" s="103" customFormat="1" ht="25.5" customHeight="1" x14ac:dyDescent="0.2">
      <c r="B55" s="721" t="s">
        <v>686</v>
      </c>
      <c r="C55" s="721"/>
      <c r="D55" s="721"/>
      <c r="E55" s="459">
        <f>E32*(0.15+0.13)</f>
        <v>165.12</v>
      </c>
      <c r="F55" s="438" t="s">
        <v>13</v>
      </c>
      <c r="H55" s="103" t="e">
        <f>#REF!*0.28</f>
        <v>#REF!</v>
      </c>
    </row>
    <row r="56" spans="1:17" s="202" customFormat="1" ht="5.0999999999999996" customHeight="1" x14ac:dyDescent="0.2">
      <c r="B56" s="445"/>
      <c r="C56" s="446"/>
      <c r="D56" s="447"/>
      <c r="E56" s="256"/>
      <c r="F56" s="256"/>
      <c r="G56" s="448"/>
      <c r="H56" s="448"/>
    </row>
    <row r="57" spans="1:17" s="103" customFormat="1" ht="65.25" customHeight="1" x14ac:dyDescent="0.2">
      <c r="B57" s="721" t="s">
        <v>687</v>
      </c>
      <c r="C57" s="721"/>
      <c r="D57" s="721"/>
      <c r="E57" s="459">
        <v>2</v>
      </c>
      <c r="F57" s="438" t="s">
        <v>279</v>
      </c>
    </row>
    <row r="58" spans="1:17" s="202" customFormat="1" ht="5.0999999999999996" customHeight="1" x14ac:dyDescent="0.2">
      <c r="B58" s="445"/>
      <c r="C58" s="446"/>
      <c r="D58" s="447"/>
      <c r="E58" s="256"/>
      <c r="F58" s="256"/>
      <c r="G58" s="448"/>
      <c r="H58" s="448"/>
    </row>
    <row r="59" spans="1:17" s="202" customFormat="1" ht="24" customHeight="1" x14ac:dyDescent="0.2">
      <c r="A59" s="282"/>
      <c r="B59" s="721" t="s">
        <v>688</v>
      </c>
      <c r="C59" s="721"/>
      <c r="D59" s="721"/>
      <c r="E59" s="442">
        <v>2</v>
      </c>
      <c r="F59" s="53" t="s">
        <v>279</v>
      </c>
      <c r="I59" s="202">
        <v>3.9</v>
      </c>
      <c r="J59" s="202">
        <v>216</v>
      </c>
    </row>
    <row r="60" spans="1:17" s="103" customFormat="1" ht="3.75" customHeight="1" x14ac:dyDescent="0.2">
      <c r="B60" s="443"/>
      <c r="C60" s="443"/>
      <c r="D60" s="443"/>
      <c r="E60" s="459"/>
      <c r="F60" s="438"/>
    </row>
    <row r="61" spans="1:17" s="103" customFormat="1" ht="5.0999999999999996" customHeight="1" x14ac:dyDescent="0.2">
      <c r="E61" s="441"/>
      <c r="F61" s="442"/>
    </row>
    <row r="62" spans="1:17" x14ac:dyDescent="0.2">
      <c r="A62" s="103" t="s">
        <v>265</v>
      </c>
    </row>
    <row r="63" spans="1:17" x14ac:dyDescent="0.2">
      <c r="A63" s="103" t="str">
        <f>A2</f>
        <v>PREFEITURA MUNICIPAL DE MAMANGUAPE</v>
      </c>
    </row>
    <row r="64" spans="1:17" ht="5.0999999999999996" customHeight="1" x14ac:dyDescent="0.2"/>
    <row r="65" spans="1:17" s="103" customFormat="1" ht="12.75" customHeight="1" x14ac:dyDescent="0.25">
      <c r="A65" s="729" t="s">
        <v>433</v>
      </c>
      <c r="B65" s="729"/>
      <c r="C65" s="729"/>
      <c r="D65" s="729"/>
      <c r="E65" s="729"/>
      <c r="F65" s="729"/>
      <c r="H65" s="460"/>
    </row>
    <row r="66" spans="1:17" s="202" customFormat="1" ht="15" customHeight="1" x14ac:dyDescent="0.25">
      <c r="A66" s="258" t="str">
        <f>A6</f>
        <v>RUA PROJETADA 1 (Vale Verde)</v>
      </c>
      <c r="B66" s="258"/>
      <c r="C66" s="808"/>
      <c r="D66" s="808"/>
      <c r="E66" s="809"/>
      <c r="F66" s="809"/>
      <c r="G66" s="53"/>
      <c r="H66" s="53"/>
    </row>
    <row r="67" spans="1:17" s="202" customFormat="1" ht="5.0999999999999996" customHeight="1" x14ac:dyDescent="0.25">
      <c r="B67" s="436"/>
      <c r="C67" s="437"/>
      <c r="D67" s="437"/>
      <c r="E67" s="257"/>
      <c r="F67" s="257"/>
      <c r="G67" s="53"/>
      <c r="H67" s="53"/>
    </row>
    <row r="68" spans="1:17" s="202" customFormat="1" ht="12.75" customHeight="1" x14ac:dyDescent="0.2">
      <c r="A68" s="730" t="s">
        <v>53</v>
      </c>
      <c r="B68" s="732" t="s">
        <v>267</v>
      </c>
      <c r="C68" s="732" t="s">
        <v>268</v>
      </c>
      <c r="D68" s="732" t="s">
        <v>434</v>
      </c>
      <c r="E68" s="732" t="s">
        <v>435</v>
      </c>
      <c r="F68" s="734"/>
    </row>
    <row r="69" spans="1:17" s="202" customFormat="1" ht="12.75" customHeight="1" x14ac:dyDescent="0.2">
      <c r="A69" s="731"/>
      <c r="B69" s="733"/>
      <c r="C69" s="733"/>
      <c r="D69" s="733"/>
      <c r="E69" s="462" t="s">
        <v>436</v>
      </c>
      <c r="F69" s="463" t="s">
        <v>437</v>
      </c>
    </row>
    <row r="70" spans="1:17" s="202" customFormat="1" ht="12.75" customHeight="1" x14ac:dyDescent="0.2">
      <c r="A70" s="464" t="s">
        <v>4</v>
      </c>
      <c r="B70" s="465" t="s">
        <v>438</v>
      </c>
      <c r="C70" s="466"/>
      <c r="D70" s="467"/>
      <c r="E70" s="467"/>
      <c r="F70" s="468" t="e">
        <f>SUM(F71:F72)</f>
        <v>#REF!</v>
      </c>
      <c r="H70" s="202">
        <v>1.2614000000000001</v>
      </c>
    </row>
    <row r="71" spans="1:17" s="202" customFormat="1" ht="25.5" x14ac:dyDescent="0.2">
      <c r="A71" s="469" t="s">
        <v>5</v>
      </c>
      <c r="B71" s="470" t="str">
        <f>'[4]Planilha Global'!$B$11</f>
        <v>Placa indicativa da obra em chapa de aço galvanizado</v>
      </c>
      <c r="C71" s="649" t="str">
        <f>F24</f>
        <v>m²</v>
      </c>
      <c r="D71" s="472">
        <f>E24</f>
        <v>8</v>
      </c>
      <c r="E71" s="473" t="e">
        <f>'Planilha Ajuste'!N103</f>
        <v>#REF!</v>
      </c>
      <c r="F71" s="474" t="e">
        <f>ROUND(D71,2)*ROUND(E71,2)</f>
        <v>#REF!</v>
      </c>
      <c r="G71" s="474" t="e">
        <f>ROUND(D71,2)*ROUND(E71,2)</f>
        <v>#REF!</v>
      </c>
      <c r="H71" s="451">
        <v>160.91999999999999</v>
      </c>
      <c r="I71" s="475"/>
      <c r="J71" s="475"/>
      <c r="K71" s="476">
        <f>O71*P70</f>
        <v>0</v>
      </c>
      <c r="L71" s="476"/>
      <c r="M71" s="476"/>
      <c r="N71" s="476"/>
      <c r="O71" s="477">
        <v>160.63</v>
      </c>
      <c r="P71" s="478">
        <f>P70-1</f>
        <v>-1</v>
      </c>
      <c r="Q71" s="479"/>
    </row>
    <row r="72" spans="1:17" s="202" customFormat="1" ht="14.25" x14ac:dyDescent="0.2">
      <c r="A72" s="469" t="s">
        <v>86</v>
      </c>
      <c r="B72" s="470" t="str">
        <f>'[3]Planilha Global'!B17</f>
        <v>Locação de pavimentação</v>
      </c>
      <c r="C72" s="482" t="str">
        <f>F26</f>
        <v>m</v>
      </c>
      <c r="D72" s="472">
        <f>E26</f>
        <v>300</v>
      </c>
      <c r="E72" s="473">
        <f>'Planilha Ajuste'!N104</f>
        <v>0.59</v>
      </c>
      <c r="F72" s="474">
        <f>ROUND(D72,2)*ROUND(E72,2)</f>
        <v>177</v>
      </c>
      <c r="H72" s="202">
        <v>0.46</v>
      </c>
    </row>
    <row r="73" spans="1:17" s="202" customFormat="1" ht="5.0999999999999996" customHeight="1" x14ac:dyDescent="0.2">
      <c r="A73" s="480"/>
      <c r="B73" s="481"/>
      <c r="C73" s="482"/>
      <c r="D73" s="482"/>
      <c r="E73" s="483"/>
      <c r="F73" s="484"/>
    </row>
    <row r="74" spans="1:17" s="202" customFormat="1" ht="12.75" customHeight="1" x14ac:dyDescent="0.2">
      <c r="A74" s="464" t="s">
        <v>6</v>
      </c>
      <c r="B74" s="465" t="s">
        <v>604</v>
      </c>
      <c r="C74" s="466"/>
      <c r="D74" s="467"/>
      <c r="E74" s="467"/>
      <c r="F74" s="468">
        <f>SUM(F75:F75)</f>
        <v>5182.8500000000004</v>
      </c>
    </row>
    <row r="75" spans="1:17" s="202" customFormat="1" ht="25.5" x14ac:dyDescent="0.2">
      <c r="A75" s="469" t="s">
        <v>7</v>
      </c>
      <c r="B75" s="470" t="str">
        <f>'[3]Planilha Global'!B14</f>
        <v>Regularização e compactação de sub-leito até 20cm de espessura</v>
      </c>
      <c r="C75" s="482" t="str">
        <f>F29</f>
        <v>m²</v>
      </c>
      <c r="D75" s="472">
        <f>E29</f>
        <v>1739.21</v>
      </c>
      <c r="E75" s="473">
        <f>'Planilha Ajuste'!N107</f>
        <v>2.98</v>
      </c>
      <c r="F75" s="474">
        <f>ROUND(D75,2)*ROUND(E75,2)</f>
        <v>5182.8500000000004</v>
      </c>
      <c r="H75" s="202">
        <v>2.23</v>
      </c>
      <c r="I75" s="485"/>
    </row>
    <row r="76" spans="1:17" s="202" customFormat="1" ht="6.75" customHeight="1" x14ac:dyDescent="0.2">
      <c r="A76" s="486"/>
      <c r="B76" s="487"/>
      <c r="C76" s="482"/>
      <c r="D76" s="472"/>
      <c r="E76" s="488"/>
      <c r="F76" s="474"/>
    </row>
    <row r="77" spans="1:17" s="202" customFormat="1" ht="12.75" customHeight="1" thickBot="1" x14ac:dyDescent="0.25">
      <c r="A77" s="464" t="s">
        <v>8</v>
      </c>
      <c r="B77" s="465" t="s">
        <v>439</v>
      </c>
      <c r="C77" s="466"/>
      <c r="D77" s="467"/>
      <c r="E77" s="489"/>
      <c r="F77" s="468">
        <f>SUM(F78:F80)</f>
        <v>219938.91</v>
      </c>
    </row>
    <row r="78" spans="1:17" s="226" customFormat="1" ht="63.75" x14ac:dyDescent="0.2">
      <c r="A78" s="469" t="s">
        <v>9</v>
      </c>
      <c r="B78" s="491" t="str">
        <f>'[3]Planilha Global'!B18</f>
        <v>Assentamento de guia (meio-fio) em trecho reto, confeccionada em concreto pré-fabricado, dimensões 100x15x13x30 cm (comprimento x base inferior x base superior x altura), para vias urbanas (uso viário)</v>
      </c>
      <c r="C78" s="482" t="str">
        <f>F32</f>
        <v>m</v>
      </c>
      <c r="D78" s="472">
        <f>E32</f>
        <v>589.72</v>
      </c>
      <c r="E78" s="473">
        <f>'Planilha Ajuste'!N110</f>
        <v>58.64</v>
      </c>
      <c r="F78" s="474">
        <f>ROUND(D78,2)*ROUND(E78,2)</f>
        <v>34581.18</v>
      </c>
      <c r="H78" s="226">
        <v>45.46</v>
      </c>
      <c r="I78" s="492"/>
      <c r="J78" s="493"/>
      <c r="K78" s="494"/>
    </row>
    <row r="79" spans="1:17" s="226" customFormat="1" ht="39" thickBot="1" x14ac:dyDescent="0.25">
      <c r="A79" s="469" t="s">
        <v>12</v>
      </c>
      <c r="B79" s="491" t="str">
        <f>'[3]Planilha Global'!B20</f>
        <v>Execução de pavimento em paralelepípedo inclusive colchão de areia rejuntado no traço 1:3 (Cimento e areia)</v>
      </c>
      <c r="C79" s="482" t="str">
        <f>F34</f>
        <v>m²</v>
      </c>
      <c r="D79" s="472">
        <f>E34</f>
        <v>1739.21</v>
      </c>
      <c r="E79" s="473">
        <f>'Planilha Ajuste'!N111</f>
        <v>104.89</v>
      </c>
      <c r="F79" s="474">
        <f>ROUND(D79,2)*ROUND(E79,2)</f>
        <v>182425.74</v>
      </c>
      <c r="H79" s="226">
        <v>81.33</v>
      </c>
      <c r="I79" s="495"/>
      <c r="J79" s="496"/>
      <c r="K79" s="497"/>
    </row>
    <row r="80" spans="1:17" s="226" customFormat="1" ht="25.5" x14ac:dyDescent="0.2">
      <c r="A80" s="469" t="s">
        <v>108</v>
      </c>
      <c r="B80" s="491" t="str">
        <f>'[3]Planilha Global'!B19</f>
        <v>Assentamento de guia (meio-fio) para cordão de travamento do pavimento, em pedra granítica</v>
      </c>
      <c r="C80" s="482" t="str">
        <f>F36</f>
        <v>m</v>
      </c>
      <c r="D80" s="472">
        <f>E36</f>
        <v>47.07</v>
      </c>
      <c r="E80" s="473">
        <f>'Planilha Ajuste'!N112</f>
        <v>62.29</v>
      </c>
      <c r="F80" s="474">
        <f>ROUND(D80,2)*ROUND(E80,2)</f>
        <v>2931.99</v>
      </c>
      <c r="H80" s="226">
        <v>39.19</v>
      </c>
      <c r="I80" s="492"/>
      <c r="J80" s="493"/>
      <c r="K80" s="494"/>
    </row>
    <row r="81" spans="1:12" s="202" customFormat="1" ht="6.75" customHeight="1" x14ac:dyDescent="0.2">
      <c r="A81" s="486"/>
      <c r="B81" s="487"/>
      <c r="C81" s="482"/>
      <c r="D81" s="472"/>
      <c r="E81" s="488"/>
      <c r="F81" s="474"/>
    </row>
    <row r="82" spans="1:12" s="258" customFormat="1" ht="15" customHeight="1" thickBot="1" x14ac:dyDescent="0.3">
      <c r="A82" s="498" t="s">
        <v>14</v>
      </c>
      <c r="B82" s="499" t="s">
        <v>605</v>
      </c>
      <c r="C82" s="466"/>
      <c r="D82" s="467"/>
      <c r="E82" s="500"/>
      <c r="F82" s="468" t="e">
        <f>SUM(F83:F85)</f>
        <v>#REF!</v>
      </c>
      <c r="I82" s="501"/>
      <c r="J82" s="502"/>
      <c r="K82" s="502"/>
      <c r="L82" s="503"/>
    </row>
    <row r="83" spans="1:12" s="226" customFormat="1" ht="51" x14ac:dyDescent="0.2">
      <c r="A83" s="469" t="s">
        <v>15</v>
      </c>
      <c r="B83" s="504" t="s">
        <v>644</v>
      </c>
      <c r="C83" s="490" t="str">
        <f>F39</f>
        <v>m²</v>
      </c>
      <c r="D83" s="472">
        <f>E39</f>
        <v>108.16</v>
      </c>
      <c r="E83" s="473">
        <f>'Planilha Ajuste'!N115</f>
        <v>94.37</v>
      </c>
      <c r="F83" s="474">
        <f>ROUND(D83,2)*ROUND(E83,2)</f>
        <v>10207.06</v>
      </c>
      <c r="H83" s="226">
        <v>73.06</v>
      </c>
    </row>
    <row r="84" spans="1:12" s="226" customFormat="1" ht="38.25" x14ac:dyDescent="0.2">
      <c r="A84" s="469" t="s">
        <v>129</v>
      </c>
      <c r="B84" s="504" t="s">
        <v>127</v>
      </c>
      <c r="C84" s="490" t="str">
        <f>F41</f>
        <v>m³</v>
      </c>
      <c r="D84" s="472">
        <f>E41</f>
        <v>34.92</v>
      </c>
      <c r="E84" s="473">
        <f>'Planilha Ajuste'!N116</f>
        <v>901.96</v>
      </c>
      <c r="F84" s="474">
        <f>ROUND(D84,2)*ROUND(E84,2)</f>
        <v>31496.44</v>
      </c>
      <c r="H84" s="226">
        <v>703.2</v>
      </c>
    </row>
    <row r="85" spans="1:12" s="226" customFormat="1" ht="51" x14ac:dyDescent="0.2">
      <c r="A85" s="469" t="s">
        <v>131</v>
      </c>
      <c r="B85" s="504" t="s">
        <v>494</v>
      </c>
      <c r="C85" s="490" t="str">
        <f>F43</f>
        <v>m²</v>
      </c>
      <c r="D85" s="472">
        <f>E43</f>
        <v>105.48</v>
      </c>
      <c r="E85" s="473" t="e">
        <f>'Planilha Ajuste'!N117</f>
        <v>#REF!</v>
      </c>
      <c r="F85" s="474" t="e">
        <f>ROUND(D85,2)*ROUND(E85,2)</f>
        <v>#REF!</v>
      </c>
      <c r="H85" s="226">
        <v>109.78</v>
      </c>
    </row>
    <row r="86" spans="1:12" s="202" customFormat="1" ht="6.75" customHeight="1" x14ac:dyDescent="0.2">
      <c r="A86" s="486"/>
      <c r="B86" s="487"/>
      <c r="C86" s="482"/>
      <c r="D86" s="472"/>
      <c r="E86" s="488"/>
      <c r="F86" s="474"/>
    </row>
    <row r="87" spans="1:12" s="258" customFormat="1" ht="15" customHeight="1" thickBot="1" x14ac:dyDescent="0.3">
      <c r="A87" s="498" t="s">
        <v>157</v>
      </c>
      <c r="B87" s="499" t="s">
        <v>606</v>
      </c>
      <c r="C87" s="466"/>
      <c r="D87" s="467"/>
      <c r="E87" s="500"/>
      <c r="F87" s="468" t="e">
        <f>SUM(F88:F91)</f>
        <v>#REF!</v>
      </c>
      <c r="I87" s="501"/>
      <c r="J87" s="502"/>
      <c r="K87" s="502"/>
      <c r="L87" s="503"/>
    </row>
    <row r="88" spans="1:12" s="226" customFormat="1" ht="39" thickBot="1" x14ac:dyDescent="0.25">
      <c r="A88" s="469" t="s">
        <v>158</v>
      </c>
      <c r="B88" s="504" t="s">
        <v>607</v>
      </c>
      <c r="C88" s="490" t="str">
        <f>F46</f>
        <v>m³</v>
      </c>
      <c r="D88" s="472">
        <f>E46</f>
        <v>5.24</v>
      </c>
      <c r="E88" s="473">
        <f>'Planilha Ajuste'!N85</f>
        <v>526.15</v>
      </c>
      <c r="F88" s="474">
        <f>ROUND(D88,2)*ROUND(E88,2)</f>
        <v>2757.03</v>
      </c>
      <c r="H88" s="226">
        <v>410.85</v>
      </c>
    </row>
    <row r="89" spans="1:12" s="202" customFormat="1" ht="25.5" x14ac:dyDescent="0.2">
      <c r="A89" s="469" t="s">
        <v>170</v>
      </c>
      <c r="B89" s="504" t="s">
        <v>608</v>
      </c>
      <c r="C89" s="490" t="str">
        <f>F48</f>
        <v>m³</v>
      </c>
      <c r="D89" s="472">
        <f>E48</f>
        <v>5.24</v>
      </c>
      <c r="E89" s="473">
        <f>'Planilha Ajuste'!N86</f>
        <v>288</v>
      </c>
      <c r="F89" s="474">
        <f>ROUND(D89,2)*ROUND(E89,2)</f>
        <v>1509.12</v>
      </c>
      <c r="H89" s="202">
        <v>223.25</v>
      </c>
      <c r="I89" s="506"/>
      <c r="J89" s="507"/>
      <c r="K89" s="507"/>
      <c r="L89" s="508"/>
    </row>
    <row r="90" spans="1:12" s="226" customFormat="1" ht="51" x14ac:dyDescent="0.2">
      <c r="A90" s="469" t="s">
        <v>203</v>
      </c>
      <c r="B90" s="504" t="s">
        <v>494</v>
      </c>
      <c r="C90" s="490" t="str">
        <f>F50</f>
        <v>m²</v>
      </c>
      <c r="D90" s="472">
        <f>E50</f>
        <v>7.8</v>
      </c>
      <c r="E90" s="473" t="e">
        <f>'Planilha Ajuste'!N87</f>
        <v>#REF!</v>
      </c>
      <c r="F90" s="474" t="e">
        <f>ROUND(D90,2)*ROUND(E90,2)</f>
        <v>#REF!</v>
      </c>
      <c r="H90" s="226">
        <v>109.78</v>
      </c>
    </row>
    <row r="91" spans="1:12" s="226" customFormat="1" ht="25.5" x14ac:dyDescent="0.2">
      <c r="A91" s="469" t="s">
        <v>181</v>
      </c>
      <c r="B91" s="504" t="s">
        <v>609</v>
      </c>
      <c r="C91" s="490" t="str">
        <f>F52</f>
        <v>m²</v>
      </c>
      <c r="D91" s="472">
        <f>E52</f>
        <v>90</v>
      </c>
      <c r="E91" s="473">
        <f>'Planilha Ajuste'!N88</f>
        <v>19.18</v>
      </c>
      <c r="F91" s="474">
        <f>ROUND(D91,2)*ROUND(E91,2)</f>
        <v>1726.2</v>
      </c>
      <c r="H91" s="226">
        <v>14.87</v>
      </c>
    </row>
    <row r="92" spans="1:12" s="202" customFormat="1" ht="6.75" customHeight="1" x14ac:dyDescent="0.2">
      <c r="A92" s="486"/>
      <c r="B92" s="487"/>
      <c r="C92" s="482"/>
      <c r="D92" s="472"/>
      <c r="E92" s="488"/>
      <c r="F92" s="474"/>
    </row>
    <row r="93" spans="1:12" s="258" customFormat="1" ht="15" customHeight="1" thickBot="1" x14ac:dyDescent="0.3">
      <c r="A93" s="498" t="s">
        <v>174</v>
      </c>
      <c r="B93" s="499" t="s">
        <v>489</v>
      </c>
      <c r="C93" s="466"/>
      <c r="D93" s="467"/>
      <c r="E93" s="500"/>
      <c r="F93" s="468" t="e">
        <f>SUM(F94:F96)</f>
        <v>#REF!</v>
      </c>
      <c r="I93" s="501"/>
      <c r="J93" s="502"/>
      <c r="K93" s="502"/>
      <c r="L93" s="503"/>
    </row>
    <row r="94" spans="1:12" s="202" customFormat="1" ht="12.75" customHeight="1" x14ac:dyDescent="0.2">
      <c r="A94" s="469" t="s">
        <v>175</v>
      </c>
      <c r="B94" s="504" t="s">
        <v>419</v>
      </c>
      <c r="C94" s="490" t="str">
        <f>F55</f>
        <v>m²</v>
      </c>
      <c r="D94" s="472">
        <f>E55</f>
        <v>165.12</v>
      </c>
      <c r="E94" s="473">
        <f>'Planilha Ajuste'!N126</f>
        <v>1.61</v>
      </c>
      <c r="F94" s="474">
        <f>ROUND(D94,2)*ROUND(E94,2)</f>
        <v>265.83999999999997</v>
      </c>
      <c r="H94" s="506"/>
      <c r="I94" s="507"/>
      <c r="J94" s="507"/>
      <c r="K94" s="508"/>
    </row>
    <row r="95" spans="1:12" s="226" customFormat="1" ht="63.75" x14ac:dyDescent="0.2">
      <c r="A95" s="469" t="s">
        <v>246</v>
      </c>
      <c r="B95" s="504" t="str">
        <f>'[3]Planilha Global'!B28</f>
        <v>Sinalização permanente, vertical, com placa octogonal de aço, padrão DNER, largura 0,60m, com tubo de aço galvanizado de 2,10m, já sendo descontado a altura que ficará contido na base, fixado com base de concreto 40 x 40 x 50</v>
      </c>
      <c r="C95" s="490" t="str">
        <f>F57</f>
        <v>unid</v>
      </c>
      <c r="D95" s="472">
        <f>E57</f>
        <v>2</v>
      </c>
      <c r="E95" s="473" t="e">
        <f>'Planilha Ajuste'!N93</f>
        <v>#REF!</v>
      </c>
      <c r="F95" s="505" t="e">
        <f>ROUND(D95,2)*ROUND(E95,2)</f>
        <v>#REF!</v>
      </c>
      <c r="H95" s="226">
        <v>349.41</v>
      </c>
    </row>
    <row r="96" spans="1:12" s="226" customFormat="1" ht="25.5" x14ac:dyDescent="0.2">
      <c r="A96" s="469" t="s">
        <v>247</v>
      </c>
      <c r="B96" s="504" t="str">
        <f>'[3]Planilha Global'!B30</f>
        <v>Placa esmaltada para identificação de nome de rua, dimensões 45x20cm</v>
      </c>
      <c r="C96" s="490" t="str">
        <f>F59</f>
        <v>unid</v>
      </c>
      <c r="D96" s="472">
        <f>E59</f>
        <v>2</v>
      </c>
      <c r="E96" s="473">
        <f>'Planilha Ajuste'!N128</f>
        <v>180.93</v>
      </c>
      <c r="F96" s="474">
        <f>ROUND(D96,2)*ROUND(E96,2)</f>
        <v>361.86</v>
      </c>
      <c r="H96" s="226">
        <v>89.83</v>
      </c>
    </row>
    <row r="97" spans="1:12" s="202" customFormat="1" ht="6.75" customHeight="1" x14ac:dyDescent="0.2">
      <c r="A97" s="509"/>
      <c r="B97" s="41"/>
      <c r="C97" s="482"/>
      <c r="D97" s="472"/>
      <c r="E97" s="510"/>
      <c r="F97" s="474"/>
      <c r="I97" s="511"/>
      <c r="L97" s="512"/>
    </row>
    <row r="98" spans="1:12" s="202" customFormat="1" ht="12.75" customHeight="1" x14ac:dyDescent="0.2">
      <c r="A98" s="727" t="s">
        <v>440</v>
      </c>
      <c r="B98" s="728"/>
      <c r="C98" s="728"/>
      <c r="D98" s="728"/>
      <c r="E98" s="728"/>
      <c r="F98" s="543" t="e">
        <f>F70+F74+F77+F82+F87+F93</f>
        <v>#REF!</v>
      </c>
    </row>
    <row r="99" spans="1:12" s="202" customFormat="1" ht="5.25" customHeight="1" x14ac:dyDescent="0.2">
      <c r="B99" s="256"/>
      <c r="C99" s="281"/>
      <c r="E99" s="281"/>
    </row>
    <row r="100" spans="1:12" s="202" customFormat="1" ht="12.75" customHeight="1" x14ac:dyDescent="0.2">
      <c r="A100" s="64" t="e">
        <f>#REF!</f>
        <v>#REF!</v>
      </c>
      <c r="B100" s="256"/>
      <c r="C100" s="281"/>
      <c r="E100" s="281"/>
      <c r="F100" s="513"/>
      <c r="G100" s="202">
        <f>175162.63/D79</f>
        <v>100.71390458886501</v>
      </c>
    </row>
    <row r="101" spans="1:12" s="202" customFormat="1" ht="12.75" customHeight="1" x14ac:dyDescent="0.2">
      <c r="A101" s="64" t="e">
        <f>#REF!</f>
        <v>#REF!</v>
      </c>
      <c r="B101" s="256"/>
      <c r="C101" s="281"/>
      <c r="D101" s="64" t="e">
        <f>#REF!</f>
        <v>#REF!</v>
      </c>
      <c r="E101" s="281"/>
    </row>
    <row r="102" spans="1:12" s="202" customFormat="1" ht="12.75" customHeight="1" x14ac:dyDescent="0.2">
      <c r="E102" s="281"/>
      <c r="F102" s="247" t="e">
        <f>F98/D75</f>
        <v>#REF!</v>
      </c>
    </row>
    <row r="103" spans="1:12" ht="12.75" customHeight="1" x14ac:dyDescent="0.2">
      <c r="G103" t="e">
        <f>F98/D72</f>
        <v>#REF!</v>
      </c>
    </row>
    <row r="104" spans="1:12" ht="12.75" customHeight="1" x14ac:dyDescent="0.2">
      <c r="F104" s="514" t="e">
        <f>F98+#REF!</f>
        <v>#REF!</v>
      </c>
    </row>
  </sheetData>
  <mergeCells count="43">
    <mergeCell ref="C10:F10"/>
    <mergeCell ref="A6:B6"/>
    <mergeCell ref="C6:F6"/>
    <mergeCell ref="B55:D55"/>
    <mergeCell ref="A4:F4"/>
    <mergeCell ref="C8:F8"/>
    <mergeCell ref="C9:F9"/>
    <mergeCell ref="B26:D26"/>
    <mergeCell ref="C13:F13"/>
    <mergeCell ref="C14:F14"/>
    <mergeCell ref="C15:F15"/>
    <mergeCell ref="C18:F18"/>
    <mergeCell ref="C19:F19"/>
    <mergeCell ref="C20:F20"/>
    <mergeCell ref="A23:B23"/>
    <mergeCell ref="B24:D24"/>
    <mergeCell ref="A28:B28"/>
    <mergeCell ref="B29:D29"/>
    <mergeCell ref="A31:B31"/>
    <mergeCell ref="B52:D52"/>
    <mergeCell ref="B32:D32"/>
    <mergeCell ref="B36:D36"/>
    <mergeCell ref="B34:D34"/>
    <mergeCell ref="A38:B38"/>
    <mergeCell ref="B39:D39"/>
    <mergeCell ref="B41:D41"/>
    <mergeCell ref="B43:D43"/>
    <mergeCell ref="A45:B45"/>
    <mergeCell ref="B46:D46"/>
    <mergeCell ref="B48:D48"/>
    <mergeCell ref="B50:D50"/>
    <mergeCell ref="A98:E98"/>
    <mergeCell ref="A54:B54"/>
    <mergeCell ref="B57:D57"/>
    <mergeCell ref="A65:F65"/>
    <mergeCell ref="C66:D66"/>
    <mergeCell ref="E66:F66"/>
    <mergeCell ref="A68:A69"/>
    <mergeCell ref="B68:B69"/>
    <mergeCell ref="C68:C69"/>
    <mergeCell ref="D68:D69"/>
    <mergeCell ref="E68:F68"/>
    <mergeCell ref="B59:D59"/>
  </mergeCells>
  <printOptions horizontalCentered="1"/>
  <pageMargins left="0.51181102362204722" right="0.51181102362204722" top="0.39370078740157483" bottom="0.59055118110236227" header="0.31496062992125984" footer="0.31496062992125984"/>
  <pageSetup paperSize="9" scale="94" orientation="portrait" r:id="rId1"/>
  <rowBreaks count="2" manualBreakCount="2">
    <brk id="40" max="5" man="1"/>
    <brk id="60" max="5" man="1"/>
  </rowBreaks>
  <legacyDrawing r:id="rId2"/>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B9DF52-369A-4003-A279-E0C91013DACE}">
  <dimension ref="A1:Q106"/>
  <sheetViews>
    <sheetView view="pageBreakPreview" zoomScale="110" zoomScaleNormal="100" zoomScaleSheetLayoutView="110" workbookViewId="0">
      <selection activeCell="J18" sqref="J18"/>
    </sheetView>
  </sheetViews>
  <sheetFormatPr defaultRowHeight="12.75" x14ac:dyDescent="0.2"/>
  <cols>
    <col min="1" max="1" width="4.7109375" customWidth="1"/>
    <col min="2" max="2" width="45" customWidth="1"/>
    <col min="3" max="3" width="8.42578125" customWidth="1"/>
    <col min="4" max="4" width="15.42578125" customWidth="1"/>
    <col min="5" max="5" width="9.28515625" bestFit="1" customWidth="1"/>
    <col min="6" max="6" width="13.42578125" customWidth="1"/>
    <col min="7" max="8" width="14.42578125" customWidth="1"/>
    <col min="9" max="9" width="12.5703125" customWidth="1"/>
    <col min="10" max="10" width="17.7109375" customWidth="1"/>
    <col min="11" max="11" width="12.140625" customWidth="1"/>
    <col min="257" max="257" width="4.7109375" customWidth="1"/>
    <col min="258" max="258" width="45" customWidth="1"/>
    <col min="259" max="259" width="8.42578125" customWidth="1"/>
    <col min="260" max="260" width="15.42578125" customWidth="1"/>
    <col min="261" max="261" width="9.28515625" bestFit="1" customWidth="1"/>
    <col min="262" max="262" width="13.42578125" customWidth="1"/>
    <col min="263" max="264" width="14.42578125" customWidth="1"/>
    <col min="265" max="265" width="12.5703125" customWidth="1"/>
    <col min="266" max="266" width="17.7109375" customWidth="1"/>
    <col min="267" max="267" width="12.140625" customWidth="1"/>
    <col min="513" max="513" width="4.7109375" customWidth="1"/>
    <col min="514" max="514" width="45" customWidth="1"/>
    <col min="515" max="515" width="8.42578125" customWidth="1"/>
    <col min="516" max="516" width="15.42578125" customWidth="1"/>
    <col min="517" max="517" width="9.28515625" bestFit="1" customWidth="1"/>
    <col min="518" max="518" width="13.42578125" customWidth="1"/>
    <col min="519" max="520" width="14.42578125" customWidth="1"/>
    <col min="521" max="521" width="12.5703125" customWidth="1"/>
    <col min="522" max="522" width="17.7109375" customWidth="1"/>
    <col min="523" max="523" width="12.140625" customWidth="1"/>
    <col min="769" max="769" width="4.7109375" customWidth="1"/>
    <col min="770" max="770" width="45" customWidth="1"/>
    <col min="771" max="771" width="8.42578125" customWidth="1"/>
    <col min="772" max="772" width="15.42578125" customWidth="1"/>
    <col min="773" max="773" width="9.28515625" bestFit="1" customWidth="1"/>
    <col min="774" max="774" width="13.42578125" customWidth="1"/>
    <col min="775" max="776" width="14.42578125" customWidth="1"/>
    <col min="777" max="777" width="12.5703125" customWidth="1"/>
    <col min="778" max="778" width="17.7109375" customWidth="1"/>
    <col min="779" max="779" width="12.140625" customWidth="1"/>
    <col min="1025" max="1025" width="4.7109375" customWidth="1"/>
    <col min="1026" max="1026" width="45" customWidth="1"/>
    <col min="1027" max="1027" width="8.42578125" customWidth="1"/>
    <col min="1028" max="1028" width="15.42578125" customWidth="1"/>
    <col min="1029" max="1029" width="9.28515625" bestFit="1" customWidth="1"/>
    <col min="1030" max="1030" width="13.42578125" customWidth="1"/>
    <col min="1031" max="1032" width="14.42578125" customWidth="1"/>
    <col min="1033" max="1033" width="12.5703125" customWidth="1"/>
    <col min="1034" max="1034" width="17.7109375" customWidth="1"/>
    <col min="1035" max="1035" width="12.140625" customWidth="1"/>
    <col min="1281" max="1281" width="4.7109375" customWidth="1"/>
    <col min="1282" max="1282" width="45" customWidth="1"/>
    <col min="1283" max="1283" width="8.42578125" customWidth="1"/>
    <col min="1284" max="1284" width="15.42578125" customWidth="1"/>
    <col min="1285" max="1285" width="9.28515625" bestFit="1" customWidth="1"/>
    <col min="1286" max="1286" width="13.42578125" customWidth="1"/>
    <col min="1287" max="1288" width="14.42578125" customWidth="1"/>
    <col min="1289" max="1289" width="12.5703125" customWidth="1"/>
    <col min="1290" max="1290" width="17.7109375" customWidth="1"/>
    <col min="1291" max="1291" width="12.140625" customWidth="1"/>
    <col min="1537" max="1537" width="4.7109375" customWidth="1"/>
    <col min="1538" max="1538" width="45" customWidth="1"/>
    <col min="1539" max="1539" width="8.42578125" customWidth="1"/>
    <col min="1540" max="1540" width="15.42578125" customWidth="1"/>
    <col min="1541" max="1541" width="9.28515625" bestFit="1" customWidth="1"/>
    <col min="1542" max="1542" width="13.42578125" customWidth="1"/>
    <col min="1543" max="1544" width="14.42578125" customWidth="1"/>
    <col min="1545" max="1545" width="12.5703125" customWidth="1"/>
    <col min="1546" max="1546" width="17.7109375" customWidth="1"/>
    <col min="1547" max="1547" width="12.140625" customWidth="1"/>
    <col min="1793" max="1793" width="4.7109375" customWidth="1"/>
    <col min="1794" max="1794" width="45" customWidth="1"/>
    <col min="1795" max="1795" width="8.42578125" customWidth="1"/>
    <col min="1796" max="1796" width="15.42578125" customWidth="1"/>
    <col min="1797" max="1797" width="9.28515625" bestFit="1" customWidth="1"/>
    <col min="1798" max="1798" width="13.42578125" customWidth="1"/>
    <col min="1799" max="1800" width="14.42578125" customWidth="1"/>
    <col min="1801" max="1801" width="12.5703125" customWidth="1"/>
    <col min="1802" max="1802" width="17.7109375" customWidth="1"/>
    <col min="1803" max="1803" width="12.140625" customWidth="1"/>
    <col min="2049" max="2049" width="4.7109375" customWidth="1"/>
    <col min="2050" max="2050" width="45" customWidth="1"/>
    <col min="2051" max="2051" width="8.42578125" customWidth="1"/>
    <col min="2052" max="2052" width="15.42578125" customWidth="1"/>
    <col min="2053" max="2053" width="9.28515625" bestFit="1" customWidth="1"/>
    <col min="2054" max="2054" width="13.42578125" customWidth="1"/>
    <col min="2055" max="2056" width="14.42578125" customWidth="1"/>
    <col min="2057" max="2057" width="12.5703125" customWidth="1"/>
    <col min="2058" max="2058" width="17.7109375" customWidth="1"/>
    <col min="2059" max="2059" width="12.140625" customWidth="1"/>
    <col min="2305" max="2305" width="4.7109375" customWidth="1"/>
    <col min="2306" max="2306" width="45" customWidth="1"/>
    <col min="2307" max="2307" width="8.42578125" customWidth="1"/>
    <col min="2308" max="2308" width="15.42578125" customWidth="1"/>
    <col min="2309" max="2309" width="9.28515625" bestFit="1" customWidth="1"/>
    <col min="2310" max="2310" width="13.42578125" customWidth="1"/>
    <col min="2311" max="2312" width="14.42578125" customWidth="1"/>
    <col min="2313" max="2313" width="12.5703125" customWidth="1"/>
    <col min="2314" max="2314" width="17.7109375" customWidth="1"/>
    <col min="2315" max="2315" width="12.140625" customWidth="1"/>
    <col min="2561" max="2561" width="4.7109375" customWidth="1"/>
    <col min="2562" max="2562" width="45" customWidth="1"/>
    <col min="2563" max="2563" width="8.42578125" customWidth="1"/>
    <col min="2564" max="2564" width="15.42578125" customWidth="1"/>
    <col min="2565" max="2565" width="9.28515625" bestFit="1" customWidth="1"/>
    <col min="2566" max="2566" width="13.42578125" customWidth="1"/>
    <col min="2567" max="2568" width="14.42578125" customWidth="1"/>
    <col min="2569" max="2569" width="12.5703125" customWidth="1"/>
    <col min="2570" max="2570" width="17.7109375" customWidth="1"/>
    <col min="2571" max="2571" width="12.140625" customWidth="1"/>
    <col min="2817" max="2817" width="4.7109375" customWidth="1"/>
    <col min="2818" max="2818" width="45" customWidth="1"/>
    <col min="2819" max="2819" width="8.42578125" customWidth="1"/>
    <col min="2820" max="2820" width="15.42578125" customWidth="1"/>
    <col min="2821" max="2821" width="9.28515625" bestFit="1" customWidth="1"/>
    <col min="2822" max="2822" width="13.42578125" customWidth="1"/>
    <col min="2823" max="2824" width="14.42578125" customWidth="1"/>
    <col min="2825" max="2825" width="12.5703125" customWidth="1"/>
    <col min="2826" max="2826" width="17.7109375" customWidth="1"/>
    <col min="2827" max="2827" width="12.140625" customWidth="1"/>
    <col min="3073" max="3073" width="4.7109375" customWidth="1"/>
    <col min="3074" max="3074" width="45" customWidth="1"/>
    <col min="3075" max="3075" width="8.42578125" customWidth="1"/>
    <col min="3076" max="3076" width="15.42578125" customWidth="1"/>
    <col min="3077" max="3077" width="9.28515625" bestFit="1" customWidth="1"/>
    <col min="3078" max="3078" width="13.42578125" customWidth="1"/>
    <col min="3079" max="3080" width="14.42578125" customWidth="1"/>
    <col min="3081" max="3081" width="12.5703125" customWidth="1"/>
    <col min="3082" max="3082" width="17.7109375" customWidth="1"/>
    <col min="3083" max="3083" width="12.140625" customWidth="1"/>
    <col min="3329" max="3329" width="4.7109375" customWidth="1"/>
    <col min="3330" max="3330" width="45" customWidth="1"/>
    <col min="3331" max="3331" width="8.42578125" customWidth="1"/>
    <col min="3332" max="3332" width="15.42578125" customWidth="1"/>
    <col min="3333" max="3333" width="9.28515625" bestFit="1" customWidth="1"/>
    <col min="3334" max="3334" width="13.42578125" customWidth="1"/>
    <col min="3335" max="3336" width="14.42578125" customWidth="1"/>
    <col min="3337" max="3337" width="12.5703125" customWidth="1"/>
    <col min="3338" max="3338" width="17.7109375" customWidth="1"/>
    <col min="3339" max="3339" width="12.140625" customWidth="1"/>
    <col min="3585" max="3585" width="4.7109375" customWidth="1"/>
    <col min="3586" max="3586" width="45" customWidth="1"/>
    <col min="3587" max="3587" width="8.42578125" customWidth="1"/>
    <col min="3588" max="3588" width="15.42578125" customWidth="1"/>
    <col min="3589" max="3589" width="9.28515625" bestFit="1" customWidth="1"/>
    <col min="3590" max="3590" width="13.42578125" customWidth="1"/>
    <col min="3591" max="3592" width="14.42578125" customWidth="1"/>
    <col min="3593" max="3593" width="12.5703125" customWidth="1"/>
    <col min="3594" max="3594" width="17.7109375" customWidth="1"/>
    <col min="3595" max="3595" width="12.140625" customWidth="1"/>
    <col min="3841" max="3841" width="4.7109375" customWidth="1"/>
    <col min="3842" max="3842" width="45" customWidth="1"/>
    <col min="3843" max="3843" width="8.42578125" customWidth="1"/>
    <col min="3844" max="3844" width="15.42578125" customWidth="1"/>
    <col min="3845" max="3845" width="9.28515625" bestFit="1" customWidth="1"/>
    <col min="3846" max="3846" width="13.42578125" customWidth="1"/>
    <col min="3847" max="3848" width="14.42578125" customWidth="1"/>
    <col min="3849" max="3849" width="12.5703125" customWidth="1"/>
    <col min="3850" max="3850" width="17.7109375" customWidth="1"/>
    <col min="3851" max="3851" width="12.140625" customWidth="1"/>
    <col min="4097" max="4097" width="4.7109375" customWidth="1"/>
    <col min="4098" max="4098" width="45" customWidth="1"/>
    <col min="4099" max="4099" width="8.42578125" customWidth="1"/>
    <col min="4100" max="4100" width="15.42578125" customWidth="1"/>
    <col min="4101" max="4101" width="9.28515625" bestFit="1" customWidth="1"/>
    <col min="4102" max="4102" width="13.42578125" customWidth="1"/>
    <col min="4103" max="4104" width="14.42578125" customWidth="1"/>
    <col min="4105" max="4105" width="12.5703125" customWidth="1"/>
    <col min="4106" max="4106" width="17.7109375" customWidth="1"/>
    <col min="4107" max="4107" width="12.140625" customWidth="1"/>
    <col min="4353" max="4353" width="4.7109375" customWidth="1"/>
    <col min="4354" max="4354" width="45" customWidth="1"/>
    <col min="4355" max="4355" width="8.42578125" customWidth="1"/>
    <col min="4356" max="4356" width="15.42578125" customWidth="1"/>
    <col min="4357" max="4357" width="9.28515625" bestFit="1" customWidth="1"/>
    <col min="4358" max="4358" width="13.42578125" customWidth="1"/>
    <col min="4359" max="4360" width="14.42578125" customWidth="1"/>
    <col min="4361" max="4361" width="12.5703125" customWidth="1"/>
    <col min="4362" max="4362" width="17.7109375" customWidth="1"/>
    <col min="4363" max="4363" width="12.140625" customWidth="1"/>
    <col min="4609" max="4609" width="4.7109375" customWidth="1"/>
    <col min="4610" max="4610" width="45" customWidth="1"/>
    <col min="4611" max="4611" width="8.42578125" customWidth="1"/>
    <col min="4612" max="4612" width="15.42578125" customWidth="1"/>
    <col min="4613" max="4613" width="9.28515625" bestFit="1" customWidth="1"/>
    <col min="4614" max="4614" width="13.42578125" customWidth="1"/>
    <col min="4615" max="4616" width="14.42578125" customWidth="1"/>
    <col min="4617" max="4617" width="12.5703125" customWidth="1"/>
    <col min="4618" max="4618" width="17.7109375" customWidth="1"/>
    <col min="4619" max="4619" width="12.140625" customWidth="1"/>
    <col min="4865" max="4865" width="4.7109375" customWidth="1"/>
    <col min="4866" max="4866" width="45" customWidth="1"/>
    <col min="4867" max="4867" width="8.42578125" customWidth="1"/>
    <col min="4868" max="4868" width="15.42578125" customWidth="1"/>
    <col min="4869" max="4869" width="9.28515625" bestFit="1" customWidth="1"/>
    <col min="4870" max="4870" width="13.42578125" customWidth="1"/>
    <col min="4871" max="4872" width="14.42578125" customWidth="1"/>
    <col min="4873" max="4873" width="12.5703125" customWidth="1"/>
    <col min="4874" max="4874" width="17.7109375" customWidth="1"/>
    <col min="4875" max="4875" width="12.140625" customWidth="1"/>
    <col min="5121" max="5121" width="4.7109375" customWidth="1"/>
    <col min="5122" max="5122" width="45" customWidth="1"/>
    <col min="5123" max="5123" width="8.42578125" customWidth="1"/>
    <col min="5124" max="5124" width="15.42578125" customWidth="1"/>
    <col min="5125" max="5125" width="9.28515625" bestFit="1" customWidth="1"/>
    <col min="5126" max="5126" width="13.42578125" customWidth="1"/>
    <col min="5127" max="5128" width="14.42578125" customWidth="1"/>
    <col min="5129" max="5129" width="12.5703125" customWidth="1"/>
    <col min="5130" max="5130" width="17.7109375" customWidth="1"/>
    <col min="5131" max="5131" width="12.140625" customWidth="1"/>
    <col min="5377" max="5377" width="4.7109375" customWidth="1"/>
    <col min="5378" max="5378" width="45" customWidth="1"/>
    <col min="5379" max="5379" width="8.42578125" customWidth="1"/>
    <col min="5380" max="5380" width="15.42578125" customWidth="1"/>
    <col min="5381" max="5381" width="9.28515625" bestFit="1" customWidth="1"/>
    <col min="5382" max="5382" width="13.42578125" customWidth="1"/>
    <col min="5383" max="5384" width="14.42578125" customWidth="1"/>
    <col min="5385" max="5385" width="12.5703125" customWidth="1"/>
    <col min="5386" max="5386" width="17.7109375" customWidth="1"/>
    <col min="5387" max="5387" width="12.140625" customWidth="1"/>
    <col min="5633" max="5633" width="4.7109375" customWidth="1"/>
    <col min="5634" max="5634" width="45" customWidth="1"/>
    <col min="5635" max="5635" width="8.42578125" customWidth="1"/>
    <col min="5636" max="5636" width="15.42578125" customWidth="1"/>
    <col min="5637" max="5637" width="9.28515625" bestFit="1" customWidth="1"/>
    <col min="5638" max="5638" width="13.42578125" customWidth="1"/>
    <col min="5639" max="5640" width="14.42578125" customWidth="1"/>
    <col min="5641" max="5641" width="12.5703125" customWidth="1"/>
    <col min="5642" max="5642" width="17.7109375" customWidth="1"/>
    <col min="5643" max="5643" width="12.140625" customWidth="1"/>
    <col min="5889" max="5889" width="4.7109375" customWidth="1"/>
    <col min="5890" max="5890" width="45" customWidth="1"/>
    <col min="5891" max="5891" width="8.42578125" customWidth="1"/>
    <col min="5892" max="5892" width="15.42578125" customWidth="1"/>
    <col min="5893" max="5893" width="9.28515625" bestFit="1" customWidth="1"/>
    <col min="5894" max="5894" width="13.42578125" customWidth="1"/>
    <col min="5895" max="5896" width="14.42578125" customWidth="1"/>
    <col min="5897" max="5897" width="12.5703125" customWidth="1"/>
    <col min="5898" max="5898" width="17.7109375" customWidth="1"/>
    <col min="5899" max="5899" width="12.140625" customWidth="1"/>
    <col min="6145" max="6145" width="4.7109375" customWidth="1"/>
    <col min="6146" max="6146" width="45" customWidth="1"/>
    <col min="6147" max="6147" width="8.42578125" customWidth="1"/>
    <col min="6148" max="6148" width="15.42578125" customWidth="1"/>
    <col min="6149" max="6149" width="9.28515625" bestFit="1" customWidth="1"/>
    <col min="6150" max="6150" width="13.42578125" customWidth="1"/>
    <col min="6151" max="6152" width="14.42578125" customWidth="1"/>
    <col min="6153" max="6153" width="12.5703125" customWidth="1"/>
    <col min="6154" max="6154" width="17.7109375" customWidth="1"/>
    <col min="6155" max="6155" width="12.140625" customWidth="1"/>
    <col min="6401" max="6401" width="4.7109375" customWidth="1"/>
    <col min="6402" max="6402" width="45" customWidth="1"/>
    <col min="6403" max="6403" width="8.42578125" customWidth="1"/>
    <col min="6404" max="6404" width="15.42578125" customWidth="1"/>
    <col min="6405" max="6405" width="9.28515625" bestFit="1" customWidth="1"/>
    <col min="6406" max="6406" width="13.42578125" customWidth="1"/>
    <col min="6407" max="6408" width="14.42578125" customWidth="1"/>
    <col min="6409" max="6409" width="12.5703125" customWidth="1"/>
    <col min="6410" max="6410" width="17.7109375" customWidth="1"/>
    <col min="6411" max="6411" width="12.140625" customWidth="1"/>
    <col min="6657" max="6657" width="4.7109375" customWidth="1"/>
    <col min="6658" max="6658" width="45" customWidth="1"/>
    <col min="6659" max="6659" width="8.42578125" customWidth="1"/>
    <col min="6660" max="6660" width="15.42578125" customWidth="1"/>
    <col min="6661" max="6661" width="9.28515625" bestFit="1" customWidth="1"/>
    <col min="6662" max="6662" width="13.42578125" customWidth="1"/>
    <col min="6663" max="6664" width="14.42578125" customWidth="1"/>
    <col min="6665" max="6665" width="12.5703125" customWidth="1"/>
    <col min="6666" max="6666" width="17.7109375" customWidth="1"/>
    <col min="6667" max="6667" width="12.140625" customWidth="1"/>
    <col min="6913" max="6913" width="4.7109375" customWidth="1"/>
    <col min="6914" max="6914" width="45" customWidth="1"/>
    <col min="6915" max="6915" width="8.42578125" customWidth="1"/>
    <col min="6916" max="6916" width="15.42578125" customWidth="1"/>
    <col min="6917" max="6917" width="9.28515625" bestFit="1" customWidth="1"/>
    <col min="6918" max="6918" width="13.42578125" customWidth="1"/>
    <col min="6919" max="6920" width="14.42578125" customWidth="1"/>
    <col min="6921" max="6921" width="12.5703125" customWidth="1"/>
    <col min="6922" max="6922" width="17.7109375" customWidth="1"/>
    <col min="6923" max="6923" width="12.140625" customWidth="1"/>
    <col min="7169" max="7169" width="4.7109375" customWidth="1"/>
    <col min="7170" max="7170" width="45" customWidth="1"/>
    <col min="7171" max="7171" width="8.42578125" customWidth="1"/>
    <col min="7172" max="7172" width="15.42578125" customWidth="1"/>
    <col min="7173" max="7173" width="9.28515625" bestFit="1" customWidth="1"/>
    <col min="7174" max="7174" width="13.42578125" customWidth="1"/>
    <col min="7175" max="7176" width="14.42578125" customWidth="1"/>
    <col min="7177" max="7177" width="12.5703125" customWidth="1"/>
    <col min="7178" max="7178" width="17.7109375" customWidth="1"/>
    <col min="7179" max="7179" width="12.140625" customWidth="1"/>
    <col min="7425" max="7425" width="4.7109375" customWidth="1"/>
    <col min="7426" max="7426" width="45" customWidth="1"/>
    <col min="7427" max="7427" width="8.42578125" customWidth="1"/>
    <col min="7428" max="7428" width="15.42578125" customWidth="1"/>
    <col min="7429" max="7429" width="9.28515625" bestFit="1" customWidth="1"/>
    <col min="7430" max="7430" width="13.42578125" customWidth="1"/>
    <col min="7431" max="7432" width="14.42578125" customWidth="1"/>
    <col min="7433" max="7433" width="12.5703125" customWidth="1"/>
    <col min="7434" max="7434" width="17.7109375" customWidth="1"/>
    <col min="7435" max="7435" width="12.140625" customWidth="1"/>
    <col min="7681" max="7681" width="4.7109375" customWidth="1"/>
    <col min="7682" max="7682" width="45" customWidth="1"/>
    <col min="7683" max="7683" width="8.42578125" customWidth="1"/>
    <col min="7684" max="7684" width="15.42578125" customWidth="1"/>
    <col min="7685" max="7685" width="9.28515625" bestFit="1" customWidth="1"/>
    <col min="7686" max="7686" width="13.42578125" customWidth="1"/>
    <col min="7687" max="7688" width="14.42578125" customWidth="1"/>
    <col min="7689" max="7689" width="12.5703125" customWidth="1"/>
    <col min="7690" max="7690" width="17.7109375" customWidth="1"/>
    <col min="7691" max="7691" width="12.140625" customWidth="1"/>
    <col min="7937" max="7937" width="4.7109375" customWidth="1"/>
    <col min="7938" max="7938" width="45" customWidth="1"/>
    <col min="7939" max="7939" width="8.42578125" customWidth="1"/>
    <col min="7940" max="7940" width="15.42578125" customWidth="1"/>
    <col min="7941" max="7941" width="9.28515625" bestFit="1" customWidth="1"/>
    <col min="7942" max="7942" width="13.42578125" customWidth="1"/>
    <col min="7943" max="7944" width="14.42578125" customWidth="1"/>
    <col min="7945" max="7945" width="12.5703125" customWidth="1"/>
    <col min="7946" max="7946" width="17.7109375" customWidth="1"/>
    <col min="7947" max="7947" width="12.140625" customWidth="1"/>
    <col min="8193" max="8193" width="4.7109375" customWidth="1"/>
    <col min="8194" max="8194" width="45" customWidth="1"/>
    <col min="8195" max="8195" width="8.42578125" customWidth="1"/>
    <col min="8196" max="8196" width="15.42578125" customWidth="1"/>
    <col min="8197" max="8197" width="9.28515625" bestFit="1" customWidth="1"/>
    <col min="8198" max="8198" width="13.42578125" customWidth="1"/>
    <col min="8199" max="8200" width="14.42578125" customWidth="1"/>
    <col min="8201" max="8201" width="12.5703125" customWidth="1"/>
    <col min="8202" max="8202" width="17.7109375" customWidth="1"/>
    <col min="8203" max="8203" width="12.140625" customWidth="1"/>
    <col min="8449" max="8449" width="4.7109375" customWidth="1"/>
    <col min="8450" max="8450" width="45" customWidth="1"/>
    <col min="8451" max="8451" width="8.42578125" customWidth="1"/>
    <col min="8452" max="8452" width="15.42578125" customWidth="1"/>
    <col min="8453" max="8453" width="9.28515625" bestFit="1" customWidth="1"/>
    <col min="8454" max="8454" width="13.42578125" customWidth="1"/>
    <col min="8455" max="8456" width="14.42578125" customWidth="1"/>
    <col min="8457" max="8457" width="12.5703125" customWidth="1"/>
    <col min="8458" max="8458" width="17.7109375" customWidth="1"/>
    <col min="8459" max="8459" width="12.140625" customWidth="1"/>
    <col min="8705" max="8705" width="4.7109375" customWidth="1"/>
    <col min="8706" max="8706" width="45" customWidth="1"/>
    <col min="8707" max="8707" width="8.42578125" customWidth="1"/>
    <col min="8708" max="8708" width="15.42578125" customWidth="1"/>
    <col min="8709" max="8709" width="9.28515625" bestFit="1" customWidth="1"/>
    <col min="8710" max="8710" width="13.42578125" customWidth="1"/>
    <col min="8711" max="8712" width="14.42578125" customWidth="1"/>
    <col min="8713" max="8713" width="12.5703125" customWidth="1"/>
    <col min="8714" max="8714" width="17.7109375" customWidth="1"/>
    <col min="8715" max="8715" width="12.140625" customWidth="1"/>
    <col min="8961" max="8961" width="4.7109375" customWidth="1"/>
    <col min="8962" max="8962" width="45" customWidth="1"/>
    <col min="8963" max="8963" width="8.42578125" customWidth="1"/>
    <col min="8964" max="8964" width="15.42578125" customWidth="1"/>
    <col min="8965" max="8965" width="9.28515625" bestFit="1" customWidth="1"/>
    <col min="8966" max="8966" width="13.42578125" customWidth="1"/>
    <col min="8967" max="8968" width="14.42578125" customWidth="1"/>
    <col min="8969" max="8969" width="12.5703125" customWidth="1"/>
    <col min="8970" max="8970" width="17.7109375" customWidth="1"/>
    <col min="8971" max="8971" width="12.140625" customWidth="1"/>
    <col min="9217" max="9217" width="4.7109375" customWidth="1"/>
    <col min="9218" max="9218" width="45" customWidth="1"/>
    <col min="9219" max="9219" width="8.42578125" customWidth="1"/>
    <col min="9220" max="9220" width="15.42578125" customWidth="1"/>
    <col min="9221" max="9221" width="9.28515625" bestFit="1" customWidth="1"/>
    <col min="9222" max="9222" width="13.42578125" customWidth="1"/>
    <col min="9223" max="9224" width="14.42578125" customWidth="1"/>
    <col min="9225" max="9225" width="12.5703125" customWidth="1"/>
    <col min="9226" max="9226" width="17.7109375" customWidth="1"/>
    <col min="9227" max="9227" width="12.140625" customWidth="1"/>
    <col min="9473" max="9473" width="4.7109375" customWidth="1"/>
    <col min="9474" max="9474" width="45" customWidth="1"/>
    <col min="9475" max="9475" width="8.42578125" customWidth="1"/>
    <col min="9476" max="9476" width="15.42578125" customWidth="1"/>
    <col min="9477" max="9477" width="9.28515625" bestFit="1" customWidth="1"/>
    <col min="9478" max="9478" width="13.42578125" customWidth="1"/>
    <col min="9479" max="9480" width="14.42578125" customWidth="1"/>
    <col min="9481" max="9481" width="12.5703125" customWidth="1"/>
    <col min="9482" max="9482" width="17.7109375" customWidth="1"/>
    <col min="9483" max="9483" width="12.140625" customWidth="1"/>
    <col min="9729" max="9729" width="4.7109375" customWidth="1"/>
    <col min="9730" max="9730" width="45" customWidth="1"/>
    <col min="9731" max="9731" width="8.42578125" customWidth="1"/>
    <col min="9732" max="9732" width="15.42578125" customWidth="1"/>
    <col min="9733" max="9733" width="9.28515625" bestFit="1" customWidth="1"/>
    <col min="9734" max="9734" width="13.42578125" customWidth="1"/>
    <col min="9735" max="9736" width="14.42578125" customWidth="1"/>
    <col min="9737" max="9737" width="12.5703125" customWidth="1"/>
    <col min="9738" max="9738" width="17.7109375" customWidth="1"/>
    <col min="9739" max="9739" width="12.140625" customWidth="1"/>
    <col min="9985" max="9985" width="4.7109375" customWidth="1"/>
    <col min="9986" max="9986" width="45" customWidth="1"/>
    <col min="9987" max="9987" width="8.42578125" customWidth="1"/>
    <col min="9988" max="9988" width="15.42578125" customWidth="1"/>
    <col min="9989" max="9989" width="9.28515625" bestFit="1" customWidth="1"/>
    <col min="9990" max="9990" width="13.42578125" customWidth="1"/>
    <col min="9991" max="9992" width="14.42578125" customWidth="1"/>
    <col min="9993" max="9993" width="12.5703125" customWidth="1"/>
    <col min="9994" max="9994" width="17.7109375" customWidth="1"/>
    <col min="9995" max="9995" width="12.140625" customWidth="1"/>
    <col min="10241" max="10241" width="4.7109375" customWidth="1"/>
    <col min="10242" max="10242" width="45" customWidth="1"/>
    <col min="10243" max="10243" width="8.42578125" customWidth="1"/>
    <col min="10244" max="10244" width="15.42578125" customWidth="1"/>
    <col min="10245" max="10245" width="9.28515625" bestFit="1" customWidth="1"/>
    <col min="10246" max="10246" width="13.42578125" customWidth="1"/>
    <col min="10247" max="10248" width="14.42578125" customWidth="1"/>
    <col min="10249" max="10249" width="12.5703125" customWidth="1"/>
    <col min="10250" max="10250" width="17.7109375" customWidth="1"/>
    <col min="10251" max="10251" width="12.140625" customWidth="1"/>
    <col min="10497" max="10497" width="4.7109375" customWidth="1"/>
    <col min="10498" max="10498" width="45" customWidth="1"/>
    <col min="10499" max="10499" width="8.42578125" customWidth="1"/>
    <col min="10500" max="10500" width="15.42578125" customWidth="1"/>
    <col min="10501" max="10501" width="9.28515625" bestFit="1" customWidth="1"/>
    <col min="10502" max="10502" width="13.42578125" customWidth="1"/>
    <col min="10503" max="10504" width="14.42578125" customWidth="1"/>
    <col min="10505" max="10505" width="12.5703125" customWidth="1"/>
    <col min="10506" max="10506" width="17.7109375" customWidth="1"/>
    <col min="10507" max="10507" width="12.140625" customWidth="1"/>
    <col min="10753" max="10753" width="4.7109375" customWidth="1"/>
    <col min="10754" max="10754" width="45" customWidth="1"/>
    <col min="10755" max="10755" width="8.42578125" customWidth="1"/>
    <col min="10756" max="10756" width="15.42578125" customWidth="1"/>
    <col min="10757" max="10757" width="9.28515625" bestFit="1" customWidth="1"/>
    <col min="10758" max="10758" width="13.42578125" customWidth="1"/>
    <col min="10759" max="10760" width="14.42578125" customWidth="1"/>
    <col min="10761" max="10761" width="12.5703125" customWidth="1"/>
    <col min="10762" max="10762" width="17.7109375" customWidth="1"/>
    <col min="10763" max="10763" width="12.140625" customWidth="1"/>
    <col min="11009" max="11009" width="4.7109375" customWidth="1"/>
    <col min="11010" max="11010" width="45" customWidth="1"/>
    <col min="11011" max="11011" width="8.42578125" customWidth="1"/>
    <col min="11012" max="11012" width="15.42578125" customWidth="1"/>
    <col min="11013" max="11013" width="9.28515625" bestFit="1" customWidth="1"/>
    <col min="11014" max="11014" width="13.42578125" customWidth="1"/>
    <col min="11015" max="11016" width="14.42578125" customWidth="1"/>
    <col min="11017" max="11017" width="12.5703125" customWidth="1"/>
    <col min="11018" max="11018" width="17.7109375" customWidth="1"/>
    <col min="11019" max="11019" width="12.140625" customWidth="1"/>
    <col min="11265" max="11265" width="4.7109375" customWidth="1"/>
    <col min="11266" max="11266" width="45" customWidth="1"/>
    <col min="11267" max="11267" width="8.42578125" customWidth="1"/>
    <col min="11268" max="11268" width="15.42578125" customWidth="1"/>
    <col min="11269" max="11269" width="9.28515625" bestFit="1" customWidth="1"/>
    <col min="11270" max="11270" width="13.42578125" customWidth="1"/>
    <col min="11271" max="11272" width="14.42578125" customWidth="1"/>
    <col min="11273" max="11273" width="12.5703125" customWidth="1"/>
    <col min="11274" max="11274" width="17.7109375" customWidth="1"/>
    <col min="11275" max="11275" width="12.140625" customWidth="1"/>
    <col min="11521" max="11521" width="4.7109375" customWidth="1"/>
    <col min="11522" max="11522" width="45" customWidth="1"/>
    <col min="11523" max="11523" width="8.42578125" customWidth="1"/>
    <col min="11524" max="11524" width="15.42578125" customWidth="1"/>
    <col min="11525" max="11525" width="9.28515625" bestFit="1" customWidth="1"/>
    <col min="11526" max="11526" width="13.42578125" customWidth="1"/>
    <col min="11527" max="11528" width="14.42578125" customWidth="1"/>
    <col min="11529" max="11529" width="12.5703125" customWidth="1"/>
    <col min="11530" max="11530" width="17.7109375" customWidth="1"/>
    <col min="11531" max="11531" width="12.140625" customWidth="1"/>
    <col min="11777" max="11777" width="4.7109375" customWidth="1"/>
    <col min="11778" max="11778" width="45" customWidth="1"/>
    <col min="11779" max="11779" width="8.42578125" customWidth="1"/>
    <col min="11780" max="11780" width="15.42578125" customWidth="1"/>
    <col min="11781" max="11781" width="9.28515625" bestFit="1" customWidth="1"/>
    <col min="11782" max="11782" width="13.42578125" customWidth="1"/>
    <col min="11783" max="11784" width="14.42578125" customWidth="1"/>
    <col min="11785" max="11785" width="12.5703125" customWidth="1"/>
    <col min="11786" max="11786" width="17.7109375" customWidth="1"/>
    <col min="11787" max="11787" width="12.140625" customWidth="1"/>
    <col min="12033" max="12033" width="4.7109375" customWidth="1"/>
    <col min="12034" max="12034" width="45" customWidth="1"/>
    <col min="12035" max="12035" width="8.42578125" customWidth="1"/>
    <col min="12036" max="12036" width="15.42578125" customWidth="1"/>
    <col min="12037" max="12037" width="9.28515625" bestFit="1" customWidth="1"/>
    <col min="12038" max="12038" width="13.42578125" customWidth="1"/>
    <col min="12039" max="12040" width="14.42578125" customWidth="1"/>
    <col min="12041" max="12041" width="12.5703125" customWidth="1"/>
    <col min="12042" max="12042" width="17.7109375" customWidth="1"/>
    <col min="12043" max="12043" width="12.140625" customWidth="1"/>
    <col min="12289" max="12289" width="4.7109375" customWidth="1"/>
    <col min="12290" max="12290" width="45" customWidth="1"/>
    <col min="12291" max="12291" width="8.42578125" customWidth="1"/>
    <col min="12292" max="12292" width="15.42578125" customWidth="1"/>
    <col min="12293" max="12293" width="9.28515625" bestFit="1" customWidth="1"/>
    <col min="12294" max="12294" width="13.42578125" customWidth="1"/>
    <col min="12295" max="12296" width="14.42578125" customWidth="1"/>
    <col min="12297" max="12297" width="12.5703125" customWidth="1"/>
    <col min="12298" max="12298" width="17.7109375" customWidth="1"/>
    <col min="12299" max="12299" width="12.140625" customWidth="1"/>
    <col min="12545" max="12545" width="4.7109375" customWidth="1"/>
    <col min="12546" max="12546" width="45" customWidth="1"/>
    <col min="12547" max="12547" width="8.42578125" customWidth="1"/>
    <col min="12548" max="12548" width="15.42578125" customWidth="1"/>
    <col min="12549" max="12549" width="9.28515625" bestFit="1" customWidth="1"/>
    <col min="12550" max="12550" width="13.42578125" customWidth="1"/>
    <col min="12551" max="12552" width="14.42578125" customWidth="1"/>
    <col min="12553" max="12553" width="12.5703125" customWidth="1"/>
    <col min="12554" max="12554" width="17.7109375" customWidth="1"/>
    <col min="12555" max="12555" width="12.140625" customWidth="1"/>
    <col min="12801" max="12801" width="4.7109375" customWidth="1"/>
    <col min="12802" max="12802" width="45" customWidth="1"/>
    <col min="12803" max="12803" width="8.42578125" customWidth="1"/>
    <col min="12804" max="12804" width="15.42578125" customWidth="1"/>
    <col min="12805" max="12805" width="9.28515625" bestFit="1" customWidth="1"/>
    <col min="12806" max="12806" width="13.42578125" customWidth="1"/>
    <col min="12807" max="12808" width="14.42578125" customWidth="1"/>
    <col min="12809" max="12809" width="12.5703125" customWidth="1"/>
    <col min="12810" max="12810" width="17.7109375" customWidth="1"/>
    <col min="12811" max="12811" width="12.140625" customWidth="1"/>
    <col min="13057" max="13057" width="4.7109375" customWidth="1"/>
    <col min="13058" max="13058" width="45" customWidth="1"/>
    <col min="13059" max="13059" width="8.42578125" customWidth="1"/>
    <col min="13060" max="13060" width="15.42578125" customWidth="1"/>
    <col min="13061" max="13061" width="9.28515625" bestFit="1" customWidth="1"/>
    <col min="13062" max="13062" width="13.42578125" customWidth="1"/>
    <col min="13063" max="13064" width="14.42578125" customWidth="1"/>
    <col min="13065" max="13065" width="12.5703125" customWidth="1"/>
    <col min="13066" max="13066" width="17.7109375" customWidth="1"/>
    <col min="13067" max="13067" width="12.140625" customWidth="1"/>
    <col min="13313" max="13313" width="4.7109375" customWidth="1"/>
    <col min="13314" max="13314" width="45" customWidth="1"/>
    <col min="13315" max="13315" width="8.42578125" customWidth="1"/>
    <col min="13316" max="13316" width="15.42578125" customWidth="1"/>
    <col min="13317" max="13317" width="9.28515625" bestFit="1" customWidth="1"/>
    <col min="13318" max="13318" width="13.42578125" customWidth="1"/>
    <col min="13319" max="13320" width="14.42578125" customWidth="1"/>
    <col min="13321" max="13321" width="12.5703125" customWidth="1"/>
    <col min="13322" max="13322" width="17.7109375" customWidth="1"/>
    <col min="13323" max="13323" width="12.140625" customWidth="1"/>
    <col min="13569" max="13569" width="4.7109375" customWidth="1"/>
    <col min="13570" max="13570" width="45" customWidth="1"/>
    <col min="13571" max="13571" width="8.42578125" customWidth="1"/>
    <col min="13572" max="13572" width="15.42578125" customWidth="1"/>
    <col min="13573" max="13573" width="9.28515625" bestFit="1" customWidth="1"/>
    <col min="13574" max="13574" width="13.42578125" customWidth="1"/>
    <col min="13575" max="13576" width="14.42578125" customWidth="1"/>
    <col min="13577" max="13577" width="12.5703125" customWidth="1"/>
    <col min="13578" max="13578" width="17.7109375" customWidth="1"/>
    <col min="13579" max="13579" width="12.140625" customWidth="1"/>
    <col min="13825" max="13825" width="4.7109375" customWidth="1"/>
    <col min="13826" max="13826" width="45" customWidth="1"/>
    <col min="13827" max="13827" width="8.42578125" customWidth="1"/>
    <col min="13828" max="13828" width="15.42578125" customWidth="1"/>
    <col min="13829" max="13829" width="9.28515625" bestFit="1" customWidth="1"/>
    <col min="13830" max="13830" width="13.42578125" customWidth="1"/>
    <col min="13831" max="13832" width="14.42578125" customWidth="1"/>
    <col min="13833" max="13833" width="12.5703125" customWidth="1"/>
    <col min="13834" max="13834" width="17.7109375" customWidth="1"/>
    <col min="13835" max="13835" width="12.140625" customWidth="1"/>
    <col min="14081" max="14081" width="4.7109375" customWidth="1"/>
    <col min="14082" max="14082" width="45" customWidth="1"/>
    <col min="14083" max="14083" width="8.42578125" customWidth="1"/>
    <col min="14084" max="14084" width="15.42578125" customWidth="1"/>
    <col min="14085" max="14085" width="9.28515625" bestFit="1" customWidth="1"/>
    <col min="14086" max="14086" width="13.42578125" customWidth="1"/>
    <col min="14087" max="14088" width="14.42578125" customWidth="1"/>
    <col min="14089" max="14089" width="12.5703125" customWidth="1"/>
    <col min="14090" max="14090" width="17.7109375" customWidth="1"/>
    <col min="14091" max="14091" width="12.140625" customWidth="1"/>
    <col min="14337" max="14337" width="4.7109375" customWidth="1"/>
    <col min="14338" max="14338" width="45" customWidth="1"/>
    <col min="14339" max="14339" width="8.42578125" customWidth="1"/>
    <col min="14340" max="14340" width="15.42578125" customWidth="1"/>
    <col min="14341" max="14341" width="9.28515625" bestFit="1" customWidth="1"/>
    <col min="14342" max="14342" width="13.42578125" customWidth="1"/>
    <col min="14343" max="14344" width="14.42578125" customWidth="1"/>
    <col min="14345" max="14345" width="12.5703125" customWidth="1"/>
    <col min="14346" max="14346" width="17.7109375" customWidth="1"/>
    <col min="14347" max="14347" width="12.140625" customWidth="1"/>
    <col min="14593" max="14593" width="4.7109375" customWidth="1"/>
    <col min="14594" max="14594" width="45" customWidth="1"/>
    <col min="14595" max="14595" width="8.42578125" customWidth="1"/>
    <col min="14596" max="14596" width="15.42578125" customWidth="1"/>
    <col min="14597" max="14597" width="9.28515625" bestFit="1" customWidth="1"/>
    <col min="14598" max="14598" width="13.42578125" customWidth="1"/>
    <col min="14599" max="14600" width="14.42578125" customWidth="1"/>
    <col min="14601" max="14601" width="12.5703125" customWidth="1"/>
    <col min="14602" max="14602" width="17.7109375" customWidth="1"/>
    <col min="14603" max="14603" width="12.140625" customWidth="1"/>
    <col min="14849" max="14849" width="4.7109375" customWidth="1"/>
    <col min="14850" max="14850" width="45" customWidth="1"/>
    <col min="14851" max="14851" width="8.42578125" customWidth="1"/>
    <col min="14852" max="14852" width="15.42578125" customWidth="1"/>
    <col min="14853" max="14853" width="9.28515625" bestFit="1" customWidth="1"/>
    <col min="14854" max="14854" width="13.42578125" customWidth="1"/>
    <col min="14855" max="14856" width="14.42578125" customWidth="1"/>
    <col min="14857" max="14857" width="12.5703125" customWidth="1"/>
    <col min="14858" max="14858" width="17.7109375" customWidth="1"/>
    <col min="14859" max="14859" width="12.140625" customWidth="1"/>
    <col min="15105" max="15105" width="4.7109375" customWidth="1"/>
    <col min="15106" max="15106" width="45" customWidth="1"/>
    <col min="15107" max="15107" width="8.42578125" customWidth="1"/>
    <col min="15108" max="15108" width="15.42578125" customWidth="1"/>
    <col min="15109" max="15109" width="9.28515625" bestFit="1" customWidth="1"/>
    <col min="15110" max="15110" width="13.42578125" customWidth="1"/>
    <col min="15111" max="15112" width="14.42578125" customWidth="1"/>
    <col min="15113" max="15113" width="12.5703125" customWidth="1"/>
    <col min="15114" max="15114" width="17.7109375" customWidth="1"/>
    <col min="15115" max="15115" width="12.140625" customWidth="1"/>
    <col min="15361" max="15361" width="4.7109375" customWidth="1"/>
    <col min="15362" max="15362" width="45" customWidth="1"/>
    <col min="15363" max="15363" width="8.42578125" customWidth="1"/>
    <col min="15364" max="15364" width="15.42578125" customWidth="1"/>
    <col min="15365" max="15365" width="9.28515625" bestFit="1" customWidth="1"/>
    <col min="15366" max="15366" width="13.42578125" customWidth="1"/>
    <col min="15367" max="15368" width="14.42578125" customWidth="1"/>
    <col min="15369" max="15369" width="12.5703125" customWidth="1"/>
    <col min="15370" max="15370" width="17.7109375" customWidth="1"/>
    <col min="15371" max="15371" width="12.140625" customWidth="1"/>
    <col min="15617" max="15617" width="4.7109375" customWidth="1"/>
    <col min="15618" max="15618" width="45" customWidth="1"/>
    <col min="15619" max="15619" width="8.42578125" customWidth="1"/>
    <col min="15620" max="15620" width="15.42578125" customWidth="1"/>
    <col min="15621" max="15621" width="9.28515625" bestFit="1" customWidth="1"/>
    <col min="15622" max="15622" width="13.42578125" customWidth="1"/>
    <col min="15623" max="15624" width="14.42578125" customWidth="1"/>
    <col min="15625" max="15625" width="12.5703125" customWidth="1"/>
    <col min="15626" max="15626" width="17.7109375" customWidth="1"/>
    <col min="15627" max="15627" width="12.140625" customWidth="1"/>
    <col min="15873" max="15873" width="4.7109375" customWidth="1"/>
    <col min="15874" max="15874" width="45" customWidth="1"/>
    <col min="15875" max="15875" width="8.42578125" customWidth="1"/>
    <col min="15876" max="15876" width="15.42578125" customWidth="1"/>
    <col min="15877" max="15877" width="9.28515625" bestFit="1" customWidth="1"/>
    <col min="15878" max="15878" width="13.42578125" customWidth="1"/>
    <col min="15879" max="15880" width="14.42578125" customWidth="1"/>
    <col min="15881" max="15881" width="12.5703125" customWidth="1"/>
    <col min="15882" max="15882" width="17.7109375" customWidth="1"/>
    <col min="15883" max="15883" width="12.140625" customWidth="1"/>
    <col min="16129" max="16129" width="4.7109375" customWidth="1"/>
    <col min="16130" max="16130" width="45" customWidth="1"/>
    <col min="16131" max="16131" width="8.42578125" customWidth="1"/>
    <col min="16132" max="16132" width="15.42578125" customWidth="1"/>
    <col min="16133" max="16133" width="9.28515625" bestFit="1" customWidth="1"/>
    <col min="16134" max="16134" width="13.42578125" customWidth="1"/>
    <col min="16135" max="16136" width="14.42578125" customWidth="1"/>
    <col min="16137" max="16137" width="12.5703125" customWidth="1"/>
    <col min="16138" max="16138" width="17.7109375" customWidth="1"/>
    <col min="16139" max="16139" width="12.140625" customWidth="1"/>
  </cols>
  <sheetData>
    <row r="1" spans="1:14" x14ac:dyDescent="0.2">
      <c r="A1" s="103" t="s">
        <v>265</v>
      </c>
    </row>
    <row r="2" spans="1:14" x14ac:dyDescent="0.2">
      <c r="A2" s="103" t="str">
        <f>'[3]Planilha Global'!A2</f>
        <v>PREFEITURA MUNICIPAL DE MAMANGUAPE</v>
      </c>
    </row>
    <row r="3" spans="1:14" ht="5.0999999999999996" customHeight="1" x14ac:dyDescent="0.2"/>
    <row r="4" spans="1:14" s="202" customFormat="1" ht="12.75" customHeight="1" x14ac:dyDescent="0.25">
      <c r="A4" s="729" t="s">
        <v>422</v>
      </c>
      <c r="B4" s="737"/>
      <c r="C4" s="737"/>
      <c r="D4" s="737"/>
      <c r="E4" s="737"/>
      <c r="F4" s="737"/>
      <c r="I4" s="202" t="s">
        <v>423</v>
      </c>
      <c r="J4" s="202" t="s">
        <v>424</v>
      </c>
      <c r="K4" s="202" t="s">
        <v>425</v>
      </c>
      <c r="L4" s="202" t="s">
        <v>426</v>
      </c>
      <c r="N4" s="202" t="s">
        <v>428</v>
      </c>
    </row>
    <row r="5" spans="1:14" s="202" customFormat="1" ht="7.5" customHeight="1" x14ac:dyDescent="0.25">
      <c r="A5" s="434"/>
      <c r="B5" s="435"/>
      <c r="C5" s="435"/>
      <c r="D5" s="435"/>
      <c r="E5" s="435"/>
      <c r="F5" s="435"/>
    </row>
    <row r="6" spans="1:14" s="202" customFormat="1" ht="15" customHeight="1" x14ac:dyDescent="0.25">
      <c r="A6" s="735" t="s">
        <v>634</v>
      </c>
      <c r="B6" s="735"/>
      <c r="C6" s="258" t="s">
        <v>635</v>
      </c>
      <c r="D6" s="258"/>
      <c r="E6" s="103"/>
      <c r="F6" s="103"/>
      <c r="G6" s="53"/>
      <c r="H6" s="53"/>
    </row>
    <row r="7" spans="1:14" s="202" customFormat="1" ht="5.0999999999999996" customHeight="1" x14ac:dyDescent="0.25">
      <c r="B7" s="436"/>
      <c r="C7" s="437"/>
      <c r="D7" s="437"/>
      <c r="E7" s="257"/>
      <c r="F7" s="257"/>
      <c r="G7" s="53"/>
      <c r="H7" s="53"/>
    </row>
    <row r="8" spans="1:14" s="202" customFormat="1" ht="15" customHeight="1" x14ac:dyDescent="0.25">
      <c r="A8" s="103" t="s">
        <v>575</v>
      </c>
      <c r="B8" s="436"/>
      <c r="C8" s="736" t="s">
        <v>576</v>
      </c>
      <c r="D8" s="736"/>
      <c r="E8" s="736"/>
      <c r="F8" s="736"/>
      <c r="G8" s="53"/>
      <c r="H8" s="53"/>
      <c r="I8" s="202">
        <v>6</v>
      </c>
      <c r="J8" s="202">
        <f>1.96/2</f>
        <v>0.98</v>
      </c>
      <c r="K8" s="202">
        <f t="shared" ref="K8:K13" si="0">I8*J8</f>
        <v>5.88</v>
      </c>
      <c r="L8" s="202">
        <f>2.76+2.15+3.02+18.32+18.34+47.31+47.31+44.17+44.17+57.34+57.34+37.73+37.9+19.89+19.83+37.84+37.88</f>
        <v>533.29999999999995</v>
      </c>
      <c r="M8" s="202">
        <v>1</v>
      </c>
      <c r="N8" s="202">
        <v>6</v>
      </c>
    </row>
    <row r="9" spans="1:14" s="202" customFormat="1" ht="15" customHeight="1" x14ac:dyDescent="0.2">
      <c r="A9" s="103" t="s">
        <v>577</v>
      </c>
      <c r="B9" s="438"/>
      <c r="C9" s="736" t="s">
        <v>578</v>
      </c>
      <c r="D9" s="736"/>
      <c r="E9" s="736"/>
      <c r="F9" s="736"/>
      <c r="G9" s="53"/>
      <c r="H9" s="53"/>
      <c r="I9" s="230">
        <f>(6+5)/2</f>
        <v>5.5</v>
      </c>
      <c r="J9" s="202">
        <v>20.399999999999999</v>
      </c>
      <c r="K9" s="230">
        <f t="shared" si="0"/>
        <v>112.2</v>
      </c>
      <c r="L9" s="230"/>
      <c r="M9" s="202">
        <v>21.43</v>
      </c>
    </row>
    <row r="10" spans="1:14" s="202" customFormat="1" ht="14.25" customHeight="1" x14ac:dyDescent="0.2">
      <c r="A10" s="103" t="s">
        <v>579</v>
      </c>
      <c r="B10" s="438"/>
      <c r="C10" s="736" t="s">
        <v>580</v>
      </c>
      <c r="D10" s="736"/>
      <c r="E10" s="736"/>
      <c r="F10" s="736"/>
      <c r="I10" s="230">
        <v>5</v>
      </c>
      <c r="J10" s="202">
        <f>M10-M9</f>
        <v>148.81</v>
      </c>
      <c r="K10" s="230">
        <f t="shared" si="0"/>
        <v>744.05</v>
      </c>
      <c r="L10" s="230"/>
      <c r="M10" s="202">
        <v>170.24</v>
      </c>
    </row>
    <row r="11" spans="1:14" s="202" customFormat="1" ht="14.25" customHeight="1" x14ac:dyDescent="0.2">
      <c r="A11" s="103" t="s">
        <v>581</v>
      </c>
      <c r="B11" s="438"/>
      <c r="C11" s="437" t="s">
        <v>582</v>
      </c>
      <c r="D11" s="437"/>
      <c r="E11" s="437"/>
      <c r="F11" s="437"/>
      <c r="I11" s="230">
        <f>(5+6)/2</f>
        <v>5.5</v>
      </c>
      <c r="J11" s="202">
        <v>37.9</v>
      </c>
      <c r="K11" s="230">
        <f t="shared" si="0"/>
        <v>208.45</v>
      </c>
      <c r="M11" s="202">
        <v>208.05</v>
      </c>
    </row>
    <row r="12" spans="1:14" s="202" customFormat="1" ht="14.25" customHeight="1" x14ac:dyDescent="0.2">
      <c r="A12" s="103"/>
      <c r="B12" s="438"/>
      <c r="C12" s="103"/>
      <c r="D12" s="437"/>
      <c r="E12" s="103"/>
      <c r="F12" s="103"/>
      <c r="I12" s="202">
        <v>6</v>
      </c>
      <c r="J12" s="202">
        <f>M12-M11</f>
        <v>57.73</v>
      </c>
      <c r="K12" s="202">
        <f t="shared" si="0"/>
        <v>346.38</v>
      </c>
      <c r="M12" s="202">
        <v>265.77999999999997</v>
      </c>
    </row>
    <row r="13" spans="1:14" s="202" customFormat="1" ht="15" customHeight="1" x14ac:dyDescent="0.25">
      <c r="A13" s="103" t="s">
        <v>583</v>
      </c>
      <c r="B13" s="436"/>
      <c r="C13" s="736" t="s">
        <v>584</v>
      </c>
      <c r="D13" s="736"/>
      <c r="E13" s="736"/>
      <c r="F13" s="736"/>
      <c r="G13" s="53"/>
      <c r="H13" s="53"/>
      <c r="I13" s="202">
        <v>6</v>
      </c>
      <c r="J13" s="230">
        <f>3.52/2</f>
        <v>1.76</v>
      </c>
      <c r="K13" s="202">
        <f t="shared" si="0"/>
        <v>10.56</v>
      </c>
      <c r="L13" s="230"/>
      <c r="M13" s="202">
        <v>267.39999999999998</v>
      </c>
    </row>
    <row r="14" spans="1:14" s="202" customFormat="1" ht="15" customHeight="1" x14ac:dyDescent="0.2">
      <c r="A14" s="103" t="s">
        <v>585</v>
      </c>
      <c r="B14" s="438"/>
      <c r="C14" s="736" t="s">
        <v>586</v>
      </c>
      <c r="D14" s="736"/>
      <c r="E14" s="736"/>
      <c r="F14" s="736"/>
      <c r="G14" s="53"/>
      <c r="H14" s="53"/>
      <c r="K14" s="202">
        <v>1.1599999999999999</v>
      </c>
      <c r="L14" s="230"/>
    </row>
    <row r="15" spans="1:14" s="202" customFormat="1" ht="14.25" customHeight="1" x14ac:dyDescent="0.2">
      <c r="A15" s="103" t="s">
        <v>587</v>
      </c>
      <c r="B15" s="438"/>
      <c r="C15" s="736" t="s">
        <v>588</v>
      </c>
      <c r="D15" s="736"/>
      <c r="E15" s="736"/>
      <c r="F15" s="736"/>
      <c r="K15" s="202">
        <f>SUM(K8:K14)</f>
        <v>1428.68</v>
      </c>
    </row>
    <row r="16" spans="1:14" s="202" customFormat="1" ht="14.25" customHeight="1" x14ac:dyDescent="0.2">
      <c r="A16" s="103" t="s">
        <v>589</v>
      </c>
      <c r="B16" s="438"/>
      <c r="C16" s="437" t="s">
        <v>590</v>
      </c>
      <c r="D16" s="437"/>
      <c r="E16" s="437"/>
      <c r="F16" s="437"/>
    </row>
    <row r="17" spans="1:12" s="202" customFormat="1" ht="14.25" customHeight="1" x14ac:dyDescent="0.25">
      <c r="B17" s="436"/>
      <c r="E17" s="257"/>
      <c r="F17" s="257"/>
    </row>
    <row r="18" spans="1:12" s="202" customFormat="1" ht="15" customHeight="1" x14ac:dyDescent="0.25">
      <c r="A18" s="103" t="s">
        <v>591</v>
      </c>
      <c r="B18" s="436"/>
      <c r="C18" s="736" t="s">
        <v>592</v>
      </c>
      <c r="D18" s="736"/>
      <c r="E18" s="736"/>
      <c r="F18" s="736"/>
      <c r="G18" s="53"/>
      <c r="H18" s="53"/>
    </row>
    <row r="19" spans="1:12" s="202" customFormat="1" ht="15" customHeight="1" x14ac:dyDescent="0.2">
      <c r="A19" s="103" t="s">
        <v>593</v>
      </c>
      <c r="B19" s="438"/>
      <c r="C19" s="736" t="s">
        <v>594</v>
      </c>
      <c r="D19" s="736"/>
      <c r="E19" s="736"/>
      <c r="F19" s="736"/>
      <c r="G19" s="53"/>
      <c r="H19" s="53"/>
      <c r="I19" s="230"/>
      <c r="J19" s="202" t="e">
        <f>'[3]Planilha Global'!H32</f>
        <v>#REF!</v>
      </c>
      <c r="K19" s="230"/>
      <c r="L19" s="230"/>
    </row>
    <row r="20" spans="1:12" s="202" customFormat="1" ht="14.25" customHeight="1" x14ac:dyDescent="0.2">
      <c r="A20" s="103" t="s">
        <v>595</v>
      </c>
      <c r="B20" s="438"/>
      <c r="C20" s="736" t="s">
        <v>579</v>
      </c>
      <c r="D20" s="736"/>
      <c r="E20" s="736"/>
      <c r="F20" s="736"/>
      <c r="I20" s="230"/>
      <c r="K20" s="230"/>
      <c r="L20" s="230"/>
    </row>
    <row r="21" spans="1:12" s="202" customFormat="1" ht="14.25" customHeight="1" x14ac:dyDescent="0.2">
      <c r="A21" s="103" t="s">
        <v>596</v>
      </c>
      <c r="B21" s="438"/>
      <c r="C21" s="437" t="s">
        <v>597</v>
      </c>
      <c r="D21" s="437"/>
      <c r="E21" s="437"/>
      <c r="F21" s="437"/>
      <c r="I21" s="230"/>
    </row>
    <row r="22" spans="1:12" s="202" customFormat="1" ht="14.25" customHeight="1" x14ac:dyDescent="0.2">
      <c r="A22" s="103"/>
      <c r="B22" s="438"/>
      <c r="C22" s="103"/>
      <c r="D22" s="437"/>
      <c r="E22" s="103"/>
      <c r="F22" s="103"/>
    </row>
    <row r="23" spans="1:12" s="202" customFormat="1" ht="14.25" customHeight="1" x14ac:dyDescent="0.2">
      <c r="A23" s="103" t="s">
        <v>598</v>
      </c>
      <c r="B23" s="438"/>
      <c r="C23" s="103"/>
      <c r="D23" s="437"/>
      <c r="E23" s="103"/>
      <c r="F23" s="103"/>
    </row>
    <row r="24" spans="1:12" s="202" customFormat="1" ht="14.25" customHeight="1" x14ac:dyDescent="0.2">
      <c r="A24" s="103" t="s">
        <v>599</v>
      </c>
      <c r="B24" s="438"/>
      <c r="C24" s="103"/>
      <c r="D24" s="437"/>
      <c r="E24" s="103"/>
      <c r="F24" s="103"/>
    </row>
    <row r="25" spans="1:12" s="202" customFormat="1" ht="14.25" customHeight="1" x14ac:dyDescent="0.2">
      <c r="A25" s="103" t="s">
        <v>600</v>
      </c>
      <c r="B25" s="438"/>
      <c r="C25" s="103"/>
      <c r="D25" s="437"/>
      <c r="E25" s="103"/>
      <c r="F25" s="103"/>
    </row>
    <row r="26" spans="1:12" s="202" customFormat="1" ht="14.25" customHeight="1" x14ac:dyDescent="0.2">
      <c r="A26" s="103"/>
      <c r="B26" s="438"/>
      <c r="C26" s="103"/>
      <c r="D26" s="437"/>
      <c r="E26" s="103"/>
      <c r="F26" s="103"/>
    </row>
    <row r="27" spans="1:12" s="202" customFormat="1" ht="5.0999999999999996" customHeight="1" x14ac:dyDescent="0.2">
      <c r="B27" s="445"/>
      <c r="C27" s="446"/>
      <c r="D27" s="447"/>
      <c r="E27" s="256"/>
      <c r="F27" s="448"/>
    </row>
    <row r="28" spans="1:12" s="202" customFormat="1" ht="12.75" customHeight="1" x14ac:dyDescent="0.2">
      <c r="A28" s="738" t="s">
        <v>430</v>
      </c>
      <c r="B28" s="738"/>
      <c r="C28" s="440"/>
      <c r="D28" s="440"/>
      <c r="E28" s="441"/>
      <c r="F28" s="442"/>
      <c r="I28" s="230"/>
    </row>
    <row r="29" spans="1:12" s="103" customFormat="1" ht="26.25" customHeight="1" x14ac:dyDescent="0.2">
      <c r="B29" s="724" t="s">
        <v>689</v>
      </c>
      <c r="C29" s="724"/>
      <c r="D29" s="724"/>
      <c r="E29" s="452">
        <v>267.39999999999998</v>
      </c>
      <c r="F29" s="438" t="s">
        <v>11</v>
      </c>
    </row>
    <row r="30" spans="1:12" s="202" customFormat="1" ht="5.0999999999999996" customHeight="1" x14ac:dyDescent="0.2">
      <c r="B30" s="445"/>
      <c r="C30" s="446"/>
      <c r="D30" s="447"/>
      <c r="E30" s="256"/>
      <c r="F30" s="448"/>
    </row>
    <row r="31" spans="1:12" s="103" customFormat="1" ht="12.75" customHeight="1" x14ac:dyDescent="0.2">
      <c r="A31" s="738" t="s">
        <v>601</v>
      </c>
      <c r="B31" s="738"/>
      <c r="C31" s="450"/>
      <c r="D31" s="440"/>
      <c r="E31" s="308"/>
      <c r="F31" s="451"/>
    </row>
    <row r="32" spans="1:12" s="103" customFormat="1" ht="25.5" customHeight="1" x14ac:dyDescent="0.2">
      <c r="B32" s="724" t="s">
        <v>690</v>
      </c>
      <c r="C32" s="724"/>
      <c r="D32" s="724"/>
      <c r="E32" s="452">
        <f>K15</f>
        <v>1428.68</v>
      </c>
      <c r="F32" s="438" t="s">
        <v>13</v>
      </c>
    </row>
    <row r="33" spans="1:17" s="202" customFormat="1" ht="5.0999999999999996" customHeight="1" x14ac:dyDescent="0.25">
      <c r="B33" s="453"/>
      <c r="C33" s="453"/>
      <c r="D33" s="453"/>
      <c r="E33" s="454"/>
      <c r="F33" s="455"/>
    </row>
    <row r="34" spans="1:17" s="103" customFormat="1" ht="12.75" customHeight="1" x14ac:dyDescent="0.2">
      <c r="A34" s="738" t="s">
        <v>431</v>
      </c>
      <c r="B34" s="738"/>
      <c r="C34" s="440"/>
      <c r="D34" s="440"/>
      <c r="E34" s="441"/>
      <c r="F34" s="452"/>
    </row>
    <row r="35" spans="1:17" s="103" customFormat="1" ht="77.25" customHeight="1" x14ac:dyDescent="0.2">
      <c r="B35" s="721" t="s">
        <v>691</v>
      </c>
      <c r="C35" s="721"/>
      <c r="D35" s="721"/>
      <c r="E35" s="452">
        <f>L8</f>
        <v>533.29999999999995</v>
      </c>
      <c r="F35" s="438" t="s">
        <v>11</v>
      </c>
    </row>
    <row r="36" spans="1:17" s="202" customFormat="1" ht="5.0999999999999996" customHeight="1" x14ac:dyDescent="0.2">
      <c r="B36" s="445"/>
      <c r="C36" s="446"/>
      <c r="D36" s="447"/>
      <c r="E36" s="256"/>
      <c r="F36" s="256"/>
      <c r="G36" s="448"/>
      <c r="H36" s="448"/>
    </row>
    <row r="37" spans="1:17" s="103" customFormat="1" ht="39" customHeight="1" x14ac:dyDescent="0.2">
      <c r="B37" s="721" t="s">
        <v>692</v>
      </c>
      <c r="C37" s="721"/>
      <c r="D37" s="721"/>
      <c r="E37" s="452">
        <f>E32</f>
        <v>1428.68</v>
      </c>
      <c r="F37" s="438" t="s">
        <v>13</v>
      </c>
    </row>
    <row r="38" spans="1:17" s="202" customFormat="1" ht="5.0999999999999996" customHeight="1" x14ac:dyDescent="0.2">
      <c r="B38" s="445"/>
      <c r="C38" s="446"/>
      <c r="D38" s="447"/>
      <c r="E38" s="256"/>
      <c r="F38" s="256"/>
      <c r="G38" s="448"/>
      <c r="H38" s="448"/>
    </row>
    <row r="39" spans="1:17" s="103" customFormat="1" ht="51" customHeight="1" x14ac:dyDescent="0.2">
      <c r="B39" s="721" t="s">
        <v>693</v>
      </c>
      <c r="C39" s="721"/>
      <c r="D39" s="721"/>
      <c r="E39" s="452">
        <f>6*6+6.96</f>
        <v>42.96</v>
      </c>
      <c r="F39" s="438" t="s">
        <v>11</v>
      </c>
    </row>
    <row r="40" spans="1:17" s="103" customFormat="1" ht="5.0999999999999996" customHeight="1" x14ac:dyDescent="0.2">
      <c r="B40" s="456"/>
      <c r="C40" s="456"/>
      <c r="D40" s="456"/>
      <c r="E40" s="457"/>
      <c r="F40" s="458"/>
    </row>
    <row r="41" spans="1:17" s="103" customFormat="1" ht="12.75" customHeight="1" x14ac:dyDescent="0.2">
      <c r="A41" s="739" t="s">
        <v>602</v>
      </c>
      <c r="B41" s="739"/>
      <c r="C41" s="440"/>
      <c r="D41" s="440"/>
      <c r="E41" s="441"/>
      <c r="F41" s="442"/>
    </row>
    <row r="42" spans="1:17" s="103" customFormat="1" ht="77.25" customHeight="1" x14ac:dyDescent="0.2">
      <c r="B42" s="721" t="s">
        <v>694</v>
      </c>
      <c r="C42" s="721"/>
      <c r="D42" s="721"/>
      <c r="E42" s="637">
        <f>J42</f>
        <v>107.06</v>
      </c>
      <c r="F42" s="442" t="s">
        <v>13</v>
      </c>
      <c r="G42" s="442"/>
      <c r="H42" s="442"/>
      <c r="I42" s="103">
        <f>18.58+21.75+47.26+47.28+44.15+44.18+57.32+57.35+37.73+37.92+19.85+19.89+37.05+42.2+1.39+1.39</f>
        <v>535.29</v>
      </c>
      <c r="J42" s="103">
        <f>I42*0.2</f>
        <v>107.05800000000001</v>
      </c>
    </row>
    <row r="43" spans="1:17" s="202" customFormat="1" ht="5.0999999999999996" customHeight="1" x14ac:dyDescent="0.2">
      <c r="B43" s="445"/>
      <c r="C43" s="446"/>
      <c r="D43" s="447"/>
      <c r="E43" s="256"/>
      <c r="F43" s="256"/>
      <c r="G43" s="448"/>
      <c r="H43" s="448"/>
    </row>
    <row r="44" spans="1:17" s="103" customFormat="1" ht="154.5" customHeight="1" x14ac:dyDescent="0.2">
      <c r="B44" s="724" t="s">
        <v>695</v>
      </c>
      <c r="C44" s="724"/>
      <c r="D44" s="724"/>
      <c r="E44" s="638">
        <f>O44</f>
        <v>32.979999999999997</v>
      </c>
      <c r="F44" s="438" t="s">
        <v>128</v>
      </c>
      <c r="G44" s="438"/>
      <c r="H44" s="438"/>
      <c r="I44" s="460">
        <f>(1.2*1.2)/2+(0.51+0.18)*1.2/2+(1.2*1.2)/2+(0.45+0.17)*1.2/2+(3.02+18.32+18.34+47.31+47.31+44.17+44.17+57.34+57.34+37.73+37.9+19.89+19.83+37.84+37.88)*1.2</f>
        <v>636.29</v>
      </c>
      <c r="J44" s="460">
        <f>I44-I49</f>
        <v>582.29</v>
      </c>
      <c r="K44" s="460">
        <f>J44*0.06</f>
        <v>34.94</v>
      </c>
      <c r="L44" s="460"/>
      <c r="M44" s="460">
        <f>1.33+1.49+5.31+8.34+5.59+5.61+47.29+47.29+44.11+44.16+0.75+1.16+0.65+4.12+6.2+43.62+43.69+37.91+57.62+19.84+24.58+24.63+5.33+9.61</f>
        <v>490.23</v>
      </c>
      <c r="N44" s="460">
        <f>M44*0.2*0.02</f>
        <v>1.96</v>
      </c>
      <c r="O44" s="460">
        <f>K44-N44</f>
        <v>32.979999999999997</v>
      </c>
    </row>
    <row r="45" spans="1:17" s="202" customFormat="1" ht="5.0999999999999996" customHeight="1" x14ac:dyDescent="0.2">
      <c r="B45" s="445"/>
      <c r="C45" s="446"/>
      <c r="D45" s="447"/>
      <c r="E45" s="256"/>
      <c r="F45" s="256"/>
      <c r="G45" s="448"/>
      <c r="H45" s="448"/>
    </row>
    <row r="46" spans="1:17" s="103" customFormat="1" ht="79.5" customHeight="1" x14ac:dyDescent="0.2">
      <c r="B46" s="721" t="s">
        <v>696</v>
      </c>
      <c r="C46" s="721"/>
      <c r="D46" s="721"/>
      <c r="E46" s="639">
        <f>M44*0.2</f>
        <v>98.05</v>
      </c>
      <c r="F46" s="640" t="s">
        <v>13</v>
      </c>
      <c r="G46" s="438"/>
      <c r="H46" s="438"/>
      <c r="J46" s="460"/>
      <c r="K46" s="460"/>
      <c r="L46" s="461"/>
      <c r="M46" s="461"/>
      <c r="N46" s="460"/>
      <c r="O46" s="460"/>
      <c r="Q46" s="460"/>
    </row>
    <row r="47" spans="1:17" s="202" customFormat="1" ht="13.5" customHeight="1" x14ac:dyDescent="0.2">
      <c r="B47" s="445"/>
      <c r="C47" s="446"/>
      <c r="D47" s="447"/>
      <c r="E47" s="256"/>
      <c r="F47" s="256"/>
      <c r="G47" s="448"/>
      <c r="H47" s="448"/>
    </row>
    <row r="48" spans="1:17" s="103" customFormat="1" ht="12.75" customHeight="1" x14ac:dyDescent="0.2">
      <c r="A48" s="739" t="s">
        <v>603</v>
      </c>
      <c r="B48" s="739"/>
      <c r="C48" s="440"/>
      <c r="D48" s="440"/>
      <c r="E48" s="441"/>
      <c r="F48" s="442"/>
    </row>
    <row r="49" spans="1:17" s="103" customFormat="1" ht="78" customHeight="1" x14ac:dyDescent="0.2">
      <c r="B49" s="721" t="s">
        <v>669</v>
      </c>
      <c r="C49" s="721"/>
      <c r="D49" s="721"/>
      <c r="E49" s="637">
        <f>L49</f>
        <v>3.15</v>
      </c>
      <c r="F49" s="641" t="s">
        <v>128</v>
      </c>
      <c r="G49" s="438"/>
      <c r="H49" s="438"/>
      <c r="I49" s="460">
        <f>7.5*1.2*N8</f>
        <v>54</v>
      </c>
      <c r="J49" s="461">
        <f>I49*0.06</f>
        <v>3.24</v>
      </c>
      <c r="K49" s="461">
        <f>((1.2*2+1.5)*N8)*0.2*0.02</f>
        <v>0.09</v>
      </c>
      <c r="L49" s="461">
        <f>J49-K49</f>
        <v>3.15</v>
      </c>
      <c r="M49" s="460"/>
    </row>
    <row r="50" spans="1:17" s="202" customFormat="1" ht="5.0999999999999996" customHeight="1" x14ac:dyDescent="0.25">
      <c r="B50" s="445"/>
      <c r="C50" s="446"/>
      <c r="D50" s="447"/>
      <c r="E50" s="207"/>
      <c r="F50" s="642"/>
      <c r="G50" s="448"/>
      <c r="H50" s="448"/>
    </row>
    <row r="51" spans="1:17" s="103" customFormat="1" ht="78" customHeight="1" x14ac:dyDescent="0.2">
      <c r="B51" s="721" t="s">
        <v>670</v>
      </c>
      <c r="C51" s="721"/>
      <c r="D51" s="721"/>
      <c r="E51" s="643">
        <f>E49</f>
        <v>3.15</v>
      </c>
      <c r="F51" s="641" t="s">
        <v>128</v>
      </c>
      <c r="G51" s="438"/>
      <c r="H51" s="438"/>
      <c r="I51" s="460"/>
      <c r="J51" s="461"/>
      <c r="K51" s="461"/>
      <c r="L51" s="461"/>
      <c r="M51" s="460"/>
    </row>
    <row r="52" spans="1:17" s="202" customFormat="1" ht="5.0999999999999996" customHeight="1" x14ac:dyDescent="0.2">
      <c r="B52" s="445"/>
      <c r="C52" s="446"/>
      <c r="D52" s="447"/>
      <c r="E52" s="256"/>
      <c r="F52" s="256"/>
      <c r="G52" s="448"/>
      <c r="H52" s="448"/>
    </row>
    <row r="53" spans="1:17" s="103" customFormat="1" ht="51.75" customHeight="1" x14ac:dyDescent="0.2">
      <c r="B53" s="721" t="s">
        <v>671</v>
      </c>
      <c r="C53" s="721"/>
      <c r="D53" s="721"/>
      <c r="E53" s="637">
        <f>(1.2*2+1.5)*0.2*N8</f>
        <v>4.68</v>
      </c>
      <c r="F53" s="640" t="s">
        <v>13</v>
      </c>
      <c r="G53" s="438"/>
      <c r="H53" s="438"/>
      <c r="J53" s="460"/>
      <c r="K53" s="460"/>
      <c r="L53" s="461"/>
      <c r="M53" s="461"/>
      <c r="N53" s="460"/>
      <c r="O53" s="460"/>
      <c r="Q53" s="460"/>
    </row>
    <row r="54" spans="1:17" s="202" customFormat="1" ht="5.0999999999999996" customHeight="1" x14ac:dyDescent="0.2">
      <c r="B54" s="445"/>
      <c r="C54" s="446"/>
      <c r="D54" s="447"/>
      <c r="E54" s="256"/>
      <c r="F54" s="256"/>
      <c r="G54" s="448"/>
      <c r="H54" s="448"/>
    </row>
    <row r="55" spans="1:17" s="103" customFormat="1" ht="40.5" customHeight="1" x14ac:dyDescent="0.2">
      <c r="B55" s="726" t="s">
        <v>672</v>
      </c>
      <c r="C55" s="726"/>
      <c r="D55" s="726"/>
      <c r="E55" s="644">
        <f>I49</f>
        <v>54</v>
      </c>
      <c r="F55" s="641" t="s">
        <v>13</v>
      </c>
      <c r="G55" s="438"/>
      <c r="H55" s="438"/>
      <c r="J55" s="460"/>
      <c r="K55" s="460"/>
    </row>
    <row r="56" spans="1:17" s="103" customFormat="1" ht="5.0999999999999996" customHeight="1" x14ac:dyDescent="0.2">
      <c r="B56" s="456"/>
      <c r="C56" s="456"/>
      <c r="D56" s="456"/>
      <c r="E56" s="457"/>
      <c r="F56" s="458"/>
      <c r="G56" s="458"/>
      <c r="H56" s="458"/>
    </row>
    <row r="57" spans="1:17" s="103" customFormat="1" ht="12.75" customHeight="1" x14ac:dyDescent="0.2">
      <c r="A57" s="738" t="s">
        <v>490</v>
      </c>
      <c r="B57" s="738"/>
      <c r="C57" s="440"/>
      <c r="D57" s="440"/>
      <c r="E57" s="441"/>
      <c r="F57" s="442"/>
    </row>
    <row r="58" spans="1:17" s="103" customFormat="1" ht="25.5" customHeight="1" x14ac:dyDescent="0.2">
      <c r="B58" s="721" t="s">
        <v>697</v>
      </c>
      <c r="C58" s="721"/>
      <c r="D58" s="721"/>
      <c r="E58" s="459">
        <f>E35*(0.15+0.13)</f>
        <v>149.32</v>
      </c>
      <c r="F58" s="438" t="s">
        <v>13</v>
      </c>
      <c r="H58" s="103" t="e">
        <f>#REF!*0.28</f>
        <v>#REF!</v>
      </c>
    </row>
    <row r="59" spans="1:17" s="202" customFormat="1" ht="5.0999999999999996" customHeight="1" x14ac:dyDescent="0.2">
      <c r="B59" s="445"/>
      <c r="C59" s="446"/>
      <c r="D59" s="447"/>
      <c r="E59" s="256"/>
      <c r="F59" s="256"/>
      <c r="G59" s="448"/>
      <c r="H59" s="448"/>
    </row>
    <row r="60" spans="1:17" s="103" customFormat="1" ht="64.5" customHeight="1" x14ac:dyDescent="0.2">
      <c r="B60" s="721" t="s">
        <v>687</v>
      </c>
      <c r="C60" s="721"/>
      <c r="D60" s="721"/>
      <c r="E60" s="459">
        <v>2</v>
      </c>
      <c r="F60" s="438" t="s">
        <v>279</v>
      </c>
    </row>
    <row r="61" spans="1:17" s="202" customFormat="1" ht="5.0999999999999996" customHeight="1" x14ac:dyDescent="0.2">
      <c r="B61" s="445"/>
      <c r="C61" s="446"/>
      <c r="D61" s="447"/>
      <c r="E61" s="256"/>
      <c r="F61" s="256"/>
      <c r="G61" s="448"/>
      <c r="H61" s="448"/>
    </row>
    <row r="62" spans="1:17" s="202" customFormat="1" ht="27" customHeight="1" x14ac:dyDescent="0.2">
      <c r="A62" s="282"/>
      <c r="B62" s="721" t="s">
        <v>688</v>
      </c>
      <c r="C62" s="721"/>
      <c r="D62" s="721"/>
      <c r="E62" s="442">
        <v>2</v>
      </c>
      <c r="F62" s="53" t="s">
        <v>279</v>
      </c>
      <c r="I62" s="202">
        <v>3.9</v>
      </c>
      <c r="J62" s="202">
        <v>216</v>
      </c>
    </row>
    <row r="63" spans="1:17" s="103" customFormat="1" ht="3.75" customHeight="1" x14ac:dyDescent="0.2">
      <c r="B63" s="443"/>
      <c r="C63" s="443"/>
      <c r="D63" s="443"/>
      <c r="E63" s="459"/>
      <c r="F63" s="438"/>
    </row>
    <row r="64" spans="1:17" s="103" customFormat="1" ht="5.0999999999999996" customHeight="1" x14ac:dyDescent="0.2">
      <c r="E64" s="441"/>
      <c r="F64" s="442"/>
    </row>
    <row r="65" spans="1:11" x14ac:dyDescent="0.2">
      <c r="A65" s="103" t="s">
        <v>265</v>
      </c>
    </row>
    <row r="66" spans="1:11" x14ac:dyDescent="0.2">
      <c r="A66" s="103" t="str">
        <f>A2</f>
        <v>PREFEITURA MUNICIPAL DE MAMANGUAPE</v>
      </c>
    </row>
    <row r="67" spans="1:11" ht="5.0999999999999996" customHeight="1" x14ac:dyDescent="0.2"/>
    <row r="68" spans="1:11" s="103" customFormat="1" ht="12.75" customHeight="1" x14ac:dyDescent="0.25">
      <c r="A68" s="729" t="s">
        <v>433</v>
      </c>
      <c r="B68" s="729"/>
      <c r="C68" s="729"/>
      <c r="D68" s="729"/>
      <c r="E68" s="729"/>
      <c r="F68" s="729"/>
      <c r="H68" s="460"/>
    </row>
    <row r="69" spans="1:11" s="202" customFormat="1" ht="15" customHeight="1" x14ac:dyDescent="0.25">
      <c r="A69" s="258" t="str">
        <f>A6</f>
        <v>RUA PROJETADA 2 (Vale Verde)</v>
      </c>
      <c r="B69" s="258"/>
      <c r="C69" s="808"/>
      <c r="D69" s="808"/>
      <c r="E69" s="809"/>
      <c r="F69" s="809"/>
      <c r="G69" s="53"/>
      <c r="H69" s="53"/>
    </row>
    <row r="70" spans="1:11" s="202" customFormat="1" ht="5.0999999999999996" customHeight="1" x14ac:dyDescent="0.25">
      <c r="B70" s="436"/>
      <c r="C70" s="437"/>
      <c r="D70" s="437"/>
      <c r="E70" s="257"/>
      <c r="F70" s="257"/>
      <c r="G70" s="53"/>
      <c r="H70" s="53"/>
    </row>
    <row r="71" spans="1:11" s="202" customFormat="1" ht="12.75" customHeight="1" x14ac:dyDescent="0.2">
      <c r="A71" s="730" t="s">
        <v>53</v>
      </c>
      <c r="B71" s="732" t="s">
        <v>267</v>
      </c>
      <c r="C71" s="732" t="s">
        <v>268</v>
      </c>
      <c r="D71" s="732" t="s">
        <v>434</v>
      </c>
      <c r="E71" s="732" t="s">
        <v>435</v>
      </c>
      <c r="F71" s="734"/>
    </row>
    <row r="72" spans="1:11" s="202" customFormat="1" ht="12.75" customHeight="1" x14ac:dyDescent="0.2">
      <c r="A72" s="731"/>
      <c r="B72" s="733"/>
      <c r="C72" s="733"/>
      <c r="D72" s="733"/>
      <c r="E72" s="462" t="s">
        <v>436</v>
      </c>
      <c r="F72" s="463" t="s">
        <v>437</v>
      </c>
    </row>
    <row r="73" spans="1:11" s="202" customFormat="1" ht="12.75" customHeight="1" x14ac:dyDescent="0.2">
      <c r="A73" s="464" t="s">
        <v>4</v>
      </c>
      <c r="B73" s="465" t="s">
        <v>438</v>
      </c>
      <c r="C73" s="466"/>
      <c r="D73" s="467"/>
      <c r="E73" s="467"/>
      <c r="F73" s="468">
        <f>F74</f>
        <v>157.77000000000001</v>
      </c>
      <c r="H73" s="202">
        <v>1.2614000000000001</v>
      </c>
    </row>
    <row r="74" spans="1:11" s="202" customFormat="1" ht="14.25" x14ac:dyDescent="0.2">
      <c r="A74" s="469" t="s">
        <v>86</v>
      </c>
      <c r="B74" s="470" t="str">
        <f>'[3]Planilha Global'!B17</f>
        <v>Locação de pavimentação</v>
      </c>
      <c r="C74" s="482" t="str">
        <f>F29</f>
        <v>m</v>
      </c>
      <c r="D74" s="472">
        <f>E29</f>
        <v>267.39999999999998</v>
      </c>
      <c r="E74" s="473">
        <f>'Planilha Ajuste'!N69</f>
        <v>0.59</v>
      </c>
      <c r="F74" s="474">
        <f>ROUND(D74,2)*ROUND(E74,2)</f>
        <v>157.77000000000001</v>
      </c>
      <c r="H74" s="202">
        <v>0.46</v>
      </c>
    </row>
    <row r="75" spans="1:11" s="202" customFormat="1" ht="5.0999999999999996" customHeight="1" x14ac:dyDescent="0.2">
      <c r="A75" s="480"/>
      <c r="B75" s="481"/>
      <c r="C75" s="482"/>
      <c r="D75" s="482"/>
      <c r="E75" s="483"/>
      <c r="F75" s="484"/>
    </row>
    <row r="76" spans="1:11" s="202" customFormat="1" ht="12.75" customHeight="1" x14ac:dyDescent="0.2">
      <c r="A76" s="464" t="s">
        <v>6</v>
      </c>
      <c r="B76" s="465" t="s">
        <v>604</v>
      </c>
      <c r="C76" s="466"/>
      <c r="D76" s="467"/>
      <c r="E76" s="467"/>
      <c r="F76" s="468">
        <f>SUM(F77:F77)</f>
        <v>4257.47</v>
      </c>
    </row>
    <row r="77" spans="1:11" s="202" customFormat="1" ht="25.5" x14ac:dyDescent="0.2">
      <c r="A77" s="469" t="s">
        <v>7</v>
      </c>
      <c r="B77" s="470" t="str">
        <f>'[3]Planilha Global'!B14</f>
        <v>Regularização e compactação de sub-leito até 20cm de espessura</v>
      </c>
      <c r="C77" s="482" t="str">
        <f>F32</f>
        <v>m²</v>
      </c>
      <c r="D77" s="472">
        <f>E32</f>
        <v>1428.68</v>
      </c>
      <c r="E77" s="473">
        <f>'Planilha Ajuste'!N72</f>
        <v>2.98</v>
      </c>
      <c r="F77" s="474">
        <f>ROUND(D77,2)*ROUND(E77,2)</f>
        <v>4257.47</v>
      </c>
      <c r="H77" s="202">
        <v>2.23</v>
      </c>
      <c r="I77" s="485"/>
    </row>
    <row r="78" spans="1:11" s="202" customFormat="1" ht="6.75" customHeight="1" x14ac:dyDescent="0.2">
      <c r="A78" s="486"/>
      <c r="B78" s="487"/>
      <c r="C78" s="482"/>
      <c r="D78" s="472"/>
      <c r="E78" s="488"/>
      <c r="F78" s="474"/>
    </row>
    <row r="79" spans="1:11" s="202" customFormat="1" ht="12.75" customHeight="1" thickBot="1" x14ac:dyDescent="0.25">
      <c r="A79" s="464" t="s">
        <v>8</v>
      </c>
      <c r="B79" s="465" t="s">
        <v>439</v>
      </c>
      <c r="C79" s="466"/>
      <c r="D79" s="467"/>
      <c r="E79" s="489"/>
      <c r="F79" s="468">
        <f>SUM(F80:F82)</f>
        <v>183802.94</v>
      </c>
    </row>
    <row r="80" spans="1:11" s="226" customFormat="1" ht="63.75" x14ac:dyDescent="0.2">
      <c r="A80" s="469" t="s">
        <v>9</v>
      </c>
      <c r="B80" s="491" t="str">
        <f>'[3]Planilha Global'!B18</f>
        <v>Assentamento de guia (meio-fio) em trecho reto, confeccionada em concreto pré-fabricado, dimensões 100x15x13x30 cm (comprimento x base inferior x base superior x altura), para vias urbanas (uso viário)</v>
      </c>
      <c r="C80" s="482" t="str">
        <f>F35</f>
        <v>m</v>
      </c>
      <c r="D80" s="472">
        <f>E35</f>
        <v>533.29999999999995</v>
      </c>
      <c r="E80" s="473">
        <f>'Planilha Ajuste'!N75</f>
        <v>58.64</v>
      </c>
      <c r="F80" s="474">
        <f>ROUND(D80,2)*ROUND(E80,2)</f>
        <v>31272.71</v>
      </c>
      <c r="H80" s="226">
        <v>45.46</v>
      </c>
      <c r="I80" s="492"/>
      <c r="J80" s="493"/>
      <c r="K80" s="494"/>
    </row>
    <row r="81" spans="1:12" s="226" customFormat="1" ht="39" thickBot="1" x14ac:dyDescent="0.25">
      <c r="A81" s="469" t="s">
        <v>12</v>
      </c>
      <c r="B81" s="491" t="str">
        <f>'[3]Planilha Global'!B20</f>
        <v>Execução de pavimento em paralelepípedo inclusive colchão de areia rejuntado no traço 1:3 (Cimento e areia)</v>
      </c>
      <c r="C81" s="482" t="str">
        <f>F37</f>
        <v>m²</v>
      </c>
      <c r="D81" s="472">
        <f>E37</f>
        <v>1428.68</v>
      </c>
      <c r="E81" s="473">
        <f>'Planilha Ajuste'!N76</f>
        <v>104.89</v>
      </c>
      <c r="F81" s="474">
        <f>ROUND(D81,2)*ROUND(E81,2)</f>
        <v>149854.25</v>
      </c>
      <c r="H81" s="226">
        <v>81.33</v>
      </c>
      <c r="I81" s="495"/>
      <c r="J81" s="496"/>
      <c r="K81" s="497"/>
    </row>
    <row r="82" spans="1:12" s="226" customFormat="1" ht="25.5" x14ac:dyDescent="0.2">
      <c r="A82" s="469" t="s">
        <v>108</v>
      </c>
      <c r="B82" s="491" t="str">
        <f>'[3]Planilha Global'!B19</f>
        <v>Assentamento de guia (meio-fio) para cordão de travamento do pavimento, em pedra granítica</v>
      </c>
      <c r="C82" s="482" t="str">
        <f>F39</f>
        <v>m</v>
      </c>
      <c r="D82" s="472">
        <f>E39</f>
        <v>42.96</v>
      </c>
      <c r="E82" s="473">
        <f>'Planilha Ajuste'!N77</f>
        <v>62.29</v>
      </c>
      <c r="F82" s="474">
        <f>ROUND(D82,2)*ROUND(E82,2)</f>
        <v>2675.98</v>
      </c>
      <c r="H82" s="226">
        <v>39.19</v>
      </c>
      <c r="I82" s="492"/>
      <c r="J82" s="493"/>
      <c r="K82" s="494"/>
    </row>
    <row r="83" spans="1:12" s="202" customFormat="1" ht="6.75" customHeight="1" x14ac:dyDescent="0.2">
      <c r="A83" s="486"/>
      <c r="B83" s="487"/>
      <c r="C83" s="482"/>
      <c r="D83" s="472"/>
      <c r="E83" s="488"/>
      <c r="F83" s="474"/>
    </row>
    <row r="84" spans="1:12" s="258" customFormat="1" ht="15" customHeight="1" thickBot="1" x14ac:dyDescent="0.3">
      <c r="A84" s="498" t="s">
        <v>14</v>
      </c>
      <c r="B84" s="499" t="s">
        <v>605</v>
      </c>
      <c r="C84" s="466"/>
      <c r="D84" s="467"/>
      <c r="E84" s="500"/>
      <c r="F84" s="468" t="e">
        <f>SUM(F85:F87)</f>
        <v>#REF!</v>
      </c>
      <c r="I84" s="501"/>
      <c r="J84" s="502"/>
      <c r="K84" s="502"/>
      <c r="L84" s="503"/>
    </row>
    <row r="85" spans="1:12" s="226" customFormat="1" ht="51" x14ac:dyDescent="0.2">
      <c r="A85" s="469" t="s">
        <v>15</v>
      </c>
      <c r="B85" s="504" t="s">
        <v>644</v>
      </c>
      <c r="C85" s="490" t="str">
        <f>F42</f>
        <v>m²</v>
      </c>
      <c r="D85" s="472">
        <f>E42</f>
        <v>107.06</v>
      </c>
      <c r="E85" s="473">
        <f>'Planilha Ajuste'!N80</f>
        <v>94.37</v>
      </c>
      <c r="F85" s="474">
        <f>ROUND(D85,2)*ROUND(E85,2)</f>
        <v>10103.25</v>
      </c>
      <c r="H85" s="226">
        <v>73.06</v>
      </c>
    </row>
    <row r="86" spans="1:12" s="226" customFormat="1" ht="38.25" x14ac:dyDescent="0.2">
      <c r="A86" s="469" t="s">
        <v>129</v>
      </c>
      <c r="B86" s="504" t="s">
        <v>127</v>
      </c>
      <c r="C86" s="490" t="str">
        <f>F44</f>
        <v>m³</v>
      </c>
      <c r="D86" s="472">
        <f>E44</f>
        <v>32.979999999999997</v>
      </c>
      <c r="E86" s="473">
        <f>'Planilha Ajuste'!N81</f>
        <v>901.96</v>
      </c>
      <c r="F86" s="474">
        <f>ROUND(D86,2)*ROUND(E86,2)</f>
        <v>29746.639999999999</v>
      </c>
      <c r="H86" s="226">
        <v>703.2</v>
      </c>
    </row>
    <row r="87" spans="1:12" s="226" customFormat="1" ht="51" x14ac:dyDescent="0.2">
      <c r="A87" s="469" t="s">
        <v>131</v>
      </c>
      <c r="B87" s="504" t="s">
        <v>494</v>
      </c>
      <c r="C87" s="490" t="str">
        <f>F46</f>
        <v>m²</v>
      </c>
      <c r="D87" s="472">
        <f>E46</f>
        <v>98.05</v>
      </c>
      <c r="E87" s="473" t="e">
        <f>'Planilha Ajuste'!N82</f>
        <v>#REF!</v>
      </c>
      <c r="F87" s="474" t="e">
        <f>ROUND(D87,2)*ROUND(E87,2)</f>
        <v>#REF!</v>
      </c>
      <c r="H87" s="226">
        <v>109.78</v>
      </c>
    </row>
    <row r="88" spans="1:12" s="202" customFormat="1" ht="6.75" customHeight="1" x14ac:dyDescent="0.2">
      <c r="A88" s="486"/>
      <c r="B88" s="487"/>
      <c r="C88" s="482"/>
      <c r="D88" s="472"/>
      <c r="E88" s="488"/>
      <c r="F88" s="474"/>
    </row>
    <row r="89" spans="1:12" s="258" customFormat="1" ht="15" customHeight="1" thickBot="1" x14ac:dyDescent="0.3">
      <c r="A89" s="498" t="s">
        <v>157</v>
      </c>
      <c r="B89" s="499" t="s">
        <v>606</v>
      </c>
      <c r="C89" s="466"/>
      <c r="D89" s="467"/>
      <c r="E89" s="500"/>
      <c r="F89" s="468" t="e">
        <f>SUM(F90:F93)</f>
        <v>#REF!</v>
      </c>
      <c r="I89" s="501"/>
      <c r="J89" s="502"/>
      <c r="K89" s="502"/>
      <c r="L89" s="503"/>
    </row>
    <row r="90" spans="1:12" s="226" customFormat="1" ht="39" thickBot="1" x14ac:dyDescent="0.25">
      <c r="A90" s="469" t="s">
        <v>158</v>
      </c>
      <c r="B90" s="504" t="s">
        <v>607</v>
      </c>
      <c r="C90" s="490" t="str">
        <f>F49</f>
        <v>m³</v>
      </c>
      <c r="D90" s="472">
        <f>E49</f>
        <v>3.15</v>
      </c>
      <c r="E90" s="473">
        <f>'Planilha Ajuste'!N85</f>
        <v>526.15</v>
      </c>
      <c r="F90" s="474">
        <f>ROUND(D90,2)*ROUND(E90,2)</f>
        <v>1657.37</v>
      </c>
      <c r="H90" s="226">
        <v>410.85</v>
      </c>
    </row>
    <row r="91" spans="1:12" s="202" customFormat="1" ht="25.5" x14ac:dyDescent="0.2">
      <c r="A91" s="469" t="s">
        <v>170</v>
      </c>
      <c r="B91" s="504" t="s">
        <v>608</v>
      </c>
      <c r="C91" s="490" t="str">
        <f>F51</f>
        <v>m³</v>
      </c>
      <c r="D91" s="472">
        <f>E51</f>
        <v>3.15</v>
      </c>
      <c r="E91" s="473">
        <f>'Planilha Ajuste'!N86</f>
        <v>288</v>
      </c>
      <c r="F91" s="474">
        <f>ROUND(D91,2)*ROUND(E91,2)</f>
        <v>907.2</v>
      </c>
      <c r="H91" s="202">
        <v>223.25</v>
      </c>
      <c r="I91" s="506"/>
      <c r="J91" s="507"/>
      <c r="K91" s="507"/>
      <c r="L91" s="508"/>
    </row>
    <row r="92" spans="1:12" s="226" customFormat="1" ht="51" x14ac:dyDescent="0.2">
      <c r="A92" s="469" t="s">
        <v>203</v>
      </c>
      <c r="B92" s="504" t="s">
        <v>494</v>
      </c>
      <c r="C92" s="490" t="str">
        <f>F53</f>
        <v>m²</v>
      </c>
      <c r="D92" s="472">
        <f>E53</f>
        <v>4.68</v>
      </c>
      <c r="E92" s="473" t="e">
        <f>'Planilha Ajuste'!N87</f>
        <v>#REF!</v>
      </c>
      <c r="F92" s="474" t="e">
        <f>ROUND(D92,2)*ROUND(E92,2)</f>
        <v>#REF!</v>
      </c>
      <c r="H92" s="226">
        <v>109.78</v>
      </c>
    </row>
    <row r="93" spans="1:12" s="226" customFormat="1" ht="25.5" x14ac:dyDescent="0.2">
      <c r="A93" s="469" t="s">
        <v>181</v>
      </c>
      <c r="B93" s="504" t="s">
        <v>609</v>
      </c>
      <c r="C93" s="490" t="str">
        <f>F55</f>
        <v>m²</v>
      </c>
      <c r="D93" s="472">
        <f>E55</f>
        <v>54</v>
      </c>
      <c r="E93" s="473">
        <f>'Planilha Ajuste'!N88</f>
        <v>19.18</v>
      </c>
      <c r="F93" s="474">
        <f>ROUND(D93,2)*ROUND(E93,2)</f>
        <v>1035.72</v>
      </c>
      <c r="H93" s="226">
        <v>14.87</v>
      </c>
    </row>
    <row r="94" spans="1:12" s="202" customFormat="1" ht="6.75" customHeight="1" x14ac:dyDescent="0.2">
      <c r="A94" s="486"/>
      <c r="B94" s="487"/>
      <c r="C94" s="482"/>
      <c r="D94" s="472"/>
      <c r="E94" s="488"/>
      <c r="F94" s="474"/>
    </row>
    <row r="95" spans="1:12" s="258" customFormat="1" ht="15" customHeight="1" thickBot="1" x14ac:dyDescent="0.3">
      <c r="A95" s="498" t="s">
        <v>174</v>
      </c>
      <c r="B95" s="499" t="s">
        <v>489</v>
      </c>
      <c r="C95" s="466"/>
      <c r="D95" s="467"/>
      <c r="E95" s="500"/>
      <c r="F95" s="468" t="e">
        <f>SUM(F96:F98)</f>
        <v>#REF!</v>
      </c>
      <c r="I95" s="501"/>
      <c r="J95" s="502"/>
      <c r="K95" s="502"/>
      <c r="L95" s="503"/>
    </row>
    <row r="96" spans="1:12" s="202" customFormat="1" ht="17.25" customHeight="1" x14ac:dyDescent="0.2">
      <c r="A96" s="469" t="s">
        <v>175</v>
      </c>
      <c r="B96" s="504" t="s">
        <v>419</v>
      </c>
      <c r="C96" s="490" t="str">
        <f>F58</f>
        <v>m²</v>
      </c>
      <c r="D96" s="472">
        <f>E58</f>
        <v>149.32</v>
      </c>
      <c r="E96" s="473">
        <f>'Planilha Ajuste'!N156</f>
        <v>1.61</v>
      </c>
      <c r="F96" s="474">
        <f>ROUND(D96,2)*ROUND(E96,2)</f>
        <v>240.41</v>
      </c>
      <c r="H96" s="506"/>
      <c r="I96" s="507"/>
      <c r="J96" s="507"/>
      <c r="K96" s="508"/>
    </row>
    <row r="97" spans="1:12" s="226" customFormat="1" ht="63.75" x14ac:dyDescent="0.2">
      <c r="A97" s="469" t="s">
        <v>246</v>
      </c>
      <c r="B97" s="504" t="str">
        <f>'[3]Planilha Global'!B28</f>
        <v>Sinalização permanente, vertical, com placa octogonal de aço, padrão DNER, largura 0,60m, com tubo de aço galvanizado de 2,10m, já sendo descontado a altura que ficará contido na base, fixado com base de concreto 40 x 40 x 50</v>
      </c>
      <c r="C97" s="490" t="str">
        <f>F60</f>
        <v>unid</v>
      </c>
      <c r="D97" s="472">
        <f>E60</f>
        <v>2</v>
      </c>
      <c r="E97" s="473" t="e">
        <f>'Planilha Ajuste'!N157</f>
        <v>#REF!</v>
      </c>
      <c r="F97" s="505" t="e">
        <f>ROUND(D97,2)*ROUND(E97,2)</f>
        <v>#REF!</v>
      </c>
      <c r="H97" s="226">
        <v>349.41</v>
      </c>
    </row>
    <row r="98" spans="1:12" s="226" customFormat="1" ht="25.5" x14ac:dyDescent="0.2">
      <c r="A98" s="469" t="s">
        <v>247</v>
      </c>
      <c r="B98" s="504" t="str">
        <f>'[3]Planilha Global'!B30</f>
        <v>Placa esmaltada para identificação de nome de rua, dimensões 45x20cm</v>
      </c>
      <c r="C98" s="490" t="str">
        <f>F62</f>
        <v>unid</v>
      </c>
      <c r="D98" s="472">
        <f>E62</f>
        <v>2</v>
      </c>
      <c r="E98" s="473">
        <f>'Planilha Ajuste'!N158</f>
        <v>180.93</v>
      </c>
      <c r="F98" s="474">
        <f>ROUND(D98,2)*ROUND(E98,2)</f>
        <v>361.86</v>
      </c>
      <c r="H98" s="226">
        <v>89.83</v>
      </c>
    </row>
    <row r="99" spans="1:12" s="202" customFormat="1" ht="6.75" customHeight="1" x14ac:dyDescent="0.2">
      <c r="A99" s="509"/>
      <c r="B99" s="41"/>
      <c r="C99" s="482"/>
      <c r="D99" s="472"/>
      <c r="E99" s="510"/>
      <c r="F99" s="474"/>
      <c r="I99" s="511"/>
      <c r="L99" s="512"/>
    </row>
    <row r="100" spans="1:12" s="202" customFormat="1" ht="12.75" customHeight="1" x14ac:dyDescent="0.2">
      <c r="A100" s="727" t="s">
        <v>440</v>
      </c>
      <c r="B100" s="728"/>
      <c r="C100" s="728"/>
      <c r="D100" s="728"/>
      <c r="E100" s="728"/>
      <c r="F100" s="543" t="e">
        <f>F73+F76+F79+F84+F89+F95</f>
        <v>#REF!</v>
      </c>
    </row>
    <row r="101" spans="1:12" s="202" customFormat="1" ht="5.25" customHeight="1" x14ac:dyDescent="0.2">
      <c r="B101" s="256"/>
      <c r="C101" s="281"/>
      <c r="E101" s="281"/>
    </row>
    <row r="102" spans="1:12" s="202" customFormat="1" ht="12.75" customHeight="1" x14ac:dyDescent="0.2">
      <c r="A102" s="64" t="e">
        <f>#REF!</f>
        <v>#REF!</v>
      </c>
      <c r="B102" s="256"/>
      <c r="C102" s="281"/>
      <c r="E102" s="281"/>
      <c r="F102" s="513"/>
      <c r="G102" s="202">
        <f>175162.63/D81</f>
        <v>122.604523056248</v>
      </c>
    </row>
    <row r="103" spans="1:12" s="202" customFormat="1" ht="12.75" customHeight="1" x14ac:dyDescent="0.2">
      <c r="A103" s="64" t="e">
        <f>#REF!</f>
        <v>#REF!</v>
      </c>
      <c r="B103" s="256"/>
      <c r="C103" s="281"/>
      <c r="D103" s="64" t="e">
        <f>#REF!</f>
        <v>#REF!</v>
      </c>
      <c r="E103" s="281"/>
    </row>
    <row r="104" spans="1:12" s="202" customFormat="1" ht="12.75" customHeight="1" x14ac:dyDescent="0.2">
      <c r="E104" s="281"/>
      <c r="F104" s="247" t="e">
        <f>#REF!+'Maria Livramento - T1'!F106+'Vale Verde 1'!F98+'Vale Verde 2'!F100</f>
        <v>#REF!</v>
      </c>
    </row>
    <row r="105" spans="1:12" ht="12.75" customHeight="1" x14ac:dyDescent="0.2">
      <c r="G105" t="e">
        <f>F100/D74</f>
        <v>#REF!</v>
      </c>
    </row>
    <row r="106" spans="1:12" ht="12.75" customHeight="1" x14ac:dyDescent="0.2">
      <c r="F106" s="514" t="e">
        <f>F100+#REF!</f>
        <v>#REF!</v>
      </c>
    </row>
  </sheetData>
  <mergeCells count="41">
    <mergeCell ref="B62:D62"/>
    <mergeCell ref="B60:D60"/>
    <mergeCell ref="B37:D37"/>
    <mergeCell ref="A41:B41"/>
    <mergeCell ref="B42:D42"/>
    <mergeCell ref="B44:D44"/>
    <mergeCell ref="B49:D49"/>
    <mergeCell ref="B51:D51"/>
    <mergeCell ref="B53:D53"/>
    <mergeCell ref="B58:D58"/>
    <mergeCell ref="A48:B48"/>
    <mergeCell ref="A100:E100"/>
    <mergeCell ref="A68:F68"/>
    <mergeCell ref="C69:D69"/>
    <mergeCell ref="E69:F69"/>
    <mergeCell ref="A71:A72"/>
    <mergeCell ref="B71:B72"/>
    <mergeCell ref="C71:C72"/>
    <mergeCell ref="D71:D72"/>
    <mergeCell ref="E71:F71"/>
    <mergeCell ref="A28:B28"/>
    <mergeCell ref="B55:D55"/>
    <mergeCell ref="A57:B57"/>
    <mergeCell ref="B39:D39"/>
    <mergeCell ref="C13:F13"/>
    <mergeCell ref="C14:F14"/>
    <mergeCell ref="C15:F15"/>
    <mergeCell ref="C18:F18"/>
    <mergeCell ref="C19:F19"/>
    <mergeCell ref="C20:F20"/>
    <mergeCell ref="A31:B31"/>
    <mergeCell ref="B32:D32"/>
    <mergeCell ref="A34:B34"/>
    <mergeCell ref="B29:D29"/>
    <mergeCell ref="B35:D35"/>
    <mergeCell ref="B46:D46"/>
    <mergeCell ref="C10:F10"/>
    <mergeCell ref="A4:F4"/>
    <mergeCell ref="C8:F8"/>
    <mergeCell ref="C9:F9"/>
    <mergeCell ref="A6:B6"/>
  </mergeCells>
  <printOptions horizontalCentered="1"/>
  <pageMargins left="0.51181102362204722" right="0.51181102362204722" top="0.39370078740157483" bottom="0.59055118110236227" header="0.31496062992125984" footer="0.31496062992125984"/>
  <pageSetup paperSize="9" scale="91" orientation="portrait" r:id="rId1"/>
  <rowBreaks count="1" manualBreakCount="1">
    <brk id="63" max="5" man="1"/>
  </rowBreaks>
  <legacyDrawing r:id="rId2"/>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73F0B6-A761-4FD5-9835-CC3BDEF34284}">
  <dimension ref="A1:S85"/>
  <sheetViews>
    <sheetView view="pageBreakPreview" zoomScale="110" zoomScaleNormal="100" zoomScaleSheetLayoutView="110" workbookViewId="0">
      <selection activeCell="M17" sqref="M17"/>
    </sheetView>
  </sheetViews>
  <sheetFormatPr defaultRowHeight="12.75" x14ac:dyDescent="0.2"/>
  <cols>
    <col min="1" max="1" width="4.7109375" customWidth="1"/>
    <col min="2" max="2" width="45" customWidth="1"/>
    <col min="3" max="3" width="8.42578125" customWidth="1"/>
    <col min="4" max="4" width="14.28515625" customWidth="1"/>
    <col min="5" max="5" width="9.28515625" bestFit="1" customWidth="1"/>
    <col min="6" max="6" width="12.140625" customWidth="1"/>
    <col min="7" max="7" width="14.42578125" customWidth="1"/>
    <col min="8" max="8" width="12.5703125" customWidth="1"/>
    <col min="9" max="9" width="17.7109375" customWidth="1"/>
    <col min="257" max="257" width="4.7109375" customWidth="1"/>
    <col min="258" max="258" width="45" customWidth="1"/>
    <col min="259" max="259" width="8.42578125" customWidth="1"/>
    <col min="260" max="260" width="14.28515625" customWidth="1"/>
    <col min="261" max="261" width="9.28515625" bestFit="1" customWidth="1"/>
    <col min="262" max="262" width="12.140625" customWidth="1"/>
    <col min="263" max="263" width="14.42578125" customWidth="1"/>
    <col min="264" max="264" width="12.5703125" customWidth="1"/>
    <col min="265" max="265" width="17.7109375" customWidth="1"/>
    <col min="513" max="513" width="4.7109375" customWidth="1"/>
    <col min="514" max="514" width="45" customWidth="1"/>
    <col min="515" max="515" width="8.42578125" customWidth="1"/>
    <col min="516" max="516" width="14.28515625" customWidth="1"/>
    <col min="517" max="517" width="9.28515625" bestFit="1" customWidth="1"/>
    <col min="518" max="518" width="12.140625" customWidth="1"/>
    <col min="519" max="519" width="14.42578125" customWidth="1"/>
    <col min="520" max="520" width="12.5703125" customWidth="1"/>
    <col min="521" max="521" width="17.7109375" customWidth="1"/>
    <col min="769" max="769" width="4.7109375" customWidth="1"/>
    <col min="770" max="770" width="45" customWidth="1"/>
    <col min="771" max="771" width="8.42578125" customWidth="1"/>
    <col min="772" max="772" width="14.28515625" customWidth="1"/>
    <col min="773" max="773" width="9.28515625" bestFit="1" customWidth="1"/>
    <col min="774" max="774" width="12.140625" customWidth="1"/>
    <col min="775" max="775" width="14.42578125" customWidth="1"/>
    <col min="776" max="776" width="12.5703125" customWidth="1"/>
    <col min="777" max="777" width="17.7109375" customWidth="1"/>
    <col min="1025" max="1025" width="4.7109375" customWidth="1"/>
    <col min="1026" max="1026" width="45" customWidth="1"/>
    <col min="1027" max="1027" width="8.42578125" customWidth="1"/>
    <col min="1028" max="1028" width="14.28515625" customWidth="1"/>
    <col min="1029" max="1029" width="9.28515625" bestFit="1" customWidth="1"/>
    <col min="1030" max="1030" width="12.140625" customWidth="1"/>
    <col min="1031" max="1031" width="14.42578125" customWidth="1"/>
    <col min="1032" max="1032" width="12.5703125" customWidth="1"/>
    <col min="1033" max="1033" width="17.7109375" customWidth="1"/>
    <col min="1281" max="1281" width="4.7109375" customWidth="1"/>
    <col min="1282" max="1282" width="45" customWidth="1"/>
    <col min="1283" max="1283" width="8.42578125" customWidth="1"/>
    <col min="1284" max="1284" width="14.28515625" customWidth="1"/>
    <col min="1285" max="1285" width="9.28515625" bestFit="1" customWidth="1"/>
    <col min="1286" max="1286" width="12.140625" customWidth="1"/>
    <col min="1287" max="1287" width="14.42578125" customWidth="1"/>
    <col min="1288" max="1288" width="12.5703125" customWidth="1"/>
    <col min="1289" max="1289" width="17.7109375" customWidth="1"/>
    <col min="1537" max="1537" width="4.7109375" customWidth="1"/>
    <col min="1538" max="1538" width="45" customWidth="1"/>
    <col min="1539" max="1539" width="8.42578125" customWidth="1"/>
    <col min="1540" max="1540" width="14.28515625" customWidth="1"/>
    <col min="1541" max="1541" width="9.28515625" bestFit="1" customWidth="1"/>
    <col min="1542" max="1542" width="12.140625" customWidth="1"/>
    <col min="1543" max="1543" width="14.42578125" customWidth="1"/>
    <col min="1544" max="1544" width="12.5703125" customWidth="1"/>
    <col min="1545" max="1545" width="17.7109375" customWidth="1"/>
    <col min="1793" max="1793" width="4.7109375" customWidth="1"/>
    <col min="1794" max="1794" width="45" customWidth="1"/>
    <col min="1795" max="1795" width="8.42578125" customWidth="1"/>
    <col min="1796" max="1796" width="14.28515625" customWidth="1"/>
    <col min="1797" max="1797" width="9.28515625" bestFit="1" customWidth="1"/>
    <col min="1798" max="1798" width="12.140625" customWidth="1"/>
    <col min="1799" max="1799" width="14.42578125" customWidth="1"/>
    <col min="1800" max="1800" width="12.5703125" customWidth="1"/>
    <col min="1801" max="1801" width="17.7109375" customWidth="1"/>
    <col min="2049" max="2049" width="4.7109375" customWidth="1"/>
    <col min="2050" max="2050" width="45" customWidth="1"/>
    <col min="2051" max="2051" width="8.42578125" customWidth="1"/>
    <col min="2052" max="2052" width="14.28515625" customWidth="1"/>
    <col min="2053" max="2053" width="9.28515625" bestFit="1" customWidth="1"/>
    <col min="2054" max="2054" width="12.140625" customWidth="1"/>
    <col min="2055" max="2055" width="14.42578125" customWidth="1"/>
    <col min="2056" max="2056" width="12.5703125" customWidth="1"/>
    <col min="2057" max="2057" width="17.7109375" customWidth="1"/>
    <col min="2305" max="2305" width="4.7109375" customWidth="1"/>
    <col min="2306" max="2306" width="45" customWidth="1"/>
    <col min="2307" max="2307" width="8.42578125" customWidth="1"/>
    <col min="2308" max="2308" width="14.28515625" customWidth="1"/>
    <col min="2309" max="2309" width="9.28515625" bestFit="1" customWidth="1"/>
    <col min="2310" max="2310" width="12.140625" customWidth="1"/>
    <col min="2311" max="2311" width="14.42578125" customWidth="1"/>
    <col min="2312" max="2312" width="12.5703125" customWidth="1"/>
    <col min="2313" max="2313" width="17.7109375" customWidth="1"/>
    <col min="2561" max="2561" width="4.7109375" customWidth="1"/>
    <col min="2562" max="2562" width="45" customWidth="1"/>
    <col min="2563" max="2563" width="8.42578125" customWidth="1"/>
    <col min="2564" max="2564" width="14.28515625" customWidth="1"/>
    <col min="2565" max="2565" width="9.28515625" bestFit="1" customWidth="1"/>
    <col min="2566" max="2566" width="12.140625" customWidth="1"/>
    <col min="2567" max="2567" width="14.42578125" customWidth="1"/>
    <col min="2568" max="2568" width="12.5703125" customWidth="1"/>
    <col min="2569" max="2569" width="17.7109375" customWidth="1"/>
    <col min="2817" max="2817" width="4.7109375" customWidth="1"/>
    <col min="2818" max="2818" width="45" customWidth="1"/>
    <col min="2819" max="2819" width="8.42578125" customWidth="1"/>
    <col min="2820" max="2820" width="14.28515625" customWidth="1"/>
    <col min="2821" max="2821" width="9.28515625" bestFit="1" customWidth="1"/>
    <col min="2822" max="2822" width="12.140625" customWidth="1"/>
    <col min="2823" max="2823" width="14.42578125" customWidth="1"/>
    <col min="2824" max="2824" width="12.5703125" customWidth="1"/>
    <col min="2825" max="2825" width="17.7109375" customWidth="1"/>
    <col min="3073" max="3073" width="4.7109375" customWidth="1"/>
    <col min="3074" max="3074" width="45" customWidth="1"/>
    <col min="3075" max="3075" width="8.42578125" customWidth="1"/>
    <col min="3076" max="3076" width="14.28515625" customWidth="1"/>
    <col min="3077" max="3077" width="9.28515625" bestFit="1" customWidth="1"/>
    <col min="3078" max="3078" width="12.140625" customWidth="1"/>
    <col min="3079" max="3079" width="14.42578125" customWidth="1"/>
    <col min="3080" max="3080" width="12.5703125" customWidth="1"/>
    <col min="3081" max="3081" width="17.7109375" customWidth="1"/>
    <col min="3329" max="3329" width="4.7109375" customWidth="1"/>
    <col min="3330" max="3330" width="45" customWidth="1"/>
    <col min="3331" max="3331" width="8.42578125" customWidth="1"/>
    <col min="3332" max="3332" width="14.28515625" customWidth="1"/>
    <col min="3333" max="3333" width="9.28515625" bestFit="1" customWidth="1"/>
    <col min="3334" max="3334" width="12.140625" customWidth="1"/>
    <col min="3335" max="3335" width="14.42578125" customWidth="1"/>
    <col min="3336" max="3336" width="12.5703125" customWidth="1"/>
    <col min="3337" max="3337" width="17.7109375" customWidth="1"/>
    <col min="3585" max="3585" width="4.7109375" customWidth="1"/>
    <col min="3586" max="3586" width="45" customWidth="1"/>
    <col min="3587" max="3587" width="8.42578125" customWidth="1"/>
    <col min="3588" max="3588" width="14.28515625" customWidth="1"/>
    <col min="3589" max="3589" width="9.28515625" bestFit="1" customWidth="1"/>
    <col min="3590" max="3590" width="12.140625" customWidth="1"/>
    <col min="3591" max="3591" width="14.42578125" customWidth="1"/>
    <col min="3592" max="3592" width="12.5703125" customWidth="1"/>
    <col min="3593" max="3593" width="17.7109375" customWidth="1"/>
    <col min="3841" max="3841" width="4.7109375" customWidth="1"/>
    <col min="3842" max="3842" width="45" customWidth="1"/>
    <col min="3843" max="3843" width="8.42578125" customWidth="1"/>
    <col min="3844" max="3844" width="14.28515625" customWidth="1"/>
    <col min="3845" max="3845" width="9.28515625" bestFit="1" customWidth="1"/>
    <col min="3846" max="3846" width="12.140625" customWidth="1"/>
    <col min="3847" max="3847" width="14.42578125" customWidth="1"/>
    <col min="3848" max="3848" width="12.5703125" customWidth="1"/>
    <col min="3849" max="3849" width="17.7109375" customWidth="1"/>
    <col min="4097" max="4097" width="4.7109375" customWidth="1"/>
    <col min="4098" max="4098" width="45" customWidth="1"/>
    <col min="4099" max="4099" width="8.42578125" customWidth="1"/>
    <col min="4100" max="4100" width="14.28515625" customWidth="1"/>
    <col min="4101" max="4101" width="9.28515625" bestFit="1" customWidth="1"/>
    <col min="4102" max="4102" width="12.140625" customWidth="1"/>
    <col min="4103" max="4103" width="14.42578125" customWidth="1"/>
    <col min="4104" max="4104" width="12.5703125" customWidth="1"/>
    <col min="4105" max="4105" width="17.7109375" customWidth="1"/>
    <col min="4353" max="4353" width="4.7109375" customWidth="1"/>
    <col min="4354" max="4354" width="45" customWidth="1"/>
    <col min="4355" max="4355" width="8.42578125" customWidth="1"/>
    <col min="4356" max="4356" width="14.28515625" customWidth="1"/>
    <col min="4357" max="4357" width="9.28515625" bestFit="1" customWidth="1"/>
    <col min="4358" max="4358" width="12.140625" customWidth="1"/>
    <col min="4359" max="4359" width="14.42578125" customWidth="1"/>
    <col min="4360" max="4360" width="12.5703125" customWidth="1"/>
    <col min="4361" max="4361" width="17.7109375" customWidth="1"/>
    <col min="4609" max="4609" width="4.7109375" customWidth="1"/>
    <col min="4610" max="4610" width="45" customWidth="1"/>
    <col min="4611" max="4611" width="8.42578125" customWidth="1"/>
    <col min="4612" max="4612" width="14.28515625" customWidth="1"/>
    <col min="4613" max="4613" width="9.28515625" bestFit="1" customWidth="1"/>
    <col min="4614" max="4614" width="12.140625" customWidth="1"/>
    <col min="4615" max="4615" width="14.42578125" customWidth="1"/>
    <col min="4616" max="4616" width="12.5703125" customWidth="1"/>
    <col min="4617" max="4617" width="17.7109375" customWidth="1"/>
    <col min="4865" max="4865" width="4.7109375" customWidth="1"/>
    <col min="4866" max="4866" width="45" customWidth="1"/>
    <col min="4867" max="4867" width="8.42578125" customWidth="1"/>
    <col min="4868" max="4868" width="14.28515625" customWidth="1"/>
    <col min="4869" max="4869" width="9.28515625" bestFit="1" customWidth="1"/>
    <col min="4870" max="4870" width="12.140625" customWidth="1"/>
    <col min="4871" max="4871" width="14.42578125" customWidth="1"/>
    <col min="4872" max="4872" width="12.5703125" customWidth="1"/>
    <col min="4873" max="4873" width="17.7109375" customWidth="1"/>
    <col min="5121" max="5121" width="4.7109375" customWidth="1"/>
    <col min="5122" max="5122" width="45" customWidth="1"/>
    <col min="5123" max="5123" width="8.42578125" customWidth="1"/>
    <col min="5124" max="5124" width="14.28515625" customWidth="1"/>
    <col min="5125" max="5125" width="9.28515625" bestFit="1" customWidth="1"/>
    <col min="5126" max="5126" width="12.140625" customWidth="1"/>
    <col min="5127" max="5127" width="14.42578125" customWidth="1"/>
    <col min="5128" max="5128" width="12.5703125" customWidth="1"/>
    <col min="5129" max="5129" width="17.7109375" customWidth="1"/>
    <col min="5377" max="5377" width="4.7109375" customWidth="1"/>
    <col min="5378" max="5378" width="45" customWidth="1"/>
    <col min="5379" max="5379" width="8.42578125" customWidth="1"/>
    <col min="5380" max="5380" width="14.28515625" customWidth="1"/>
    <col min="5381" max="5381" width="9.28515625" bestFit="1" customWidth="1"/>
    <col min="5382" max="5382" width="12.140625" customWidth="1"/>
    <col min="5383" max="5383" width="14.42578125" customWidth="1"/>
    <col min="5384" max="5384" width="12.5703125" customWidth="1"/>
    <col min="5385" max="5385" width="17.7109375" customWidth="1"/>
    <col min="5633" max="5633" width="4.7109375" customWidth="1"/>
    <col min="5634" max="5634" width="45" customWidth="1"/>
    <col min="5635" max="5635" width="8.42578125" customWidth="1"/>
    <col min="5636" max="5636" width="14.28515625" customWidth="1"/>
    <col min="5637" max="5637" width="9.28515625" bestFit="1" customWidth="1"/>
    <col min="5638" max="5638" width="12.140625" customWidth="1"/>
    <col min="5639" max="5639" width="14.42578125" customWidth="1"/>
    <col min="5640" max="5640" width="12.5703125" customWidth="1"/>
    <col min="5641" max="5641" width="17.7109375" customWidth="1"/>
    <col min="5889" max="5889" width="4.7109375" customWidth="1"/>
    <col min="5890" max="5890" width="45" customWidth="1"/>
    <col min="5891" max="5891" width="8.42578125" customWidth="1"/>
    <col min="5892" max="5892" width="14.28515625" customWidth="1"/>
    <col min="5893" max="5893" width="9.28515625" bestFit="1" customWidth="1"/>
    <col min="5894" max="5894" width="12.140625" customWidth="1"/>
    <col min="5895" max="5895" width="14.42578125" customWidth="1"/>
    <col min="5896" max="5896" width="12.5703125" customWidth="1"/>
    <col min="5897" max="5897" width="17.7109375" customWidth="1"/>
    <col min="6145" max="6145" width="4.7109375" customWidth="1"/>
    <col min="6146" max="6146" width="45" customWidth="1"/>
    <col min="6147" max="6147" width="8.42578125" customWidth="1"/>
    <col min="6148" max="6148" width="14.28515625" customWidth="1"/>
    <col min="6149" max="6149" width="9.28515625" bestFit="1" customWidth="1"/>
    <col min="6150" max="6150" width="12.140625" customWidth="1"/>
    <col min="6151" max="6151" width="14.42578125" customWidth="1"/>
    <col min="6152" max="6152" width="12.5703125" customWidth="1"/>
    <col min="6153" max="6153" width="17.7109375" customWidth="1"/>
    <col min="6401" max="6401" width="4.7109375" customWidth="1"/>
    <col min="6402" max="6402" width="45" customWidth="1"/>
    <col min="6403" max="6403" width="8.42578125" customWidth="1"/>
    <col min="6404" max="6404" width="14.28515625" customWidth="1"/>
    <col min="6405" max="6405" width="9.28515625" bestFit="1" customWidth="1"/>
    <col min="6406" max="6406" width="12.140625" customWidth="1"/>
    <col min="6407" max="6407" width="14.42578125" customWidth="1"/>
    <col min="6408" max="6408" width="12.5703125" customWidth="1"/>
    <col min="6409" max="6409" width="17.7109375" customWidth="1"/>
    <col min="6657" max="6657" width="4.7109375" customWidth="1"/>
    <col min="6658" max="6658" width="45" customWidth="1"/>
    <col min="6659" max="6659" width="8.42578125" customWidth="1"/>
    <col min="6660" max="6660" width="14.28515625" customWidth="1"/>
    <col min="6661" max="6661" width="9.28515625" bestFit="1" customWidth="1"/>
    <col min="6662" max="6662" width="12.140625" customWidth="1"/>
    <col min="6663" max="6663" width="14.42578125" customWidth="1"/>
    <col min="6664" max="6664" width="12.5703125" customWidth="1"/>
    <col min="6665" max="6665" width="17.7109375" customWidth="1"/>
    <col min="6913" max="6913" width="4.7109375" customWidth="1"/>
    <col min="6914" max="6914" width="45" customWidth="1"/>
    <col min="6915" max="6915" width="8.42578125" customWidth="1"/>
    <col min="6916" max="6916" width="14.28515625" customWidth="1"/>
    <col min="6917" max="6917" width="9.28515625" bestFit="1" customWidth="1"/>
    <col min="6918" max="6918" width="12.140625" customWidth="1"/>
    <col min="6919" max="6919" width="14.42578125" customWidth="1"/>
    <col min="6920" max="6920" width="12.5703125" customWidth="1"/>
    <col min="6921" max="6921" width="17.7109375" customWidth="1"/>
    <col min="7169" max="7169" width="4.7109375" customWidth="1"/>
    <col min="7170" max="7170" width="45" customWidth="1"/>
    <col min="7171" max="7171" width="8.42578125" customWidth="1"/>
    <col min="7172" max="7172" width="14.28515625" customWidth="1"/>
    <col min="7173" max="7173" width="9.28515625" bestFit="1" customWidth="1"/>
    <col min="7174" max="7174" width="12.140625" customWidth="1"/>
    <col min="7175" max="7175" width="14.42578125" customWidth="1"/>
    <col min="7176" max="7176" width="12.5703125" customWidth="1"/>
    <col min="7177" max="7177" width="17.7109375" customWidth="1"/>
    <col min="7425" max="7425" width="4.7109375" customWidth="1"/>
    <col min="7426" max="7426" width="45" customWidth="1"/>
    <col min="7427" max="7427" width="8.42578125" customWidth="1"/>
    <col min="7428" max="7428" width="14.28515625" customWidth="1"/>
    <col min="7429" max="7429" width="9.28515625" bestFit="1" customWidth="1"/>
    <col min="7430" max="7430" width="12.140625" customWidth="1"/>
    <col min="7431" max="7431" width="14.42578125" customWidth="1"/>
    <col min="7432" max="7432" width="12.5703125" customWidth="1"/>
    <col min="7433" max="7433" width="17.7109375" customWidth="1"/>
    <col min="7681" max="7681" width="4.7109375" customWidth="1"/>
    <col min="7682" max="7682" width="45" customWidth="1"/>
    <col min="7683" max="7683" width="8.42578125" customWidth="1"/>
    <col min="7684" max="7684" width="14.28515625" customWidth="1"/>
    <col min="7685" max="7685" width="9.28515625" bestFit="1" customWidth="1"/>
    <col min="7686" max="7686" width="12.140625" customWidth="1"/>
    <col min="7687" max="7687" width="14.42578125" customWidth="1"/>
    <col min="7688" max="7688" width="12.5703125" customWidth="1"/>
    <col min="7689" max="7689" width="17.7109375" customWidth="1"/>
    <col min="7937" max="7937" width="4.7109375" customWidth="1"/>
    <col min="7938" max="7938" width="45" customWidth="1"/>
    <col min="7939" max="7939" width="8.42578125" customWidth="1"/>
    <col min="7940" max="7940" width="14.28515625" customWidth="1"/>
    <col min="7941" max="7941" width="9.28515625" bestFit="1" customWidth="1"/>
    <col min="7942" max="7942" width="12.140625" customWidth="1"/>
    <col min="7943" max="7943" width="14.42578125" customWidth="1"/>
    <col min="7944" max="7944" width="12.5703125" customWidth="1"/>
    <col min="7945" max="7945" width="17.7109375" customWidth="1"/>
    <col min="8193" max="8193" width="4.7109375" customWidth="1"/>
    <col min="8194" max="8194" width="45" customWidth="1"/>
    <col min="8195" max="8195" width="8.42578125" customWidth="1"/>
    <col min="8196" max="8196" width="14.28515625" customWidth="1"/>
    <col min="8197" max="8197" width="9.28515625" bestFit="1" customWidth="1"/>
    <col min="8198" max="8198" width="12.140625" customWidth="1"/>
    <col min="8199" max="8199" width="14.42578125" customWidth="1"/>
    <col min="8200" max="8200" width="12.5703125" customWidth="1"/>
    <col min="8201" max="8201" width="17.7109375" customWidth="1"/>
    <col min="8449" max="8449" width="4.7109375" customWidth="1"/>
    <col min="8450" max="8450" width="45" customWidth="1"/>
    <col min="8451" max="8451" width="8.42578125" customWidth="1"/>
    <col min="8452" max="8452" width="14.28515625" customWidth="1"/>
    <col min="8453" max="8453" width="9.28515625" bestFit="1" customWidth="1"/>
    <col min="8454" max="8454" width="12.140625" customWidth="1"/>
    <col min="8455" max="8455" width="14.42578125" customWidth="1"/>
    <col min="8456" max="8456" width="12.5703125" customWidth="1"/>
    <col min="8457" max="8457" width="17.7109375" customWidth="1"/>
    <col min="8705" max="8705" width="4.7109375" customWidth="1"/>
    <col min="8706" max="8706" width="45" customWidth="1"/>
    <col min="8707" max="8707" width="8.42578125" customWidth="1"/>
    <col min="8708" max="8708" width="14.28515625" customWidth="1"/>
    <col min="8709" max="8709" width="9.28515625" bestFit="1" customWidth="1"/>
    <col min="8710" max="8710" width="12.140625" customWidth="1"/>
    <col min="8711" max="8711" width="14.42578125" customWidth="1"/>
    <col min="8712" max="8712" width="12.5703125" customWidth="1"/>
    <col min="8713" max="8713" width="17.7109375" customWidth="1"/>
    <col min="8961" max="8961" width="4.7109375" customWidth="1"/>
    <col min="8962" max="8962" width="45" customWidth="1"/>
    <col min="8963" max="8963" width="8.42578125" customWidth="1"/>
    <col min="8964" max="8964" width="14.28515625" customWidth="1"/>
    <col min="8965" max="8965" width="9.28515625" bestFit="1" customWidth="1"/>
    <col min="8966" max="8966" width="12.140625" customWidth="1"/>
    <col min="8967" max="8967" width="14.42578125" customWidth="1"/>
    <col min="8968" max="8968" width="12.5703125" customWidth="1"/>
    <col min="8969" max="8969" width="17.7109375" customWidth="1"/>
    <col min="9217" max="9217" width="4.7109375" customWidth="1"/>
    <col min="9218" max="9218" width="45" customWidth="1"/>
    <col min="9219" max="9219" width="8.42578125" customWidth="1"/>
    <col min="9220" max="9220" width="14.28515625" customWidth="1"/>
    <col min="9221" max="9221" width="9.28515625" bestFit="1" customWidth="1"/>
    <col min="9222" max="9222" width="12.140625" customWidth="1"/>
    <col min="9223" max="9223" width="14.42578125" customWidth="1"/>
    <col min="9224" max="9224" width="12.5703125" customWidth="1"/>
    <col min="9225" max="9225" width="17.7109375" customWidth="1"/>
    <col min="9473" max="9473" width="4.7109375" customWidth="1"/>
    <col min="9474" max="9474" width="45" customWidth="1"/>
    <col min="9475" max="9475" width="8.42578125" customWidth="1"/>
    <col min="9476" max="9476" width="14.28515625" customWidth="1"/>
    <col min="9477" max="9477" width="9.28515625" bestFit="1" customWidth="1"/>
    <col min="9478" max="9478" width="12.140625" customWidth="1"/>
    <col min="9479" max="9479" width="14.42578125" customWidth="1"/>
    <col min="9480" max="9480" width="12.5703125" customWidth="1"/>
    <col min="9481" max="9481" width="17.7109375" customWidth="1"/>
    <col min="9729" max="9729" width="4.7109375" customWidth="1"/>
    <col min="9730" max="9730" width="45" customWidth="1"/>
    <col min="9731" max="9731" width="8.42578125" customWidth="1"/>
    <col min="9732" max="9732" width="14.28515625" customWidth="1"/>
    <col min="9733" max="9733" width="9.28515625" bestFit="1" customWidth="1"/>
    <col min="9734" max="9734" width="12.140625" customWidth="1"/>
    <col min="9735" max="9735" width="14.42578125" customWidth="1"/>
    <col min="9736" max="9736" width="12.5703125" customWidth="1"/>
    <col min="9737" max="9737" width="17.7109375" customWidth="1"/>
    <col min="9985" max="9985" width="4.7109375" customWidth="1"/>
    <col min="9986" max="9986" width="45" customWidth="1"/>
    <col min="9987" max="9987" width="8.42578125" customWidth="1"/>
    <col min="9988" max="9988" width="14.28515625" customWidth="1"/>
    <col min="9989" max="9989" width="9.28515625" bestFit="1" customWidth="1"/>
    <col min="9990" max="9990" width="12.140625" customWidth="1"/>
    <col min="9991" max="9991" width="14.42578125" customWidth="1"/>
    <col min="9992" max="9992" width="12.5703125" customWidth="1"/>
    <col min="9993" max="9993" width="17.7109375" customWidth="1"/>
    <col min="10241" max="10241" width="4.7109375" customWidth="1"/>
    <col min="10242" max="10242" width="45" customWidth="1"/>
    <col min="10243" max="10243" width="8.42578125" customWidth="1"/>
    <col min="10244" max="10244" width="14.28515625" customWidth="1"/>
    <col min="10245" max="10245" width="9.28515625" bestFit="1" customWidth="1"/>
    <col min="10246" max="10246" width="12.140625" customWidth="1"/>
    <col min="10247" max="10247" width="14.42578125" customWidth="1"/>
    <col min="10248" max="10248" width="12.5703125" customWidth="1"/>
    <col min="10249" max="10249" width="17.7109375" customWidth="1"/>
    <col min="10497" max="10497" width="4.7109375" customWidth="1"/>
    <col min="10498" max="10498" width="45" customWidth="1"/>
    <col min="10499" max="10499" width="8.42578125" customWidth="1"/>
    <col min="10500" max="10500" width="14.28515625" customWidth="1"/>
    <col min="10501" max="10501" width="9.28515625" bestFit="1" customWidth="1"/>
    <col min="10502" max="10502" width="12.140625" customWidth="1"/>
    <col min="10503" max="10503" width="14.42578125" customWidth="1"/>
    <col min="10504" max="10504" width="12.5703125" customWidth="1"/>
    <col min="10505" max="10505" width="17.7109375" customWidth="1"/>
    <col min="10753" max="10753" width="4.7109375" customWidth="1"/>
    <col min="10754" max="10754" width="45" customWidth="1"/>
    <col min="10755" max="10755" width="8.42578125" customWidth="1"/>
    <col min="10756" max="10756" width="14.28515625" customWidth="1"/>
    <col min="10757" max="10757" width="9.28515625" bestFit="1" customWidth="1"/>
    <col min="10758" max="10758" width="12.140625" customWidth="1"/>
    <col min="10759" max="10759" width="14.42578125" customWidth="1"/>
    <col min="10760" max="10760" width="12.5703125" customWidth="1"/>
    <col min="10761" max="10761" width="17.7109375" customWidth="1"/>
    <col min="11009" max="11009" width="4.7109375" customWidth="1"/>
    <col min="11010" max="11010" width="45" customWidth="1"/>
    <col min="11011" max="11011" width="8.42578125" customWidth="1"/>
    <col min="11012" max="11012" width="14.28515625" customWidth="1"/>
    <col min="11013" max="11013" width="9.28515625" bestFit="1" customWidth="1"/>
    <col min="11014" max="11014" width="12.140625" customWidth="1"/>
    <col min="11015" max="11015" width="14.42578125" customWidth="1"/>
    <col min="11016" max="11016" width="12.5703125" customWidth="1"/>
    <col min="11017" max="11017" width="17.7109375" customWidth="1"/>
    <col min="11265" max="11265" width="4.7109375" customWidth="1"/>
    <col min="11266" max="11266" width="45" customWidth="1"/>
    <col min="11267" max="11267" width="8.42578125" customWidth="1"/>
    <col min="11268" max="11268" width="14.28515625" customWidth="1"/>
    <col min="11269" max="11269" width="9.28515625" bestFit="1" customWidth="1"/>
    <col min="11270" max="11270" width="12.140625" customWidth="1"/>
    <col min="11271" max="11271" width="14.42578125" customWidth="1"/>
    <col min="11272" max="11272" width="12.5703125" customWidth="1"/>
    <col min="11273" max="11273" width="17.7109375" customWidth="1"/>
    <col min="11521" max="11521" width="4.7109375" customWidth="1"/>
    <col min="11522" max="11522" width="45" customWidth="1"/>
    <col min="11523" max="11523" width="8.42578125" customWidth="1"/>
    <col min="11524" max="11524" width="14.28515625" customWidth="1"/>
    <col min="11525" max="11525" width="9.28515625" bestFit="1" customWidth="1"/>
    <col min="11526" max="11526" width="12.140625" customWidth="1"/>
    <col min="11527" max="11527" width="14.42578125" customWidth="1"/>
    <col min="11528" max="11528" width="12.5703125" customWidth="1"/>
    <col min="11529" max="11529" width="17.7109375" customWidth="1"/>
    <col min="11777" max="11777" width="4.7109375" customWidth="1"/>
    <col min="11778" max="11778" width="45" customWidth="1"/>
    <col min="11779" max="11779" width="8.42578125" customWidth="1"/>
    <col min="11780" max="11780" width="14.28515625" customWidth="1"/>
    <col min="11781" max="11781" width="9.28515625" bestFit="1" customWidth="1"/>
    <col min="11782" max="11782" width="12.140625" customWidth="1"/>
    <col min="11783" max="11783" width="14.42578125" customWidth="1"/>
    <col min="11784" max="11784" width="12.5703125" customWidth="1"/>
    <col min="11785" max="11785" width="17.7109375" customWidth="1"/>
    <col min="12033" max="12033" width="4.7109375" customWidth="1"/>
    <col min="12034" max="12034" width="45" customWidth="1"/>
    <col min="12035" max="12035" width="8.42578125" customWidth="1"/>
    <col min="12036" max="12036" width="14.28515625" customWidth="1"/>
    <col min="12037" max="12037" width="9.28515625" bestFit="1" customWidth="1"/>
    <col min="12038" max="12038" width="12.140625" customWidth="1"/>
    <col min="12039" max="12039" width="14.42578125" customWidth="1"/>
    <col min="12040" max="12040" width="12.5703125" customWidth="1"/>
    <col min="12041" max="12041" width="17.7109375" customWidth="1"/>
    <col min="12289" max="12289" width="4.7109375" customWidth="1"/>
    <col min="12290" max="12290" width="45" customWidth="1"/>
    <col min="12291" max="12291" width="8.42578125" customWidth="1"/>
    <col min="12292" max="12292" width="14.28515625" customWidth="1"/>
    <col min="12293" max="12293" width="9.28515625" bestFit="1" customWidth="1"/>
    <col min="12294" max="12294" width="12.140625" customWidth="1"/>
    <col min="12295" max="12295" width="14.42578125" customWidth="1"/>
    <col min="12296" max="12296" width="12.5703125" customWidth="1"/>
    <col min="12297" max="12297" width="17.7109375" customWidth="1"/>
    <col min="12545" max="12545" width="4.7109375" customWidth="1"/>
    <col min="12546" max="12546" width="45" customWidth="1"/>
    <col min="12547" max="12547" width="8.42578125" customWidth="1"/>
    <col min="12548" max="12548" width="14.28515625" customWidth="1"/>
    <col min="12549" max="12549" width="9.28515625" bestFit="1" customWidth="1"/>
    <col min="12550" max="12550" width="12.140625" customWidth="1"/>
    <col min="12551" max="12551" width="14.42578125" customWidth="1"/>
    <col min="12552" max="12552" width="12.5703125" customWidth="1"/>
    <col min="12553" max="12553" width="17.7109375" customWidth="1"/>
    <col min="12801" max="12801" width="4.7109375" customWidth="1"/>
    <col min="12802" max="12802" width="45" customWidth="1"/>
    <col min="12803" max="12803" width="8.42578125" customWidth="1"/>
    <col min="12804" max="12804" width="14.28515625" customWidth="1"/>
    <col min="12805" max="12805" width="9.28515625" bestFit="1" customWidth="1"/>
    <col min="12806" max="12806" width="12.140625" customWidth="1"/>
    <col min="12807" max="12807" width="14.42578125" customWidth="1"/>
    <col min="12808" max="12808" width="12.5703125" customWidth="1"/>
    <col min="12809" max="12809" width="17.7109375" customWidth="1"/>
    <col min="13057" max="13057" width="4.7109375" customWidth="1"/>
    <col min="13058" max="13058" width="45" customWidth="1"/>
    <col min="13059" max="13059" width="8.42578125" customWidth="1"/>
    <col min="13060" max="13060" width="14.28515625" customWidth="1"/>
    <col min="13061" max="13061" width="9.28515625" bestFit="1" customWidth="1"/>
    <col min="13062" max="13062" width="12.140625" customWidth="1"/>
    <col min="13063" max="13063" width="14.42578125" customWidth="1"/>
    <col min="13064" max="13064" width="12.5703125" customWidth="1"/>
    <col min="13065" max="13065" width="17.7109375" customWidth="1"/>
    <col min="13313" max="13313" width="4.7109375" customWidth="1"/>
    <col min="13314" max="13314" width="45" customWidth="1"/>
    <col min="13315" max="13315" width="8.42578125" customWidth="1"/>
    <col min="13316" max="13316" width="14.28515625" customWidth="1"/>
    <col min="13317" max="13317" width="9.28515625" bestFit="1" customWidth="1"/>
    <col min="13318" max="13318" width="12.140625" customWidth="1"/>
    <col min="13319" max="13319" width="14.42578125" customWidth="1"/>
    <col min="13320" max="13320" width="12.5703125" customWidth="1"/>
    <col min="13321" max="13321" width="17.7109375" customWidth="1"/>
    <col min="13569" max="13569" width="4.7109375" customWidth="1"/>
    <col min="13570" max="13570" width="45" customWidth="1"/>
    <col min="13571" max="13571" width="8.42578125" customWidth="1"/>
    <col min="13572" max="13572" width="14.28515625" customWidth="1"/>
    <col min="13573" max="13573" width="9.28515625" bestFit="1" customWidth="1"/>
    <col min="13574" max="13574" width="12.140625" customWidth="1"/>
    <col min="13575" max="13575" width="14.42578125" customWidth="1"/>
    <col min="13576" max="13576" width="12.5703125" customWidth="1"/>
    <col min="13577" max="13577" width="17.7109375" customWidth="1"/>
    <col min="13825" max="13825" width="4.7109375" customWidth="1"/>
    <col min="13826" max="13826" width="45" customWidth="1"/>
    <col min="13827" max="13827" width="8.42578125" customWidth="1"/>
    <col min="13828" max="13828" width="14.28515625" customWidth="1"/>
    <col min="13829" max="13829" width="9.28515625" bestFit="1" customWidth="1"/>
    <col min="13830" max="13830" width="12.140625" customWidth="1"/>
    <col min="13831" max="13831" width="14.42578125" customWidth="1"/>
    <col min="13832" max="13832" width="12.5703125" customWidth="1"/>
    <col min="13833" max="13833" width="17.7109375" customWidth="1"/>
    <col min="14081" max="14081" width="4.7109375" customWidth="1"/>
    <col min="14082" max="14082" width="45" customWidth="1"/>
    <col min="14083" max="14083" width="8.42578125" customWidth="1"/>
    <col min="14084" max="14084" width="14.28515625" customWidth="1"/>
    <col min="14085" max="14085" width="9.28515625" bestFit="1" customWidth="1"/>
    <col min="14086" max="14086" width="12.140625" customWidth="1"/>
    <col min="14087" max="14087" width="14.42578125" customWidth="1"/>
    <col min="14088" max="14088" width="12.5703125" customWidth="1"/>
    <col min="14089" max="14089" width="17.7109375" customWidth="1"/>
    <col min="14337" max="14337" width="4.7109375" customWidth="1"/>
    <col min="14338" max="14338" width="45" customWidth="1"/>
    <col min="14339" max="14339" width="8.42578125" customWidth="1"/>
    <col min="14340" max="14340" width="14.28515625" customWidth="1"/>
    <col min="14341" max="14341" width="9.28515625" bestFit="1" customWidth="1"/>
    <col min="14342" max="14342" width="12.140625" customWidth="1"/>
    <col min="14343" max="14343" width="14.42578125" customWidth="1"/>
    <col min="14344" max="14344" width="12.5703125" customWidth="1"/>
    <col min="14345" max="14345" width="17.7109375" customWidth="1"/>
    <col min="14593" max="14593" width="4.7109375" customWidth="1"/>
    <col min="14594" max="14594" width="45" customWidth="1"/>
    <col min="14595" max="14595" width="8.42578125" customWidth="1"/>
    <col min="14596" max="14596" width="14.28515625" customWidth="1"/>
    <col min="14597" max="14597" width="9.28515625" bestFit="1" customWidth="1"/>
    <col min="14598" max="14598" width="12.140625" customWidth="1"/>
    <col min="14599" max="14599" width="14.42578125" customWidth="1"/>
    <col min="14600" max="14600" width="12.5703125" customWidth="1"/>
    <col min="14601" max="14601" width="17.7109375" customWidth="1"/>
    <col min="14849" max="14849" width="4.7109375" customWidth="1"/>
    <col min="14850" max="14850" width="45" customWidth="1"/>
    <col min="14851" max="14851" width="8.42578125" customWidth="1"/>
    <col min="14852" max="14852" width="14.28515625" customWidth="1"/>
    <col min="14853" max="14853" width="9.28515625" bestFit="1" customWidth="1"/>
    <col min="14854" max="14854" width="12.140625" customWidth="1"/>
    <col min="14855" max="14855" width="14.42578125" customWidth="1"/>
    <col min="14856" max="14856" width="12.5703125" customWidth="1"/>
    <col min="14857" max="14857" width="17.7109375" customWidth="1"/>
    <col min="15105" max="15105" width="4.7109375" customWidth="1"/>
    <col min="15106" max="15106" width="45" customWidth="1"/>
    <col min="15107" max="15107" width="8.42578125" customWidth="1"/>
    <col min="15108" max="15108" width="14.28515625" customWidth="1"/>
    <col min="15109" max="15109" width="9.28515625" bestFit="1" customWidth="1"/>
    <col min="15110" max="15110" width="12.140625" customWidth="1"/>
    <col min="15111" max="15111" width="14.42578125" customWidth="1"/>
    <col min="15112" max="15112" width="12.5703125" customWidth="1"/>
    <col min="15113" max="15113" width="17.7109375" customWidth="1"/>
    <col min="15361" max="15361" width="4.7109375" customWidth="1"/>
    <col min="15362" max="15362" width="45" customWidth="1"/>
    <col min="15363" max="15363" width="8.42578125" customWidth="1"/>
    <col min="15364" max="15364" width="14.28515625" customWidth="1"/>
    <col min="15365" max="15365" width="9.28515625" bestFit="1" customWidth="1"/>
    <col min="15366" max="15366" width="12.140625" customWidth="1"/>
    <col min="15367" max="15367" width="14.42578125" customWidth="1"/>
    <col min="15368" max="15368" width="12.5703125" customWidth="1"/>
    <col min="15369" max="15369" width="17.7109375" customWidth="1"/>
    <col min="15617" max="15617" width="4.7109375" customWidth="1"/>
    <col min="15618" max="15618" width="45" customWidth="1"/>
    <col min="15619" max="15619" width="8.42578125" customWidth="1"/>
    <col min="15620" max="15620" width="14.28515625" customWidth="1"/>
    <col min="15621" max="15621" width="9.28515625" bestFit="1" customWidth="1"/>
    <col min="15622" max="15622" width="12.140625" customWidth="1"/>
    <col min="15623" max="15623" width="14.42578125" customWidth="1"/>
    <col min="15624" max="15624" width="12.5703125" customWidth="1"/>
    <col min="15625" max="15625" width="17.7109375" customWidth="1"/>
    <col min="15873" max="15873" width="4.7109375" customWidth="1"/>
    <col min="15874" max="15874" width="45" customWidth="1"/>
    <col min="15875" max="15875" width="8.42578125" customWidth="1"/>
    <col min="15876" max="15876" width="14.28515625" customWidth="1"/>
    <col min="15877" max="15877" width="9.28515625" bestFit="1" customWidth="1"/>
    <col min="15878" max="15878" width="12.140625" customWidth="1"/>
    <col min="15879" max="15879" width="14.42578125" customWidth="1"/>
    <col min="15880" max="15880" width="12.5703125" customWidth="1"/>
    <col min="15881" max="15881" width="17.7109375" customWidth="1"/>
    <col min="16129" max="16129" width="4.7109375" customWidth="1"/>
    <col min="16130" max="16130" width="45" customWidth="1"/>
    <col min="16131" max="16131" width="8.42578125" customWidth="1"/>
    <col min="16132" max="16132" width="14.28515625" customWidth="1"/>
    <col min="16133" max="16133" width="9.28515625" bestFit="1" customWidth="1"/>
    <col min="16134" max="16134" width="12.140625" customWidth="1"/>
    <col min="16135" max="16135" width="14.42578125" customWidth="1"/>
    <col min="16136" max="16136" width="12.5703125" customWidth="1"/>
    <col min="16137" max="16137" width="17.7109375" customWidth="1"/>
  </cols>
  <sheetData>
    <row r="1" spans="1:14" x14ac:dyDescent="0.2">
      <c r="A1" s="103" t="s">
        <v>265</v>
      </c>
    </row>
    <row r="2" spans="1:14" x14ac:dyDescent="0.2">
      <c r="A2" s="103" t="str">
        <f>'[2]Planilha Global'!A2</f>
        <v>PREFEITURA MUNICIPAL DE MAMANGUAPE</v>
      </c>
      <c r="G2" t="s">
        <v>421</v>
      </c>
      <c r="H2">
        <v>373.51</v>
      </c>
    </row>
    <row r="3" spans="1:14" ht="5.0999999999999996" customHeight="1" x14ac:dyDescent="0.2"/>
    <row r="4" spans="1:14" s="202" customFormat="1" ht="12.75" customHeight="1" x14ac:dyDescent="0.25">
      <c r="A4" s="729" t="s">
        <v>422</v>
      </c>
      <c r="B4" s="737"/>
      <c r="C4" s="737"/>
      <c r="D4" s="737"/>
      <c r="E4" s="737"/>
      <c r="F4" s="737"/>
      <c r="H4" s="202" t="s">
        <v>423</v>
      </c>
      <c r="I4" s="202" t="s">
        <v>424</v>
      </c>
      <c r="J4" s="202" t="s">
        <v>425</v>
      </c>
      <c r="K4" s="202" t="s">
        <v>426</v>
      </c>
      <c r="L4" s="202" t="s">
        <v>427</v>
      </c>
      <c r="M4" s="202" t="s">
        <v>428</v>
      </c>
      <c r="N4" s="202" t="s">
        <v>429</v>
      </c>
    </row>
    <row r="5" spans="1:14" s="202" customFormat="1" ht="7.5" customHeight="1" x14ac:dyDescent="0.25">
      <c r="A5" s="434"/>
      <c r="B5" s="435"/>
      <c r="C5" s="435"/>
      <c r="D5" s="435"/>
      <c r="E5" s="435"/>
      <c r="F5" s="435"/>
    </row>
    <row r="6" spans="1:14" s="202" customFormat="1" ht="15" customHeight="1" x14ac:dyDescent="0.25">
      <c r="A6" s="258" t="s">
        <v>488</v>
      </c>
      <c r="B6" s="258"/>
      <c r="C6" s="258" t="s">
        <v>441</v>
      </c>
      <c r="D6" s="258"/>
      <c r="E6" s="103"/>
      <c r="F6" s="103"/>
      <c r="G6" s="53"/>
    </row>
    <row r="7" spans="1:14" s="202" customFormat="1" ht="19.5" customHeight="1" x14ac:dyDescent="0.25">
      <c r="A7" s="258" t="s">
        <v>525</v>
      </c>
      <c r="B7" s="436"/>
      <c r="C7" s="437"/>
      <c r="D7" s="437"/>
      <c r="E7" s="257"/>
      <c r="F7" s="257"/>
      <c r="G7" s="53"/>
    </row>
    <row r="8" spans="1:14" s="202" customFormat="1" ht="15" customHeight="1" x14ac:dyDescent="0.25">
      <c r="A8" s="103" t="s">
        <v>442</v>
      </c>
      <c r="B8" s="436"/>
      <c r="C8" s="736" t="s">
        <v>445</v>
      </c>
      <c r="D8" s="736"/>
      <c r="E8" s="736"/>
      <c r="F8" s="736"/>
      <c r="G8" s="53"/>
      <c r="H8" s="202">
        <v>5</v>
      </c>
      <c r="I8" s="202">
        <v>373.51</v>
      </c>
      <c r="J8" s="202">
        <f>H8*I8</f>
        <v>1867.55</v>
      </c>
      <c r="K8" s="202">
        <f>19.46+3.35+16.6+22.09+23.57+2.62+0.34+0.78+7.38+2.09+2.28+6.59+3.16+5.85+6.16+2.55+3.65+7.03+3.45+9.26+1.86+3.4+0.94+3.19+1.72+9.26+15.55+5.97+7.19+9.66+9.53+14.85+32.28+5.18+12.13+13.23+13.34+1.53+4.59+6+3.25+1.76+11.74+10.99+8.84+20.45+11.97+1.88+0.74+3.06+3.8+1.88+11.52+2.58+3.94+7.51+8.76+1.88+3.8+3.8+1.88+11.42+23.16+13.45+7.39+21.31+13.82+2.09+1.88+3.8+3.83+1.68+2.56+0.94+1.64+1.88+3.8+14+3.8+1.88+1.07+1.51+14.48+15.38+6.57+3.9+10.08+9.87+5.51+11.02+3.94+11.7+21.22+10.51+7.54+15.97+3.97+3.94+10.54+11.34</f>
        <v>760.08</v>
      </c>
      <c r="L8" s="202">
        <f>5.68+4.08+6.31+26.94+12.7+10.5+13.15+2.22+7.65+20.38+25.33+25.4+36.7+29.26+18.73+19.08+9.01+14.58+11.42+7.25+4.36+26.66+12.33+10.58+14.04+3.07+7.89+20.45+25.67+25.67+37.03+29.56+19.1+18.96+8.89+14.81+11.96</f>
        <v>597.4</v>
      </c>
      <c r="M8" s="202">
        <v>7</v>
      </c>
      <c r="N8" s="202">
        <v>1.2</v>
      </c>
    </row>
    <row r="9" spans="1:14" s="202" customFormat="1" ht="15" customHeight="1" x14ac:dyDescent="0.2">
      <c r="A9" s="103" t="s">
        <v>443</v>
      </c>
      <c r="B9" s="438"/>
      <c r="C9" s="736" t="s">
        <v>447</v>
      </c>
      <c r="D9" s="736"/>
      <c r="E9" s="736"/>
      <c r="F9" s="736"/>
      <c r="G9" s="53"/>
      <c r="H9" s="230">
        <f>(4.72+4.18)/2</f>
        <v>4.45</v>
      </c>
      <c r="I9" s="230">
        <v>4.8899999999999997</v>
      </c>
      <c r="J9" s="230">
        <f>H9*I9</f>
        <v>21.76</v>
      </c>
      <c r="K9" s="230"/>
      <c r="L9" s="202">
        <f>2.43+3.39+2.31+2.97+2.01+3.07</f>
        <v>16.18</v>
      </c>
    </row>
    <row r="10" spans="1:14" s="202" customFormat="1" ht="14.25" customHeight="1" x14ac:dyDescent="0.2">
      <c r="A10" s="103" t="s">
        <v>444</v>
      </c>
      <c r="B10" s="438"/>
      <c r="C10" s="736" t="s">
        <v>448</v>
      </c>
      <c r="D10" s="736"/>
      <c r="E10" s="736"/>
      <c r="F10" s="736"/>
      <c r="H10" s="230">
        <f>1.18/2</f>
        <v>0.59</v>
      </c>
      <c r="I10" s="230">
        <v>1.22</v>
      </c>
      <c r="J10" s="230">
        <f>H10*I10</f>
        <v>0.72</v>
      </c>
      <c r="K10" s="230"/>
    </row>
    <row r="11" spans="1:14" s="202" customFormat="1" ht="14.25" customHeight="1" x14ac:dyDescent="0.2">
      <c r="A11" s="103"/>
      <c r="B11" s="438"/>
      <c r="C11" s="437" t="s">
        <v>449</v>
      </c>
      <c r="D11" s="437"/>
      <c r="E11" s="437"/>
      <c r="F11" s="437"/>
      <c r="H11" s="230">
        <f>1.05/2</f>
        <v>0.53</v>
      </c>
      <c r="I11" s="230">
        <v>1.05</v>
      </c>
      <c r="J11" s="230">
        <f t="shared" ref="J11:J26" si="0">H11*I11</f>
        <v>0.56000000000000005</v>
      </c>
    </row>
    <row r="12" spans="1:14" s="202" customFormat="1" ht="14.25" customHeight="1" x14ac:dyDescent="0.2">
      <c r="A12" s="103"/>
      <c r="B12" s="438"/>
      <c r="C12" s="103"/>
      <c r="D12" s="437"/>
      <c r="E12" s="103"/>
      <c r="F12" s="103"/>
      <c r="H12" s="202">
        <v>6</v>
      </c>
      <c r="I12" s="230">
        <v>5.09</v>
      </c>
      <c r="J12" s="230">
        <f t="shared" si="0"/>
        <v>30.54</v>
      </c>
    </row>
    <row r="13" spans="1:14" s="202" customFormat="1" ht="15" customHeight="1" x14ac:dyDescent="0.25">
      <c r="A13" s="103" t="s">
        <v>450</v>
      </c>
      <c r="B13" s="436"/>
      <c r="C13" s="736" t="s">
        <v>446</v>
      </c>
      <c r="D13" s="736"/>
      <c r="E13" s="736"/>
      <c r="F13" s="736"/>
      <c r="G13" s="53"/>
      <c r="H13" s="202">
        <f>1.01/2</f>
        <v>0.505</v>
      </c>
      <c r="I13" s="230">
        <v>0.86</v>
      </c>
      <c r="J13" s="230">
        <f t="shared" si="0"/>
        <v>0.43</v>
      </c>
    </row>
    <row r="14" spans="1:14" s="202" customFormat="1" ht="15" customHeight="1" x14ac:dyDescent="0.2">
      <c r="A14" s="103" t="s">
        <v>451</v>
      </c>
      <c r="B14" s="438"/>
      <c r="C14" s="736" t="s">
        <v>459</v>
      </c>
      <c r="D14" s="736"/>
      <c r="E14" s="736"/>
      <c r="F14" s="736"/>
      <c r="G14" s="53"/>
      <c r="H14" s="230">
        <f>1.37/2</f>
        <v>0.69</v>
      </c>
      <c r="I14" s="230">
        <v>1.1200000000000001</v>
      </c>
      <c r="J14" s="230">
        <f t="shared" si="0"/>
        <v>0.77</v>
      </c>
      <c r="K14" s="230"/>
    </row>
    <row r="15" spans="1:14" s="202" customFormat="1" ht="14.25" customHeight="1" x14ac:dyDescent="0.2">
      <c r="A15" s="103" t="s">
        <v>452</v>
      </c>
      <c r="B15" s="438"/>
      <c r="C15" s="736" t="s">
        <v>460</v>
      </c>
      <c r="D15" s="736"/>
      <c r="E15" s="736"/>
      <c r="F15" s="736"/>
      <c r="H15" s="230">
        <v>5</v>
      </c>
      <c r="I15" s="230">
        <v>5</v>
      </c>
      <c r="J15" s="230">
        <f t="shared" si="0"/>
        <v>25</v>
      </c>
      <c r="K15" s="230"/>
    </row>
    <row r="16" spans="1:14" s="202" customFormat="1" ht="14.25" customHeight="1" x14ac:dyDescent="0.2">
      <c r="A16" s="103"/>
      <c r="B16" s="438"/>
      <c r="C16" s="437"/>
      <c r="D16" s="437"/>
      <c r="E16" s="437"/>
      <c r="F16" s="437"/>
      <c r="H16" s="230">
        <f>1.35/2</f>
        <v>0.68</v>
      </c>
      <c r="I16" s="230">
        <v>1.2</v>
      </c>
      <c r="J16" s="230">
        <f t="shared" si="0"/>
        <v>0.82</v>
      </c>
    </row>
    <row r="17" spans="1:11" s="202" customFormat="1" ht="14.25" customHeight="1" x14ac:dyDescent="0.2">
      <c r="A17" s="515" t="s">
        <v>455</v>
      </c>
      <c r="B17" s="438"/>
      <c r="C17" s="515" t="s">
        <v>458</v>
      </c>
      <c r="D17" s="437"/>
      <c r="E17" s="103"/>
      <c r="F17" s="103"/>
      <c r="H17" s="202">
        <f>1.46/2</f>
        <v>0.73</v>
      </c>
      <c r="I17" s="230">
        <v>1.2</v>
      </c>
      <c r="J17" s="230">
        <f t="shared" si="0"/>
        <v>0.88</v>
      </c>
    </row>
    <row r="18" spans="1:11" s="202" customFormat="1" ht="15" customHeight="1" x14ac:dyDescent="0.25">
      <c r="A18" s="515" t="s">
        <v>453</v>
      </c>
      <c r="B18" s="436"/>
      <c r="C18" s="736" t="s">
        <v>456</v>
      </c>
      <c r="D18" s="736"/>
      <c r="E18" s="736"/>
      <c r="F18" s="736"/>
      <c r="G18" s="53"/>
      <c r="H18" s="202">
        <v>5</v>
      </c>
      <c r="I18" s="202">
        <v>5</v>
      </c>
      <c r="J18" s="230">
        <f t="shared" si="0"/>
        <v>25</v>
      </c>
    </row>
    <row r="19" spans="1:11" s="202" customFormat="1" ht="15" customHeight="1" x14ac:dyDescent="0.2">
      <c r="A19" s="515" t="s">
        <v>454</v>
      </c>
      <c r="B19" s="438"/>
      <c r="C19" s="736" t="s">
        <v>457</v>
      </c>
      <c r="D19" s="736"/>
      <c r="E19" s="736"/>
      <c r="F19" s="736"/>
      <c r="G19" s="53"/>
      <c r="H19" s="230">
        <f>1.2/2</f>
        <v>0.6</v>
      </c>
      <c r="I19" s="202">
        <v>1.2</v>
      </c>
      <c r="J19" s="230">
        <f t="shared" si="0"/>
        <v>0.72</v>
      </c>
      <c r="K19" s="230"/>
    </row>
    <row r="20" spans="1:11" s="202" customFormat="1" ht="14.25" customHeight="1" x14ac:dyDescent="0.2">
      <c r="A20" s="103"/>
      <c r="B20" s="438"/>
      <c r="C20" s="736"/>
      <c r="D20" s="736"/>
      <c r="E20" s="736"/>
      <c r="F20" s="736"/>
      <c r="H20" s="230">
        <f>1.18/2</f>
        <v>0.59</v>
      </c>
      <c r="I20" s="202">
        <v>1</v>
      </c>
      <c r="J20" s="230">
        <f t="shared" si="0"/>
        <v>0.59</v>
      </c>
      <c r="K20" s="230"/>
    </row>
    <row r="21" spans="1:11" s="202" customFormat="1" ht="14.25" customHeight="1" x14ac:dyDescent="0.2">
      <c r="A21" s="515" t="s">
        <v>462</v>
      </c>
      <c r="B21" s="438"/>
      <c r="C21" s="437"/>
      <c r="D21" s="437"/>
      <c r="E21" s="437"/>
      <c r="F21" s="437"/>
      <c r="H21" s="230">
        <v>5</v>
      </c>
      <c r="I21" s="202">
        <v>5</v>
      </c>
      <c r="J21" s="230">
        <f t="shared" si="0"/>
        <v>25</v>
      </c>
      <c r="K21" s="230"/>
    </row>
    <row r="22" spans="1:11" s="202" customFormat="1" ht="14.25" customHeight="1" x14ac:dyDescent="0.2">
      <c r="A22" s="515" t="s">
        <v>459</v>
      </c>
      <c r="B22" s="438"/>
      <c r="C22" s="437"/>
      <c r="D22" s="437"/>
      <c r="E22" s="437"/>
      <c r="F22" s="437"/>
      <c r="H22" s="230">
        <v>0.6</v>
      </c>
      <c r="I22" s="202">
        <v>1.2</v>
      </c>
      <c r="J22" s="230">
        <f t="shared" si="0"/>
        <v>0.72</v>
      </c>
      <c r="K22" s="230"/>
    </row>
    <row r="23" spans="1:11" s="202" customFormat="1" ht="14.25" customHeight="1" x14ac:dyDescent="0.2">
      <c r="A23" s="515" t="s">
        <v>460</v>
      </c>
      <c r="B23" s="438"/>
      <c r="C23" s="437"/>
      <c r="D23" s="437"/>
      <c r="E23" s="437"/>
      <c r="F23" s="437"/>
      <c r="H23" s="230">
        <v>0.6</v>
      </c>
      <c r="I23" s="202">
        <v>1.2</v>
      </c>
      <c r="J23" s="230">
        <f t="shared" si="0"/>
        <v>0.72</v>
      </c>
    </row>
    <row r="24" spans="1:11" s="202" customFormat="1" ht="14.25" customHeight="1" x14ac:dyDescent="0.2">
      <c r="A24" s="103"/>
      <c r="B24" s="438"/>
      <c r="C24" s="103"/>
      <c r="D24" s="437"/>
      <c r="E24" s="103"/>
      <c r="F24" s="103"/>
      <c r="H24" s="202">
        <v>5</v>
      </c>
      <c r="I24" s="202">
        <v>5</v>
      </c>
      <c r="J24" s="230">
        <f t="shared" si="0"/>
        <v>25</v>
      </c>
    </row>
    <row r="25" spans="1:11" s="202" customFormat="1" ht="12.75" customHeight="1" x14ac:dyDescent="0.2">
      <c r="A25" s="282"/>
      <c r="B25" s="439" t="s">
        <v>430</v>
      </c>
      <c r="C25" s="440"/>
      <c r="D25" s="440"/>
      <c r="E25" s="441"/>
      <c r="F25" s="442"/>
      <c r="H25" s="230">
        <v>0.6</v>
      </c>
      <c r="I25" s="202">
        <v>1.2</v>
      </c>
      <c r="J25" s="230">
        <f t="shared" si="0"/>
        <v>0.72</v>
      </c>
    </row>
    <row r="26" spans="1:11" s="202" customFormat="1" ht="25.5" customHeight="1" x14ac:dyDescent="0.2">
      <c r="A26" s="282"/>
      <c r="B26" s="721" t="s">
        <v>496</v>
      </c>
      <c r="C26" s="721"/>
      <c r="D26" s="721"/>
      <c r="E26" s="442">
        <f>3*1.5</f>
        <v>4.5</v>
      </c>
      <c r="F26" s="444" t="s">
        <v>13</v>
      </c>
      <c r="H26" s="202">
        <v>0.6</v>
      </c>
      <c r="I26" s="202">
        <v>1.2</v>
      </c>
      <c r="J26" s="230">
        <f t="shared" si="0"/>
        <v>0.72</v>
      </c>
    </row>
    <row r="27" spans="1:11" s="103" customFormat="1" ht="27" customHeight="1" x14ac:dyDescent="0.2">
      <c r="B27" s="724" t="s">
        <v>461</v>
      </c>
      <c r="C27" s="724"/>
      <c r="D27" s="724"/>
      <c r="E27" s="452">
        <f>H2</f>
        <v>373.51</v>
      </c>
      <c r="F27" s="438" t="s">
        <v>11</v>
      </c>
    </row>
    <row r="28" spans="1:11" s="202" customFormat="1" ht="5.0999999999999996" customHeight="1" x14ac:dyDescent="0.2">
      <c r="B28" s="445"/>
      <c r="C28" s="446"/>
      <c r="D28" s="447"/>
      <c r="E28" s="256"/>
      <c r="F28" s="448"/>
    </row>
    <row r="29" spans="1:11" s="103" customFormat="1" ht="12.75" customHeight="1" x14ac:dyDescent="0.2">
      <c r="B29" s="449" t="s">
        <v>510</v>
      </c>
      <c r="C29" s="450"/>
      <c r="D29" s="440"/>
      <c r="E29" s="308"/>
      <c r="F29" s="451"/>
      <c r="J29" s="230">
        <f>SUM(J8:J28)</f>
        <v>2028.22</v>
      </c>
    </row>
    <row r="30" spans="1:11" s="103" customFormat="1" ht="25.5" customHeight="1" x14ac:dyDescent="0.2">
      <c r="B30" s="724" t="s">
        <v>463</v>
      </c>
      <c r="C30" s="724"/>
      <c r="D30" s="724"/>
      <c r="E30" s="452">
        <f>J29</f>
        <v>2028.22</v>
      </c>
      <c r="F30" s="438" t="s">
        <v>13</v>
      </c>
    </row>
    <row r="31" spans="1:11" s="202" customFormat="1" ht="5.0999999999999996" customHeight="1" x14ac:dyDescent="0.25">
      <c r="B31" s="453"/>
      <c r="C31" s="453"/>
      <c r="D31" s="453"/>
      <c r="E31" s="454"/>
      <c r="F31" s="455"/>
    </row>
    <row r="32" spans="1:11" s="103" customFormat="1" ht="12.75" customHeight="1" x14ac:dyDescent="0.2">
      <c r="B32" s="439" t="s">
        <v>431</v>
      </c>
      <c r="C32" s="440"/>
      <c r="D32" s="440"/>
      <c r="E32" s="441"/>
      <c r="F32" s="452"/>
    </row>
    <row r="33" spans="1:19" s="103" customFormat="1" ht="170.25" customHeight="1" x14ac:dyDescent="0.2">
      <c r="B33" s="721" t="s">
        <v>465</v>
      </c>
      <c r="C33" s="721"/>
      <c r="D33" s="721"/>
      <c r="E33" s="452">
        <f>K8</f>
        <v>760.08</v>
      </c>
      <c r="F33" s="438" t="s">
        <v>11</v>
      </c>
    </row>
    <row r="34" spans="1:19" s="103" customFormat="1" ht="39" customHeight="1" x14ac:dyDescent="0.2">
      <c r="B34" s="721" t="s">
        <v>464</v>
      </c>
      <c r="C34" s="721"/>
      <c r="D34" s="721"/>
      <c r="E34" s="452">
        <f>E30</f>
        <v>2028.22</v>
      </c>
      <c r="F34" s="438" t="s">
        <v>13</v>
      </c>
    </row>
    <row r="35" spans="1:19" s="103" customFormat="1" ht="52.5" customHeight="1" x14ac:dyDescent="0.2">
      <c r="B35" s="721" t="s">
        <v>535</v>
      </c>
      <c r="C35" s="721"/>
      <c r="D35" s="721"/>
      <c r="E35" s="452">
        <f>5+5+4.18+6+5+5+5+5</f>
        <v>40.18</v>
      </c>
      <c r="F35" s="438" t="s">
        <v>11</v>
      </c>
    </row>
    <row r="36" spans="1:19" s="103" customFormat="1" ht="5.0999999999999996" customHeight="1" x14ac:dyDescent="0.2">
      <c r="B36" s="456"/>
      <c r="C36" s="456"/>
      <c r="D36" s="456"/>
      <c r="E36" s="457"/>
      <c r="F36" s="458"/>
    </row>
    <row r="37" spans="1:19" s="103" customFormat="1" ht="12.75" customHeight="1" x14ac:dyDescent="0.2">
      <c r="B37" s="439" t="s">
        <v>490</v>
      </c>
      <c r="C37" s="440"/>
      <c r="D37" s="440"/>
      <c r="E37" s="441"/>
      <c r="F37" s="442"/>
    </row>
    <row r="38" spans="1:19" s="103" customFormat="1" ht="117" customHeight="1" x14ac:dyDescent="0.2">
      <c r="B38" s="721" t="s">
        <v>466</v>
      </c>
      <c r="C38" s="721"/>
      <c r="D38" s="721"/>
      <c r="E38" s="442">
        <f>ROUND(I38,2)</f>
        <v>91.57</v>
      </c>
      <c r="F38" s="442" t="s">
        <v>13</v>
      </c>
      <c r="H38" s="103">
        <f>19.35+16.77+21.73+23.91+7.76+1.93+1.91+6.76+3.26+1.06+0.5+3.19+9.53+32.28+13.28+13.24+4.59+1.05+5.76+1.05+3.25+10.66+11.95+8.59+20.78+11.99+0.79+0.71+0.68+11.52+7.54+3.8+1.05+1.05+3.8+23.13+13.39+7.33+21.31+2.15+1.05+1.05+3.83+1.64+3.8+1.05+13.95+1.05+3.8+0.67+15.41+3.82+10.51+16.08+4.17+10.04+11.56</f>
        <v>457.86</v>
      </c>
      <c r="I38" s="103">
        <f>H38*0.2</f>
        <v>91.572000000000003</v>
      </c>
    </row>
    <row r="39" spans="1:19" s="103" customFormat="1" ht="363.75" customHeight="1" x14ac:dyDescent="0.2">
      <c r="B39" s="724" t="s">
        <v>484</v>
      </c>
      <c r="C39" s="724"/>
      <c r="D39" s="724"/>
      <c r="E39" s="459"/>
      <c r="F39" s="438"/>
      <c r="H39" s="460">
        <f>(3.35*1.05/2)+(19.46*1.05)+(16.6*1.05)+(22.09*1.05)+(23.57*1.05)+(2.62*1.05)+(1.05+0.71)*0.34/2+(0.71+1.05)*0.78/2+(7.38*1.05)+(2.09*1.05)+(2.28*1.05)+(6.59*1.05)+(0.26+1.05)*3.16/2+(5.85*1.05)+(6.16*1.05/2)+(1.05+0.59)*2.55/2+(7.03*0.32/2)+(0.32+0.37)*3.45/2+(0.59+1.05)*9.26/2+(1.05*1.05/2)+(3.4*1.05)+(0.94*0.5)+(3.19*1.05)+(1.05*1.05/2)+(9.26*1.05)+(15.55*0.37/2)+(1.05+0.46)*0.68/2+(5.97*0.46/2)+(7.19*0.75/2)+(9.66*0.19/2)+(0.19+0.16)*14.85/2+32.28*1.05+(0.16+0.54)*5.18/2+(0.54+1.05)*12.13/2+(13.23*1.05)+(13.34*1.05)+(1.05*1.05/2)+(4.59*1.05)+(6*1.05)+(3.25*1.05)+(1.05*1.05/2)+(11.74*1.05)+(10.99*1.05)+(8.84*1.05)+(20.45*1.05)+(11.97*1.05)+(1.05*1.05/2)+(0.74*1.05)+(0.86+0.71)*3.06/2+(0.68+0.95)*3.8/2+(0.95*0.95/2)+(11.52*1.05)+(0.63+0.92)*2.58/2+(0.92+0.95)*3.94/2+(7.51*1.05)+(0.95+0.58)*8.76/2+(1.05*1.05/2)+(3.8*1.05)+(3.8*1.05)+(1.05*1.05/2)+(0.58+1.05)*11.42/2+(23.16*1.05)+(13.45*1.05)+(7.39*1.05)+(21.31*1.05)+(13.82*0.96/2)+(2.09*1.05)+(1.05*1.05/2)+(3.8*1.05)+(3.83*1.05)+(1.05*1.05/2)+(2.56*0.29/2)+(0.29+1.05)*0.94/2+(1.64*1.05)+(1.05*1.05/2)+(3.8*1.05)+(14*1.05)+(3.8*1.05)+(1.05*1.05/2)+(1.07+0.67)*1.05/2+(1.51*0.23)/2+(14.48*0.33/2)+(15.38*1.05)+(0.33+0.43)*6.57/2+(3.9*1.05)+(10.08*0.53/2)+(0.43+1.1)*9.87/2+(1.1+0.97)*5.51/2+(0.53+1.03)*11.02/2+(0.97+0.15)*3.94/2+(0.15+1.05)*11.7/2+(1.03+0.68)*21.22/2+(10.51*1.05)+(0.68+0.73)*7.54/2+15.97*1.05+(0.73+1.03)*3.97/2+(1.03+1)*3.94/2+(1+0.98)*10.54/2+(11.34*1.05)</f>
        <v>631.39</v>
      </c>
      <c r="I39" s="460">
        <f>H39-O41</f>
        <v>498.92</v>
      </c>
      <c r="J39" s="460"/>
      <c r="K39" s="460">
        <f>I39*0.06</f>
        <v>29.94</v>
      </c>
      <c r="L39" s="460">
        <f>10.13+7.8+1.78+2.54+18.95+23.71+7.53+3.69+22.84+10.39+10.13+0.63+4.55+5.83+3.2+0.86+3.56+3.41+0.72+10+20.59+10.64+0.87+3.83+11.56+0.9+3.85+3.86+1.15+4.17+11.22+10.36+3.36+20.37+10.97+14.32+9.28+21.08+5.52+11.48+16.01+11.42+9.26</f>
        <v>368.32</v>
      </c>
      <c r="M39" s="460">
        <f>L39*0.2*0.02</f>
        <v>1.47</v>
      </c>
      <c r="N39" s="460">
        <f>K39-M39</f>
        <v>28.47</v>
      </c>
    </row>
    <row r="40" spans="1:19" s="103" customFormat="1" ht="90.75" customHeight="1" x14ac:dyDescent="0.2">
      <c r="B40" s="724" t="s">
        <v>485</v>
      </c>
      <c r="C40" s="724"/>
      <c r="D40" s="724"/>
      <c r="E40" s="459">
        <f>N39</f>
        <v>28.47</v>
      </c>
      <c r="F40" s="438" t="s">
        <v>128</v>
      </c>
      <c r="H40" s="460"/>
      <c r="I40" s="460"/>
      <c r="J40" s="460"/>
      <c r="K40" s="460"/>
      <c r="L40" s="460"/>
      <c r="M40" s="460"/>
      <c r="N40" s="460"/>
    </row>
    <row r="41" spans="1:19" s="103" customFormat="1" ht="142.5" customHeight="1" x14ac:dyDescent="0.2">
      <c r="B41" s="721" t="s">
        <v>504</v>
      </c>
      <c r="C41" s="721"/>
      <c r="D41" s="721"/>
      <c r="E41" s="459">
        <f>P41-R41</f>
        <v>7.68</v>
      </c>
      <c r="F41" s="438" t="s">
        <v>128</v>
      </c>
      <c r="H41" s="460">
        <f>7.5*N8*M8*0.06</f>
        <v>3.78</v>
      </c>
      <c r="I41" s="461">
        <f>N8*3*M8</f>
        <v>25.2</v>
      </c>
      <c r="J41" s="461"/>
      <c r="K41" s="461">
        <f>I41*0.2*0.02</f>
        <v>0.1</v>
      </c>
      <c r="L41" s="460">
        <f>H41-K41</f>
        <v>3.68</v>
      </c>
      <c r="O41" s="103">
        <f>(7.5*1.2)*7+5.75+6.31+5.25+6.11+5.71+5.24+5.25+7.18+7.07+5.2+5.25+5.15</f>
        <v>132.47</v>
      </c>
      <c r="P41" s="461">
        <f>O41*0.06</f>
        <v>7.95</v>
      </c>
      <c r="Q41" s="461">
        <f>(1.2*3*7+1.05+2.42+1.05+4.76+1.42/2+2+1.05+3+1.05+2.66+1.05+2.01+1.05+3+1.05+1.05+1.05+1.05+1.05+1.05+1.05+2+1.05+2+1.05+2+0.99)</f>
        <v>68.5</v>
      </c>
      <c r="R41" s="461">
        <f>Q41*0.2*0.02</f>
        <v>0.27</v>
      </c>
      <c r="S41" s="103">
        <f>Q41*0.2</f>
        <v>13.7</v>
      </c>
    </row>
    <row r="42" spans="1:19" s="103" customFormat="1" ht="167.25" customHeight="1" x14ac:dyDescent="0.2">
      <c r="B42" s="721" t="s">
        <v>486</v>
      </c>
      <c r="C42" s="721"/>
      <c r="D42" s="721"/>
      <c r="E42" s="459">
        <f>S41+I42</f>
        <v>87.36</v>
      </c>
      <c r="F42" s="438" t="s">
        <v>13</v>
      </c>
      <c r="H42" s="103">
        <f>N8*0.2*3*M8</f>
        <v>5.04</v>
      </c>
      <c r="I42" s="460">
        <f>L39*0.2</f>
        <v>73.66</v>
      </c>
      <c r="J42" s="460"/>
      <c r="K42" s="461"/>
      <c r="L42" s="461" t="e">
        <f>1.5*3*#REF!</f>
        <v>#REF!</v>
      </c>
      <c r="M42" s="460">
        <f>L39</f>
        <v>368.32</v>
      </c>
      <c r="N42" s="460" t="e">
        <f>L42+M42</f>
        <v>#REF!</v>
      </c>
      <c r="P42" s="460"/>
    </row>
    <row r="43" spans="1:19" s="103" customFormat="1" ht="39" customHeight="1" x14ac:dyDescent="0.2">
      <c r="B43" s="726" t="s">
        <v>487</v>
      </c>
      <c r="C43" s="726"/>
      <c r="D43" s="726"/>
      <c r="E43" s="459">
        <f>O41</f>
        <v>132.47</v>
      </c>
      <c r="F43" s="438" t="s">
        <v>13</v>
      </c>
      <c r="I43" s="460"/>
      <c r="J43" s="460"/>
    </row>
    <row r="44" spans="1:19" s="103" customFormat="1" ht="53.25" customHeight="1" x14ac:dyDescent="0.2">
      <c r="B44" s="721" t="s">
        <v>530</v>
      </c>
      <c r="C44" s="721"/>
      <c r="D44" s="721"/>
      <c r="E44" s="459">
        <v>7</v>
      </c>
      <c r="F44" s="438" t="s">
        <v>279</v>
      </c>
    </row>
    <row r="45" spans="1:19" s="103" customFormat="1" ht="25.5" customHeight="1" x14ac:dyDescent="0.2">
      <c r="B45" s="721" t="s">
        <v>531</v>
      </c>
      <c r="C45" s="721"/>
      <c r="D45" s="721"/>
      <c r="E45" s="459">
        <f>E33*(0.15+0.13)</f>
        <v>212.82</v>
      </c>
      <c r="F45" s="438" t="s">
        <v>13</v>
      </c>
      <c r="H45" s="103" t="e">
        <f>#REF!*0.28</f>
        <v>#REF!</v>
      </c>
    </row>
    <row r="46" spans="1:19" s="202" customFormat="1" ht="27" customHeight="1" x14ac:dyDescent="0.2">
      <c r="A46" s="282"/>
      <c r="B46" s="721" t="s">
        <v>432</v>
      </c>
      <c r="C46" s="721"/>
      <c r="D46" s="721"/>
      <c r="E46" s="442">
        <v>1</v>
      </c>
      <c r="F46" s="53" t="s">
        <v>279</v>
      </c>
      <c r="H46" s="202">
        <v>3.9</v>
      </c>
      <c r="I46" s="202">
        <v>216</v>
      </c>
    </row>
    <row r="47" spans="1:19" s="103" customFormat="1" ht="3.75" customHeight="1" x14ac:dyDescent="0.2">
      <c r="B47" s="443"/>
      <c r="C47" s="443"/>
      <c r="D47" s="443"/>
      <c r="E47" s="459"/>
      <c r="F47" s="438"/>
    </row>
    <row r="48" spans="1:19" s="103" customFormat="1" ht="5.0999999999999996" customHeight="1" x14ac:dyDescent="0.2">
      <c r="E48" s="441"/>
      <c r="F48" s="442"/>
    </row>
    <row r="49" spans="1:16" x14ac:dyDescent="0.2">
      <c r="A49" s="103" t="s">
        <v>265</v>
      </c>
    </row>
    <row r="50" spans="1:16" x14ac:dyDescent="0.2">
      <c r="A50" s="103" t="str">
        <f>A2</f>
        <v>PREFEITURA MUNICIPAL DE MAMANGUAPE</v>
      </c>
    </row>
    <row r="51" spans="1:16" ht="5.0999999999999996" customHeight="1" x14ac:dyDescent="0.2"/>
    <row r="52" spans="1:16" s="103" customFormat="1" ht="12.75" customHeight="1" x14ac:dyDescent="0.25">
      <c r="A52" s="729" t="s">
        <v>433</v>
      </c>
      <c r="B52" s="729"/>
      <c r="C52" s="729"/>
      <c r="D52" s="729"/>
      <c r="E52" s="729"/>
      <c r="F52" s="729"/>
      <c r="H52" s="460"/>
    </row>
    <row r="53" spans="1:16" s="202" customFormat="1" ht="15" customHeight="1" x14ac:dyDescent="0.25">
      <c r="A53" s="258" t="str">
        <f>A6</f>
        <v>RUA FRANCISCO JOSÉ CARDOSO - Trecho 01</v>
      </c>
      <c r="B53" s="258"/>
      <c r="C53" s="808"/>
      <c r="D53" s="808"/>
      <c r="E53" s="809"/>
      <c r="F53" s="809"/>
      <c r="G53" s="53"/>
    </row>
    <row r="54" spans="1:16" s="202" customFormat="1" ht="5.0999999999999996" customHeight="1" x14ac:dyDescent="0.25">
      <c r="B54" s="436"/>
      <c r="C54" s="437"/>
      <c r="D54" s="437"/>
      <c r="E54" s="257"/>
      <c r="F54" s="257"/>
      <c r="G54" s="53"/>
    </row>
    <row r="55" spans="1:16" s="202" customFormat="1" ht="12.75" customHeight="1" x14ac:dyDescent="0.2">
      <c r="A55" s="730" t="s">
        <v>53</v>
      </c>
      <c r="B55" s="732" t="s">
        <v>267</v>
      </c>
      <c r="C55" s="732" t="s">
        <v>268</v>
      </c>
      <c r="D55" s="732" t="s">
        <v>434</v>
      </c>
      <c r="E55" s="732" t="s">
        <v>435</v>
      </c>
      <c r="F55" s="734"/>
    </row>
    <row r="56" spans="1:16" s="202" customFormat="1" ht="12.75" customHeight="1" x14ac:dyDescent="0.2">
      <c r="A56" s="731"/>
      <c r="B56" s="733"/>
      <c r="C56" s="733"/>
      <c r="D56" s="733"/>
      <c r="E56" s="462" t="s">
        <v>436</v>
      </c>
      <c r="F56" s="463" t="s">
        <v>437</v>
      </c>
    </row>
    <row r="57" spans="1:16" s="202" customFormat="1" ht="12.75" customHeight="1" x14ac:dyDescent="0.2">
      <c r="A57" s="464" t="s">
        <v>4</v>
      </c>
      <c r="B57" s="465" t="s">
        <v>438</v>
      </c>
      <c r="C57" s="466"/>
      <c r="D57" s="467"/>
      <c r="E57" s="467"/>
      <c r="F57" s="468" t="e">
        <f>SUM(F58:F59)</f>
        <v>#REF!</v>
      </c>
    </row>
    <row r="58" spans="1:16" s="202" customFormat="1" ht="25.5" x14ac:dyDescent="0.2">
      <c r="A58" s="469" t="s">
        <v>5</v>
      </c>
      <c r="B58" s="470" t="s">
        <v>523</v>
      </c>
      <c r="C58" s="471" t="s">
        <v>13</v>
      </c>
      <c r="D58" s="472">
        <f>E26</f>
        <v>4.5</v>
      </c>
      <c r="E58" s="473" t="e">
        <f>'Planilha Ajuste'!N103</f>
        <v>#REF!</v>
      </c>
      <c r="F58" s="474" t="e">
        <f>ROUND(D58,2)*ROUND(E58,2)</f>
        <v>#REF!</v>
      </c>
      <c r="G58" s="474" t="e">
        <f>ROUND(D58,2)*ROUND(E58,2)</f>
        <v>#REF!</v>
      </c>
      <c r="H58" s="475"/>
      <c r="I58" s="475"/>
      <c r="J58" s="476">
        <f>N58*O57</f>
        <v>0</v>
      </c>
      <c r="K58" s="476"/>
      <c r="L58" s="476"/>
      <c r="M58" s="476"/>
      <c r="N58" s="477">
        <v>160.63</v>
      </c>
      <c r="O58" s="478">
        <f>O57-1</f>
        <v>-1</v>
      </c>
      <c r="P58" s="479"/>
    </row>
    <row r="59" spans="1:16" s="202" customFormat="1" ht="25.5" x14ac:dyDescent="0.2">
      <c r="A59" s="469" t="s">
        <v>86</v>
      </c>
      <c r="B59" s="470" t="str">
        <f>'Maria Livramento - T1'!B76</f>
        <v>Execução de linhas de referência em gabarito ou cavalete (locação de pavimentação)</v>
      </c>
      <c r="C59" s="490" t="str">
        <f>F27</f>
        <v>m</v>
      </c>
      <c r="D59" s="472">
        <f>E27</f>
        <v>373.51</v>
      </c>
      <c r="E59" s="473">
        <f>'Planilha Ajuste'!N104</f>
        <v>0.59</v>
      </c>
      <c r="F59" s="474">
        <f>ROUND(D59,2)*ROUND(E59,2)</f>
        <v>220.37</v>
      </c>
    </row>
    <row r="60" spans="1:16" s="202" customFormat="1" ht="5.0999999999999996" customHeight="1" x14ac:dyDescent="0.2">
      <c r="A60" s="480"/>
      <c r="B60" s="481"/>
      <c r="C60" s="482"/>
      <c r="D60" s="482"/>
      <c r="E60" s="483"/>
      <c r="F60" s="484"/>
    </row>
    <row r="61" spans="1:16" s="202" customFormat="1" ht="12.75" customHeight="1" x14ac:dyDescent="0.2">
      <c r="A61" s="464" t="s">
        <v>6</v>
      </c>
      <c r="B61" s="465" t="s">
        <v>511</v>
      </c>
      <c r="C61" s="466"/>
      <c r="D61" s="467"/>
      <c r="E61" s="467"/>
      <c r="F61" s="468">
        <f>SUM(F62:F62)</f>
        <v>6044.1</v>
      </c>
    </row>
    <row r="62" spans="1:16" s="202" customFormat="1" ht="25.5" x14ac:dyDescent="0.2">
      <c r="A62" s="469" t="s">
        <v>7</v>
      </c>
      <c r="B62" s="470" t="str">
        <f>'Maria Livramento - T1'!B79</f>
        <v>Regularização e compactação do subleito até 20 cm de espessura</v>
      </c>
      <c r="C62" s="482" t="str">
        <f>F30</f>
        <v>m²</v>
      </c>
      <c r="D62" s="472">
        <f>E30</f>
        <v>2028.22</v>
      </c>
      <c r="E62" s="473">
        <f>'Planilha Ajuste'!N107</f>
        <v>2.98</v>
      </c>
      <c r="F62" s="474">
        <f>ROUND(D62,2)*ROUND(E62,2)</f>
        <v>6044.1</v>
      </c>
      <c r="H62" s="485"/>
    </row>
    <row r="63" spans="1:16" s="202" customFormat="1" ht="6.75" customHeight="1" x14ac:dyDescent="0.2">
      <c r="A63" s="486"/>
      <c r="B63" s="487"/>
      <c r="C63" s="482"/>
      <c r="D63" s="472"/>
      <c r="E63" s="488"/>
      <c r="F63" s="474"/>
    </row>
    <row r="64" spans="1:16" s="202" customFormat="1" ht="12.75" customHeight="1" thickBot="1" x14ac:dyDescent="0.25">
      <c r="A64" s="464" t="s">
        <v>8</v>
      </c>
      <c r="B64" s="465" t="s">
        <v>439</v>
      </c>
      <c r="C64" s="466"/>
      <c r="D64" s="467"/>
      <c r="E64" s="489"/>
      <c r="F64" s="468">
        <f>SUM(F65:F67)</f>
        <v>259813.9</v>
      </c>
    </row>
    <row r="65" spans="1:11" s="226" customFormat="1" ht="63.75" x14ac:dyDescent="0.2">
      <c r="A65" s="469" t="s">
        <v>9</v>
      </c>
      <c r="B65" s="491" t="str">
        <f>'Maria Livramento - T1'!B82</f>
        <v>Assentamento de guia (meio-fio) em trecho reto, confeccionada em concreto pré-fabricado, dimensões 100x15x13x30 cm (comprimento x base inferior x base superior x altura), para vias urbanas (uso viário)</v>
      </c>
      <c r="C65" s="482" t="str">
        <f>F33</f>
        <v>m</v>
      </c>
      <c r="D65" s="472">
        <f>E33</f>
        <v>760.08</v>
      </c>
      <c r="E65" s="473">
        <f>'Planilha Ajuste'!N110</f>
        <v>58.64</v>
      </c>
      <c r="F65" s="474">
        <f>ROUND(D65,2)*ROUND(E65,2)</f>
        <v>44571.09</v>
      </c>
      <c r="H65" s="492"/>
      <c r="I65" s="493"/>
      <c r="J65" s="494"/>
    </row>
    <row r="66" spans="1:11" s="226" customFormat="1" ht="39" thickBot="1" x14ac:dyDescent="0.25">
      <c r="A66" s="469" t="s">
        <v>12</v>
      </c>
      <c r="B66" s="491" t="str">
        <f>'Maria Livramento - T1'!B83</f>
        <v>Execução de pavimento em paralelepípedos, rejuntamento com argamassa traço 1:3 (cimento e areia)</v>
      </c>
      <c r="C66" s="482" t="str">
        <f>F34</f>
        <v>m²</v>
      </c>
      <c r="D66" s="472">
        <f>E34</f>
        <v>2028.22</v>
      </c>
      <c r="E66" s="473">
        <f>'Planilha Ajuste'!N111</f>
        <v>104.89</v>
      </c>
      <c r="F66" s="474">
        <f>ROUND(D66,2)*ROUND(E66,2)</f>
        <v>212740</v>
      </c>
      <c r="H66" s="495"/>
      <c r="I66" s="496"/>
      <c r="J66" s="497"/>
    </row>
    <row r="67" spans="1:11" s="226" customFormat="1" ht="25.5" x14ac:dyDescent="0.2">
      <c r="A67" s="469" t="s">
        <v>108</v>
      </c>
      <c r="B67" s="491" t="str">
        <f>'Maria Livramento - T1'!B84</f>
        <v>Assentamento de guia (meio-fio) para cordão de travamento do pavimento, em pedra granítica</v>
      </c>
      <c r="C67" s="482" t="str">
        <f>F35</f>
        <v>m</v>
      </c>
      <c r="D67" s="472">
        <f>E35</f>
        <v>40.18</v>
      </c>
      <c r="E67" s="473">
        <f>'Planilha Ajuste'!N112</f>
        <v>62.29</v>
      </c>
      <c r="F67" s="474">
        <f>ROUND(D67,2)*ROUND(E67,2)</f>
        <v>2502.81</v>
      </c>
      <c r="H67" s="492"/>
      <c r="I67" s="493"/>
      <c r="J67" s="494"/>
    </row>
    <row r="68" spans="1:11" s="202" customFormat="1" ht="6.75" customHeight="1" x14ac:dyDescent="0.2">
      <c r="A68" s="486"/>
      <c r="B68" s="487"/>
      <c r="C68" s="482"/>
      <c r="D68" s="472"/>
      <c r="E68" s="488"/>
      <c r="F68" s="474"/>
    </row>
    <row r="69" spans="1:11" s="258" customFormat="1" ht="15" customHeight="1" thickBot="1" x14ac:dyDescent="0.3">
      <c r="A69" s="498" t="s">
        <v>14</v>
      </c>
      <c r="B69" s="499" t="s">
        <v>489</v>
      </c>
      <c r="C69" s="466"/>
      <c r="D69" s="467"/>
      <c r="E69" s="500"/>
      <c r="F69" s="468" t="e">
        <f>SUM(F70:F77)</f>
        <v>#REF!</v>
      </c>
      <c r="H69" s="501"/>
      <c r="I69" s="502"/>
      <c r="J69" s="502"/>
      <c r="K69" s="503"/>
    </row>
    <row r="70" spans="1:11" s="226" customFormat="1" ht="14.25" x14ac:dyDescent="0.2">
      <c r="A70" s="469" t="s">
        <v>15</v>
      </c>
      <c r="B70" s="504" t="e">
        <f>'Maria Livramento - T1'!#REF!</f>
        <v>#REF!</v>
      </c>
      <c r="C70" s="490" t="str">
        <f>F38</f>
        <v>m²</v>
      </c>
      <c r="D70" s="472">
        <f>E38</f>
        <v>91.57</v>
      </c>
      <c r="E70" s="473" t="e">
        <f>'Planilha Ajuste'!#REF!</f>
        <v>#REF!</v>
      </c>
      <c r="F70" s="474" t="e">
        <f t="shared" ref="F70:F76" si="1">ROUND(D70,2)*ROUND(E70,2)</f>
        <v>#REF!</v>
      </c>
    </row>
    <row r="71" spans="1:11" s="226" customFormat="1" ht="14.25" x14ac:dyDescent="0.2">
      <c r="A71" s="469" t="s">
        <v>129</v>
      </c>
      <c r="B71" s="504" t="e">
        <f>'Maria Livramento - T1'!#REF!</f>
        <v>#REF!</v>
      </c>
      <c r="C71" s="490" t="str">
        <f>F40</f>
        <v>m³</v>
      </c>
      <c r="D71" s="472">
        <f>E40</f>
        <v>28.47</v>
      </c>
      <c r="E71" s="473" t="e">
        <f>'Planilha Ajuste'!#REF!</f>
        <v>#REF!</v>
      </c>
      <c r="F71" s="474" t="e">
        <f t="shared" si="1"/>
        <v>#REF!</v>
      </c>
    </row>
    <row r="72" spans="1:11" s="226" customFormat="1" ht="14.25" x14ac:dyDescent="0.2">
      <c r="A72" s="469" t="s">
        <v>131</v>
      </c>
      <c r="B72" s="504" t="e">
        <f>'Maria Livramento - T1'!#REF!</f>
        <v>#REF!</v>
      </c>
      <c r="C72" s="490" t="str">
        <f t="shared" ref="C72:C77" si="2">F41</f>
        <v>m³</v>
      </c>
      <c r="D72" s="472">
        <f t="shared" ref="D72:D77" si="3">E41</f>
        <v>7.68</v>
      </c>
      <c r="E72" s="473" t="e">
        <f>'Planilha Ajuste'!#REF!</f>
        <v>#REF!</v>
      </c>
      <c r="F72" s="474" t="e">
        <f t="shared" si="1"/>
        <v>#REF!</v>
      </c>
    </row>
    <row r="73" spans="1:11" s="226" customFormat="1" ht="14.25" x14ac:dyDescent="0.2">
      <c r="A73" s="469" t="s">
        <v>413</v>
      </c>
      <c r="B73" s="504" t="e">
        <f>'Maria Livramento - T1'!#REF!</f>
        <v>#REF!</v>
      </c>
      <c r="C73" s="490" t="str">
        <f t="shared" si="2"/>
        <v>m²</v>
      </c>
      <c r="D73" s="472">
        <f t="shared" si="3"/>
        <v>87.36</v>
      </c>
      <c r="E73" s="473" t="e">
        <f>'Planilha Ajuste'!#REF!</f>
        <v>#REF!</v>
      </c>
      <c r="F73" s="474" t="e">
        <f t="shared" si="1"/>
        <v>#REF!</v>
      </c>
    </row>
    <row r="74" spans="1:11" s="226" customFormat="1" ht="14.25" x14ac:dyDescent="0.2">
      <c r="A74" s="469" t="s">
        <v>414</v>
      </c>
      <c r="B74" s="504" t="e">
        <f>'Maria Livramento - T1'!#REF!</f>
        <v>#REF!</v>
      </c>
      <c r="C74" s="490" t="str">
        <f t="shared" si="2"/>
        <v>m²</v>
      </c>
      <c r="D74" s="472">
        <f t="shared" si="3"/>
        <v>132.47</v>
      </c>
      <c r="E74" s="473" t="e">
        <f>'Planilha Ajuste'!#REF!</f>
        <v>#REF!</v>
      </c>
      <c r="F74" s="474" t="e">
        <f t="shared" si="1"/>
        <v>#REF!</v>
      </c>
    </row>
    <row r="75" spans="1:11" s="226" customFormat="1" ht="15" thickBot="1" x14ac:dyDescent="0.25">
      <c r="A75" s="469" t="s">
        <v>415</v>
      </c>
      <c r="B75" s="504" t="e">
        <f>'Maria Livramento - T1'!#REF!</f>
        <v>#REF!</v>
      </c>
      <c r="C75" s="490" t="str">
        <f t="shared" si="2"/>
        <v>unid</v>
      </c>
      <c r="D75" s="472">
        <f t="shared" si="3"/>
        <v>7</v>
      </c>
      <c r="E75" s="473" t="e">
        <f>'Planilha Ajuste'!N127</f>
        <v>#REF!</v>
      </c>
      <c r="F75" s="505" t="e">
        <f t="shared" si="1"/>
        <v>#REF!</v>
      </c>
    </row>
    <row r="76" spans="1:11" s="202" customFormat="1" ht="12.75" customHeight="1" x14ac:dyDescent="0.2">
      <c r="A76" s="469" t="s">
        <v>416</v>
      </c>
      <c r="B76" s="504" t="str">
        <f>'Maria Livramento - T1'!B102</f>
        <v>Pintura de meio-fio com tinta branca a base de cal (caiação)</v>
      </c>
      <c r="C76" s="490" t="str">
        <f t="shared" si="2"/>
        <v>m²</v>
      </c>
      <c r="D76" s="472">
        <f t="shared" si="3"/>
        <v>212.82</v>
      </c>
      <c r="E76" s="473">
        <f>'Planilha Ajuste'!N126</f>
        <v>1.61</v>
      </c>
      <c r="F76" s="474">
        <f t="shared" si="1"/>
        <v>342.64</v>
      </c>
      <c r="H76" s="506"/>
      <c r="I76" s="507"/>
      <c r="J76" s="507"/>
      <c r="K76" s="508"/>
    </row>
    <row r="77" spans="1:11" s="226" customFormat="1" ht="25.5" x14ac:dyDescent="0.2">
      <c r="A77" s="469" t="s">
        <v>417</v>
      </c>
      <c r="B77" s="504" t="s">
        <v>499</v>
      </c>
      <c r="C77" s="490" t="str">
        <f t="shared" si="2"/>
        <v>unid</v>
      </c>
      <c r="D77" s="472">
        <f t="shared" si="3"/>
        <v>1</v>
      </c>
      <c r="E77" s="473">
        <f>'Planilha Ajuste'!N128</f>
        <v>180.93</v>
      </c>
      <c r="F77" s="474">
        <f>ROUND(D77,2)*ROUND(E77,2)</f>
        <v>180.93</v>
      </c>
    </row>
    <row r="78" spans="1:11" s="202" customFormat="1" ht="6.75" customHeight="1" x14ac:dyDescent="0.2">
      <c r="A78" s="509"/>
      <c r="B78" s="41"/>
      <c r="C78" s="482"/>
      <c r="D78" s="472"/>
      <c r="E78" s="510"/>
      <c r="F78" s="474"/>
      <c r="H78" s="511"/>
      <c r="K78" s="512"/>
    </row>
    <row r="79" spans="1:11" s="202" customFormat="1" ht="12.75" customHeight="1" x14ac:dyDescent="0.2">
      <c r="A79" s="727" t="s">
        <v>440</v>
      </c>
      <c r="B79" s="728"/>
      <c r="C79" s="728"/>
      <c r="D79" s="728"/>
      <c r="E79" s="728"/>
      <c r="F79" s="543" t="e">
        <f>F57+F61+F64+F69</f>
        <v>#REF!</v>
      </c>
    </row>
    <row r="80" spans="1:11" s="202" customFormat="1" ht="5.25" customHeight="1" x14ac:dyDescent="0.2">
      <c r="B80" s="256"/>
      <c r="C80" s="281"/>
      <c r="E80" s="281"/>
    </row>
    <row r="81" spans="1:7" s="202" customFormat="1" ht="12.75" customHeight="1" x14ac:dyDescent="0.2">
      <c r="A81" s="64" t="s">
        <v>534</v>
      </c>
      <c r="B81" s="256"/>
      <c r="C81" s="281"/>
      <c r="E81" s="281"/>
      <c r="F81" s="513"/>
      <c r="G81" s="202">
        <f>175162.63/D66</f>
        <v>86.362736783978093</v>
      </c>
    </row>
    <row r="82" spans="1:7" s="202" customFormat="1" ht="12.75" customHeight="1" x14ac:dyDescent="0.2">
      <c r="A82" s="64" t="str">
        <f>'Composição Custos Unit'!G37</f>
        <v>Referência: SINAPI PB Fevereiro/25; DER PB Jan-Mar/25</v>
      </c>
      <c r="B82" s="256"/>
      <c r="C82" s="636" t="str">
        <f>'Planilha Global11'!A33</f>
        <v>BDI: 27,48%</v>
      </c>
      <c r="E82" s="281"/>
    </row>
    <row r="83" spans="1:7" s="202" customFormat="1" ht="12.75" customHeight="1" x14ac:dyDescent="0.2">
      <c r="E83" s="281"/>
      <c r="F83" s="247"/>
    </row>
    <row r="84" spans="1:7" ht="12.75" customHeight="1" x14ac:dyDescent="0.2">
      <c r="G84" t="e">
        <f>F79/D59</f>
        <v>#REF!</v>
      </c>
    </row>
    <row r="85" spans="1:7" ht="12.75" customHeight="1" x14ac:dyDescent="0.2">
      <c r="F85" s="514" t="e">
        <f>F79/D62</f>
        <v>#REF!</v>
      </c>
    </row>
  </sheetData>
  <mergeCells count="34">
    <mergeCell ref="A4:F4"/>
    <mergeCell ref="C8:F8"/>
    <mergeCell ref="C9:F9"/>
    <mergeCell ref="C10:F10"/>
    <mergeCell ref="B26:D26"/>
    <mergeCell ref="C13:F13"/>
    <mergeCell ref="C14:F14"/>
    <mergeCell ref="C15:F15"/>
    <mergeCell ref="C18:F18"/>
    <mergeCell ref="C19:F19"/>
    <mergeCell ref="C20:F20"/>
    <mergeCell ref="A52:F52"/>
    <mergeCell ref="B27:D27"/>
    <mergeCell ref="B33:D33"/>
    <mergeCell ref="B35:D35"/>
    <mergeCell ref="B34:D34"/>
    <mergeCell ref="B38:D38"/>
    <mergeCell ref="B39:D39"/>
    <mergeCell ref="B41:D41"/>
    <mergeCell ref="B42:D42"/>
    <mergeCell ref="B43:D43"/>
    <mergeCell ref="B44:D44"/>
    <mergeCell ref="B45:D45"/>
    <mergeCell ref="B40:D40"/>
    <mergeCell ref="B46:D46"/>
    <mergeCell ref="B30:D30"/>
    <mergeCell ref="A79:E79"/>
    <mergeCell ref="C53:D53"/>
    <mergeCell ref="E53:F53"/>
    <mergeCell ref="A55:A56"/>
    <mergeCell ref="B55:B56"/>
    <mergeCell ref="C55:C56"/>
    <mergeCell ref="D55:D56"/>
    <mergeCell ref="E55:F55"/>
  </mergeCells>
  <pageMargins left="0.511811024" right="0.511811024" top="0.78740157499999996" bottom="0.78740157499999996" header="0.31496062000000002" footer="0.31496062000000002"/>
  <pageSetup paperSize="9" orientation="portrait" r:id="rId1"/>
  <rowBreaks count="1" manualBreakCount="1">
    <brk id="48" max="5" man="1"/>
  </rowBreaks>
  <legacyDrawing r:id="rId2"/>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F91D0A-C2DE-4660-97A7-5E50399383AE}">
  <dimension ref="A1:Q78"/>
  <sheetViews>
    <sheetView view="pageBreakPreview" topLeftCell="A50" zoomScale="110" zoomScaleNormal="100" zoomScaleSheetLayoutView="110" workbookViewId="0">
      <selection activeCell="P60" sqref="P60"/>
    </sheetView>
  </sheetViews>
  <sheetFormatPr defaultRowHeight="12.75" x14ac:dyDescent="0.2"/>
  <cols>
    <col min="1" max="1" width="4.7109375" customWidth="1"/>
    <col min="2" max="2" width="45" customWidth="1"/>
    <col min="3" max="3" width="8.42578125" customWidth="1"/>
    <col min="4" max="4" width="14.28515625" customWidth="1"/>
    <col min="5" max="5" width="9.28515625" bestFit="1" customWidth="1"/>
    <col min="6" max="6" width="13.42578125" customWidth="1"/>
    <col min="7" max="7" width="14.42578125" customWidth="1"/>
    <col min="8" max="8" width="12.5703125" customWidth="1"/>
    <col min="9" max="9" width="17.7109375" customWidth="1"/>
    <col min="257" max="257" width="4.7109375" customWidth="1"/>
    <col min="258" max="258" width="45" customWidth="1"/>
    <col min="259" max="259" width="8.42578125" customWidth="1"/>
    <col min="260" max="260" width="14.28515625" customWidth="1"/>
    <col min="261" max="261" width="9.28515625" bestFit="1" customWidth="1"/>
    <col min="262" max="262" width="12.140625" customWidth="1"/>
    <col min="263" max="263" width="14.42578125" customWidth="1"/>
    <col min="264" max="264" width="12.5703125" customWidth="1"/>
    <col min="265" max="265" width="17.7109375" customWidth="1"/>
    <col min="513" max="513" width="4.7109375" customWidth="1"/>
    <col min="514" max="514" width="45" customWidth="1"/>
    <col min="515" max="515" width="8.42578125" customWidth="1"/>
    <col min="516" max="516" width="14.28515625" customWidth="1"/>
    <col min="517" max="517" width="9.28515625" bestFit="1" customWidth="1"/>
    <col min="518" max="518" width="12.140625" customWidth="1"/>
    <col min="519" max="519" width="14.42578125" customWidth="1"/>
    <col min="520" max="520" width="12.5703125" customWidth="1"/>
    <col min="521" max="521" width="17.7109375" customWidth="1"/>
    <col min="769" max="769" width="4.7109375" customWidth="1"/>
    <col min="770" max="770" width="45" customWidth="1"/>
    <col min="771" max="771" width="8.42578125" customWidth="1"/>
    <col min="772" max="772" width="14.28515625" customWidth="1"/>
    <col min="773" max="773" width="9.28515625" bestFit="1" customWidth="1"/>
    <col min="774" max="774" width="12.140625" customWidth="1"/>
    <col min="775" max="775" width="14.42578125" customWidth="1"/>
    <col min="776" max="776" width="12.5703125" customWidth="1"/>
    <col min="777" max="777" width="17.7109375" customWidth="1"/>
    <col min="1025" max="1025" width="4.7109375" customWidth="1"/>
    <col min="1026" max="1026" width="45" customWidth="1"/>
    <col min="1027" max="1027" width="8.42578125" customWidth="1"/>
    <col min="1028" max="1028" width="14.28515625" customWidth="1"/>
    <col min="1029" max="1029" width="9.28515625" bestFit="1" customWidth="1"/>
    <col min="1030" max="1030" width="12.140625" customWidth="1"/>
    <col min="1031" max="1031" width="14.42578125" customWidth="1"/>
    <col min="1032" max="1032" width="12.5703125" customWidth="1"/>
    <col min="1033" max="1033" width="17.7109375" customWidth="1"/>
    <col min="1281" max="1281" width="4.7109375" customWidth="1"/>
    <col min="1282" max="1282" width="45" customWidth="1"/>
    <col min="1283" max="1283" width="8.42578125" customWidth="1"/>
    <col min="1284" max="1284" width="14.28515625" customWidth="1"/>
    <col min="1285" max="1285" width="9.28515625" bestFit="1" customWidth="1"/>
    <col min="1286" max="1286" width="12.140625" customWidth="1"/>
    <col min="1287" max="1287" width="14.42578125" customWidth="1"/>
    <col min="1288" max="1288" width="12.5703125" customWidth="1"/>
    <col min="1289" max="1289" width="17.7109375" customWidth="1"/>
    <col min="1537" max="1537" width="4.7109375" customWidth="1"/>
    <col min="1538" max="1538" width="45" customWidth="1"/>
    <col min="1539" max="1539" width="8.42578125" customWidth="1"/>
    <col min="1540" max="1540" width="14.28515625" customWidth="1"/>
    <col min="1541" max="1541" width="9.28515625" bestFit="1" customWidth="1"/>
    <col min="1542" max="1542" width="12.140625" customWidth="1"/>
    <col min="1543" max="1543" width="14.42578125" customWidth="1"/>
    <col min="1544" max="1544" width="12.5703125" customWidth="1"/>
    <col min="1545" max="1545" width="17.7109375" customWidth="1"/>
    <col min="1793" max="1793" width="4.7109375" customWidth="1"/>
    <col min="1794" max="1794" width="45" customWidth="1"/>
    <col min="1795" max="1795" width="8.42578125" customWidth="1"/>
    <col min="1796" max="1796" width="14.28515625" customWidth="1"/>
    <col min="1797" max="1797" width="9.28515625" bestFit="1" customWidth="1"/>
    <col min="1798" max="1798" width="12.140625" customWidth="1"/>
    <col min="1799" max="1799" width="14.42578125" customWidth="1"/>
    <col min="1800" max="1800" width="12.5703125" customWidth="1"/>
    <col min="1801" max="1801" width="17.7109375" customWidth="1"/>
    <col min="2049" max="2049" width="4.7109375" customWidth="1"/>
    <col min="2050" max="2050" width="45" customWidth="1"/>
    <col min="2051" max="2051" width="8.42578125" customWidth="1"/>
    <col min="2052" max="2052" width="14.28515625" customWidth="1"/>
    <col min="2053" max="2053" width="9.28515625" bestFit="1" customWidth="1"/>
    <col min="2054" max="2054" width="12.140625" customWidth="1"/>
    <col min="2055" max="2055" width="14.42578125" customWidth="1"/>
    <col min="2056" max="2056" width="12.5703125" customWidth="1"/>
    <col min="2057" max="2057" width="17.7109375" customWidth="1"/>
    <col min="2305" max="2305" width="4.7109375" customWidth="1"/>
    <col min="2306" max="2306" width="45" customWidth="1"/>
    <col min="2307" max="2307" width="8.42578125" customWidth="1"/>
    <col min="2308" max="2308" width="14.28515625" customWidth="1"/>
    <col min="2309" max="2309" width="9.28515625" bestFit="1" customWidth="1"/>
    <col min="2310" max="2310" width="12.140625" customWidth="1"/>
    <col min="2311" max="2311" width="14.42578125" customWidth="1"/>
    <col min="2312" max="2312" width="12.5703125" customWidth="1"/>
    <col min="2313" max="2313" width="17.7109375" customWidth="1"/>
    <col min="2561" max="2561" width="4.7109375" customWidth="1"/>
    <col min="2562" max="2562" width="45" customWidth="1"/>
    <col min="2563" max="2563" width="8.42578125" customWidth="1"/>
    <col min="2564" max="2564" width="14.28515625" customWidth="1"/>
    <col min="2565" max="2565" width="9.28515625" bestFit="1" customWidth="1"/>
    <col min="2566" max="2566" width="12.140625" customWidth="1"/>
    <col min="2567" max="2567" width="14.42578125" customWidth="1"/>
    <col min="2568" max="2568" width="12.5703125" customWidth="1"/>
    <col min="2569" max="2569" width="17.7109375" customWidth="1"/>
    <col min="2817" max="2817" width="4.7109375" customWidth="1"/>
    <col min="2818" max="2818" width="45" customWidth="1"/>
    <col min="2819" max="2819" width="8.42578125" customWidth="1"/>
    <col min="2820" max="2820" width="14.28515625" customWidth="1"/>
    <col min="2821" max="2821" width="9.28515625" bestFit="1" customWidth="1"/>
    <col min="2822" max="2822" width="12.140625" customWidth="1"/>
    <col min="2823" max="2823" width="14.42578125" customWidth="1"/>
    <col min="2824" max="2824" width="12.5703125" customWidth="1"/>
    <col min="2825" max="2825" width="17.7109375" customWidth="1"/>
    <col min="3073" max="3073" width="4.7109375" customWidth="1"/>
    <col min="3074" max="3074" width="45" customWidth="1"/>
    <col min="3075" max="3075" width="8.42578125" customWidth="1"/>
    <col min="3076" max="3076" width="14.28515625" customWidth="1"/>
    <col min="3077" max="3077" width="9.28515625" bestFit="1" customWidth="1"/>
    <col min="3078" max="3078" width="12.140625" customWidth="1"/>
    <col min="3079" max="3079" width="14.42578125" customWidth="1"/>
    <col min="3080" max="3080" width="12.5703125" customWidth="1"/>
    <col min="3081" max="3081" width="17.7109375" customWidth="1"/>
    <col min="3329" max="3329" width="4.7109375" customWidth="1"/>
    <col min="3330" max="3330" width="45" customWidth="1"/>
    <col min="3331" max="3331" width="8.42578125" customWidth="1"/>
    <col min="3332" max="3332" width="14.28515625" customWidth="1"/>
    <col min="3333" max="3333" width="9.28515625" bestFit="1" customWidth="1"/>
    <col min="3334" max="3334" width="12.140625" customWidth="1"/>
    <col min="3335" max="3335" width="14.42578125" customWidth="1"/>
    <col min="3336" max="3336" width="12.5703125" customWidth="1"/>
    <col min="3337" max="3337" width="17.7109375" customWidth="1"/>
    <col min="3585" max="3585" width="4.7109375" customWidth="1"/>
    <col min="3586" max="3586" width="45" customWidth="1"/>
    <col min="3587" max="3587" width="8.42578125" customWidth="1"/>
    <col min="3588" max="3588" width="14.28515625" customWidth="1"/>
    <col min="3589" max="3589" width="9.28515625" bestFit="1" customWidth="1"/>
    <col min="3590" max="3590" width="12.140625" customWidth="1"/>
    <col min="3591" max="3591" width="14.42578125" customWidth="1"/>
    <col min="3592" max="3592" width="12.5703125" customWidth="1"/>
    <col min="3593" max="3593" width="17.7109375" customWidth="1"/>
    <col min="3841" max="3841" width="4.7109375" customWidth="1"/>
    <col min="3842" max="3842" width="45" customWidth="1"/>
    <col min="3843" max="3843" width="8.42578125" customWidth="1"/>
    <col min="3844" max="3844" width="14.28515625" customWidth="1"/>
    <col min="3845" max="3845" width="9.28515625" bestFit="1" customWidth="1"/>
    <col min="3846" max="3846" width="12.140625" customWidth="1"/>
    <col min="3847" max="3847" width="14.42578125" customWidth="1"/>
    <col min="3848" max="3848" width="12.5703125" customWidth="1"/>
    <col min="3849" max="3849" width="17.7109375" customWidth="1"/>
    <col min="4097" max="4097" width="4.7109375" customWidth="1"/>
    <col min="4098" max="4098" width="45" customWidth="1"/>
    <col min="4099" max="4099" width="8.42578125" customWidth="1"/>
    <col min="4100" max="4100" width="14.28515625" customWidth="1"/>
    <col min="4101" max="4101" width="9.28515625" bestFit="1" customWidth="1"/>
    <col min="4102" max="4102" width="12.140625" customWidth="1"/>
    <col min="4103" max="4103" width="14.42578125" customWidth="1"/>
    <col min="4104" max="4104" width="12.5703125" customWidth="1"/>
    <col min="4105" max="4105" width="17.7109375" customWidth="1"/>
    <col min="4353" max="4353" width="4.7109375" customWidth="1"/>
    <col min="4354" max="4354" width="45" customWidth="1"/>
    <col min="4355" max="4355" width="8.42578125" customWidth="1"/>
    <col min="4356" max="4356" width="14.28515625" customWidth="1"/>
    <col min="4357" max="4357" width="9.28515625" bestFit="1" customWidth="1"/>
    <col min="4358" max="4358" width="12.140625" customWidth="1"/>
    <col min="4359" max="4359" width="14.42578125" customWidth="1"/>
    <col min="4360" max="4360" width="12.5703125" customWidth="1"/>
    <col min="4361" max="4361" width="17.7109375" customWidth="1"/>
    <col min="4609" max="4609" width="4.7109375" customWidth="1"/>
    <col min="4610" max="4610" width="45" customWidth="1"/>
    <col min="4611" max="4611" width="8.42578125" customWidth="1"/>
    <col min="4612" max="4612" width="14.28515625" customWidth="1"/>
    <col min="4613" max="4613" width="9.28515625" bestFit="1" customWidth="1"/>
    <col min="4614" max="4614" width="12.140625" customWidth="1"/>
    <col min="4615" max="4615" width="14.42578125" customWidth="1"/>
    <col min="4616" max="4616" width="12.5703125" customWidth="1"/>
    <col min="4617" max="4617" width="17.7109375" customWidth="1"/>
    <col min="4865" max="4865" width="4.7109375" customWidth="1"/>
    <col min="4866" max="4866" width="45" customWidth="1"/>
    <col min="4867" max="4867" width="8.42578125" customWidth="1"/>
    <col min="4868" max="4868" width="14.28515625" customWidth="1"/>
    <col min="4869" max="4869" width="9.28515625" bestFit="1" customWidth="1"/>
    <col min="4870" max="4870" width="12.140625" customWidth="1"/>
    <col min="4871" max="4871" width="14.42578125" customWidth="1"/>
    <col min="4872" max="4872" width="12.5703125" customWidth="1"/>
    <col min="4873" max="4873" width="17.7109375" customWidth="1"/>
    <col min="5121" max="5121" width="4.7109375" customWidth="1"/>
    <col min="5122" max="5122" width="45" customWidth="1"/>
    <col min="5123" max="5123" width="8.42578125" customWidth="1"/>
    <col min="5124" max="5124" width="14.28515625" customWidth="1"/>
    <col min="5125" max="5125" width="9.28515625" bestFit="1" customWidth="1"/>
    <col min="5126" max="5126" width="12.140625" customWidth="1"/>
    <col min="5127" max="5127" width="14.42578125" customWidth="1"/>
    <col min="5128" max="5128" width="12.5703125" customWidth="1"/>
    <col min="5129" max="5129" width="17.7109375" customWidth="1"/>
    <col min="5377" max="5377" width="4.7109375" customWidth="1"/>
    <col min="5378" max="5378" width="45" customWidth="1"/>
    <col min="5379" max="5379" width="8.42578125" customWidth="1"/>
    <col min="5380" max="5380" width="14.28515625" customWidth="1"/>
    <col min="5381" max="5381" width="9.28515625" bestFit="1" customWidth="1"/>
    <col min="5382" max="5382" width="12.140625" customWidth="1"/>
    <col min="5383" max="5383" width="14.42578125" customWidth="1"/>
    <col min="5384" max="5384" width="12.5703125" customWidth="1"/>
    <col min="5385" max="5385" width="17.7109375" customWidth="1"/>
    <col min="5633" max="5633" width="4.7109375" customWidth="1"/>
    <col min="5634" max="5634" width="45" customWidth="1"/>
    <col min="5635" max="5635" width="8.42578125" customWidth="1"/>
    <col min="5636" max="5636" width="14.28515625" customWidth="1"/>
    <col min="5637" max="5637" width="9.28515625" bestFit="1" customWidth="1"/>
    <col min="5638" max="5638" width="12.140625" customWidth="1"/>
    <col min="5639" max="5639" width="14.42578125" customWidth="1"/>
    <col min="5640" max="5640" width="12.5703125" customWidth="1"/>
    <col min="5641" max="5641" width="17.7109375" customWidth="1"/>
    <col min="5889" max="5889" width="4.7109375" customWidth="1"/>
    <col min="5890" max="5890" width="45" customWidth="1"/>
    <col min="5891" max="5891" width="8.42578125" customWidth="1"/>
    <col min="5892" max="5892" width="14.28515625" customWidth="1"/>
    <col min="5893" max="5893" width="9.28515625" bestFit="1" customWidth="1"/>
    <col min="5894" max="5894" width="12.140625" customWidth="1"/>
    <col min="5895" max="5895" width="14.42578125" customWidth="1"/>
    <col min="5896" max="5896" width="12.5703125" customWidth="1"/>
    <col min="5897" max="5897" width="17.7109375" customWidth="1"/>
    <col min="6145" max="6145" width="4.7109375" customWidth="1"/>
    <col min="6146" max="6146" width="45" customWidth="1"/>
    <col min="6147" max="6147" width="8.42578125" customWidth="1"/>
    <col min="6148" max="6148" width="14.28515625" customWidth="1"/>
    <col min="6149" max="6149" width="9.28515625" bestFit="1" customWidth="1"/>
    <col min="6150" max="6150" width="12.140625" customWidth="1"/>
    <col min="6151" max="6151" width="14.42578125" customWidth="1"/>
    <col min="6152" max="6152" width="12.5703125" customWidth="1"/>
    <col min="6153" max="6153" width="17.7109375" customWidth="1"/>
    <col min="6401" max="6401" width="4.7109375" customWidth="1"/>
    <col min="6402" max="6402" width="45" customWidth="1"/>
    <col min="6403" max="6403" width="8.42578125" customWidth="1"/>
    <col min="6404" max="6404" width="14.28515625" customWidth="1"/>
    <col min="6405" max="6405" width="9.28515625" bestFit="1" customWidth="1"/>
    <col min="6406" max="6406" width="12.140625" customWidth="1"/>
    <col min="6407" max="6407" width="14.42578125" customWidth="1"/>
    <col min="6408" max="6408" width="12.5703125" customWidth="1"/>
    <col min="6409" max="6409" width="17.7109375" customWidth="1"/>
    <col min="6657" max="6657" width="4.7109375" customWidth="1"/>
    <col min="6658" max="6658" width="45" customWidth="1"/>
    <col min="6659" max="6659" width="8.42578125" customWidth="1"/>
    <col min="6660" max="6660" width="14.28515625" customWidth="1"/>
    <col min="6661" max="6661" width="9.28515625" bestFit="1" customWidth="1"/>
    <col min="6662" max="6662" width="12.140625" customWidth="1"/>
    <col min="6663" max="6663" width="14.42578125" customWidth="1"/>
    <col min="6664" max="6664" width="12.5703125" customWidth="1"/>
    <col min="6665" max="6665" width="17.7109375" customWidth="1"/>
    <col min="6913" max="6913" width="4.7109375" customWidth="1"/>
    <col min="6914" max="6914" width="45" customWidth="1"/>
    <col min="6915" max="6915" width="8.42578125" customWidth="1"/>
    <col min="6916" max="6916" width="14.28515625" customWidth="1"/>
    <col min="6917" max="6917" width="9.28515625" bestFit="1" customWidth="1"/>
    <col min="6918" max="6918" width="12.140625" customWidth="1"/>
    <col min="6919" max="6919" width="14.42578125" customWidth="1"/>
    <col min="6920" max="6920" width="12.5703125" customWidth="1"/>
    <col min="6921" max="6921" width="17.7109375" customWidth="1"/>
    <col min="7169" max="7169" width="4.7109375" customWidth="1"/>
    <col min="7170" max="7170" width="45" customWidth="1"/>
    <col min="7171" max="7171" width="8.42578125" customWidth="1"/>
    <col min="7172" max="7172" width="14.28515625" customWidth="1"/>
    <col min="7173" max="7173" width="9.28515625" bestFit="1" customWidth="1"/>
    <col min="7174" max="7174" width="12.140625" customWidth="1"/>
    <col min="7175" max="7175" width="14.42578125" customWidth="1"/>
    <col min="7176" max="7176" width="12.5703125" customWidth="1"/>
    <col min="7177" max="7177" width="17.7109375" customWidth="1"/>
    <col min="7425" max="7425" width="4.7109375" customWidth="1"/>
    <col min="7426" max="7426" width="45" customWidth="1"/>
    <col min="7427" max="7427" width="8.42578125" customWidth="1"/>
    <col min="7428" max="7428" width="14.28515625" customWidth="1"/>
    <col min="7429" max="7429" width="9.28515625" bestFit="1" customWidth="1"/>
    <col min="7430" max="7430" width="12.140625" customWidth="1"/>
    <col min="7431" max="7431" width="14.42578125" customWidth="1"/>
    <col min="7432" max="7432" width="12.5703125" customWidth="1"/>
    <col min="7433" max="7433" width="17.7109375" customWidth="1"/>
    <col min="7681" max="7681" width="4.7109375" customWidth="1"/>
    <col min="7682" max="7682" width="45" customWidth="1"/>
    <col min="7683" max="7683" width="8.42578125" customWidth="1"/>
    <col min="7684" max="7684" width="14.28515625" customWidth="1"/>
    <col min="7685" max="7685" width="9.28515625" bestFit="1" customWidth="1"/>
    <col min="7686" max="7686" width="12.140625" customWidth="1"/>
    <col min="7687" max="7687" width="14.42578125" customWidth="1"/>
    <col min="7688" max="7688" width="12.5703125" customWidth="1"/>
    <col min="7689" max="7689" width="17.7109375" customWidth="1"/>
    <col min="7937" max="7937" width="4.7109375" customWidth="1"/>
    <col min="7938" max="7938" width="45" customWidth="1"/>
    <col min="7939" max="7939" width="8.42578125" customWidth="1"/>
    <col min="7940" max="7940" width="14.28515625" customWidth="1"/>
    <col min="7941" max="7941" width="9.28515625" bestFit="1" customWidth="1"/>
    <col min="7942" max="7942" width="12.140625" customWidth="1"/>
    <col min="7943" max="7943" width="14.42578125" customWidth="1"/>
    <col min="7944" max="7944" width="12.5703125" customWidth="1"/>
    <col min="7945" max="7945" width="17.7109375" customWidth="1"/>
    <col min="8193" max="8193" width="4.7109375" customWidth="1"/>
    <col min="8194" max="8194" width="45" customWidth="1"/>
    <col min="8195" max="8195" width="8.42578125" customWidth="1"/>
    <col min="8196" max="8196" width="14.28515625" customWidth="1"/>
    <col min="8197" max="8197" width="9.28515625" bestFit="1" customWidth="1"/>
    <col min="8198" max="8198" width="12.140625" customWidth="1"/>
    <col min="8199" max="8199" width="14.42578125" customWidth="1"/>
    <col min="8200" max="8200" width="12.5703125" customWidth="1"/>
    <col min="8201" max="8201" width="17.7109375" customWidth="1"/>
    <col min="8449" max="8449" width="4.7109375" customWidth="1"/>
    <col min="8450" max="8450" width="45" customWidth="1"/>
    <col min="8451" max="8451" width="8.42578125" customWidth="1"/>
    <col min="8452" max="8452" width="14.28515625" customWidth="1"/>
    <col min="8453" max="8453" width="9.28515625" bestFit="1" customWidth="1"/>
    <col min="8454" max="8454" width="12.140625" customWidth="1"/>
    <col min="8455" max="8455" width="14.42578125" customWidth="1"/>
    <col min="8456" max="8456" width="12.5703125" customWidth="1"/>
    <col min="8457" max="8457" width="17.7109375" customWidth="1"/>
    <col min="8705" max="8705" width="4.7109375" customWidth="1"/>
    <col min="8706" max="8706" width="45" customWidth="1"/>
    <col min="8707" max="8707" width="8.42578125" customWidth="1"/>
    <col min="8708" max="8708" width="14.28515625" customWidth="1"/>
    <col min="8709" max="8709" width="9.28515625" bestFit="1" customWidth="1"/>
    <col min="8710" max="8710" width="12.140625" customWidth="1"/>
    <col min="8711" max="8711" width="14.42578125" customWidth="1"/>
    <col min="8712" max="8712" width="12.5703125" customWidth="1"/>
    <col min="8713" max="8713" width="17.7109375" customWidth="1"/>
    <col min="8961" max="8961" width="4.7109375" customWidth="1"/>
    <col min="8962" max="8962" width="45" customWidth="1"/>
    <col min="8963" max="8963" width="8.42578125" customWidth="1"/>
    <col min="8964" max="8964" width="14.28515625" customWidth="1"/>
    <col min="8965" max="8965" width="9.28515625" bestFit="1" customWidth="1"/>
    <col min="8966" max="8966" width="12.140625" customWidth="1"/>
    <col min="8967" max="8967" width="14.42578125" customWidth="1"/>
    <col min="8968" max="8968" width="12.5703125" customWidth="1"/>
    <col min="8969" max="8969" width="17.7109375" customWidth="1"/>
    <col min="9217" max="9217" width="4.7109375" customWidth="1"/>
    <col min="9218" max="9218" width="45" customWidth="1"/>
    <col min="9219" max="9219" width="8.42578125" customWidth="1"/>
    <col min="9220" max="9220" width="14.28515625" customWidth="1"/>
    <col min="9221" max="9221" width="9.28515625" bestFit="1" customWidth="1"/>
    <col min="9222" max="9222" width="12.140625" customWidth="1"/>
    <col min="9223" max="9223" width="14.42578125" customWidth="1"/>
    <col min="9224" max="9224" width="12.5703125" customWidth="1"/>
    <col min="9225" max="9225" width="17.7109375" customWidth="1"/>
    <col min="9473" max="9473" width="4.7109375" customWidth="1"/>
    <col min="9474" max="9474" width="45" customWidth="1"/>
    <col min="9475" max="9475" width="8.42578125" customWidth="1"/>
    <col min="9476" max="9476" width="14.28515625" customWidth="1"/>
    <col min="9477" max="9477" width="9.28515625" bestFit="1" customWidth="1"/>
    <col min="9478" max="9478" width="12.140625" customWidth="1"/>
    <col min="9479" max="9479" width="14.42578125" customWidth="1"/>
    <col min="9480" max="9480" width="12.5703125" customWidth="1"/>
    <col min="9481" max="9481" width="17.7109375" customWidth="1"/>
    <col min="9729" max="9729" width="4.7109375" customWidth="1"/>
    <col min="9730" max="9730" width="45" customWidth="1"/>
    <col min="9731" max="9731" width="8.42578125" customWidth="1"/>
    <col min="9732" max="9732" width="14.28515625" customWidth="1"/>
    <col min="9733" max="9733" width="9.28515625" bestFit="1" customWidth="1"/>
    <col min="9734" max="9734" width="12.140625" customWidth="1"/>
    <col min="9735" max="9735" width="14.42578125" customWidth="1"/>
    <col min="9736" max="9736" width="12.5703125" customWidth="1"/>
    <col min="9737" max="9737" width="17.7109375" customWidth="1"/>
    <col min="9985" max="9985" width="4.7109375" customWidth="1"/>
    <col min="9986" max="9986" width="45" customWidth="1"/>
    <col min="9987" max="9987" width="8.42578125" customWidth="1"/>
    <col min="9988" max="9988" width="14.28515625" customWidth="1"/>
    <col min="9989" max="9989" width="9.28515625" bestFit="1" customWidth="1"/>
    <col min="9990" max="9990" width="12.140625" customWidth="1"/>
    <col min="9991" max="9991" width="14.42578125" customWidth="1"/>
    <col min="9992" max="9992" width="12.5703125" customWidth="1"/>
    <col min="9993" max="9993" width="17.7109375" customWidth="1"/>
    <col min="10241" max="10241" width="4.7109375" customWidth="1"/>
    <col min="10242" max="10242" width="45" customWidth="1"/>
    <col min="10243" max="10243" width="8.42578125" customWidth="1"/>
    <col min="10244" max="10244" width="14.28515625" customWidth="1"/>
    <col min="10245" max="10245" width="9.28515625" bestFit="1" customWidth="1"/>
    <col min="10246" max="10246" width="12.140625" customWidth="1"/>
    <col min="10247" max="10247" width="14.42578125" customWidth="1"/>
    <col min="10248" max="10248" width="12.5703125" customWidth="1"/>
    <col min="10249" max="10249" width="17.7109375" customWidth="1"/>
    <col min="10497" max="10497" width="4.7109375" customWidth="1"/>
    <col min="10498" max="10498" width="45" customWidth="1"/>
    <col min="10499" max="10499" width="8.42578125" customWidth="1"/>
    <col min="10500" max="10500" width="14.28515625" customWidth="1"/>
    <col min="10501" max="10501" width="9.28515625" bestFit="1" customWidth="1"/>
    <col min="10502" max="10502" width="12.140625" customWidth="1"/>
    <col min="10503" max="10503" width="14.42578125" customWidth="1"/>
    <col min="10504" max="10504" width="12.5703125" customWidth="1"/>
    <col min="10505" max="10505" width="17.7109375" customWidth="1"/>
    <col min="10753" max="10753" width="4.7109375" customWidth="1"/>
    <col min="10754" max="10754" width="45" customWidth="1"/>
    <col min="10755" max="10755" width="8.42578125" customWidth="1"/>
    <col min="10756" max="10756" width="14.28515625" customWidth="1"/>
    <col min="10757" max="10757" width="9.28515625" bestFit="1" customWidth="1"/>
    <col min="10758" max="10758" width="12.140625" customWidth="1"/>
    <col min="10759" max="10759" width="14.42578125" customWidth="1"/>
    <col min="10760" max="10760" width="12.5703125" customWidth="1"/>
    <col min="10761" max="10761" width="17.7109375" customWidth="1"/>
    <col min="11009" max="11009" width="4.7109375" customWidth="1"/>
    <col min="11010" max="11010" width="45" customWidth="1"/>
    <col min="11011" max="11011" width="8.42578125" customWidth="1"/>
    <col min="11012" max="11012" width="14.28515625" customWidth="1"/>
    <col min="11013" max="11013" width="9.28515625" bestFit="1" customWidth="1"/>
    <col min="11014" max="11014" width="12.140625" customWidth="1"/>
    <col min="11015" max="11015" width="14.42578125" customWidth="1"/>
    <col min="11016" max="11016" width="12.5703125" customWidth="1"/>
    <col min="11017" max="11017" width="17.7109375" customWidth="1"/>
    <col min="11265" max="11265" width="4.7109375" customWidth="1"/>
    <col min="11266" max="11266" width="45" customWidth="1"/>
    <col min="11267" max="11267" width="8.42578125" customWidth="1"/>
    <col min="11268" max="11268" width="14.28515625" customWidth="1"/>
    <col min="11269" max="11269" width="9.28515625" bestFit="1" customWidth="1"/>
    <col min="11270" max="11270" width="12.140625" customWidth="1"/>
    <col min="11271" max="11271" width="14.42578125" customWidth="1"/>
    <col min="11272" max="11272" width="12.5703125" customWidth="1"/>
    <col min="11273" max="11273" width="17.7109375" customWidth="1"/>
    <col min="11521" max="11521" width="4.7109375" customWidth="1"/>
    <col min="11522" max="11522" width="45" customWidth="1"/>
    <col min="11523" max="11523" width="8.42578125" customWidth="1"/>
    <col min="11524" max="11524" width="14.28515625" customWidth="1"/>
    <col min="11525" max="11525" width="9.28515625" bestFit="1" customWidth="1"/>
    <col min="11526" max="11526" width="12.140625" customWidth="1"/>
    <col min="11527" max="11527" width="14.42578125" customWidth="1"/>
    <col min="11528" max="11528" width="12.5703125" customWidth="1"/>
    <col min="11529" max="11529" width="17.7109375" customWidth="1"/>
    <col min="11777" max="11777" width="4.7109375" customWidth="1"/>
    <col min="11778" max="11778" width="45" customWidth="1"/>
    <col min="11779" max="11779" width="8.42578125" customWidth="1"/>
    <col min="11780" max="11780" width="14.28515625" customWidth="1"/>
    <col min="11781" max="11781" width="9.28515625" bestFit="1" customWidth="1"/>
    <col min="11782" max="11782" width="12.140625" customWidth="1"/>
    <col min="11783" max="11783" width="14.42578125" customWidth="1"/>
    <col min="11784" max="11784" width="12.5703125" customWidth="1"/>
    <col min="11785" max="11785" width="17.7109375" customWidth="1"/>
    <col min="12033" max="12033" width="4.7109375" customWidth="1"/>
    <col min="12034" max="12034" width="45" customWidth="1"/>
    <col min="12035" max="12035" width="8.42578125" customWidth="1"/>
    <col min="12036" max="12036" width="14.28515625" customWidth="1"/>
    <col min="12037" max="12037" width="9.28515625" bestFit="1" customWidth="1"/>
    <col min="12038" max="12038" width="12.140625" customWidth="1"/>
    <col min="12039" max="12039" width="14.42578125" customWidth="1"/>
    <col min="12040" max="12040" width="12.5703125" customWidth="1"/>
    <col min="12041" max="12041" width="17.7109375" customWidth="1"/>
    <col min="12289" max="12289" width="4.7109375" customWidth="1"/>
    <col min="12290" max="12290" width="45" customWidth="1"/>
    <col min="12291" max="12291" width="8.42578125" customWidth="1"/>
    <col min="12292" max="12292" width="14.28515625" customWidth="1"/>
    <col min="12293" max="12293" width="9.28515625" bestFit="1" customWidth="1"/>
    <col min="12294" max="12294" width="12.140625" customWidth="1"/>
    <col min="12295" max="12295" width="14.42578125" customWidth="1"/>
    <col min="12296" max="12296" width="12.5703125" customWidth="1"/>
    <col min="12297" max="12297" width="17.7109375" customWidth="1"/>
    <col min="12545" max="12545" width="4.7109375" customWidth="1"/>
    <col min="12546" max="12546" width="45" customWidth="1"/>
    <col min="12547" max="12547" width="8.42578125" customWidth="1"/>
    <col min="12548" max="12548" width="14.28515625" customWidth="1"/>
    <col min="12549" max="12549" width="9.28515625" bestFit="1" customWidth="1"/>
    <col min="12550" max="12550" width="12.140625" customWidth="1"/>
    <col min="12551" max="12551" width="14.42578125" customWidth="1"/>
    <col min="12552" max="12552" width="12.5703125" customWidth="1"/>
    <col min="12553" max="12553" width="17.7109375" customWidth="1"/>
    <col min="12801" max="12801" width="4.7109375" customWidth="1"/>
    <col min="12802" max="12802" width="45" customWidth="1"/>
    <col min="12803" max="12803" width="8.42578125" customWidth="1"/>
    <col min="12804" max="12804" width="14.28515625" customWidth="1"/>
    <col min="12805" max="12805" width="9.28515625" bestFit="1" customWidth="1"/>
    <col min="12806" max="12806" width="12.140625" customWidth="1"/>
    <col min="12807" max="12807" width="14.42578125" customWidth="1"/>
    <col min="12808" max="12808" width="12.5703125" customWidth="1"/>
    <col min="12809" max="12809" width="17.7109375" customWidth="1"/>
    <col min="13057" max="13057" width="4.7109375" customWidth="1"/>
    <col min="13058" max="13058" width="45" customWidth="1"/>
    <col min="13059" max="13059" width="8.42578125" customWidth="1"/>
    <col min="13060" max="13060" width="14.28515625" customWidth="1"/>
    <col min="13061" max="13061" width="9.28515625" bestFit="1" customWidth="1"/>
    <col min="13062" max="13062" width="12.140625" customWidth="1"/>
    <col min="13063" max="13063" width="14.42578125" customWidth="1"/>
    <col min="13064" max="13064" width="12.5703125" customWidth="1"/>
    <col min="13065" max="13065" width="17.7109375" customWidth="1"/>
    <col min="13313" max="13313" width="4.7109375" customWidth="1"/>
    <col min="13314" max="13314" width="45" customWidth="1"/>
    <col min="13315" max="13315" width="8.42578125" customWidth="1"/>
    <col min="13316" max="13316" width="14.28515625" customWidth="1"/>
    <col min="13317" max="13317" width="9.28515625" bestFit="1" customWidth="1"/>
    <col min="13318" max="13318" width="12.140625" customWidth="1"/>
    <col min="13319" max="13319" width="14.42578125" customWidth="1"/>
    <col min="13320" max="13320" width="12.5703125" customWidth="1"/>
    <col min="13321" max="13321" width="17.7109375" customWidth="1"/>
    <col min="13569" max="13569" width="4.7109375" customWidth="1"/>
    <col min="13570" max="13570" width="45" customWidth="1"/>
    <col min="13571" max="13571" width="8.42578125" customWidth="1"/>
    <col min="13572" max="13572" width="14.28515625" customWidth="1"/>
    <col min="13573" max="13573" width="9.28515625" bestFit="1" customWidth="1"/>
    <col min="13574" max="13574" width="12.140625" customWidth="1"/>
    <col min="13575" max="13575" width="14.42578125" customWidth="1"/>
    <col min="13576" max="13576" width="12.5703125" customWidth="1"/>
    <col min="13577" max="13577" width="17.7109375" customWidth="1"/>
    <col min="13825" max="13825" width="4.7109375" customWidth="1"/>
    <col min="13826" max="13826" width="45" customWidth="1"/>
    <col min="13827" max="13827" width="8.42578125" customWidth="1"/>
    <col min="13828" max="13828" width="14.28515625" customWidth="1"/>
    <col min="13829" max="13829" width="9.28515625" bestFit="1" customWidth="1"/>
    <col min="13830" max="13830" width="12.140625" customWidth="1"/>
    <col min="13831" max="13831" width="14.42578125" customWidth="1"/>
    <col min="13832" max="13832" width="12.5703125" customWidth="1"/>
    <col min="13833" max="13833" width="17.7109375" customWidth="1"/>
    <col min="14081" max="14081" width="4.7109375" customWidth="1"/>
    <col min="14082" max="14082" width="45" customWidth="1"/>
    <col min="14083" max="14083" width="8.42578125" customWidth="1"/>
    <col min="14084" max="14084" width="14.28515625" customWidth="1"/>
    <col min="14085" max="14085" width="9.28515625" bestFit="1" customWidth="1"/>
    <col min="14086" max="14086" width="12.140625" customWidth="1"/>
    <col min="14087" max="14087" width="14.42578125" customWidth="1"/>
    <col min="14088" max="14088" width="12.5703125" customWidth="1"/>
    <col min="14089" max="14089" width="17.7109375" customWidth="1"/>
    <col min="14337" max="14337" width="4.7109375" customWidth="1"/>
    <col min="14338" max="14338" width="45" customWidth="1"/>
    <col min="14339" max="14339" width="8.42578125" customWidth="1"/>
    <col min="14340" max="14340" width="14.28515625" customWidth="1"/>
    <col min="14341" max="14341" width="9.28515625" bestFit="1" customWidth="1"/>
    <col min="14342" max="14342" width="12.140625" customWidth="1"/>
    <col min="14343" max="14343" width="14.42578125" customWidth="1"/>
    <col min="14344" max="14344" width="12.5703125" customWidth="1"/>
    <col min="14345" max="14345" width="17.7109375" customWidth="1"/>
    <col min="14593" max="14593" width="4.7109375" customWidth="1"/>
    <col min="14594" max="14594" width="45" customWidth="1"/>
    <col min="14595" max="14595" width="8.42578125" customWidth="1"/>
    <col min="14596" max="14596" width="14.28515625" customWidth="1"/>
    <col min="14597" max="14597" width="9.28515625" bestFit="1" customWidth="1"/>
    <col min="14598" max="14598" width="12.140625" customWidth="1"/>
    <col min="14599" max="14599" width="14.42578125" customWidth="1"/>
    <col min="14600" max="14600" width="12.5703125" customWidth="1"/>
    <col min="14601" max="14601" width="17.7109375" customWidth="1"/>
    <col min="14849" max="14849" width="4.7109375" customWidth="1"/>
    <col min="14850" max="14850" width="45" customWidth="1"/>
    <col min="14851" max="14851" width="8.42578125" customWidth="1"/>
    <col min="14852" max="14852" width="14.28515625" customWidth="1"/>
    <col min="14853" max="14853" width="9.28515625" bestFit="1" customWidth="1"/>
    <col min="14854" max="14854" width="12.140625" customWidth="1"/>
    <col min="14855" max="14855" width="14.42578125" customWidth="1"/>
    <col min="14856" max="14856" width="12.5703125" customWidth="1"/>
    <col min="14857" max="14857" width="17.7109375" customWidth="1"/>
    <col min="15105" max="15105" width="4.7109375" customWidth="1"/>
    <col min="15106" max="15106" width="45" customWidth="1"/>
    <col min="15107" max="15107" width="8.42578125" customWidth="1"/>
    <col min="15108" max="15108" width="14.28515625" customWidth="1"/>
    <col min="15109" max="15109" width="9.28515625" bestFit="1" customWidth="1"/>
    <col min="15110" max="15110" width="12.140625" customWidth="1"/>
    <col min="15111" max="15111" width="14.42578125" customWidth="1"/>
    <col min="15112" max="15112" width="12.5703125" customWidth="1"/>
    <col min="15113" max="15113" width="17.7109375" customWidth="1"/>
    <col min="15361" max="15361" width="4.7109375" customWidth="1"/>
    <col min="15362" max="15362" width="45" customWidth="1"/>
    <col min="15363" max="15363" width="8.42578125" customWidth="1"/>
    <col min="15364" max="15364" width="14.28515625" customWidth="1"/>
    <col min="15365" max="15365" width="9.28515625" bestFit="1" customWidth="1"/>
    <col min="15366" max="15366" width="12.140625" customWidth="1"/>
    <col min="15367" max="15367" width="14.42578125" customWidth="1"/>
    <col min="15368" max="15368" width="12.5703125" customWidth="1"/>
    <col min="15369" max="15369" width="17.7109375" customWidth="1"/>
    <col min="15617" max="15617" width="4.7109375" customWidth="1"/>
    <col min="15618" max="15618" width="45" customWidth="1"/>
    <col min="15619" max="15619" width="8.42578125" customWidth="1"/>
    <col min="15620" max="15620" width="14.28515625" customWidth="1"/>
    <col min="15621" max="15621" width="9.28515625" bestFit="1" customWidth="1"/>
    <col min="15622" max="15622" width="12.140625" customWidth="1"/>
    <col min="15623" max="15623" width="14.42578125" customWidth="1"/>
    <col min="15624" max="15624" width="12.5703125" customWidth="1"/>
    <col min="15625" max="15625" width="17.7109375" customWidth="1"/>
    <col min="15873" max="15873" width="4.7109375" customWidth="1"/>
    <col min="15874" max="15874" width="45" customWidth="1"/>
    <col min="15875" max="15875" width="8.42578125" customWidth="1"/>
    <col min="15876" max="15876" width="14.28515625" customWidth="1"/>
    <col min="15877" max="15877" width="9.28515625" bestFit="1" customWidth="1"/>
    <col min="15878" max="15878" width="12.140625" customWidth="1"/>
    <col min="15879" max="15879" width="14.42578125" customWidth="1"/>
    <col min="15880" max="15880" width="12.5703125" customWidth="1"/>
    <col min="15881" max="15881" width="17.7109375" customWidth="1"/>
    <col min="16129" max="16129" width="4.7109375" customWidth="1"/>
    <col min="16130" max="16130" width="45" customWidth="1"/>
    <col min="16131" max="16131" width="8.42578125" customWidth="1"/>
    <col min="16132" max="16132" width="14.28515625" customWidth="1"/>
    <col min="16133" max="16133" width="9.28515625" bestFit="1" customWidth="1"/>
    <col min="16134" max="16134" width="12.140625" customWidth="1"/>
    <col min="16135" max="16135" width="14.42578125" customWidth="1"/>
    <col min="16136" max="16136" width="12.5703125" customWidth="1"/>
    <col min="16137" max="16137" width="17.7109375" customWidth="1"/>
  </cols>
  <sheetData>
    <row r="1" spans="1:14" x14ac:dyDescent="0.2">
      <c r="A1" s="103" t="s">
        <v>265</v>
      </c>
    </row>
    <row r="2" spans="1:14" x14ac:dyDescent="0.2">
      <c r="A2" s="103" t="str">
        <f>'[2]Planilha Global'!A2</f>
        <v>PREFEITURA MUNICIPAL DE MAMANGUAPE</v>
      </c>
      <c r="G2" t="s">
        <v>421</v>
      </c>
      <c r="H2">
        <v>242.44</v>
      </c>
    </row>
    <row r="3" spans="1:14" ht="5.0999999999999996" customHeight="1" x14ac:dyDescent="0.2"/>
    <row r="4" spans="1:14" s="202" customFormat="1" ht="12.75" customHeight="1" x14ac:dyDescent="0.25">
      <c r="A4" s="729" t="s">
        <v>422</v>
      </c>
      <c r="B4" s="737"/>
      <c r="C4" s="737"/>
      <c r="D4" s="737"/>
      <c r="E4" s="737"/>
      <c r="F4" s="737"/>
      <c r="H4" s="202" t="s">
        <v>423</v>
      </c>
      <c r="I4" s="202" t="s">
        <v>424</v>
      </c>
      <c r="J4" s="202" t="s">
        <v>425</v>
      </c>
      <c r="K4" s="202" t="s">
        <v>426</v>
      </c>
      <c r="L4" s="202" t="s">
        <v>427</v>
      </c>
      <c r="M4" s="202" t="s">
        <v>428</v>
      </c>
      <c r="N4" s="202" t="s">
        <v>429</v>
      </c>
    </row>
    <row r="5" spans="1:14" s="202" customFormat="1" ht="7.5" customHeight="1" x14ac:dyDescent="0.25">
      <c r="A5" s="434"/>
      <c r="B5" s="435"/>
      <c r="C5" s="435"/>
      <c r="D5" s="435"/>
      <c r="E5" s="435"/>
      <c r="F5" s="435"/>
    </row>
    <row r="6" spans="1:14" s="202" customFormat="1" ht="15" customHeight="1" x14ac:dyDescent="0.25">
      <c r="A6" s="258" t="s">
        <v>503</v>
      </c>
      <c r="B6" s="258"/>
      <c r="C6" s="258" t="s">
        <v>467</v>
      </c>
      <c r="D6" s="258"/>
      <c r="E6" s="103"/>
      <c r="F6" s="103"/>
      <c r="G6" s="53"/>
    </row>
    <row r="7" spans="1:14" s="202" customFormat="1" ht="20.25" customHeight="1" x14ac:dyDescent="0.25">
      <c r="A7" s="258" t="s">
        <v>525</v>
      </c>
      <c r="B7" s="436"/>
      <c r="C7" s="437"/>
      <c r="D7" s="437"/>
      <c r="E7" s="257"/>
      <c r="F7" s="257"/>
      <c r="G7" s="53"/>
    </row>
    <row r="8" spans="1:14" s="202" customFormat="1" ht="15" customHeight="1" x14ac:dyDescent="0.25">
      <c r="A8" s="103" t="s">
        <v>470</v>
      </c>
      <c r="B8" s="436"/>
      <c r="C8" s="736" t="s">
        <v>471</v>
      </c>
      <c r="D8" s="736"/>
      <c r="E8" s="736"/>
      <c r="F8" s="736"/>
      <c r="G8" s="53"/>
      <c r="H8" s="202">
        <v>5</v>
      </c>
      <c r="I8" s="202">
        <v>242.44</v>
      </c>
      <c r="J8" s="202">
        <f>H8*I8</f>
        <v>1212.2</v>
      </c>
      <c r="K8" s="202">
        <f>19.11+1.55+18.21+6.36+6.59+14.85+12.43+2.31+10.81+15.88+10.66+1.09+2.11+2.21+2.83+8.77+4.82+1.56+4.49+19.67+11.41+11.3+12.12+4.52+5.42+5.35+2.59+0.68+1.95+3.33+6.64+3.46+0.28+1.86+0.24+16.96+32.58+16.1+5.47+9.85+8.23+4.55+0.25+6.67+9.65+2.01+3.43+4.18+1.78+0.59+1.55+9.65+9.74+13.87+22.17+1.39+5.52+1.86+2.38+32.97+6.39+3.59+15.89+6.34</f>
        <v>493.07</v>
      </c>
      <c r="L8" s="202">
        <f>5.68+4.08+6.31+26.94+12.7+10.5+13.15+2.22+7.65+20.38+25.33+25.4+36.7+29.26+18.73+19.08+9.01+14.58+11.42+7.25+4.36+26.66+12.33+10.58+14.04+3.07+7.89+20.45+25.67+25.67+37.03+29.56+19.1+18.96+8.89+14.81+11.96</f>
        <v>597.4</v>
      </c>
      <c r="M8" s="202">
        <v>3</v>
      </c>
      <c r="N8" s="202">
        <v>1.2</v>
      </c>
    </row>
    <row r="9" spans="1:14" s="202" customFormat="1" ht="15" customHeight="1" x14ac:dyDescent="0.2">
      <c r="A9" s="103" t="s">
        <v>443</v>
      </c>
      <c r="B9" s="438"/>
      <c r="C9" s="736" t="s">
        <v>472</v>
      </c>
      <c r="D9" s="736"/>
      <c r="E9" s="736"/>
      <c r="F9" s="736"/>
      <c r="G9" s="53"/>
      <c r="H9" s="230">
        <v>5</v>
      </c>
      <c r="I9" s="230">
        <v>5</v>
      </c>
      <c r="J9" s="230">
        <f>H9*I9</f>
        <v>25</v>
      </c>
      <c r="K9" s="230"/>
      <c r="L9" s="202">
        <f>2.43+3.39+2.31+2.97+2.01+3.07</f>
        <v>16.18</v>
      </c>
    </row>
    <row r="10" spans="1:14" s="202" customFormat="1" ht="14.25" customHeight="1" x14ac:dyDescent="0.2">
      <c r="A10" s="103" t="s">
        <v>480</v>
      </c>
      <c r="B10" s="438"/>
      <c r="C10" s="736" t="s">
        <v>473</v>
      </c>
      <c r="D10" s="736"/>
      <c r="E10" s="736"/>
      <c r="F10" s="736"/>
      <c r="H10" s="230">
        <f>(1.7)/2</f>
        <v>0.85</v>
      </c>
      <c r="I10" s="230">
        <v>1.55</v>
      </c>
      <c r="J10" s="230">
        <f>H10*I10</f>
        <v>1.32</v>
      </c>
      <c r="K10" s="230"/>
    </row>
    <row r="11" spans="1:14" s="202" customFormat="1" ht="14.25" customHeight="1" x14ac:dyDescent="0.2">
      <c r="A11" s="103"/>
      <c r="B11" s="438"/>
      <c r="C11" s="437"/>
      <c r="D11" s="437"/>
      <c r="E11" s="437"/>
      <c r="F11" s="437"/>
      <c r="H11" s="230">
        <f>0.91/2</f>
        <v>0.46</v>
      </c>
      <c r="I11" s="230">
        <v>0.92</v>
      </c>
      <c r="J11" s="230">
        <f t="shared" ref="J11:J20" si="0">H11*I11</f>
        <v>0.42</v>
      </c>
    </row>
    <row r="12" spans="1:14" s="202" customFormat="1" ht="14.25" customHeight="1" x14ac:dyDescent="0.2">
      <c r="A12" s="103"/>
      <c r="B12" s="438"/>
      <c r="C12" s="103"/>
      <c r="D12" s="437"/>
      <c r="E12" s="103"/>
      <c r="F12" s="103"/>
      <c r="H12" s="202">
        <v>5</v>
      </c>
      <c r="I12" s="230">
        <v>5</v>
      </c>
      <c r="J12" s="230">
        <f t="shared" si="0"/>
        <v>25</v>
      </c>
    </row>
    <row r="13" spans="1:14" s="202" customFormat="1" ht="15" customHeight="1" x14ac:dyDescent="0.25">
      <c r="A13" s="103" t="s">
        <v>450</v>
      </c>
      <c r="B13" s="436"/>
      <c r="C13" s="736" t="s">
        <v>446</v>
      </c>
      <c r="D13" s="736"/>
      <c r="E13" s="736"/>
      <c r="F13" s="736"/>
      <c r="G13" s="53"/>
      <c r="H13" s="202">
        <f>1.28/2</f>
        <v>0.64</v>
      </c>
      <c r="I13" s="230">
        <v>1.18</v>
      </c>
      <c r="J13" s="230">
        <f t="shared" si="0"/>
        <v>0.76</v>
      </c>
    </row>
    <row r="14" spans="1:14" s="202" customFormat="1" ht="15" customHeight="1" x14ac:dyDescent="0.2">
      <c r="A14" s="103" t="s">
        <v>474</v>
      </c>
      <c r="B14" s="438"/>
      <c r="C14" s="736" t="s">
        <v>475</v>
      </c>
      <c r="D14" s="736"/>
      <c r="E14" s="736"/>
      <c r="F14" s="736"/>
      <c r="G14" s="53"/>
      <c r="H14" s="230">
        <f>1.16/2</f>
        <v>0.57999999999999996</v>
      </c>
      <c r="I14" s="230">
        <v>1.22</v>
      </c>
      <c r="J14" s="230">
        <f t="shared" si="0"/>
        <v>0.71</v>
      </c>
      <c r="K14" s="230"/>
    </row>
    <row r="15" spans="1:14" s="202" customFormat="1" ht="14.25" customHeight="1" x14ac:dyDescent="0.2">
      <c r="A15" s="103" t="s">
        <v>476</v>
      </c>
      <c r="B15" s="438"/>
      <c r="C15" s="736" t="s">
        <v>477</v>
      </c>
      <c r="D15" s="736"/>
      <c r="E15" s="736"/>
      <c r="F15" s="736"/>
      <c r="H15" s="230">
        <v>5</v>
      </c>
      <c r="I15" s="230">
        <v>5</v>
      </c>
      <c r="J15" s="230">
        <f t="shared" si="0"/>
        <v>25</v>
      </c>
      <c r="K15" s="230"/>
    </row>
    <row r="16" spans="1:14" s="202" customFormat="1" ht="14.25" customHeight="1" x14ac:dyDescent="0.2">
      <c r="A16" s="103"/>
      <c r="B16" s="438"/>
      <c r="C16" s="437"/>
      <c r="D16" s="437"/>
      <c r="E16" s="437"/>
      <c r="F16" s="437"/>
      <c r="H16" s="230">
        <f>1.32/2</f>
        <v>0.66</v>
      </c>
      <c r="I16" s="230">
        <v>1.19</v>
      </c>
      <c r="J16" s="230">
        <f t="shared" si="0"/>
        <v>0.79</v>
      </c>
    </row>
    <row r="17" spans="1:11" s="202" customFormat="1" ht="14.25" customHeight="1" x14ac:dyDescent="0.2">
      <c r="A17" s="515" t="s">
        <v>455</v>
      </c>
      <c r="B17" s="438"/>
      <c r="C17" s="515"/>
      <c r="D17" s="437"/>
      <c r="E17" s="103"/>
      <c r="F17" s="103"/>
      <c r="H17" s="202">
        <f>1.46/2</f>
        <v>0.73</v>
      </c>
      <c r="I17" s="230">
        <v>1.2</v>
      </c>
      <c r="J17" s="230">
        <f t="shared" si="0"/>
        <v>0.88</v>
      </c>
    </row>
    <row r="18" spans="1:11" s="202" customFormat="1" ht="15" customHeight="1" x14ac:dyDescent="0.25">
      <c r="A18" s="515" t="s">
        <v>478</v>
      </c>
      <c r="B18" s="436"/>
      <c r="C18" s="736"/>
      <c r="D18" s="736"/>
      <c r="E18" s="736"/>
      <c r="F18" s="736"/>
      <c r="G18" s="53"/>
      <c r="H18" s="202">
        <v>5</v>
      </c>
      <c r="I18" s="202">
        <v>5</v>
      </c>
      <c r="J18" s="230">
        <f t="shared" si="0"/>
        <v>25</v>
      </c>
    </row>
    <row r="19" spans="1:11" s="202" customFormat="1" ht="15" customHeight="1" x14ac:dyDescent="0.2">
      <c r="A19" s="515" t="s">
        <v>479</v>
      </c>
      <c r="B19" s="438"/>
      <c r="C19" s="736"/>
      <c r="D19" s="736"/>
      <c r="E19" s="736"/>
      <c r="F19" s="736"/>
      <c r="G19" s="53"/>
      <c r="H19" s="230">
        <f>0.79/2</f>
        <v>0.4</v>
      </c>
      <c r="I19" s="202">
        <v>0.78</v>
      </c>
      <c r="J19" s="230">
        <f t="shared" si="0"/>
        <v>0.31</v>
      </c>
      <c r="K19" s="230"/>
    </row>
    <row r="20" spans="1:11" s="202" customFormat="1" ht="14.25" customHeight="1" x14ac:dyDescent="0.2">
      <c r="A20" s="103"/>
      <c r="B20" s="438"/>
      <c r="C20" s="736"/>
      <c r="D20" s="736"/>
      <c r="E20" s="736"/>
      <c r="F20" s="736"/>
      <c r="H20" s="230">
        <f>1.83/2</f>
        <v>0.92</v>
      </c>
      <c r="I20" s="202">
        <v>1.83</v>
      </c>
      <c r="J20" s="230">
        <f t="shared" si="0"/>
        <v>1.68</v>
      </c>
      <c r="K20" s="230"/>
    </row>
    <row r="21" spans="1:11" s="103" customFormat="1" ht="12.75" customHeight="1" x14ac:dyDescent="0.2">
      <c r="B21" s="439" t="s">
        <v>430</v>
      </c>
      <c r="C21" s="440"/>
      <c r="D21" s="440"/>
      <c r="E21" s="441"/>
      <c r="F21" s="452"/>
    </row>
    <row r="22" spans="1:11" s="103" customFormat="1" ht="27" customHeight="1" x14ac:dyDescent="0.2">
      <c r="B22" s="724" t="s">
        <v>469</v>
      </c>
      <c r="C22" s="724"/>
      <c r="D22" s="724"/>
      <c r="E22" s="452">
        <f>H2</f>
        <v>242.44</v>
      </c>
      <c r="F22" s="438" t="s">
        <v>11</v>
      </c>
    </row>
    <row r="23" spans="1:11" s="202" customFormat="1" ht="5.0999999999999996" customHeight="1" x14ac:dyDescent="0.25">
      <c r="B23" s="453"/>
      <c r="C23" s="453"/>
      <c r="D23" s="453"/>
      <c r="E23" s="454"/>
      <c r="F23" s="455"/>
    </row>
    <row r="24" spans="1:11" s="103" customFormat="1" ht="12.75" customHeight="1" x14ac:dyDescent="0.2">
      <c r="B24" s="449" t="s">
        <v>510</v>
      </c>
      <c r="C24" s="450"/>
      <c r="D24" s="440"/>
      <c r="E24" s="308"/>
      <c r="F24" s="451"/>
      <c r="J24" s="230">
        <f>SUM(J8:J20)</f>
        <v>1319.07</v>
      </c>
    </row>
    <row r="25" spans="1:11" s="103" customFormat="1" ht="25.5" customHeight="1" x14ac:dyDescent="0.2">
      <c r="B25" s="724" t="s">
        <v>481</v>
      </c>
      <c r="C25" s="724"/>
      <c r="D25" s="724"/>
      <c r="E25" s="452">
        <f>J24</f>
        <v>1319.07</v>
      </c>
      <c r="F25" s="438" t="s">
        <v>13</v>
      </c>
    </row>
    <row r="26" spans="1:11" s="202" customFormat="1" ht="5.0999999999999996" customHeight="1" x14ac:dyDescent="0.25">
      <c r="B26" s="453"/>
      <c r="C26" s="453"/>
      <c r="D26" s="453"/>
      <c r="E26" s="454"/>
      <c r="F26" s="455"/>
    </row>
    <row r="27" spans="1:11" s="103" customFormat="1" ht="12.75" customHeight="1" x14ac:dyDescent="0.2">
      <c r="B27" s="439" t="s">
        <v>431</v>
      </c>
      <c r="C27" s="440"/>
      <c r="D27" s="440"/>
      <c r="E27" s="441"/>
      <c r="F27" s="452"/>
    </row>
    <row r="28" spans="1:11" s="103" customFormat="1" ht="129.75" customHeight="1" x14ac:dyDescent="0.2">
      <c r="B28" s="721" t="s">
        <v>468</v>
      </c>
      <c r="C28" s="721"/>
      <c r="D28" s="721"/>
      <c r="E28" s="452">
        <f>K8</f>
        <v>493.07</v>
      </c>
      <c r="F28" s="438" t="s">
        <v>11</v>
      </c>
    </row>
    <row r="29" spans="1:11" s="103" customFormat="1" ht="39" customHeight="1" x14ac:dyDescent="0.2">
      <c r="B29" s="721" t="s">
        <v>482</v>
      </c>
      <c r="C29" s="721"/>
      <c r="D29" s="721"/>
      <c r="E29" s="452">
        <f>E25</f>
        <v>1319.07</v>
      </c>
      <c r="F29" s="438" t="s">
        <v>13</v>
      </c>
    </row>
    <row r="30" spans="1:11" s="103" customFormat="1" ht="53.25" customHeight="1" x14ac:dyDescent="0.2">
      <c r="B30" s="721" t="s">
        <v>536</v>
      </c>
      <c r="C30" s="721"/>
      <c r="D30" s="721"/>
      <c r="E30" s="452">
        <v>31</v>
      </c>
      <c r="F30" s="438" t="s">
        <v>11</v>
      </c>
    </row>
    <row r="31" spans="1:11" s="103" customFormat="1" ht="5.0999999999999996" customHeight="1" x14ac:dyDescent="0.2">
      <c r="B31" s="456"/>
      <c r="C31" s="456"/>
      <c r="D31" s="456"/>
      <c r="E31" s="457"/>
      <c r="F31" s="458"/>
    </row>
    <row r="32" spans="1:11" s="103" customFormat="1" ht="12.75" customHeight="1" x14ac:dyDescent="0.2">
      <c r="B32" s="439" t="s">
        <v>490</v>
      </c>
      <c r="C32" s="440"/>
      <c r="D32" s="440"/>
      <c r="E32" s="441"/>
      <c r="F32" s="442"/>
    </row>
    <row r="33" spans="1:17" s="103" customFormat="1" ht="91.5" customHeight="1" x14ac:dyDescent="0.2">
      <c r="B33" s="721" t="s">
        <v>483</v>
      </c>
      <c r="C33" s="721"/>
      <c r="D33" s="721"/>
      <c r="E33" s="442">
        <f>ROUND(I33,2)</f>
        <v>50.41</v>
      </c>
      <c r="F33" s="442" t="s">
        <v>13</v>
      </c>
      <c r="H33" s="103">
        <f>1.6+18.85+10.77+2.11+2.84+1.05+1.05+4.85+8.64+19.67+11.45+12.32+11.1+4.68+5.28+3.27+1.05+6.77+1.05+3.51+0.71+9.12+5.5+0.68+6.81+1.05+1.05+4.18+0.54+13.88+5.52+22.19+1.05+1.05+1.86+3.57+32.97+6.33+1.05+1.05</f>
        <v>252.07</v>
      </c>
      <c r="I33" s="103">
        <f>H33*0.2</f>
        <v>50.414000000000001</v>
      </c>
    </row>
    <row r="34" spans="1:17" s="103" customFormat="1" ht="321.75" customHeight="1" x14ac:dyDescent="0.2">
      <c r="B34" s="721" t="s">
        <v>507</v>
      </c>
      <c r="C34" s="721"/>
      <c r="D34" s="721"/>
      <c r="E34" s="459">
        <f>N34</f>
        <v>17.45</v>
      </c>
      <c r="F34" s="438" t="s">
        <v>128</v>
      </c>
      <c r="H34" s="460">
        <f>(19.11*1.05)+(1.55*1.05)+(18.21*1.05/2)+(6.36*0.23/2)+(6.59*0.76/2)+(0.23+0.14)*14.85/2+(12.43*0.48/2)+(0.48+0.33)*2.31/2+(10.81*1.05)+(0.33+0.2)*15.88/2+(1.05+0.92)*10.66/2+(0.2+1.05)*1.09/2+(2.11*1.05)+(1.05*1.05/2)+(2.83*1.05)+(8.77*1.05)+(4.82*1.05)+(1.05*1.05/2)+(0.98+1.05)*4.49/2+(19.67*1.05)+(11.41*1.05)+(11.3*1.05)+(12.12*1.05)+(4.52*1.05)+(5.42*1.05)+(1.05+0.77)*5.35/2+(1.05+0.6)*2.59/2+(0.6+0.82)*0.68/2+(0.82*0.82/2)+(0.82+0.54)*0.67/2+(3.33*1.05)+(6.64*1.05)+(3.46*1.06)+(0.28*0.54)+(0.54*1.86)+(0.24*0.19)+(0.19+0.62)*16.96/2+(0.26+0.54)*32.58/2+(0.62+0.29)*16.1/2+(5.47*1.05)+(9.85*1.05)+(1.05+0.54)*8.23/2+(0.77+0.92)*4.55/2+(0.25*1.05)+(6.67*1.05)+(9.65*0.92/2)+(1.05*1.05/2)+(3.43*1.05)+(4.18*1.05)+(1.05*1.05/2)+(0.59*1.05)+(9.65*0.82/2)+(9.74*0.51/2)+(13.87*1.05)+(22.17*1.05)+(1.05*1.05/2)+(5.52*1.05)+(1.86*1.05)+(1.05*1.05/2)+(32.97*1.05)+(0.27+0.6)*6.39/2+(3.59*1.05)+(0.93+0.71)*15.89/2+(6.34*1.05)</f>
        <v>373.4</v>
      </c>
      <c r="I34" s="460">
        <f>H34-E37</f>
        <v>306.48</v>
      </c>
      <c r="J34" s="460"/>
      <c r="K34" s="460">
        <f>I34*0.06</f>
        <v>18.39</v>
      </c>
      <c r="L34" s="460">
        <f>13.88+5.77+10.7+8.72+4.52+16.38+11.42+3.61+3.83+0.87+0.41+4.99+9.95+6.69+9.82+5.01+8.99+4.51+3.64+6.67+1+3.38+4.23+0.9+0.62+8.84+0.73+5.48+17.18+0.93+1.14+4.75+19.48+20.78+6.34</f>
        <v>236.16</v>
      </c>
      <c r="M34" s="460">
        <f>L34*0.2*0.02</f>
        <v>0.94</v>
      </c>
      <c r="N34" s="460">
        <f>K34-M34</f>
        <v>17.45</v>
      </c>
    </row>
    <row r="35" spans="1:17" s="103" customFormat="1" ht="90.75" customHeight="1" x14ac:dyDescent="0.2">
      <c r="B35" s="721" t="s">
        <v>505</v>
      </c>
      <c r="C35" s="721"/>
      <c r="D35" s="721"/>
      <c r="E35" s="459">
        <f>Q35-P35</f>
        <v>3.89</v>
      </c>
      <c r="F35" s="438" t="s">
        <v>128</v>
      </c>
      <c r="H35" s="460">
        <f>7.5*N8*M8*0.06</f>
        <v>1.62</v>
      </c>
      <c r="I35" s="461">
        <f>N8*3*M8</f>
        <v>10.8</v>
      </c>
      <c r="J35" s="461"/>
      <c r="K35" s="461">
        <f>I35*0.2*0.02</f>
        <v>0.04</v>
      </c>
      <c r="L35" s="460">
        <f>H35-K35</f>
        <v>1.58</v>
      </c>
      <c r="O35" s="103">
        <f>(7.5*1.2)*3+4.98+5.4+5.24+6.19+7.62+5.24+5.25</f>
        <v>66.92</v>
      </c>
      <c r="P35" s="461">
        <f>(1.2*3*3+1.05+2+1.05+2.3+2+1.05+1.05*3+1.05*3+2+1.05+2+1.05)*0.2*0.02</f>
        <v>0.13</v>
      </c>
      <c r="Q35" s="461">
        <f>O35*0.06</f>
        <v>4.0199999999999996</v>
      </c>
    </row>
    <row r="36" spans="1:17" s="103" customFormat="1" ht="129.75" customHeight="1" x14ac:dyDescent="0.2">
      <c r="B36" s="721" t="s">
        <v>508</v>
      </c>
      <c r="C36" s="721"/>
      <c r="D36" s="721"/>
      <c r="E36" s="459">
        <f>P36</f>
        <v>53.76</v>
      </c>
      <c r="F36" s="438" t="s">
        <v>13</v>
      </c>
      <c r="H36" s="103">
        <f>N8*0.2*3*M8</f>
        <v>2.16</v>
      </c>
      <c r="I36" s="460">
        <f>L34*0.2</f>
        <v>47.23</v>
      </c>
      <c r="J36" s="460"/>
      <c r="K36" s="461"/>
      <c r="L36" s="461" t="e">
        <f>1.5*3*#REF!</f>
        <v>#REF!</v>
      </c>
      <c r="M36" s="460">
        <f>L34</f>
        <v>236.16</v>
      </c>
      <c r="N36" s="460" t="e">
        <f>L36+M36</f>
        <v>#REF!</v>
      </c>
      <c r="O36" s="103">
        <f>(1.2*3*3+1.05+2+1.05+2.3+2+1.05+1.05*3+1.05*3+2+1.05+2+1.05)*0.2</f>
        <v>6.53</v>
      </c>
      <c r="P36" s="460">
        <f>I36+O36</f>
        <v>53.76</v>
      </c>
    </row>
    <row r="37" spans="1:17" s="103" customFormat="1" ht="28.5" customHeight="1" x14ac:dyDescent="0.2">
      <c r="B37" s="726" t="s">
        <v>506</v>
      </c>
      <c r="C37" s="726"/>
      <c r="D37" s="726"/>
      <c r="E37" s="459">
        <f>O35</f>
        <v>66.92</v>
      </c>
      <c r="F37" s="438" t="s">
        <v>13</v>
      </c>
      <c r="I37" s="460"/>
      <c r="J37" s="460"/>
    </row>
    <row r="38" spans="1:17" s="103" customFormat="1" ht="53.25" customHeight="1" x14ac:dyDescent="0.2">
      <c r="B38" s="721" t="s">
        <v>529</v>
      </c>
      <c r="C38" s="721"/>
      <c r="D38" s="721"/>
      <c r="E38" s="459">
        <v>4</v>
      </c>
      <c r="F38" s="438" t="s">
        <v>279</v>
      </c>
    </row>
    <row r="39" spans="1:17" s="103" customFormat="1" ht="25.5" customHeight="1" x14ac:dyDescent="0.2">
      <c r="B39" s="721" t="s">
        <v>532</v>
      </c>
      <c r="C39" s="721"/>
      <c r="D39" s="721"/>
      <c r="E39" s="459">
        <f>E28*(0.15+0.13)</f>
        <v>138.06</v>
      </c>
      <c r="F39" s="438" t="s">
        <v>13</v>
      </c>
      <c r="H39" s="103" t="e">
        <f>#REF!*0.28</f>
        <v>#REF!</v>
      </c>
    </row>
    <row r="40" spans="1:17" s="202" customFormat="1" ht="24" customHeight="1" x14ac:dyDescent="0.2">
      <c r="A40" s="282"/>
      <c r="B40" s="721" t="s">
        <v>432</v>
      </c>
      <c r="C40" s="721"/>
      <c r="D40" s="721"/>
      <c r="E40" s="442">
        <v>1</v>
      </c>
      <c r="F40" s="53" t="s">
        <v>279</v>
      </c>
      <c r="H40" s="202">
        <v>3.9</v>
      </c>
      <c r="I40" s="202">
        <v>216</v>
      </c>
    </row>
    <row r="41" spans="1:17" s="103" customFormat="1" ht="3.75" customHeight="1" x14ac:dyDescent="0.2">
      <c r="B41" s="443"/>
      <c r="C41" s="443"/>
      <c r="D41" s="443"/>
      <c r="E41" s="459"/>
      <c r="F41" s="438"/>
    </row>
    <row r="42" spans="1:17" s="103" customFormat="1" ht="5.0999999999999996" customHeight="1" x14ac:dyDescent="0.2">
      <c r="E42" s="441"/>
      <c r="F42" s="442"/>
    </row>
    <row r="43" spans="1:17" x14ac:dyDescent="0.2">
      <c r="A43" s="103" t="s">
        <v>265</v>
      </c>
    </row>
    <row r="44" spans="1:17" x14ac:dyDescent="0.2">
      <c r="A44" s="103" t="str">
        <f>A2</f>
        <v>PREFEITURA MUNICIPAL DE MAMANGUAPE</v>
      </c>
    </row>
    <row r="45" spans="1:17" ht="5.0999999999999996" customHeight="1" x14ac:dyDescent="0.2"/>
    <row r="46" spans="1:17" s="103" customFormat="1" ht="12.75" customHeight="1" x14ac:dyDescent="0.25">
      <c r="A46" s="729" t="s">
        <v>433</v>
      </c>
      <c r="B46" s="729"/>
      <c r="C46" s="729"/>
      <c r="D46" s="729"/>
      <c r="E46" s="729"/>
      <c r="F46" s="729"/>
      <c r="H46" s="460"/>
    </row>
    <row r="47" spans="1:17" s="202" customFormat="1" ht="17.25" customHeight="1" x14ac:dyDescent="0.25">
      <c r="A47" s="258" t="str">
        <f>A6</f>
        <v>RUA FRANCISCO JOSÉ CARDOSO - Trecho 02</v>
      </c>
      <c r="B47" s="258"/>
      <c r="C47" s="808"/>
      <c r="D47" s="808"/>
      <c r="E47" s="809"/>
      <c r="F47" s="809"/>
      <c r="G47" s="53"/>
    </row>
    <row r="48" spans="1:17" s="202" customFormat="1" ht="5.0999999999999996" customHeight="1" x14ac:dyDescent="0.25">
      <c r="B48" s="436"/>
      <c r="C48" s="437"/>
      <c r="D48" s="437"/>
      <c r="E48" s="257"/>
      <c r="F48" s="257"/>
      <c r="G48" s="53"/>
    </row>
    <row r="49" spans="1:11" s="202" customFormat="1" ht="12.75" customHeight="1" x14ac:dyDescent="0.2">
      <c r="A49" s="730" t="s">
        <v>53</v>
      </c>
      <c r="B49" s="732" t="s">
        <v>267</v>
      </c>
      <c r="C49" s="732" t="s">
        <v>268</v>
      </c>
      <c r="D49" s="732" t="s">
        <v>434</v>
      </c>
      <c r="E49" s="732" t="s">
        <v>435</v>
      </c>
      <c r="F49" s="734"/>
    </row>
    <row r="50" spans="1:11" s="202" customFormat="1" ht="12.75" customHeight="1" x14ac:dyDescent="0.2">
      <c r="A50" s="731"/>
      <c r="B50" s="733"/>
      <c r="C50" s="733"/>
      <c r="D50" s="733"/>
      <c r="E50" s="462" t="s">
        <v>436</v>
      </c>
      <c r="F50" s="463" t="s">
        <v>437</v>
      </c>
    </row>
    <row r="51" spans="1:11" s="202" customFormat="1" ht="12.75" customHeight="1" x14ac:dyDescent="0.2">
      <c r="A51" s="464" t="s">
        <v>4</v>
      </c>
      <c r="B51" s="465" t="s">
        <v>438</v>
      </c>
      <c r="C51" s="466"/>
      <c r="D51" s="467"/>
      <c r="E51" s="467"/>
      <c r="F51" s="468">
        <f>SUM(F52:F52)</f>
        <v>143.04</v>
      </c>
    </row>
    <row r="52" spans="1:11" s="202" customFormat="1" ht="25.5" x14ac:dyDescent="0.2">
      <c r="A52" s="469" t="s">
        <v>86</v>
      </c>
      <c r="B52" s="470" t="str">
        <f>'Francisco J. Cardoso - T1'!B59</f>
        <v>Execução de linhas de referência em gabarito ou cavalete (locação de pavimentação)</v>
      </c>
      <c r="C52" s="516" t="s">
        <v>11</v>
      </c>
      <c r="D52" s="472">
        <f>E22</f>
        <v>242.44</v>
      </c>
      <c r="E52" s="473">
        <f>'Francisco J. Cardoso - T1'!E59</f>
        <v>0.59</v>
      </c>
      <c r="F52" s="474">
        <f>ROUND(D52,2)*ROUND(E52,2)</f>
        <v>143.04</v>
      </c>
    </row>
    <row r="53" spans="1:11" s="202" customFormat="1" ht="5.0999999999999996" customHeight="1" x14ac:dyDescent="0.2">
      <c r="A53" s="480"/>
      <c r="B53" s="481"/>
      <c r="C53" s="482"/>
      <c r="D53" s="482"/>
      <c r="E53" s="483"/>
      <c r="F53" s="484"/>
    </row>
    <row r="54" spans="1:11" s="202" customFormat="1" ht="12.75" customHeight="1" x14ac:dyDescent="0.2">
      <c r="A54" s="464" t="s">
        <v>6</v>
      </c>
      <c r="B54" s="465" t="s">
        <v>511</v>
      </c>
      <c r="C54" s="466"/>
      <c r="D54" s="467"/>
      <c r="E54" s="467"/>
      <c r="F54" s="468">
        <f>SUM(F55:F55)</f>
        <v>3930.83</v>
      </c>
    </row>
    <row r="55" spans="1:11" s="202" customFormat="1" ht="25.5" x14ac:dyDescent="0.2">
      <c r="A55" s="469" t="s">
        <v>7</v>
      </c>
      <c r="B55" s="470" t="str">
        <f>'Francisco J. Cardoso - T1'!B62</f>
        <v>Regularização e compactação do subleito até 20 cm de espessura</v>
      </c>
      <c r="C55" s="482" t="str">
        <f>F25</f>
        <v>m²</v>
      </c>
      <c r="D55" s="472">
        <f>E25</f>
        <v>1319.07</v>
      </c>
      <c r="E55" s="473">
        <f>'Francisco J. Cardoso - T1'!E62</f>
        <v>2.98</v>
      </c>
      <c r="F55" s="474">
        <f>ROUND(D55,2)*ROUND(E55,2)</f>
        <v>3930.83</v>
      </c>
      <c r="H55" s="485"/>
    </row>
    <row r="56" spans="1:11" s="202" customFormat="1" ht="6.75" customHeight="1" x14ac:dyDescent="0.2">
      <c r="A56" s="486"/>
      <c r="B56" s="487"/>
      <c r="C56" s="482"/>
      <c r="D56" s="472"/>
      <c r="E56" s="488"/>
      <c r="F56" s="474"/>
    </row>
    <row r="57" spans="1:11" s="202" customFormat="1" ht="12.75" customHeight="1" thickBot="1" x14ac:dyDescent="0.25">
      <c r="A57" s="464" t="s">
        <v>8</v>
      </c>
      <c r="B57" s="465" t="s">
        <v>439</v>
      </c>
      <c r="C57" s="466"/>
      <c r="D57" s="467"/>
      <c r="E57" s="489"/>
      <c r="F57" s="468">
        <f>SUM(F58:F60)</f>
        <v>169201.86</v>
      </c>
    </row>
    <row r="58" spans="1:11" s="226" customFormat="1" ht="63.75" x14ac:dyDescent="0.2">
      <c r="A58" s="469" t="s">
        <v>9</v>
      </c>
      <c r="B58" s="491" t="s">
        <v>260</v>
      </c>
      <c r="C58" s="482" t="str">
        <f>F28</f>
        <v>m</v>
      </c>
      <c r="D58" s="472">
        <f>E28</f>
        <v>493.07</v>
      </c>
      <c r="E58" s="473">
        <f>'Francisco J. Cardoso - T1'!E65</f>
        <v>58.64</v>
      </c>
      <c r="F58" s="474">
        <f>ROUND(D58,2)*ROUND(E58,2)</f>
        <v>28913.62</v>
      </c>
      <c r="H58" s="492"/>
      <c r="I58" s="493"/>
      <c r="J58" s="494"/>
    </row>
    <row r="59" spans="1:11" s="226" customFormat="1" ht="39" thickBot="1" x14ac:dyDescent="0.25">
      <c r="A59" s="469" t="s">
        <v>12</v>
      </c>
      <c r="B59" s="491" t="s">
        <v>305</v>
      </c>
      <c r="C59" s="482" t="str">
        <f>F29</f>
        <v>m²</v>
      </c>
      <c r="D59" s="472">
        <f>E29</f>
        <v>1319.07</v>
      </c>
      <c r="E59" s="473">
        <f>'Francisco J. Cardoso - T1'!E66</f>
        <v>104.89</v>
      </c>
      <c r="F59" s="474">
        <f>ROUND(D59,2)*ROUND(E59,2)</f>
        <v>138357.25</v>
      </c>
      <c r="H59" s="495"/>
      <c r="I59" s="496"/>
      <c r="J59" s="497"/>
    </row>
    <row r="60" spans="1:11" s="226" customFormat="1" ht="25.5" x14ac:dyDescent="0.2">
      <c r="A60" s="469" t="s">
        <v>108</v>
      </c>
      <c r="B60" s="491" t="s">
        <v>306</v>
      </c>
      <c r="C60" s="482" t="str">
        <f>F30</f>
        <v>m</v>
      </c>
      <c r="D60" s="472">
        <f>E30</f>
        <v>31</v>
      </c>
      <c r="E60" s="473">
        <f>'Francisco J. Cardoso - T1'!E67</f>
        <v>62.29</v>
      </c>
      <c r="F60" s="474">
        <f>ROUND(D60,2)*ROUND(E60,2)</f>
        <v>1930.99</v>
      </c>
      <c r="H60" s="492"/>
      <c r="I60" s="493"/>
      <c r="J60" s="494"/>
    </row>
    <row r="61" spans="1:11" s="202" customFormat="1" ht="6.75" customHeight="1" x14ac:dyDescent="0.2">
      <c r="A61" s="486"/>
      <c r="B61" s="487"/>
      <c r="C61" s="482"/>
      <c r="D61" s="472"/>
      <c r="E61" s="488"/>
      <c r="F61" s="474"/>
    </row>
    <row r="62" spans="1:11" s="258" customFormat="1" ht="15" customHeight="1" thickBot="1" x14ac:dyDescent="0.3">
      <c r="A62" s="498" t="s">
        <v>14</v>
      </c>
      <c r="B62" s="499" t="s">
        <v>489</v>
      </c>
      <c r="C62" s="466"/>
      <c r="D62" s="467"/>
      <c r="E62" s="500"/>
      <c r="F62" s="468" t="e">
        <f>SUM(F63:F70)</f>
        <v>#REF!</v>
      </c>
      <c r="H62" s="501"/>
      <c r="I62" s="502"/>
      <c r="J62" s="502"/>
      <c r="K62" s="503"/>
    </row>
    <row r="63" spans="1:11" s="226" customFormat="1" ht="51" x14ac:dyDescent="0.2">
      <c r="A63" s="469" t="s">
        <v>15</v>
      </c>
      <c r="B63" s="504" t="s">
        <v>491</v>
      </c>
      <c r="C63" s="490" t="str">
        <f>F33</f>
        <v>m²</v>
      </c>
      <c r="D63" s="472">
        <f>E33</f>
        <v>50.41</v>
      </c>
      <c r="E63" s="473" t="e">
        <f>'Francisco J. Cardoso - T1'!E70</f>
        <v>#REF!</v>
      </c>
      <c r="F63" s="474" t="e">
        <f t="shared" ref="F63:F69" si="1">ROUND(D63,2)*ROUND(E63,2)</f>
        <v>#REF!</v>
      </c>
    </row>
    <row r="64" spans="1:11" s="226" customFormat="1" ht="38.25" x14ac:dyDescent="0.2">
      <c r="A64" s="469" t="s">
        <v>129</v>
      </c>
      <c r="B64" s="504" t="s">
        <v>492</v>
      </c>
      <c r="C64" s="490" t="str">
        <f>F34</f>
        <v>m³</v>
      </c>
      <c r="D64" s="472">
        <f>E34</f>
        <v>17.45</v>
      </c>
      <c r="E64" s="473" t="e">
        <f>'Francisco J. Cardoso - T1'!E71</f>
        <v>#REF!</v>
      </c>
      <c r="F64" s="474" t="e">
        <f t="shared" si="1"/>
        <v>#REF!</v>
      </c>
    </row>
    <row r="65" spans="1:11" s="226" customFormat="1" ht="38.25" x14ac:dyDescent="0.2">
      <c r="A65" s="469" t="s">
        <v>131</v>
      </c>
      <c r="B65" s="504" t="s">
        <v>493</v>
      </c>
      <c r="C65" s="490" t="str">
        <f t="shared" ref="C65:C70" si="2">F35</f>
        <v>m³</v>
      </c>
      <c r="D65" s="472">
        <f t="shared" ref="D65:D70" si="3">E35</f>
        <v>3.89</v>
      </c>
      <c r="E65" s="473" t="e">
        <f>'Francisco J. Cardoso - T1'!E72</f>
        <v>#REF!</v>
      </c>
      <c r="F65" s="474" t="e">
        <f t="shared" si="1"/>
        <v>#REF!</v>
      </c>
    </row>
    <row r="66" spans="1:11" s="226" customFormat="1" ht="51" x14ac:dyDescent="0.2">
      <c r="A66" s="469" t="s">
        <v>413</v>
      </c>
      <c r="B66" s="504" t="s">
        <v>494</v>
      </c>
      <c r="C66" s="490" t="str">
        <f t="shared" si="2"/>
        <v>m²</v>
      </c>
      <c r="D66" s="472">
        <f t="shared" si="3"/>
        <v>53.76</v>
      </c>
      <c r="E66" s="473" t="e">
        <f>'Francisco J. Cardoso - T1'!E73</f>
        <v>#REF!</v>
      </c>
      <c r="F66" s="474" t="e">
        <f t="shared" si="1"/>
        <v>#REF!</v>
      </c>
    </row>
    <row r="67" spans="1:11" s="226" customFormat="1" ht="25.5" x14ac:dyDescent="0.2">
      <c r="A67" s="469" t="s">
        <v>414</v>
      </c>
      <c r="B67" s="504" t="s">
        <v>495</v>
      </c>
      <c r="C67" s="490" t="str">
        <f t="shared" si="2"/>
        <v>m²</v>
      </c>
      <c r="D67" s="472">
        <f t="shared" si="3"/>
        <v>66.92</v>
      </c>
      <c r="E67" s="473" t="e">
        <f>'Francisco J. Cardoso - T1'!E74</f>
        <v>#REF!</v>
      </c>
      <c r="F67" s="474" t="e">
        <f t="shared" si="1"/>
        <v>#REF!</v>
      </c>
    </row>
    <row r="68" spans="1:11" s="226" customFormat="1" ht="64.5" thickBot="1" x14ac:dyDescent="0.25">
      <c r="A68" s="469" t="s">
        <v>415</v>
      </c>
      <c r="B68" s="504" t="s">
        <v>312</v>
      </c>
      <c r="C68" s="490" t="str">
        <f t="shared" si="2"/>
        <v>unid</v>
      </c>
      <c r="D68" s="472">
        <f t="shared" si="3"/>
        <v>4</v>
      </c>
      <c r="E68" s="473" t="e">
        <f>'Francisco J. Cardoso - T1'!E75</f>
        <v>#REF!</v>
      </c>
      <c r="F68" s="505" t="e">
        <f t="shared" si="1"/>
        <v>#REF!</v>
      </c>
    </row>
    <row r="69" spans="1:11" s="202" customFormat="1" ht="12.75" customHeight="1" x14ac:dyDescent="0.2">
      <c r="A69" s="469" t="s">
        <v>416</v>
      </c>
      <c r="B69" s="504" t="s">
        <v>419</v>
      </c>
      <c r="C69" s="490" t="str">
        <f t="shared" si="2"/>
        <v>m²</v>
      </c>
      <c r="D69" s="472">
        <f t="shared" si="3"/>
        <v>138.06</v>
      </c>
      <c r="E69" s="473">
        <f>'Francisco J. Cardoso - T1'!E76</f>
        <v>1.61</v>
      </c>
      <c r="F69" s="474">
        <f t="shared" si="1"/>
        <v>222.28</v>
      </c>
      <c r="H69" s="506"/>
      <c r="I69" s="507"/>
      <c r="J69" s="507"/>
      <c r="K69" s="508"/>
    </row>
    <row r="70" spans="1:11" s="226" customFormat="1" ht="25.5" x14ac:dyDescent="0.2">
      <c r="A70" s="469" t="s">
        <v>417</v>
      </c>
      <c r="B70" s="504" t="s">
        <v>499</v>
      </c>
      <c r="C70" s="490" t="str">
        <f t="shared" si="2"/>
        <v>unid</v>
      </c>
      <c r="D70" s="472">
        <f t="shared" si="3"/>
        <v>1</v>
      </c>
      <c r="E70" s="473">
        <f>'Francisco J. Cardoso - T1'!E77</f>
        <v>180.93</v>
      </c>
      <c r="F70" s="474">
        <f>ROUND(D70,2)*ROUND(E70,2)</f>
        <v>180.93</v>
      </c>
    </row>
    <row r="71" spans="1:11" s="202" customFormat="1" ht="6.75" customHeight="1" x14ac:dyDescent="0.2">
      <c r="A71" s="509"/>
      <c r="B71" s="41"/>
      <c r="C71" s="482"/>
      <c r="D71" s="472"/>
      <c r="E71" s="510"/>
      <c r="F71" s="474"/>
      <c r="H71" s="511"/>
      <c r="K71" s="512"/>
    </row>
    <row r="72" spans="1:11" s="202" customFormat="1" ht="12.75" customHeight="1" x14ac:dyDescent="0.2">
      <c r="A72" s="727" t="s">
        <v>440</v>
      </c>
      <c r="B72" s="728"/>
      <c r="C72" s="728"/>
      <c r="D72" s="728"/>
      <c r="E72" s="728"/>
      <c r="F72" s="543" t="e">
        <f>F51+F54+F57+F62</f>
        <v>#REF!</v>
      </c>
    </row>
    <row r="73" spans="1:11" s="202" customFormat="1" ht="5.25" customHeight="1" x14ac:dyDescent="0.2">
      <c r="B73" s="256"/>
      <c r="C73" s="281"/>
      <c r="E73" s="281"/>
    </row>
    <row r="74" spans="1:11" s="202" customFormat="1" ht="12.75" customHeight="1" x14ac:dyDescent="0.2">
      <c r="A74" s="64" t="str">
        <f>'Maria Livramento - T1'!A108</f>
        <v>Obs: Encargos Sociais Desonerados de 91,01% (h) contidos nos insumos, conforme informa a tabela de referência citada.</v>
      </c>
      <c r="B74" s="256"/>
      <c r="C74" s="281"/>
      <c r="E74" s="281"/>
      <c r="F74" s="513"/>
      <c r="G74" s="202">
        <f>175162.63/D59</f>
        <v>132.79252048792</v>
      </c>
    </row>
    <row r="75" spans="1:11" s="202" customFormat="1" ht="12.75" customHeight="1" x14ac:dyDescent="0.2">
      <c r="A75" s="64" t="str">
        <f>'Maria Livramento - T1'!A109</f>
        <v>Referência: SINAPI PB Fevereiro/25; DER PB Jan-Mar/25</v>
      </c>
      <c r="B75" s="256"/>
      <c r="C75" s="636" t="str">
        <f>'Planilha Global11'!A33</f>
        <v>BDI: 27,48%</v>
      </c>
      <c r="E75" s="281"/>
    </row>
    <row r="76" spans="1:11" s="202" customFormat="1" ht="12.75" customHeight="1" x14ac:dyDescent="0.2">
      <c r="E76" s="281"/>
      <c r="F76" s="247" t="e">
        <f>'Maria Livramento - T1'!F106+'Francisco J. Cardoso - T1'!F79+'Francisco J. Cardoso - T2'!F72+#REF!</f>
        <v>#REF!</v>
      </c>
    </row>
    <row r="77" spans="1:11" ht="12.75" customHeight="1" x14ac:dyDescent="0.2">
      <c r="G77" t="e">
        <f>F72/#REF!</f>
        <v>#REF!</v>
      </c>
    </row>
    <row r="78" spans="1:11" ht="12.75" customHeight="1" x14ac:dyDescent="0.2">
      <c r="F78" s="514" t="e">
        <f>F72/D55</f>
        <v>#REF!</v>
      </c>
    </row>
  </sheetData>
  <mergeCells count="32">
    <mergeCell ref="B22:D22"/>
    <mergeCell ref="B38:D38"/>
    <mergeCell ref="B39:D39"/>
    <mergeCell ref="A72:E72"/>
    <mergeCell ref="A46:F46"/>
    <mergeCell ref="C47:D47"/>
    <mergeCell ref="E47:F47"/>
    <mergeCell ref="A49:A50"/>
    <mergeCell ref="B49:B50"/>
    <mergeCell ref="C49:C50"/>
    <mergeCell ref="D49:D50"/>
    <mergeCell ref="E49:F49"/>
    <mergeCell ref="B29:D29"/>
    <mergeCell ref="B33:D33"/>
    <mergeCell ref="B35:D35"/>
    <mergeCell ref="B36:D36"/>
    <mergeCell ref="B37:D37"/>
    <mergeCell ref="B40:D40"/>
    <mergeCell ref="C14:F14"/>
    <mergeCell ref="A4:F4"/>
    <mergeCell ref="C8:F8"/>
    <mergeCell ref="C9:F9"/>
    <mergeCell ref="C10:F10"/>
    <mergeCell ref="C13:F13"/>
    <mergeCell ref="B34:D34"/>
    <mergeCell ref="C15:F15"/>
    <mergeCell ref="C18:F18"/>
    <mergeCell ref="C19:F19"/>
    <mergeCell ref="C20:F20"/>
    <mergeCell ref="B25:D25"/>
    <mergeCell ref="B28:D28"/>
    <mergeCell ref="B30:D30"/>
  </mergeCells>
  <pageMargins left="0.511811024" right="0.511811024" top="0.78740157499999996" bottom="0.78740157499999996" header="0.31496062000000002" footer="0.31496062000000002"/>
  <pageSetup paperSize="9" scale="97" orientation="portrait" r:id="rId1"/>
  <rowBreaks count="1" manualBreakCount="1">
    <brk id="41" max="5" man="1"/>
  </rowBreaks>
  <legacy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A84281-EBA9-4C90-9F2A-764B1283F16E}">
  <dimension ref="A1:N160"/>
  <sheetViews>
    <sheetView view="pageBreakPreview" topLeftCell="A48" zoomScale="90" zoomScaleNormal="90" zoomScaleSheetLayoutView="90" workbookViewId="0">
      <selection activeCell="A4" sqref="A4:H4"/>
    </sheetView>
  </sheetViews>
  <sheetFormatPr defaultRowHeight="12.75" x14ac:dyDescent="0.2"/>
  <cols>
    <col min="1" max="1" width="6.5703125" customWidth="1"/>
    <col min="2" max="2" width="43.42578125" customWidth="1"/>
    <col min="3" max="3" width="6.5703125" customWidth="1"/>
    <col min="4" max="6" width="11.7109375" customWidth="1"/>
    <col min="7" max="7" width="15.7109375" customWidth="1"/>
    <col min="8" max="8" width="15.140625" customWidth="1"/>
    <col min="9" max="9" width="15.140625" bestFit="1" customWidth="1"/>
    <col min="10" max="11" width="15.140625" customWidth="1"/>
    <col min="12" max="12" width="17.5703125" customWidth="1"/>
    <col min="13" max="13" width="14.5703125" bestFit="1" customWidth="1"/>
    <col min="14" max="14" width="10.42578125" bestFit="1" customWidth="1"/>
    <col min="16" max="16" width="10.42578125" bestFit="1" customWidth="1"/>
    <col min="243" max="243" width="6.5703125" customWidth="1"/>
    <col min="244" max="244" width="43.42578125" customWidth="1"/>
    <col min="245" max="245" width="6.5703125" customWidth="1"/>
    <col min="246" max="247" width="11.7109375" customWidth="1"/>
    <col min="248" max="248" width="12.7109375" customWidth="1"/>
    <col min="249" max="249" width="11.7109375" customWidth="1"/>
    <col min="250" max="250" width="12.7109375" customWidth="1"/>
    <col min="251" max="252" width="11.7109375" customWidth="1"/>
    <col min="253" max="253" width="12.7109375" customWidth="1"/>
    <col min="254" max="263" width="11.7109375" customWidth="1"/>
    <col min="264" max="264" width="13.7109375" customWidth="1"/>
    <col min="265" max="265" width="15.140625" bestFit="1" customWidth="1"/>
    <col min="266" max="267" width="15.140625" customWidth="1"/>
    <col min="268" max="268" width="17.5703125" customWidth="1"/>
    <col min="269" max="269" width="14.5703125" bestFit="1" customWidth="1"/>
    <col min="270" max="270" width="10.42578125" bestFit="1" customWidth="1"/>
    <col min="272" max="272" width="10.42578125" bestFit="1" customWidth="1"/>
    <col min="499" max="499" width="6.5703125" customWidth="1"/>
    <col min="500" max="500" width="43.42578125" customWidth="1"/>
    <col min="501" max="501" width="6.5703125" customWidth="1"/>
    <col min="502" max="503" width="11.7109375" customWidth="1"/>
    <col min="504" max="504" width="12.7109375" customWidth="1"/>
    <col min="505" max="505" width="11.7109375" customWidth="1"/>
    <col min="506" max="506" width="12.7109375" customWidth="1"/>
    <col min="507" max="508" width="11.7109375" customWidth="1"/>
    <col min="509" max="509" width="12.7109375" customWidth="1"/>
    <col min="510" max="519" width="11.7109375" customWidth="1"/>
    <col min="520" max="520" width="13.7109375" customWidth="1"/>
    <col min="521" max="521" width="15.140625" bestFit="1" customWidth="1"/>
    <col min="522" max="523" width="15.140625" customWidth="1"/>
    <col min="524" max="524" width="17.5703125" customWidth="1"/>
    <col min="525" max="525" width="14.5703125" bestFit="1" customWidth="1"/>
    <col min="526" max="526" width="10.42578125" bestFit="1" customWidth="1"/>
    <col min="528" max="528" width="10.42578125" bestFit="1" customWidth="1"/>
    <col min="755" max="755" width="6.5703125" customWidth="1"/>
    <col min="756" max="756" width="43.42578125" customWidth="1"/>
    <col min="757" max="757" width="6.5703125" customWidth="1"/>
    <col min="758" max="759" width="11.7109375" customWidth="1"/>
    <col min="760" max="760" width="12.7109375" customWidth="1"/>
    <col min="761" max="761" width="11.7109375" customWidth="1"/>
    <col min="762" max="762" width="12.7109375" customWidth="1"/>
    <col min="763" max="764" width="11.7109375" customWidth="1"/>
    <col min="765" max="765" width="12.7109375" customWidth="1"/>
    <col min="766" max="775" width="11.7109375" customWidth="1"/>
    <col min="776" max="776" width="13.7109375" customWidth="1"/>
    <col min="777" max="777" width="15.140625" bestFit="1" customWidth="1"/>
    <col min="778" max="779" width="15.140625" customWidth="1"/>
    <col min="780" max="780" width="17.5703125" customWidth="1"/>
    <col min="781" max="781" width="14.5703125" bestFit="1" customWidth="1"/>
    <col min="782" max="782" width="10.42578125" bestFit="1" customWidth="1"/>
    <col min="784" max="784" width="10.42578125" bestFit="1" customWidth="1"/>
    <col min="1011" max="1011" width="6.5703125" customWidth="1"/>
    <col min="1012" max="1012" width="43.42578125" customWidth="1"/>
    <col min="1013" max="1013" width="6.5703125" customWidth="1"/>
    <col min="1014" max="1015" width="11.7109375" customWidth="1"/>
    <col min="1016" max="1016" width="12.7109375" customWidth="1"/>
    <col min="1017" max="1017" width="11.7109375" customWidth="1"/>
    <col min="1018" max="1018" width="12.7109375" customWidth="1"/>
    <col min="1019" max="1020" width="11.7109375" customWidth="1"/>
    <col min="1021" max="1021" width="12.7109375" customWidth="1"/>
    <col min="1022" max="1031" width="11.7109375" customWidth="1"/>
    <col min="1032" max="1032" width="13.7109375" customWidth="1"/>
    <col min="1033" max="1033" width="15.140625" bestFit="1" customWidth="1"/>
    <col min="1034" max="1035" width="15.140625" customWidth="1"/>
    <col min="1036" max="1036" width="17.5703125" customWidth="1"/>
    <col min="1037" max="1037" width="14.5703125" bestFit="1" customWidth="1"/>
    <col min="1038" max="1038" width="10.42578125" bestFit="1" customWidth="1"/>
    <col min="1040" max="1040" width="10.42578125" bestFit="1" customWidth="1"/>
    <col min="1267" max="1267" width="6.5703125" customWidth="1"/>
    <col min="1268" max="1268" width="43.42578125" customWidth="1"/>
    <col min="1269" max="1269" width="6.5703125" customWidth="1"/>
    <col min="1270" max="1271" width="11.7109375" customWidth="1"/>
    <col min="1272" max="1272" width="12.7109375" customWidth="1"/>
    <col min="1273" max="1273" width="11.7109375" customWidth="1"/>
    <col min="1274" max="1274" width="12.7109375" customWidth="1"/>
    <col min="1275" max="1276" width="11.7109375" customWidth="1"/>
    <col min="1277" max="1277" width="12.7109375" customWidth="1"/>
    <col min="1278" max="1287" width="11.7109375" customWidth="1"/>
    <col min="1288" max="1288" width="13.7109375" customWidth="1"/>
    <col min="1289" max="1289" width="15.140625" bestFit="1" customWidth="1"/>
    <col min="1290" max="1291" width="15.140625" customWidth="1"/>
    <col min="1292" max="1292" width="17.5703125" customWidth="1"/>
    <col min="1293" max="1293" width="14.5703125" bestFit="1" customWidth="1"/>
    <col min="1294" max="1294" width="10.42578125" bestFit="1" customWidth="1"/>
    <col min="1296" max="1296" width="10.42578125" bestFit="1" customWidth="1"/>
    <col min="1523" max="1523" width="6.5703125" customWidth="1"/>
    <col min="1524" max="1524" width="43.42578125" customWidth="1"/>
    <col min="1525" max="1525" width="6.5703125" customWidth="1"/>
    <col min="1526" max="1527" width="11.7109375" customWidth="1"/>
    <col min="1528" max="1528" width="12.7109375" customWidth="1"/>
    <col min="1529" max="1529" width="11.7109375" customWidth="1"/>
    <col min="1530" max="1530" width="12.7109375" customWidth="1"/>
    <col min="1531" max="1532" width="11.7109375" customWidth="1"/>
    <col min="1533" max="1533" width="12.7109375" customWidth="1"/>
    <col min="1534" max="1543" width="11.7109375" customWidth="1"/>
    <col min="1544" max="1544" width="13.7109375" customWidth="1"/>
    <col min="1545" max="1545" width="15.140625" bestFit="1" customWidth="1"/>
    <col min="1546" max="1547" width="15.140625" customWidth="1"/>
    <col min="1548" max="1548" width="17.5703125" customWidth="1"/>
    <col min="1549" max="1549" width="14.5703125" bestFit="1" customWidth="1"/>
    <col min="1550" max="1550" width="10.42578125" bestFit="1" customWidth="1"/>
    <col min="1552" max="1552" width="10.42578125" bestFit="1" customWidth="1"/>
    <col min="1779" max="1779" width="6.5703125" customWidth="1"/>
    <col min="1780" max="1780" width="43.42578125" customWidth="1"/>
    <col min="1781" max="1781" width="6.5703125" customWidth="1"/>
    <col min="1782" max="1783" width="11.7109375" customWidth="1"/>
    <col min="1784" max="1784" width="12.7109375" customWidth="1"/>
    <col min="1785" max="1785" width="11.7109375" customWidth="1"/>
    <col min="1786" max="1786" width="12.7109375" customWidth="1"/>
    <col min="1787" max="1788" width="11.7109375" customWidth="1"/>
    <col min="1789" max="1789" width="12.7109375" customWidth="1"/>
    <col min="1790" max="1799" width="11.7109375" customWidth="1"/>
    <col min="1800" max="1800" width="13.7109375" customWidth="1"/>
    <col min="1801" max="1801" width="15.140625" bestFit="1" customWidth="1"/>
    <col min="1802" max="1803" width="15.140625" customWidth="1"/>
    <col min="1804" max="1804" width="17.5703125" customWidth="1"/>
    <col min="1805" max="1805" width="14.5703125" bestFit="1" customWidth="1"/>
    <col min="1806" max="1806" width="10.42578125" bestFit="1" customWidth="1"/>
    <col min="1808" max="1808" width="10.42578125" bestFit="1" customWidth="1"/>
    <col min="2035" max="2035" width="6.5703125" customWidth="1"/>
    <col min="2036" max="2036" width="43.42578125" customWidth="1"/>
    <col min="2037" max="2037" width="6.5703125" customWidth="1"/>
    <col min="2038" max="2039" width="11.7109375" customWidth="1"/>
    <col min="2040" max="2040" width="12.7109375" customWidth="1"/>
    <col min="2041" max="2041" width="11.7109375" customWidth="1"/>
    <col min="2042" max="2042" width="12.7109375" customWidth="1"/>
    <col min="2043" max="2044" width="11.7109375" customWidth="1"/>
    <col min="2045" max="2045" width="12.7109375" customWidth="1"/>
    <col min="2046" max="2055" width="11.7109375" customWidth="1"/>
    <col min="2056" max="2056" width="13.7109375" customWidth="1"/>
    <col min="2057" max="2057" width="15.140625" bestFit="1" customWidth="1"/>
    <col min="2058" max="2059" width="15.140625" customWidth="1"/>
    <col min="2060" max="2060" width="17.5703125" customWidth="1"/>
    <col min="2061" max="2061" width="14.5703125" bestFit="1" customWidth="1"/>
    <col min="2062" max="2062" width="10.42578125" bestFit="1" customWidth="1"/>
    <col min="2064" max="2064" width="10.42578125" bestFit="1" customWidth="1"/>
    <col min="2291" max="2291" width="6.5703125" customWidth="1"/>
    <col min="2292" max="2292" width="43.42578125" customWidth="1"/>
    <col min="2293" max="2293" width="6.5703125" customWidth="1"/>
    <col min="2294" max="2295" width="11.7109375" customWidth="1"/>
    <col min="2296" max="2296" width="12.7109375" customWidth="1"/>
    <col min="2297" max="2297" width="11.7109375" customWidth="1"/>
    <col min="2298" max="2298" width="12.7109375" customWidth="1"/>
    <col min="2299" max="2300" width="11.7109375" customWidth="1"/>
    <col min="2301" max="2301" width="12.7109375" customWidth="1"/>
    <col min="2302" max="2311" width="11.7109375" customWidth="1"/>
    <col min="2312" max="2312" width="13.7109375" customWidth="1"/>
    <col min="2313" max="2313" width="15.140625" bestFit="1" customWidth="1"/>
    <col min="2314" max="2315" width="15.140625" customWidth="1"/>
    <col min="2316" max="2316" width="17.5703125" customWidth="1"/>
    <col min="2317" max="2317" width="14.5703125" bestFit="1" customWidth="1"/>
    <col min="2318" max="2318" width="10.42578125" bestFit="1" customWidth="1"/>
    <col min="2320" max="2320" width="10.42578125" bestFit="1" customWidth="1"/>
    <col min="2547" max="2547" width="6.5703125" customWidth="1"/>
    <col min="2548" max="2548" width="43.42578125" customWidth="1"/>
    <col min="2549" max="2549" width="6.5703125" customWidth="1"/>
    <col min="2550" max="2551" width="11.7109375" customWidth="1"/>
    <col min="2552" max="2552" width="12.7109375" customWidth="1"/>
    <col min="2553" max="2553" width="11.7109375" customWidth="1"/>
    <col min="2554" max="2554" width="12.7109375" customWidth="1"/>
    <col min="2555" max="2556" width="11.7109375" customWidth="1"/>
    <col min="2557" max="2557" width="12.7109375" customWidth="1"/>
    <col min="2558" max="2567" width="11.7109375" customWidth="1"/>
    <col min="2568" max="2568" width="13.7109375" customWidth="1"/>
    <col min="2569" max="2569" width="15.140625" bestFit="1" customWidth="1"/>
    <col min="2570" max="2571" width="15.140625" customWidth="1"/>
    <col min="2572" max="2572" width="17.5703125" customWidth="1"/>
    <col min="2573" max="2573" width="14.5703125" bestFit="1" customWidth="1"/>
    <col min="2574" max="2574" width="10.42578125" bestFit="1" customWidth="1"/>
    <col min="2576" max="2576" width="10.42578125" bestFit="1" customWidth="1"/>
    <col min="2803" max="2803" width="6.5703125" customWidth="1"/>
    <col min="2804" max="2804" width="43.42578125" customWidth="1"/>
    <col min="2805" max="2805" width="6.5703125" customWidth="1"/>
    <col min="2806" max="2807" width="11.7109375" customWidth="1"/>
    <col min="2808" max="2808" width="12.7109375" customWidth="1"/>
    <col min="2809" max="2809" width="11.7109375" customWidth="1"/>
    <col min="2810" max="2810" width="12.7109375" customWidth="1"/>
    <col min="2811" max="2812" width="11.7109375" customWidth="1"/>
    <col min="2813" max="2813" width="12.7109375" customWidth="1"/>
    <col min="2814" max="2823" width="11.7109375" customWidth="1"/>
    <col min="2824" max="2824" width="13.7109375" customWidth="1"/>
    <col min="2825" max="2825" width="15.140625" bestFit="1" customWidth="1"/>
    <col min="2826" max="2827" width="15.140625" customWidth="1"/>
    <col min="2828" max="2828" width="17.5703125" customWidth="1"/>
    <col min="2829" max="2829" width="14.5703125" bestFit="1" customWidth="1"/>
    <col min="2830" max="2830" width="10.42578125" bestFit="1" customWidth="1"/>
    <col min="2832" max="2832" width="10.42578125" bestFit="1" customWidth="1"/>
    <col min="3059" max="3059" width="6.5703125" customWidth="1"/>
    <col min="3060" max="3060" width="43.42578125" customWidth="1"/>
    <col min="3061" max="3061" width="6.5703125" customWidth="1"/>
    <col min="3062" max="3063" width="11.7109375" customWidth="1"/>
    <col min="3064" max="3064" width="12.7109375" customWidth="1"/>
    <col min="3065" max="3065" width="11.7109375" customWidth="1"/>
    <col min="3066" max="3066" width="12.7109375" customWidth="1"/>
    <col min="3067" max="3068" width="11.7109375" customWidth="1"/>
    <col min="3069" max="3069" width="12.7109375" customWidth="1"/>
    <col min="3070" max="3079" width="11.7109375" customWidth="1"/>
    <col min="3080" max="3080" width="13.7109375" customWidth="1"/>
    <col min="3081" max="3081" width="15.140625" bestFit="1" customWidth="1"/>
    <col min="3082" max="3083" width="15.140625" customWidth="1"/>
    <col min="3084" max="3084" width="17.5703125" customWidth="1"/>
    <col min="3085" max="3085" width="14.5703125" bestFit="1" customWidth="1"/>
    <col min="3086" max="3086" width="10.42578125" bestFit="1" customWidth="1"/>
    <col min="3088" max="3088" width="10.42578125" bestFit="1" customWidth="1"/>
    <col min="3315" max="3315" width="6.5703125" customWidth="1"/>
    <col min="3316" max="3316" width="43.42578125" customWidth="1"/>
    <col min="3317" max="3317" width="6.5703125" customWidth="1"/>
    <col min="3318" max="3319" width="11.7109375" customWidth="1"/>
    <col min="3320" max="3320" width="12.7109375" customWidth="1"/>
    <col min="3321" max="3321" width="11.7109375" customWidth="1"/>
    <col min="3322" max="3322" width="12.7109375" customWidth="1"/>
    <col min="3323" max="3324" width="11.7109375" customWidth="1"/>
    <col min="3325" max="3325" width="12.7109375" customWidth="1"/>
    <col min="3326" max="3335" width="11.7109375" customWidth="1"/>
    <col min="3336" max="3336" width="13.7109375" customWidth="1"/>
    <col min="3337" max="3337" width="15.140625" bestFit="1" customWidth="1"/>
    <col min="3338" max="3339" width="15.140625" customWidth="1"/>
    <col min="3340" max="3340" width="17.5703125" customWidth="1"/>
    <col min="3341" max="3341" width="14.5703125" bestFit="1" customWidth="1"/>
    <col min="3342" max="3342" width="10.42578125" bestFit="1" customWidth="1"/>
    <col min="3344" max="3344" width="10.42578125" bestFit="1" customWidth="1"/>
    <col min="3571" max="3571" width="6.5703125" customWidth="1"/>
    <col min="3572" max="3572" width="43.42578125" customWidth="1"/>
    <col min="3573" max="3573" width="6.5703125" customWidth="1"/>
    <col min="3574" max="3575" width="11.7109375" customWidth="1"/>
    <col min="3576" max="3576" width="12.7109375" customWidth="1"/>
    <col min="3577" max="3577" width="11.7109375" customWidth="1"/>
    <col min="3578" max="3578" width="12.7109375" customWidth="1"/>
    <col min="3579" max="3580" width="11.7109375" customWidth="1"/>
    <col min="3581" max="3581" width="12.7109375" customWidth="1"/>
    <col min="3582" max="3591" width="11.7109375" customWidth="1"/>
    <col min="3592" max="3592" width="13.7109375" customWidth="1"/>
    <col min="3593" max="3593" width="15.140625" bestFit="1" customWidth="1"/>
    <col min="3594" max="3595" width="15.140625" customWidth="1"/>
    <col min="3596" max="3596" width="17.5703125" customWidth="1"/>
    <col min="3597" max="3597" width="14.5703125" bestFit="1" customWidth="1"/>
    <col min="3598" max="3598" width="10.42578125" bestFit="1" customWidth="1"/>
    <col min="3600" max="3600" width="10.42578125" bestFit="1" customWidth="1"/>
    <col min="3827" max="3827" width="6.5703125" customWidth="1"/>
    <col min="3828" max="3828" width="43.42578125" customWidth="1"/>
    <col min="3829" max="3829" width="6.5703125" customWidth="1"/>
    <col min="3830" max="3831" width="11.7109375" customWidth="1"/>
    <col min="3832" max="3832" width="12.7109375" customWidth="1"/>
    <col min="3833" max="3833" width="11.7109375" customWidth="1"/>
    <col min="3834" max="3834" width="12.7109375" customWidth="1"/>
    <col min="3835" max="3836" width="11.7109375" customWidth="1"/>
    <col min="3837" max="3837" width="12.7109375" customWidth="1"/>
    <col min="3838" max="3847" width="11.7109375" customWidth="1"/>
    <col min="3848" max="3848" width="13.7109375" customWidth="1"/>
    <col min="3849" max="3849" width="15.140625" bestFit="1" customWidth="1"/>
    <col min="3850" max="3851" width="15.140625" customWidth="1"/>
    <col min="3852" max="3852" width="17.5703125" customWidth="1"/>
    <col min="3853" max="3853" width="14.5703125" bestFit="1" customWidth="1"/>
    <col min="3854" max="3854" width="10.42578125" bestFit="1" customWidth="1"/>
    <col min="3856" max="3856" width="10.42578125" bestFit="1" customWidth="1"/>
    <col min="4083" max="4083" width="6.5703125" customWidth="1"/>
    <col min="4084" max="4084" width="43.42578125" customWidth="1"/>
    <col min="4085" max="4085" width="6.5703125" customWidth="1"/>
    <col min="4086" max="4087" width="11.7109375" customWidth="1"/>
    <col min="4088" max="4088" width="12.7109375" customWidth="1"/>
    <col min="4089" max="4089" width="11.7109375" customWidth="1"/>
    <col min="4090" max="4090" width="12.7109375" customWidth="1"/>
    <col min="4091" max="4092" width="11.7109375" customWidth="1"/>
    <col min="4093" max="4093" width="12.7109375" customWidth="1"/>
    <col min="4094" max="4103" width="11.7109375" customWidth="1"/>
    <col min="4104" max="4104" width="13.7109375" customWidth="1"/>
    <col min="4105" max="4105" width="15.140625" bestFit="1" customWidth="1"/>
    <col min="4106" max="4107" width="15.140625" customWidth="1"/>
    <col min="4108" max="4108" width="17.5703125" customWidth="1"/>
    <col min="4109" max="4109" width="14.5703125" bestFit="1" customWidth="1"/>
    <col min="4110" max="4110" width="10.42578125" bestFit="1" customWidth="1"/>
    <col min="4112" max="4112" width="10.42578125" bestFit="1" customWidth="1"/>
    <col min="4339" max="4339" width="6.5703125" customWidth="1"/>
    <col min="4340" max="4340" width="43.42578125" customWidth="1"/>
    <col min="4341" max="4341" width="6.5703125" customWidth="1"/>
    <col min="4342" max="4343" width="11.7109375" customWidth="1"/>
    <col min="4344" max="4344" width="12.7109375" customWidth="1"/>
    <col min="4345" max="4345" width="11.7109375" customWidth="1"/>
    <col min="4346" max="4346" width="12.7109375" customWidth="1"/>
    <col min="4347" max="4348" width="11.7109375" customWidth="1"/>
    <col min="4349" max="4349" width="12.7109375" customWidth="1"/>
    <col min="4350" max="4359" width="11.7109375" customWidth="1"/>
    <col min="4360" max="4360" width="13.7109375" customWidth="1"/>
    <col min="4361" max="4361" width="15.140625" bestFit="1" customWidth="1"/>
    <col min="4362" max="4363" width="15.140625" customWidth="1"/>
    <col min="4364" max="4364" width="17.5703125" customWidth="1"/>
    <col min="4365" max="4365" width="14.5703125" bestFit="1" customWidth="1"/>
    <col min="4366" max="4366" width="10.42578125" bestFit="1" customWidth="1"/>
    <col min="4368" max="4368" width="10.42578125" bestFit="1" customWidth="1"/>
    <col min="4595" max="4595" width="6.5703125" customWidth="1"/>
    <col min="4596" max="4596" width="43.42578125" customWidth="1"/>
    <col min="4597" max="4597" width="6.5703125" customWidth="1"/>
    <col min="4598" max="4599" width="11.7109375" customWidth="1"/>
    <col min="4600" max="4600" width="12.7109375" customWidth="1"/>
    <col min="4601" max="4601" width="11.7109375" customWidth="1"/>
    <col min="4602" max="4602" width="12.7109375" customWidth="1"/>
    <col min="4603" max="4604" width="11.7109375" customWidth="1"/>
    <col min="4605" max="4605" width="12.7109375" customWidth="1"/>
    <col min="4606" max="4615" width="11.7109375" customWidth="1"/>
    <col min="4616" max="4616" width="13.7109375" customWidth="1"/>
    <col min="4617" max="4617" width="15.140625" bestFit="1" customWidth="1"/>
    <col min="4618" max="4619" width="15.140625" customWidth="1"/>
    <col min="4620" max="4620" width="17.5703125" customWidth="1"/>
    <col min="4621" max="4621" width="14.5703125" bestFit="1" customWidth="1"/>
    <col min="4622" max="4622" width="10.42578125" bestFit="1" customWidth="1"/>
    <col min="4624" max="4624" width="10.42578125" bestFit="1" customWidth="1"/>
    <col min="4851" max="4851" width="6.5703125" customWidth="1"/>
    <col min="4852" max="4852" width="43.42578125" customWidth="1"/>
    <col min="4853" max="4853" width="6.5703125" customWidth="1"/>
    <col min="4854" max="4855" width="11.7109375" customWidth="1"/>
    <col min="4856" max="4856" width="12.7109375" customWidth="1"/>
    <col min="4857" max="4857" width="11.7109375" customWidth="1"/>
    <col min="4858" max="4858" width="12.7109375" customWidth="1"/>
    <col min="4859" max="4860" width="11.7109375" customWidth="1"/>
    <col min="4861" max="4861" width="12.7109375" customWidth="1"/>
    <col min="4862" max="4871" width="11.7109375" customWidth="1"/>
    <col min="4872" max="4872" width="13.7109375" customWidth="1"/>
    <col min="4873" max="4873" width="15.140625" bestFit="1" customWidth="1"/>
    <col min="4874" max="4875" width="15.140625" customWidth="1"/>
    <col min="4876" max="4876" width="17.5703125" customWidth="1"/>
    <col min="4877" max="4877" width="14.5703125" bestFit="1" customWidth="1"/>
    <col min="4878" max="4878" width="10.42578125" bestFit="1" customWidth="1"/>
    <col min="4880" max="4880" width="10.42578125" bestFit="1" customWidth="1"/>
    <col min="5107" max="5107" width="6.5703125" customWidth="1"/>
    <col min="5108" max="5108" width="43.42578125" customWidth="1"/>
    <col min="5109" max="5109" width="6.5703125" customWidth="1"/>
    <col min="5110" max="5111" width="11.7109375" customWidth="1"/>
    <col min="5112" max="5112" width="12.7109375" customWidth="1"/>
    <col min="5113" max="5113" width="11.7109375" customWidth="1"/>
    <col min="5114" max="5114" width="12.7109375" customWidth="1"/>
    <col min="5115" max="5116" width="11.7109375" customWidth="1"/>
    <col min="5117" max="5117" width="12.7109375" customWidth="1"/>
    <col min="5118" max="5127" width="11.7109375" customWidth="1"/>
    <col min="5128" max="5128" width="13.7109375" customWidth="1"/>
    <col min="5129" max="5129" width="15.140625" bestFit="1" customWidth="1"/>
    <col min="5130" max="5131" width="15.140625" customWidth="1"/>
    <col min="5132" max="5132" width="17.5703125" customWidth="1"/>
    <col min="5133" max="5133" width="14.5703125" bestFit="1" customWidth="1"/>
    <col min="5134" max="5134" width="10.42578125" bestFit="1" customWidth="1"/>
    <col min="5136" max="5136" width="10.42578125" bestFit="1" customWidth="1"/>
    <col min="5363" max="5363" width="6.5703125" customWidth="1"/>
    <col min="5364" max="5364" width="43.42578125" customWidth="1"/>
    <col min="5365" max="5365" width="6.5703125" customWidth="1"/>
    <col min="5366" max="5367" width="11.7109375" customWidth="1"/>
    <col min="5368" max="5368" width="12.7109375" customWidth="1"/>
    <col min="5369" max="5369" width="11.7109375" customWidth="1"/>
    <col min="5370" max="5370" width="12.7109375" customWidth="1"/>
    <col min="5371" max="5372" width="11.7109375" customWidth="1"/>
    <col min="5373" max="5373" width="12.7109375" customWidth="1"/>
    <col min="5374" max="5383" width="11.7109375" customWidth="1"/>
    <col min="5384" max="5384" width="13.7109375" customWidth="1"/>
    <col min="5385" max="5385" width="15.140625" bestFit="1" customWidth="1"/>
    <col min="5386" max="5387" width="15.140625" customWidth="1"/>
    <col min="5388" max="5388" width="17.5703125" customWidth="1"/>
    <col min="5389" max="5389" width="14.5703125" bestFit="1" customWidth="1"/>
    <col min="5390" max="5390" width="10.42578125" bestFit="1" customWidth="1"/>
    <col min="5392" max="5392" width="10.42578125" bestFit="1" customWidth="1"/>
    <col min="5619" max="5619" width="6.5703125" customWidth="1"/>
    <col min="5620" max="5620" width="43.42578125" customWidth="1"/>
    <col min="5621" max="5621" width="6.5703125" customWidth="1"/>
    <col min="5622" max="5623" width="11.7109375" customWidth="1"/>
    <col min="5624" max="5624" width="12.7109375" customWidth="1"/>
    <col min="5625" max="5625" width="11.7109375" customWidth="1"/>
    <col min="5626" max="5626" width="12.7109375" customWidth="1"/>
    <col min="5627" max="5628" width="11.7109375" customWidth="1"/>
    <col min="5629" max="5629" width="12.7109375" customWidth="1"/>
    <col min="5630" max="5639" width="11.7109375" customWidth="1"/>
    <col min="5640" max="5640" width="13.7109375" customWidth="1"/>
    <col min="5641" max="5641" width="15.140625" bestFit="1" customWidth="1"/>
    <col min="5642" max="5643" width="15.140625" customWidth="1"/>
    <col min="5644" max="5644" width="17.5703125" customWidth="1"/>
    <col min="5645" max="5645" width="14.5703125" bestFit="1" customWidth="1"/>
    <col min="5646" max="5646" width="10.42578125" bestFit="1" customWidth="1"/>
    <col min="5648" max="5648" width="10.42578125" bestFit="1" customWidth="1"/>
    <col min="5875" max="5875" width="6.5703125" customWidth="1"/>
    <col min="5876" max="5876" width="43.42578125" customWidth="1"/>
    <col min="5877" max="5877" width="6.5703125" customWidth="1"/>
    <col min="5878" max="5879" width="11.7109375" customWidth="1"/>
    <col min="5880" max="5880" width="12.7109375" customWidth="1"/>
    <col min="5881" max="5881" width="11.7109375" customWidth="1"/>
    <col min="5882" max="5882" width="12.7109375" customWidth="1"/>
    <col min="5883" max="5884" width="11.7109375" customWidth="1"/>
    <col min="5885" max="5885" width="12.7109375" customWidth="1"/>
    <col min="5886" max="5895" width="11.7109375" customWidth="1"/>
    <col min="5896" max="5896" width="13.7109375" customWidth="1"/>
    <col min="5897" max="5897" width="15.140625" bestFit="1" customWidth="1"/>
    <col min="5898" max="5899" width="15.140625" customWidth="1"/>
    <col min="5900" max="5900" width="17.5703125" customWidth="1"/>
    <col min="5901" max="5901" width="14.5703125" bestFit="1" customWidth="1"/>
    <col min="5902" max="5902" width="10.42578125" bestFit="1" customWidth="1"/>
    <col min="5904" max="5904" width="10.42578125" bestFit="1" customWidth="1"/>
    <col min="6131" max="6131" width="6.5703125" customWidth="1"/>
    <col min="6132" max="6132" width="43.42578125" customWidth="1"/>
    <col min="6133" max="6133" width="6.5703125" customWidth="1"/>
    <col min="6134" max="6135" width="11.7109375" customWidth="1"/>
    <col min="6136" max="6136" width="12.7109375" customWidth="1"/>
    <col min="6137" max="6137" width="11.7109375" customWidth="1"/>
    <col min="6138" max="6138" width="12.7109375" customWidth="1"/>
    <col min="6139" max="6140" width="11.7109375" customWidth="1"/>
    <col min="6141" max="6141" width="12.7109375" customWidth="1"/>
    <col min="6142" max="6151" width="11.7109375" customWidth="1"/>
    <col min="6152" max="6152" width="13.7109375" customWidth="1"/>
    <col min="6153" max="6153" width="15.140625" bestFit="1" customWidth="1"/>
    <col min="6154" max="6155" width="15.140625" customWidth="1"/>
    <col min="6156" max="6156" width="17.5703125" customWidth="1"/>
    <col min="6157" max="6157" width="14.5703125" bestFit="1" customWidth="1"/>
    <col min="6158" max="6158" width="10.42578125" bestFit="1" customWidth="1"/>
    <col min="6160" max="6160" width="10.42578125" bestFit="1" customWidth="1"/>
    <col min="6387" max="6387" width="6.5703125" customWidth="1"/>
    <col min="6388" max="6388" width="43.42578125" customWidth="1"/>
    <col min="6389" max="6389" width="6.5703125" customWidth="1"/>
    <col min="6390" max="6391" width="11.7109375" customWidth="1"/>
    <col min="6392" max="6392" width="12.7109375" customWidth="1"/>
    <col min="6393" max="6393" width="11.7109375" customWidth="1"/>
    <col min="6394" max="6394" width="12.7109375" customWidth="1"/>
    <col min="6395" max="6396" width="11.7109375" customWidth="1"/>
    <col min="6397" max="6397" width="12.7109375" customWidth="1"/>
    <col min="6398" max="6407" width="11.7109375" customWidth="1"/>
    <col min="6408" max="6408" width="13.7109375" customWidth="1"/>
    <col min="6409" max="6409" width="15.140625" bestFit="1" customWidth="1"/>
    <col min="6410" max="6411" width="15.140625" customWidth="1"/>
    <col min="6412" max="6412" width="17.5703125" customWidth="1"/>
    <col min="6413" max="6413" width="14.5703125" bestFit="1" customWidth="1"/>
    <col min="6414" max="6414" width="10.42578125" bestFit="1" customWidth="1"/>
    <col min="6416" max="6416" width="10.42578125" bestFit="1" customWidth="1"/>
    <col min="6643" max="6643" width="6.5703125" customWidth="1"/>
    <col min="6644" max="6644" width="43.42578125" customWidth="1"/>
    <col min="6645" max="6645" width="6.5703125" customWidth="1"/>
    <col min="6646" max="6647" width="11.7109375" customWidth="1"/>
    <col min="6648" max="6648" width="12.7109375" customWidth="1"/>
    <col min="6649" max="6649" width="11.7109375" customWidth="1"/>
    <col min="6650" max="6650" width="12.7109375" customWidth="1"/>
    <col min="6651" max="6652" width="11.7109375" customWidth="1"/>
    <col min="6653" max="6653" width="12.7109375" customWidth="1"/>
    <col min="6654" max="6663" width="11.7109375" customWidth="1"/>
    <col min="6664" max="6664" width="13.7109375" customWidth="1"/>
    <col min="6665" max="6665" width="15.140625" bestFit="1" customWidth="1"/>
    <col min="6666" max="6667" width="15.140625" customWidth="1"/>
    <col min="6668" max="6668" width="17.5703125" customWidth="1"/>
    <col min="6669" max="6669" width="14.5703125" bestFit="1" customWidth="1"/>
    <col min="6670" max="6670" width="10.42578125" bestFit="1" customWidth="1"/>
    <col min="6672" max="6672" width="10.42578125" bestFit="1" customWidth="1"/>
    <col min="6899" max="6899" width="6.5703125" customWidth="1"/>
    <col min="6900" max="6900" width="43.42578125" customWidth="1"/>
    <col min="6901" max="6901" width="6.5703125" customWidth="1"/>
    <col min="6902" max="6903" width="11.7109375" customWidth="1"/>
    <col min="6904" max="6904" width="12.7109375" customWidth="1"/>
    <col min="6905" max="6905" width="11.7109375" customWidth="1"/>
    <col min="6906" max="6906" width="12.7109375" customWidth="1"/>
    <col min="6907" max="6908" width="11.7109375" customWidth="1"/>
    <col min="6909" max="6909" width="12.7109375" customWidth="1"/>
    <col min="6910" max="6919" width="11.7109375" customWidth="1"/>
    <col min="6920" max="6920" width="13.7109375" customWidth="1"/>
    <col min="6921" max="6921" width="15.140625" bestFit="1" customWidth="1"/>
    <col min="6922" max="6923" width="15.140625" customWidth="1"/>
    <col min="6924" max="6924" width="17.5703125" customWidth="1"/>
    <col min="6925" max="6925" width="14.5703125" bestFit="1" customWidth="1"/>
    <col min="6926" max="6926" width="10.42578125" bestFit="1" customWidth="1"/>
    <col min="6928" max="6928" width="10.42578125" bestFit="1" customWidth="1"/>
    <col min="7155" max="7155" width="6.5703125" customWidth="1"/>
    <col min="7156" max="7156" width="43.42578125" customWidth="1"/>
    <col min="7157" max="7157" width="6.5703125" customWidth="1"/>
    <col min="7158" max="7159" width="11.7109375" customWidth="1"/>
    <col min="7160" max="7160" width="12.7109375" customWidth="1"/>
    <col min="7161" max="7161" width="11.7109375" customWidth="1"/>
    <col min="7162" max="7162" width="12.7109375" customWidth="1"/>
    <col min="7163" max="7164" width="11.7109375" customWidth="1"/>
    <col min="7165" max="7165" width="12.7109375" customWidth="1"/>
    <col min="7166" max="7175" width="11.7109375" customWidth="1"/>
    <col min="7176" max="7176" width="13.7109375" customWidth="1"/>
    <col min="7177" max="7177" width="15.140625" bestFit="1" customWidth="1"/>
    <col min="7178" max="7179" width="15.140625" customWidth="1"/>
    <col min="7180" max="7180" width="17.5703125" customWidth="1"/>
    <col min="7181" max="7181" width="14.5703125" bestFit="1" customWidth="1"/>
    <col min="7182" max="7182" width="10.42578125" bestFit="1" customWidth="1"/>
    <col min="7184" max="7184" width="10.42578125" bestFit="1" customWidth="1"/>
    <col min="7411" max="7411" width="6.5703125" customWidth="1"/>
    <col min="7412" max="7412" width="43.42578125" customWidth="1"/>
    <col min="7413" max="7413" width="6.5703125" customWidth="1"/>
    <col min="7414" max="7415" width="11.7109375" customWidth="1"/>
    <col min="7416" max="7416" width="12.7109375" customWidth="1"/>
    <col min="7417" max="7417" width="11.7109375" customWidth="1"/>
    <col min="7418" max="7418" width="12.7109375" customWidth="1"/>
    <col min="7419" max="7420" width="11.7109375" customWidth="1"/>
    <col min="7421" max="7421" width="12.7109375" customWidth="1"/>
    <col min="7422" max="7431" width="11.7109375" customWidth="1"/>
    <col min="7432" max="7432" width="13.7109375" customWidth="1"/>
    <col min="7433" max="7433" width="15.140625" bestFit="1" customWidth="1"/>
    <col min="7434" max="7435" width="15.140625" customWidth="1"/>
    <col min="7436" max="7436" width="17.5703125" customWidth="1"/>
    <col min="7437" max="7437" width="14.5703125" bestFit="1" customWidth="1"/>
    <col min="7438" max="7438" width="10.42578125" bestFit="1" customWidth="1"/>
    <col min="7440" max="7440" width="10.42578125" bestFit="1" customWidth="1"/>
    <col min="7667" max="7667" width="6.5703125" customWidth="1"/>
    <col min="7668" max="7668" width="43.42578125" customWidth="1"/>
    <col min="7669" max="7669" width="6.5703125" customWidth="1"/>
    <col min="7670" max="7671" width="11.7109375" customWidth="1"/>
    <col min="7672" max="7672" width="12.7109375" customWidth="1"/>
    <col min="7673" max="7673" width="11.7109375" customWidth="1"/>
    <col min="7674" max="7674" width="12.7109375" customWidth="1"/>
    <col min="7675" max="7676" width="11.7109375" customWidth="1"/>
    <col min="7677" max="7677" width="12.7109375" customWidth="1"/>
    <col min="7678" max="7687" width="11.7109375" customWidth="1"/>
    <col min="7688" max="7688" width="13.7109375" customWidth="1"/>
    <col min="7689" max="7689" width="15.140625" bestFit="1" customWidth="1"/>
    <col min="7690" max="7691" width="15.140625" customWidth="1"/>
    <col min="7692" max="7692" width="17.5703125" customWidth="1"/>
    <col min="7693" max="7693" width="14.5703125" bestFit="1" customWidth="1"/>
    <col min="7694" max="7694" width="10.42578125" bestFit="1" customWidth="1"/>
    <col min="7696" max="7696" width="10.42578125" bestFit="1" customWidth="1"/>
    <col min="7923" max="7923" width="6.5703125" customWidth="1"/>
    <col min="7924" max="7924" width="43.42578125" customWidth="1"/>
    <col min="7925" max="7925" width="6.5703125" customWidth="1"/>
    <col min="7926" max="7927" width="11.7109375" customWidth="1"/>
    <col min="7928" max="7928" width="12.7109375" customWidth="1"/>
    <col min="7929" max="7929" width="11.7109375" customWidth="1"/>
    <col min="7930" max="7930" width="12.7109375" customWidth="1"/>
    <col min="7931" max="7932" width="11.7109375" customWidth="1"/>
    <col min="7933" max="7933" width="12.7109375" customWidth="1"/>
    <col min="7934" max="7943" width="11.7109375" customWidth="1"/>
    <col min="7944" max="7944" width="13.7109375" customWidth="1"/>
    <col min="7945" max="7945" width="15.140625" bestFit="1" customWidth="1"/>
    <col min="7946" max="7947" width="15.140625" customWidth="1"/>
    <col min="7948" max="7948" width="17.5703125" customWidth="1"/>
    <col min="7949" max="7949" width="14.5703125" bestFit="1" customWidth="1"/>
    <col min="7950" max="7950" width="10.42578125" bestFit="1" customWidth="1"/>
    <col min="7952" max="7952" width="10.42578125" bestFit="1" customWidth="1"/>
    <col min="8179" max="8179" width="6.5703125" customWidth="1"/>
    <col min="8180" max="8180" width="43.42578125" customWidth="1"/>
    <col min="8181" max="8181" width="6.5703125" customWidth="1"/>
    <col min="8182" max="8183" width="11.7109375" customWidth="1"/>
    <col min="8184" max="8184" width="12.7109375" customWidth="1"/>
    <col min="8185" max="8185" width="11.7109375" customWidth="1"/>
    <col min="8186" max="8186" width="12.7109375" customWidth="1"/>
    <col min="8187" max="8188" width="11.7109375" customWidth="1"/>
    <col min="8189" max="8189" width="12.7109375" customWidth="1"/>
    <col min="8190" max="8199" width="11.7109375" customWidth="1"/>
    <col min="8200" max="8200" width="13.7109375" customWidth="1"/>
    <col min="8201" max="8201" width="15.140625" bestFit="1" customWidth="1"/>
    <col min="8202" max="8203" width="15.140625" customWidth="1"/>
    <col min="8204" max="8204" width="17.5703125" customWidth="1"/>
    <col min="8205" max="8205" width="14.5703125" bestFit="1" customWidth="1"/>
    <col min="8206" max="8206" width="10.42578125" bestFit="1" customWidth="1"/>
    <col min="8208" max="8208" width="10.42578125" bestFit="1" customWidth="1"/>
    <col min="8435" max="8435" width="6.5703125" customWidth="1"/>
    <col min="8436" max="8436" width="43.42578125" customWidth="1"/>
    <col min="8437" max="8437" width="6.5703125" customWidth="1"/>
    <col min="8438" max="8439" width="11.7109375" customWidth="1"/>
    <col min="8440" max="8440" width="12.7109375" customWidth="1"/>
    <col min="8441" max="8441" width="11.7109375" customWidth="1"/>
    <col min="8442" max="8442" width="12.7109375" customWidth="1"/>
    <col min="8443" max="8444" width="11.7109375" customWidth="1"/>
    <col min="8445" max="8445" width="12.7109375" customWidth="1"/>
    <col min="8446" max="8455" width="11.7109375" customWidth="1"/>
    <col min="8456" max="8456" width="13.7109375" customWidth="1"/>
    <col min="8457" max="8457" width="15.140625" bestFit="1" customWidth="1"/>
    <col min="8458" max="8459" width="15.140625" customWidth="1"/>
    <col min="8460" max="8460" width="17.5703125" customWidth="1"/>
    <col min="8461" max="8461" width="14.5703125" bestFit="1" customWidth="1"/>
    <col min="8462" max="8462" width="10.42578125" bestFit="1" customWidth="1"/>
    <col min="8464" max="8464" width="10.42578125" bestFit="1" customWidth="1"/>
    <col min="8691" max="8691" width="6.5703125" customWidth="1"/>
    <col min="8692" max="8692" width="43.42578125" customWidth="1"/>
    <col min="8693" max="8693" width="6.5703125" customWidth="1"/>
    <col min="8694" max="8695" width="11.7109375" customWidth="1"/>
    <col min="8696" max="8696" width="12.7109375" customWidth="1"/>
    <col min="8697" max="8697" width="11.7109375" customWidth="1"/>
    <col min="8698" max="8698" width="12.7109375" customWidth="1"/>
    <col min="8699" max="8700" width="11.7109375" customWidth="1"/>
    <col min="8701" max="8701" width="12.7109375" customWidth="1"/>
    <col min="8702" max="8711" width="11.7109375" customWidth="1"/>
    <col min="8712" max="8712" width="13.7109375" customWidth="1"/>
    <col min="8713" max="8713" width="15.140625" bestFit="1" customWidth="1"/>
    <col min="8714" max="8715" width="15.140625" customWidth="1"/>
    <col min="8716" max="8716" width="17.5703125" customWidth="1"/>
    <col min="8717" max="8717" width="14.5703125" bestFit="1" customWidth="1"/>
    <col min="8718" max="8718" width="10.42578125" bestFit="1" customWidth="1"/>
    <col min="8720" max="8720" width="10.42578125" bestFit="1" customWidth="1"/>
    <col min="8947" max="8947" width="6.5703125" customWidth="1"/>
    <col min="8948" max="8948" width="43.42578125" customWidth="1"/>
    <col min="8949" max="8949" width="6.5703125" customWidth="1"/>
    <col min="8950" max="8951" width="11.7109375" customWidth="1"/>
    <col min="8952" max="8952" width="12.7109375" customWidth="1"/>
    <col min="8953" max="8953" width="11.7109375" customWidth="1"/>
    <col min="8954" max="8954" width="12.7109375" customWidth="1"/>
    <col min="8955" max="8956" width="11.7109375" customWidth="1"/>
    <col min="8957" max="8957" width="12.7109375" customWidth="1"/>
    <col min="8958" max="8967" width="11.7109375" customWidth="1"/>
    <col min="8968" max="8968" width="13.7109375" customWidth="1"/>
    <col min="8969" max="8969" width="15.140625" bestFit="1" customWidth="1"/>
    <col min="8970" max="8971" width="15.140625" customWidth="1"/>
    <col min="8972" max="8972" width="17.5703125" customWidth="1"/>
    <col min="8973" max="8973" width="14.5703125" bestFit="1" customWidth="1"/>
    <col min="8974" max="8974" width="10.42578125" bestFit="1" customWidth="1"/>
    <col min="8976" max="8976" width="10.42578125" bestFit="1" customWidth="1"/>
    <col min="9203" max="9203" width="6.5703125" customWidth="1"/>
    <col min="9204" max="9204" width="43.42578125" customWidth="1"/>
    <col min="9205" max="9205" width="6.5703125" customWidth="1"/>
    <col min="9206" max="9207" width="11.7109375" customWidth="1"/>
    <col min="9208" max="9208" width="12.7109375" customWidth="1"/>
    <col min="9209" max="9209" width="11.7109375" customWidth="1"/>
    <col min="9210" max="9210" width="12.7109375" customWidth="1"/>
    <col min="9211" max="9212" width="11.7109375" customWidth="1"/>
    <col min="9213" max="9213" width="12.7109375" customWidth="1"/>
    <col min="9214" max="9223" width="11.7109375" customWidth="1"/>
    <col min="9224" max="9224" width="13.7109375" customWidth="1"/>
    <col min="9225" max="9225" width="15.140625" bestFit="1" customWidth="1"/>
    <col min="9226" max="9227" width="15.140625" customWidth="1"/>
    <col min="9228" max="9228" width="17.5703125" customWidth="1"/>
    <col min="9229" max="9229" width="14.5703125" bestFit="1" customWidth="1"/>
    <col min="9230" max="9230" width="10.42578125" bestFit="1" customWidth="1"/>
    <col min="9232" max="9232" width="10.42578125" bestFit="1" customWidth="1"/>
    <col min="9459" max="9459" width="6.5703125" customWidth="1"/>
    <col min="9460" max="9460" width="43.42578125" customWidth="1"/>
    <col min="9461" max="9461" width="6.5703125" customWidth="1"/>
    <col min="9462" max="9463" width="11.7109375" customWidth="1"/>
    <col min="9464" max="9464" width="12.7109375" customWidth="1"/>
    <col min="9465" max="9465" width="11.7109375" customWidth="1"/>
    <col min="9466" max="9466" width="12.7109375" customWidth="1"/>
    <col min="9467" max="9468" width="11.7109375" customWidth="1"/>
    <col min="9469" max="9469" width="12.7109375" customWidth="1"/>
    <col min="9470" max="9479" width="11.7109375" customWidth="1"/>
    <col min="9480" max="9480" width="13.7109375" customWidth="1"/>
    <col min="9481" max="9481" width="15.140625" bestFit="1" customWidth="1"/>
    <col min="9482" max="9483" width="15.140625" customWidth="1"/>
    <col min="9484" max="9484" width="17.5703125" customWidth="1"/>
    <col min="9485" max="9485" width="14.5703125" bestFit="1" customWidth="1"/>
    <col min="9486" max="9486" width="10.42578125" bestFit="1" customWidth="1"/>
    <col min="9488" max="9488" width="10.42578125" bestFit="1" customWidth="1"/>
    <col min="9715" max="9715" width="6.5703125" customWidth="1"/>
    <col min="9716" max="9716" width="43.42578125" customWidth="1"/>
    <col min="9717" max="9717" width="6.5703125" customWidth="1"/>
    <col min="9718" max="9719" width="11.7109375" customWidth="1"/>
    <col min="9720" max="9720" width="12.7109375" customWidth="1"/>
    <col min="9721" max="9721" width="11.7109375" customWidth="1"/>
    <col min="9722" max="9722" width="12.7109375" customWidth="1"/>
    <col min="9723" max="9724" width="11.7109375" customWidth="1"/>
    <col min="9725" max="9725" width="12.7109375" customWidth="1"/>
    <col min="9726" max="9735" width="11.7109375" customWidth="1"/>
    <col min="9736" max="9736" width="13.7109375" customWidth="1"/>
    <col min="9737" max="9737" width="15.140625" bestFit="1" customWidth="1"/>
    <col min="9738" max="9739" width="15.140625" customWidth="1"/>
    <col min="9740" max="9740" width="17.5703125" customWidth="1"/>
    <col min="9741" max="9741" width="14.5703125" bestFit="1" customWidth="1"/>
    <col min="9742" max="9742" width="10.42578125" bestFit="1" customWidth="1"/>
    <col min="9744" max="9744" width="10.42578125" bestFit="1" customWidth="1"/>
    <col min="9971" max="9971" width="6.5703125" customWidth="1"/>
    <col min="9972" max="9972" width="43.42578125" customWidth="1"/>
    <col min="9973" max="9973" width="6.5703125" customWidth="1"/>
    <col min="9974" max="9975" width="11.7109375" customWidth="1"/>
    <col min="9976" max="9976" width="12.7109375" customWidth="1"/>
    <col min="9977" max="9977" width="11.7109375" customWidth="1"/>
    <col min="9978" max="9978" width="12.7109375" customWidth="1"/>
    <col min="9979" max="9980" width="11.7109375" customWidth="1"/>
    <col min="9981" max="9981" width="12.7109375" customWidth="1"/>
    <col min="9982" max="9991" width="11.7109375" customWidth="1"/>
    <col min="9992" max="9992" width="13.7109375" customWidth="1"/>
    <col min="9993" max="9993" width="15.140625" bestFit="1" customWidth="1"/>
    <col min="9994" max="9995" width="15.140625" customWidth="1"/>
    <col min="9996" max="9996" width="17.5703125" customWidth="1"/>
    <col min="9997" max="9997" width="14.5703125" bestFit="1" customWidth="1"/>
    <col min="9998" max="9998" width="10.42578125" bestFit="1" customWidth="1"/>
    <col min="10000" max="10000" width="10.42578125" bestFit="1" customWidth="1"/>
    <col min="10227" max="10227" width="6.5703125" customWidth="1"/>
    <col min="10228" max="10228" width="43.42578125" customWidth="1"/>
    <col min="10229" max="10229" width="6.5703125" customWidth="1"/>
    <col min="10230" max="10231" width="11.7109375" customWidth="1"/>
    <col min="10232" max="10232" width="12.7109375" customWidth="1"/>
    <col min="10233" max="10233" width="11.7109375" customWidth="1"/>
    <col min="10234" max="10234" width="12.7109375" customWidth="1"/>
    <col min="10235" max="10236" width="11.7109375" customWidth="1"/>
    <col min="10237" max="10237" width="12.7109375" customWidth="1"/>
    <col min="10238" max="10247" width="11.7109375" customWidth="1"/>
    <col min="10248" max="10248" width="13.7109375" customWidth="1"/>
    <col min="10249" max="10249" width="15.140625" bestFit="1" customWidth="1"/>
    <col min="10250" max="10251" width="15.140625" customWidth="1"/>
    <col min="10252" max="10252" width="17.5703125" customWidth="1"/>
    <col min="10253" max="10253" width="14.5703125" bestFit="1" customWidth="1"/>
    <col min="10254" max="10254" width="10.42578125" bestFit="1" customWidth="1"/>
    <col min="10256" max="10256" width="10.42578125" bestFit="1" customWidth="1"/>
    <col min="10483" max="10483" width="6.5703125" customWidth="1"/>
    <col min="10484" max="10484" width="43.42578125" customWidth="1"/>
    <col min="10485" max="10485" width="6.5703125" customWidth="1"/>
    <col min="10486" max="10487" width="11.7109375" customWidth="1"/>
    <col min="10488" max="10488" width="12.7109375" customWidth="1"/>
    <col min="10489" max="10489" width="11.7109375" customWidth="1"/>
    <col min="10490" max="10490" width="12.7109375" customWidth="1"/>
    <col min="10491" max="10492" width="11.7109375" customWidth="1"/>
    <col min="10493" max="10493" width="12.7109375" customWidth="1"/>
    <col min="10494" max="10503" width="11.7109375" customWidth="1"/>
    <col min="10504" max="10504" width="13.7109375" customWidth="1"/>
    <col min="10505" max="10505" width="15.140625" bestFit="1" customWidth="1"/>
    <col min="10506" max="10507" width="15.140625" customWidth="1"/>
    <col min="10508" max="10508" width="17.5703125" customWidth="1"/>
    <col min="10509" max="10509" width="14.5703125" bestFit="1" customWidth="1"/>
    <col min="10510" max="10510" width="10.42578125" bestFit="1" customWidth="1"/>
    <col min="10512" max="10512" width="10.42578125" bestFit="1" customWidth="1"/>
    <col min="10739" max="10739" width="6.5703125" customWidth="1"/>
    <col min="10740" max="10740" width="43.42578125" customWidth="1"/>
    <col min="10741" max="10741" width="6.5703125" customWidth="1"/>
    <col min="10742" max="10743" width="11.7109375" customWidth="1"/>
    <col min="10744" max="10744" width="12.7109375" customWidth="1"/>
    <col min="10745" max="10745" width="11.7109375" customWidth="1"/>
    <col min="10746" max="10746" width="12.7109375" customWidth="1"/>
    <col min="10747" max="10748" width="11.7109375" customWidth="1"/>
    <col min="10749" max="10749" width="12.7109375" customWidth="1"/>
    <col min="10750" max="10759" width="11.7109375" customWidth="1"/>
    <col min="10760" max="10760" width="13.7109375" customWidth="1"/>
    <col min="10761" max="10761" width="15.140625" bestFit="1" customWidth="1"/>
    <col min="10762" max="10763" width="15.140625" customWidth="1"/>
    <col min="10764" max="10764" width="17.5703125" customWidth="1"/>
    <col min="10765" max="10765" width="14.5703125" bestFit="1" customWidth="1"/>
    <col min="10766" max="10766" width="10.42578125" bestFit="1" customWidth="1"/>
    <col min="10768" max="10768" width="10.42578125" bestFit="1" customWidth="1"/>
    <col min="10995" max="10995" width="6.5703125" customWidth="1"/>
    <col min="10996" max="10996" width="43.42578125" customWidth="1"/>
    <col min="10997" max="10997" width="6.5703125" customWidth="1"/>
    <col min="10998" max="10999" width="11.7109375" customWidth="1"/>
    <col min="11000" max="11000" width="12.7109375" customWidth="1"/>
    <col min="11001" max="11001" width="11.7109375" customWidth="1"/>
    <col min="11002" max="11002" width="12.7109375" customWidth="1"/>
    <col min="11003" max="11004" width="11.7109375" customWidth="1"/>
    <col min="11005" max="11005" width="12.7109375" customWidth="1"/>
    <col min="11006" max="11015" width="11.7109375" customWidth="1"/>
    <col min="11016" max="11016" width="13.7109375" customWidth="1"/>
    <col min="11017" max="11017" width="15.140625" bestFit="1" customWidth="1"/>
    <col min="11018" max="11019" width="15.140625" customWidth="1"/>
    <col min="11020" max="11020" width="17.5703125" customWidth="1"/>
    <col min="11021" max="11021" width="14.5703125" bestFit="1" customWidth="1"/>
    <col min="11022" max="11022" width="10.42578125" bestFit="1" customWidth="1"/>
    <col min="11024" max="11024" width="10.42578125" bestFit="1" customWidth="1"/>
    <col min="11251" max="11251" width="6.5703125" customWidth="1"/>
    <col min="11252" max="11252" width="43.42578125" customWidth="1"/>
    <col min="11253" max="11253" width="6.5703125" customWidth="1"/>
    <col min="11254" max="11255" width="11.7109375" customWidth="1"/>
    <col min="11256" max="11256" width="12.7109375" customWidth="1"/>
    <col min="11257" max="11257" width="11.7109375" customWidth="1"/>
    <col min="11258" max="11258" width="12.7109375" customWidth="1"/>
    <col min="11259" max="11260" width="11.7109375" customWidth="1"/>
    <col min="11261" max="11261" width="12.7109375" customWidth="1"/>
    <col min="11262" max="11271" width="11.7109375" customWidth="1"/>
    <col min="11272" max="11272" width="13.7109375" customWidth="1"/>
    <col min="11273" max="11273" width="15.140625" bestFit="1" customWidth="1"/>
    <col min="11274" max="11275" width="15.140625" customWidth="1"/>
    <col min="11276" max="11276" width="17.5703125" customWidth="1"/>
    <col min="11277" max="11277" width="14.5703125" bestFit="1" customWidth="1"/>
    <col min="11278" max="11278" width="10.42578125" bestFit="1" customWidth="1"/>
    <col min="11280" max="11280" width="10.42578125" bestFit="1" customWidth="1"/>
    <col min="11507" max="11507" width="6.5703125" customWidth="1"/>
    <col min="11508" max="11508" width="43.42578125" customWidth="1"/>
    <col min="11509" max="11509" width="6.5703125" customWidth="1"/>
    <col min="11510" max="11511" width="11.7109375" customWidth="1"/>
    <col min="11512" max="11512" width="12.7109375" customWidth="1"/>
    <col min="11513" max="11513" width="11.7109375" customWidth="1"/>
    <col min="11514" max="11514" width="12.7109375" customWidth="1"/>
    <col min="11515" max="11516" width="11.7109375" customWidth="1"/>
    <col min="11517" max="11517" width="12.7109375" customWidth="1"/>
    <col min="11518" max="11527" width="11.7109375" customWidth="1"/>
    <col min="11528" max="11528" width="13.7109375" customWidth="1"/>
    <col min="11529" max="11529" width="15.140625" bestFit="1" customWidth="1"/>
    <col min="11530" max="11531" width="15.140625" customWidth="1"/>
    <col min="11532" max="11532" width="17.5703125" customWidth="1"/>
    <col min="11533" max="11533" width="14.5703125" bestFit="1" customWidth="1"/>
    <col min="11534" max="11534" width="10.42578125" bestFit="1" customWidth="1"/>
    <col min="11536" max="11536" width="10.42578125" bestFit="1" customWidth="1"/>
    <col min="11763" max="11763" width="6.5703125" customWidth="1"/>
    <col min="11764" max="11764" width="43.42578125" customWidth="1"/>
    <col min="11765" max="11765" width="6.5703125" customWidth="1"/>
    <col min="11766" max="11767" width="11.7109375" customWidth="1"/>
    <col min="11768" max="11768" width="12.7109375" customWidth="1"/>
    <col min="11769" max="11769" width="11.7109375" customWidth="1"/>
    <col min="11770" max="11770" width="12.7109375" customWidth="1"/>
    <col min="11771" max="11772" width="11.7109375" customWidth="1"/>
    <col min="11773" max="11773" width="12.7109375" customWidth="1"/>
    <col min="11774" max="11783" width="11.7109375" customWidth="1"/>
    <col min="11784" max="11784" width="13.7109375" customWidth="1"/>
    <col min="11785" max="11785" width="15.140625" bestFit="1" customWidth="1"/>
    <col min="11786" max="11787" width="15.140625" customWidth="1"/>
    <col min="11788" max="11788" width="17.5703125" customWidth="1"/>
    <col min="11789" max="11789" width="14.5703125" bestFit="1" customWidth="1"/>
    <col min="11790" max="11790" width="10.42578125" bestFit="1" customWidth="1"/>
    <col min="11792" max="11792" width="10.42578125" bestFit="1" customWidth="1"/>
    <col min="12019" max="12019" width="6.5703125" customWidth="1"/>
    <col min="12020" max="12020" width="43.42578125" customWidth="1"/>
    <col min="12021" max="12021" width="6.5703125" customWidth="1"/>
    <col min="12022" max="12023" width="11.7109375" customWidth="1"/>
    <col min="12024" max="12024" width="12.7109375" customWidth="1"/>
    <col min="12025" max="12025" width="11.7109375" customWidth="1"/>
    <col min="12026" max="12026" width="12.7109375" customWidth="1"/>
    <col min="12027" max="12028" width="11.7109375" customWidth="1"/>
    <col min="12029" max="12029" width="12.7109375" customWidth="1"/>
    <col min="12030" max="12039" width="11.7109375" customWidth="1"/>
    <col min="12040" max="12040" width="13.7109375" customWidth="1"/>
    <col min="12041" max="12041" width="15.140625" bestFit="1" customWidth="1"/>
    <col min="12042" max="12043" width="15.140625" customWidth="1"/>
    <col min="12044" max="12044" width="17.5703125" customWidth="1"/>
    <col min="12045" max="12045" width="14.5703125" bestFit="1" customWidth="1"/>
    <col min="12046" max="12046" width="10.42578125" bestFit="1" customWidth="1"/>
    <col min="12048" max="12048" width="10.42578125" bestFit="1" customWidth="1"/>
    <col min="12275" max="12275" width="6.5703125" customWidth="1"/>
    <col min="12276" max="12276" width="43.42578125" customWidth="1"/>
    <col min="12277" max="12277" width="6.5703125" customWidth="1"/>
    <col min="12278" max="12279" width="11.7109375" customWidth="1"/>
    <col min="12280" max="12280" width="12.7109375" customWidth="1"/>
    <col min="12281" max="12281" width="11.7109375" customWidth="1"/>
    <col min="12282" max="12282" width="12.7109375" customWidth="1"/>
    <col min="12283" max="12284" width="11.7109375" customWidth="1"/>
    <col min="12285" max="12285" width="12.7109375" customWidth="1"/>
    <col min="12286" max="12295" width="11.7109375" customWidth="1"/>
    <col min="12296" max="12296" width="13.7109375" customWidth="1"/>
    <col min="12297" max="12297" width="15.140625" bestFit="1" customWidth="1"/>
    <col min="12298" max="12299" width="15.140625" customWidth="1"/>
    <col min="12300" max="12300" width="17.5703125" customWidth="1"/>
    <col min="12301" max="12301" width="14.5703125" bestFit="1" customWidth="1"/>
    <col min="12302" max="12302" width="10.42578125" bestFit="1" customWidth="1"/>
    <col min="12304" max="12304" width="10.42578125" bestFit="1" customWidth="1"/>
    <col min="12531" max="12531" width="6.5703125" customWidth="1"/>
    <col min="12532" max="12532" width="43.42578125" customWidth="1"/>
    <col min="12533" max="12533" width="6.5703125" customWidth="1"/>
    <col min="12534" max="12535" width="11.7109375" customWidth="1"/>
    <col min="12536" max="12536" width="12.7109375" customWidth="1"/>
    <col min="12537" max="12537" width="11.7109375" customWidth="1"/>
    <col min="12538" max="12538" width="12.7109375" customWidth="1"/>
    <col min="12539" max="12540" width="11.7109375" customWidth="1"/>
    <col min="12541" max="12541" width="12.7109375" customWidth="1"/>
    <col min="12542" max="12551" width="11.7109375" customWidth="1"/>
    <col min="12552" max="12552" width="13.7109375" customWidth="1"/>
    <col min="12553" max="12553" width="15.140625" bestFit="1" customWidth="1"/>
    <col min="12554" max="12555" width="15.140625" customWidth="1"/>
    <col min="12556" max="12556" width="17.5703125" customWidth="1"/>
    <col min="12557" max="12557" width="14.5703125" bestFit="1" customWidth="1"/>
    <col min="12558" max="12558" width="10.42578125" bestFit="1" customWidth="1"/>
    <col min="12560" max="12560" width="10.42578125" bestFit="1" customWidth="1"/>
    <col min="12787" max="12787" width="6.5703125" customWidth="1"/>
    <col min="12788" max="12788" width="43.42578125" customWidth="1"/>
    <col min="12789" max="12789" width="6.5703125" customWidth="1"/>
    <col min="12790" max="12791" width="11.7109375" customWidth="1"/>
    <col min="12792" max="12792" width="12.7109375" customWidth="1"/>
    <col min="12793" max="12793" width="11.7109375" customWidth="1"/>
    <col min="12794" max="12794" width="12.7109375" customWidth="1"/>
    <col min="12795" max="12796" width="11.7109375" customWidth="1"/>
    <col min="12797" max="12797" width="12.7109375" customWidth="1"/>
    <col min="12798" max="12807" width="11.7109375" customWidth="1"/>
    <col min="12808" max="12808" width="13.7109375" customWidth="1"/>
    <col min="12809" max="12809" width="15.140625" bestFit="1" customWidth="1"/>
    <col min="12810" max="12811" width="15.140625" customWidth="1"/>
    <col min="12812" max="12812" width="17.5703125" customWidth="1"/>
    <col min="12813" max="12813" width="14.5703125" bestFit="1" customWidth="1"/>
    <col min="12814" max="12814" width="10.42578125" bestFit="1" customWidth="1"/>
    <col min="12816" max="12816" width="10.42578125" bestFit="1" customWidth="1"/>
    <col min="13043" max="13043" width="6.5703125" customWidth="1"/>
    <col min="13044" max="13044" width="43.42578125" customWidth="1"/>
    <col min="13045" max="13045" width="6.5703125" customWidth="1"/>
    <col min="13046" max="13047" width="11.7109375" customWidth="1"/>
    <col min="13048" max="13048" width="12.7109375" customWidth="1"/>
    <col min="13049" max="13049" width="11.7109375" customWidth="1"/>
    <col min="13050" max="13050" width="12.7109375" customWidth="1"/>
    <col min="13051" max="13052" width="11.7109375" customWidth="1"/>
    <col min="13053" max="13053" width="12.7109375" customWidth="1"/>
    <col min="13054" max="13063" width="11.7109375" customWidth="1"/>
    <col min="13064" max="13064" width="13.7109375" customWidth="1"/>
    <col min="13065" max="13065" width="15.140625" bestFit="1" customWidth="1"/>
    <col min="13066" max="13067" width="15.140625" customWidth="1"/>
    <col min="13068" max="13068" width="17.5703125" customWidth="1"/>
    <col min="13069" max="13069" width="14.5703125" bestFit="1" customWidth="1"/>
    <col min="13070" max="13070" width="10.42578125" bestFit="1" customWidth="1"/>
    <col min="13072" max="13072" width="10.42578125" bestFit="1" customWidth="1"/>
    <col min="13299" max="13299" width="6.5703125" customWidth="1"/>
    <col min="13300" max="13300" width="43.42578125" customWidth="1"/>
    <col min="13301" max="13301" width="6.5703125" customWidth="1"/>
    <col min="13302" max="13303" width="11.7109375" customWidth="1"/>
    <col min="13304" max="13304" width="12.7109375" customWidth="1"/>
    <col min="13305" max="13305" width="11.7109375" customWidth="1"/>
    <col min="13306" max="13306" width="12.7109375" customWidth="1"/>
    <col min="13307" max="13308" width="11.7109375" customWidth="1"/>
    <col min="13309" max="13309" width="12.7109375" customWidth="1"/>
    <col min="13310" max="13319" width="11.7109375" customWidth="1"/>
    <col min="13320" max="13320" width="13.7109375" customWidth="1"/>
    <col min="13321" max="13321" width="15.140625" bestFit="1" customWidth="1"/>
    <col min="13322" max="13323" width="15.140625" customWidth="1"/>
    <col min="13324" max="13324" width="17.5703125" customWidth="1"/>
    <col min="13325" max="13325" width="14.5703125" bestFit="1" customWidth="1"/>
    <col min="13326" max="13326" width="10.42578125" bestFit="1" customWidth="1"/>
    <col min="13328" max="13328" width="10.42578125" bestFit="1" customWidth="1"/>
    <col min="13555" max="13555" width="6.5703125" customWidth="1"/>
    <col min="13556" max="13556" width="43.42578125" customWidth="1"/>
    <col min="13557" max="13557" width="6.5703125" customWidth="1"/>
    <col min="13558" max="13559" width="11.7109375" customWidth="1"/>
    <col min="13560" max="13560" width="12.7109375" customWidth="1"/>
    <col min="13561" max="13561" width="11.7109375" customWidth="1"/>
    <col min="13562" max="13562" width="12.7109375" customWidth="1"/>
    <col min="13563" max="13564" width="11.7109375" customWidth="1"/>
    <col min="13565" max="13565" width="12.7109375" customWidth="1"/>
    <col min="13566" max="13575" width="11.7109375" customWidth="1"/>
    <col min="13576" max="13576" width="13.7109375" customWidth="1"/>
    <col min="13577" max="13577" width="15.140625" bestFit="1" customWidth="1"/>
    <col min="13578" max="13579" width="15.140625" customWidth="1"/>
    <col min="13580" max="13580" width="17.5703125" customWidth="1"/>
    <col min="13581" max="13581" width="14.5703125" bestFit="1" customWidth="1"/>
    <col min="13582" max="13582" width="10.42578125" bestFit="1" customWidth="1"/>
    <col min="13584" max="13584" width="10.42578125" bestFit="1" customWidth="1"/>
    <col min="13811" max="13811" width="6.5703125" customWidth="1"/>
    <col min="13812" max="13812" width="43.42578125" customWidth="1"/>
    <col min="13813" max="13813" width="6.5703125" customWidth="1"/>
    <col min="13814" max="13815" width="11.7109375" customWidth="1"/>
    <col min="13816" max="13816" width="12.7109375" customWidth="1"/>
    <col min="13817" max="13817" width="11.7109375" customWidth="1"/>
    <col min="13818" max="13818" width="12.7109375" customWidth="1"/>
    <col min="13819" max="13820" width="11.7109375" customWidth="1"/>
    <col min="13821" max="13821" width="12.7109375" customWidth="1"/>
    <col min="13822" max="13831" width="11.7109375" customWidth="1"/>
    <col min="13832" max="13832" width="13.7109375" customWidth="1"/>
    <col min="13833" max="13833" width="15.140625" bestFit="1" customWidth="1"/>
    <col min="13834" max="13835" width="15.140625" customWidth="1"/>
    <col min="13836" max="13836" width="17.5703125" customWidth="1"/>
    <col min="13837" max="13837" width="14.5703125" bestFit="1" customWidth="1"/>
    <col min="13838" max="13838" width="10.42578125" bestFit="1" customWidth="1"/>
    <col min="13840" max="13840" width="10.42578125" bestFit="1" customWidth="1"/>
    <col min="14067" max="14067" width="6.5703125" customWidth="1"/>
    <col min="14068" max="14068" width="43.42578125" customWidth="1"/>
    <col min="14069" max="14069" width="6.5703125" customWidth="1"/>
    <col min="14070" max="14071" width="11.7109375" customWidth="1"/>
    <col min="14072" max="14072" width="12.7109375" customWidth="1"/>
    <col min="14073" max="14073" width="11.7109375" customWidth="1"/>
    <col min="14074" max="14074" width="12.7109375" customWidth="1"/>
    <col min="14075" max="14076" width="11.7109375" customWidth="1"/>
    <col min="14077" max="14077" width="12.7109375" customWidth="1"/>
    <col min="14078" max="14087" width="11.7109375" customWidth="1"/>
    <col min="14088" max="14088" width="13.7109375" customWidth="1"/>
    <col min="14089" max="14089" width="15.140625" bestFit="1" customWidth="1"/>
    <col min="14090" max="14091" width="15.140625" customWidth="1"/>
    <col min="14092" max="14092" width="17.5703125" customWidth="1"/>
    <col min="14093" max="14093" width="14.5703125" bestFit="1" customWidth="1"/>
    <col min="14094" max="14094" width="10.42578125" bestFit="1" customWidth="1"/>
    <col min="14096" max="14096" width="10.42578125" bestFit="1" customWidth="1"/>
    <col min="14323" max="14323" width="6.5703125" customWidth="1"/>
    <col min="14324" max="14324" width="43.42578125" customWidth="1"/>
    <col min="14325" max="14325" width="6.5703125" customWidth="1"/>
    <col min="14326" max="14327" width="11.7109375" customWidth="1"/>
    <col min="14328" max="14328" width="12.7109375" customWidth="1"/>
    <col min="14329" max="14329" width="11.7109375" customWidth="1"/>
    <col min="14330" max="14330" width="12.7109375" customWidth="1"/>
    <col min="14331" max="14332" width="11.7109375" customWidth="1"/>
    <col min="14333" max="14333" width="12.7109375" customWidth="1"/>
    <col min="14334" max="14343" width="11.7109375" customWidth="1"/>
    <col min="14344" max="14344" width="13.7109375" customWidth="1"/>
    <col min="14345" max="14345" width="15.140625" bestFit="1" customWidth="1"/>
    <col min="14346" max="14347" width="15.140625" customWidth="1"/>
    <col min="14348" max="14348" width="17.5703125" customWidth="1"/>
    <col min="14349" max="14349" width="14.5703125" bestFit="1" customWidth="1"/>
    <col min="14350" max="14350" width="10.42578125" bestFit="1" customWidth="1"/>
    <col min="14352" max="14352" width="10.42578125" bestFit="1" customWidth="1"/>
    <col min="14579" max="14579" width="6.5703125" customWidth="1"/>
    <col min="14580" max="14580" width="43.42578125" customWidth="1"/>
    <col min="14581" max="14581" width="6.5703125" customWidth="1"/>
    <col min="14582" max="14583" width="11.7109375" customWidth="1"/>
    <col min="14584" max="14584" width="12.7109375" customWidth="1"/>
    <col min="14585" max="14585" width="11.7109375" customWidth="1"/>
    <col min="14586" max="14586" width="12.7109375" customWidth="1"/>
    <col min="14587" max="14588" width="11.7109375" customWidth="1"/>
    <col min="14589" max="14589" width="12.7109375" customWidth="1"/>
    <col min="14590" max="14599" width="11.7109375" customWidth="1"/>
    <col min="14600" max="14600" width="13.7109375" customWidth="1"/>
    <col min="14601" max="14601" width="15.140625" bestFit="1" customWidth="1"/>
    <col min="14602" max="14603" width="15.140625" customWidth="1"/>
    <col min="14604" max="14604" width="17.5703125" customWidth="1"/>
    <col min="14605" max="14605" width="14.5703125" bestFit="1" customWidth="1"/>
    <col min="14606" max="14606" width="10.42578125" bestFit="1" customWidth="1"/>
    <col min="14608" max="14608" width="10.42578125" bestFit="1" customWidth="1"/>
    <col min="14835" max="14835" width="6.5703125" customWidth="1"/>
    <col min="14836" max="14836" width="43.42578125" customWidth="1"/>
    <col min="14837" max="14837" width="6.5703125" customWidth="1"/>
    <col min="14838" max="14839" width="11.7109375" customWidth="1"/>
    <col min="14840" max="14840" width="12.7109375" customWidth="1"/>
    <col min="14841" max="14841" width="11.7109375" customWidth="1"/>
    <col min="14842" max="14842" width="12.7109375" customWidth="1"/>
    <col min="14843" max="14844" width="11.7109375" customWidth="1"/>
    <col min="14845" max="14845" width="12.7109375" customWidth="1"/>
    <col min="14846" max="14855" width="11.7109375" customWidth="1"/>
    <col min="14856" max="14856" width="13.7109375" customWidth="1"/>
    <col min="14857" max="14857" width="15.140625" bestFit="1" customWidth="1"/>
    <col min="14858" max="14859" width="15.140625" customWidth="1"/>
    <col min="14860" max="14860" width="17.5703125" customWidth="1"/>
    <col min="14861" max="14861" width="14.5703125" bestFit="1" customWidth="1"/>
    <col min="14862" max="14862" width="10.42578125" bestFit="1" customWidth="1"/>
    <col min="14864" max="14864" width="10.42578125" bestFit="1" customWidth="1"/>
    <col min="15091" max="15091" width="6.5703125" customWidth="1"/>
    <col min="15092" max="15092" width="43.42578125" customWidth="1"/>
    <col min="15093" max="15093" width="6.5703125" customWidth="1"/>
    <col min="15094" max="15095" width="11.7109375" customWidth="1"/>
    <col min="15096" max="15096" width="12.7109375" customWidth="1"/>
    <col min="15097" max="15097" width="11.7109375" customWidth="1"/>
    <col min="15098" max="15098" width="12.7109375" customWidth="1"/>
    <col min="15099" max="15100" width="11.7109375" customWidth="1"/>
    <col min="15101" max="15101" width="12.7109375" customWidth="1"/>
    <col min="15102" max="15111" width="11.7109375" customWidth="1"/>
    <col min="15112" max="15112" width="13.7109375" customWidth="1"/>
    <col min="15113" max="15113" width="15.140625" bestFit="1" customWidth="1"/>
    <col min="15114" max="15115" width="15.140625" customWidth="1"/>
    <col min="15116" max="15116" width="17.5703125" customWidth="1"/>
    <col min="15117" max="15117" width="14.5703125" bestFit="1" customWidth="1"/>
    <col min="15118" max="15118" width="10.42578125" bestFit="1" customWidth="1"/>
    <col min="15120" max="15120" width="10.42578125" bestFit="1" customWidth="1"/>
    <col min="15347" max="15347" width="6.5703125" customWidth="1"/>
    <col min="15348" max="15348" width="43.42578125" customWidth="1"/>
    <col min="15349" max="15349" width="6.5703125" customWidth="1"/>
    <col min="15350" max="15351" width="11.7109375" customWidth="1"/>
    <col min="15352" max="15352" width="12.7109375" customWidth="1"/>
    <col min="15353" max="15353" width="11.7109375" customWidth="1"/>
    <col min="15354" max="15354" width="12.7109375" customWidth="1"/>
    <col min="15355" max="15356" width="11.7109375" customWidth="1"/>
    <col min="15357" max="15357" width="12.7109375" customWidth="1"/>
    <col min="15358" max="15367" width="11.7109375" customWidth="1"/>
    <col min="15368" max="15368" width="13.7109375" customWidth="1"/>
    <col min="15369" max="15369" width="15.140625" bestFit="1" customWidth="1"/>
    <col min="15370" max="15371" width="15.140625" customWidth="1"/>
    <col min="15372" max="15372" width="17.5703125" customWidth="1"/>
    <col min="15373" max="15373" width="14.5703125" bestFit="1" customWidth="1"/>
    <col min="15374" max="15374" width="10.42578125" bestFit="1" customWidth="1"/>
    <col min="15376" max="15376" width="10.42578125" bestFit="1" customWidth="1"/>
    <col min="15603" max="15603" width="6.5703125" customWidth="1"/>
    <col min="15604" max="15604" width="43.42578125" customWidth="1"/>
    <col min="15605" max="15605" width="6.5703125" customWidth="1"/>
    <col min="15606" max="15607" width="11.7109375" customWidth="1"/>
    <col min="15608" max="15608" width="12.7109375" customWidth="1"/>
    <col min="15609" max="15609" width="11.7109375" customWidth="1"/>
    <col min="15610" max="15610" width="12.7109375" customWidth="1"/>
    <col min="15611" max="15612" width="11.7109375" customWidth="1"/>
    <col min="15613" max="15613" width="12.7109375" customWidth="1"/>
    <col min="15614" max="15623" width="11.7109375" customWidth="1"/>
    <col min="15624" max="15624" width="13.7109375" customWidth="1"/>
    <col min="15625" max="15625" width="15.140625" bestFit="1" customWidth="1"/>
    <col min="15626" max="15627" width="15.140625" customWidth="1"/>
    <col min="15628" max="15628" width="17.5703125" customWidth="1"/>
    <col min="15629" max="15629" width="14.5703125" bestFit="1" customWidth="1"/>
    <col min="15630" max="15630" width="10.42578125" bestFit="1" customWidth="1"/>
    <col min="15632" max="15632" width="10.42578125" bestFit="1" customWidth="1"/>
    <col min="15859" max="15859" width="6.5703125" customWidth="1"/>
    <col min="15860" max="15860" width="43.42578125" customWidth="1"/>
    <col min="15861" max="15861" width="6.5703125" customWidth="1"/>
    <col min="15862" max="15863" width="11.7109375" customWidth="1"/>
    <col min="15864" max="15864" width="12.7109375" customWidth="1"/>
    <col min="15865" max="15865" width="11.7109375" customWidth="1"/>
    <col min="15866" max="15866" width="12.7109375" customWidth="1"/>
    <col min="15867" max="15868" width="11.7109375" customWidth="1"/>
    <col min="15869" max="15869" width="12.7109375" customWidth="1"/>
    <col min="15870" max="15879" width="11.7109375" customWidth="1"/>
    <col min="15880" max="15880" width="13.7109375" customWidth="1"/>
    <col min="15881" max="15881" width="15.140625" bestFit="1" customWidth="1"/>
    <col min="15882" max="15883" width="15.140625" customWidth="1"/>
    <col min="15884" max="15884" width="17.5703125" customWidth="1"/>
    <col min="15885" max="15885" width="14.5703125" bestFit="1" customWidth="1"/>
    <col min="15886" max="15886" width="10.42578125" bestFit="1" customWidth="1"/>
    <col min="15888" max="15888" width="10.42578125" bestFit="1" customWidth="1"/>
    <col min="16115" max="16115" width="6.5703125" customWidth="1"/>
    <col min="16116" max="16116" width="43.42578125" customWidth="1"/>
    <col min="16117" max="16117" width="6.5703125" customWidth="1"/>
    <col min="16118" max="16119" width="11.7109375" customWidth="1"/>
    <col min="16120" max="16120" width="12.7109375" customWidth="1"/>
    <col min="16121" max="16121" width="11.7109375" customWidth="1"/>
    <col min="16122" max="16122" width="12.7109375" customWidth="1"/>
    <col min="16123" max="16124" width="11.7109375" customWidth="1"/>
    <col min="16125" max="16125" width="12.7109375" customWidth="1"/>
    <col min="16126" max="16135" width="11.7109375" customWidth="1"/>
    <col min="16136" max="16136" width="13.7109375" customWidth="1"/>
    <col min="16137" max="16137" width="15.140625" bestFit="1" customWidth="1"/>
    <col min="16138" max="16139" width="15.140625" customWidth="1"/>
    <col min="16140" max="16140" width="17.5703125" customWidth="1"/>
    <col min="16141" max="16141" width="14.5703125" bestFit="1" customWidth="1"/>
    <col min="16142" max="16142" width="10.42578125" bestFit="1" customWidth="1"/>
    <col min="16144" max="16144" width="10.42578125" bestFit="1" customWidth="1"/>
  </cols>
  <sheetData>
    <row r="1" spans="1:14" x14ac:dyDescent="0.2">
      <c r="A1" s="53" t="s">
        <v>265</v>
      </c>
    </row>
    <row r="2" spans="1:14" x14ac:dyDescent="0.2">
      <c r="A2" s="53" t="s">
        <v>114</v>
      </c>
    </row>
    <row r="3" spans="1:14" ht="11.25" customHeight="1" x14ac:dyDescent="0.2"/>
    <row r="4" spans="1:14" s="103" customFormat="1" ht="19.5" customHeight="1" x14ac:dyDescent="0.2">
      <c r="A4" s="750" t="s">
        <v>572</v>
      </c>
      <c r="B4" s="750"/>
      <c r="C4" s="750"/>
      <c r="D4" s="750"/>
      <c r="E4" s="750"/>
      <c r="F4" s="750"/>
      <c r="G4" s="750"/>
      <c r="H4" s="750"/>
    </row>
    <row r="5" spans="1:14" s="103" customFormat="1" ht="36" customHeight="1" x14ac:dyDescent="0.2">
      <c r="A5" s="756" t="str">
        <f>'Planilha Global11'!A5</f>
        <v>IMPLANTAÇÃO DE PAVIMENTAÇÃO EM VIAS PUBLICAS URBANAS 
NO MUNICÍPIO DE MAMANGUAPE-PB - CT 1052738-43/2018</v>
      </c>
      <c r="B5" s="756"/>
      <c r="C5" s="756"/>
      <c r="D5" s="756"/>
      <c r="E5" s="756"/>
      <c r="F5" s="756"/>
      <c r="G5" s="756"/>
      <c r="H5" s="756"/>
      <c r="I5" s="633">
        <f>BDI!B16+1</f>
        <v>1.2899</v>
      </c>
    </row>
    <row r="6" spans="1:14" s="202" customFormat="1" ht="4.5" customHeight="1" x14ac:dyDescent="0.25">
      <c r="E6" s="203"/>
      <c r="F6" s="203"/>
      <c r="G6" s="204"/>
      <c r="H6" s="203"/>
      <c r="I6" s="751" t="s">
        <v>266</v>
      </c>
      <c r="J6" s="205"/>
      <c r="K6" s="205"/>
      <c r="L6" s="206"/>
    </row>
    <row r="7" spans="1:14" s="202" customFormat="1" ht="12.75" customHeight="1" x14ac:dyDescent="0.2">
      <c r="A7" s="752" t="s">
        <v>53</v>
      </c>
      <c r="B7" s="752" t="s">
        <v>267</v>
      </c>
      <c r="C7" s="752" t="s">
        <v>268</v>
      </c>
      <c r="D7" s="746" t="s">
        <v>272</v>
      </c>
      <c r="E7" s="748" t="s">
        <v>273</v>
      </c>
      <c r="F7" s="748"/>
      <c r="G7" s="748"/>
      <c r="H7" s="749"/>
      <c r="I7" s="751"/>
      <c r="J7" s="205"/>
      <c r="K7" s="205"/>
    </row>
    <row r="8" spans="1:14" s="202" customFormat="1" ht="59.25" customHeight="1" thickBot="1" x14ac:dyDescent="0.3">
      <c r="A8" s="753"/>
      <c r="B8" s="753"/>
      <c r="C8" s="753"/>
      <c r="D8" s="747"/>
      <c r="E8" s="546" t="s">
        <v>274</v>
      </c>
      <c r="F8" s="546" t="s">
        <v>571</v>
      </c>
      <c r="G8" s="546" t="s">
        <v>322</v>
      </c>
      <c r="H8" s="546" t="s">
        <v>275</v>
      </c>
      <c r="I8" s="751"/>
      <c r="J8" s="205"/>
      <c r="K8" s="205"/>
      <c r="L8" s="207" t="s">
        <v>276</v>
      </c>
      <c r="M8" s="208">
        <v>0.2097</v>
      </c>
    </row>
    <row r="9" spans="1:14" s="202" customFormat="1" ht="25.5" customHeight="1" thickBot="1" x14ac:dyDescent="0.3">
      <c r="A9" s="573" t="str">
        <f>'Planilha Ajuste'!A10</f>
        <v>RUA VEREADOR FIRMINO CAETANO</v>
      </c>
      <c r="B9" s="574"/>
      <c r="C9" s="574"/>
      <c r="D9" s="574"/>
      <c r="E9" s="574"/>
      <c r="F9" s="574"/>
      <c r="G9" s="574"/>
      <c r="H9" s="575"/>
      <c r="I9" s="205"/>
      <c r="J9" s="205"/>
      <c r="K9" s="205"/>
      <c r="L9" s="207"/>
      <c r="M9" s="208"/>
    </row>
    <row r="10" spans="1:14" s="216" customFormat="1" ht="12.75" customHeight="1" x14ac:dyDescent="0.2">
      <c r="A10" s="520" t="s">
        <v>4</v>
      </c>
      <c r="B10" s="209" t="s">
        <v>277</v>
      </c>
      <c r="C10" s="210"/>
      <c r="D10" s="213"/>
      <c r="E10" s="212"/>
      <c r="F10" s="212"/>
      <c r="G10" s="214"/>
      <c r="H10" s="212">
        <f>SUM(H11:H11)</f>
        <v>0</v>
      </c>
      <c r="I10" s="215"/>
      <c r="L10" s="217"/>
    </row>
    <row r="11" spans="1:14" s="226" customFormat="1" ht="14.25" x14ac:dyDescent="0.2">
      <c r="A11" s="273" t="s">
        <v>5</v>
      </c>
      <c r="B11" s="218" t="s">
        <v>303</v>
      </c>
      <c r="C11" s="234" t="s">
        <v>11</v>
      </c>
      <c r="D11" s="220">
        <f>'Maria Livramento - T1'!D31</f>
        <v>0</v>
      </c>
      <c r="E11" s="221">
        <f>'Planilha Ajuste'!M46</f>
        <v>0</v>
      </c>
      <c r="F11" s="221">
        <f>E11*$I$5</f>
        <v>0</v>
      </c>
      <c r="G11" s="246" t="s">
        <v>347</v>
      </c>
      <c r="H11" s="221">
        <f>D11*F11</f>
        <v>0</v>
      </c>
      <c r="I11" s="310" t="e">
        <f>#REF!*ORÇAMENTO!#REF!</f>
        <v>#REF!</v>
      </c>
      <c r="J11" s="224"/>
      <c r="K11" s="225"/>
      <c r="N11" s="227"/>
    </row>
    <row r="12" spans="1:14" s="202" customFormat="1" ht="5.0999999999999996" customHeight="1" x14ac:dyDescent="0.2">
      <c r="A12" s="239"/>
      <c r="B12" s="228"/>
      <c r="C12" s="219"/>
      <c r="D12" s="220"/>
      <c r="E12" s="221"/>
      <c r="F12" s="221"/>
      <c r="G12" s="222"/>
      <c r="H12" s="274"/>
      <c r="I12" s="229"/>
      <c r="K12" s="230"/>
    </row>
    <row r="13" spans="1:14" s="216" customFormat="1" ht="12.75" customHeight="1" x14ac:dyDescent="0.2">
      <c r="A13" s="520" t="s">
        <v>6</v>
      </c>
      <c r="B13" s="209" t="s">
        <v>278</v>
      </c>
      <c r="C13" s="210"/>
      <c r="D13" s="211"/>
      <c r="E13" s="221"/>
      <c r="F13" s="221"/>
      <c r="G13" s="222"/>
      <c r="H13" s="212">
        <f>SUM(H14)</f>
        <v>0</v>
      </c>
      <c r="I13" s="215"/>
      <c r="L13" s="217">
        <v>1.2097</v>
      </c>
    </row>
    <row r="14" spans="1:14" s="226" customFormat="1" ht="25.5" x14ac:dyDescent="0.2">
      <c r="A14" s="273" t="s">
        <v>7</v>
      </c>
      <c r="B14" s="218" t="s">
        <v>280</v>
      </c>
      <c r="C14" s="234" t="s">
        <v>13</v>
      </c>
      <c r="D14" s="220">
        <f>'Maria Livramento - T1'!D36</f>
        <v>0</v>
      </c>
      <c r="E14" s="221">
        <f>'Planilha Ajuste'!M49</f>
        <v>0</v>
      </c>
      <c r="F14" s="221">
        <f>E14*$I$5</f>
        <v>0</v>
      </c>
      <c r="G14" s="309" t="s">
        <v>350</v>
      </c>
      <c r="H14" s="221">
        <f>D14*F14</f>
        <v>0</v>
      </c>
      <c r="I14" s="223"/>
      <c r="J14" s="224"/>
      <c r="K14" s="225"/>
      <c r="N14" s="227"/>
    </row>
    <row r="15" spans="1:14" s="202" customFormat="1" ht="5.0999999999999996" customHeight="1" x14ac:dyDescent="0.2">
      <c r="A15" s="239"/>
      <c r="B15" s="228"/>
      <c r="C15" s="219"/>
      <c r="D15" s="220"/>
      <c r="E15" s="220"/>
      <c r="F15" s="220"/>
      <c r="G15" s="236"/>
      <c r="H15" s="274"/>
      <c r="I15" s="229"/>
      <c r="K15" s="230"/>
    </row>
    <row r="16" spans="1:14" s="216" customFormat="1" ht="12.75" customHeight="1" x14ac:dyDescent="0.2">
      <c r="A16" s="520" t="s">
        <v>8</v>
      </c>
      <c r="B16" s="209" t="s">
        <v>20</v>
      </c>
      <c r="C16" s="210"/>
      <c r="D16" s="211"/>
      <c r="E16" s="237"/>
      <c r="F16" s="237"/>
      <c r="G16" s="238"/>
      <c r="H16" s="212" t="e">
        <f>SUM(H17:H19)</f>
        <v>#REF!</v>
      </c>
      <c r="I16" s="215"/>
      <c r="L16" s="217"/>
    </row>
    <row r="17" spans="1:14" s="226" customFormat="1" ht="63.75" x14ac:dyDescent="0.2">
      <c r="A17" s="273" t="s">
        <v>9</v>
      </c>
      <c r="B17" s="218" t="s">
        <v>260</v>
      </c>
      <c r="C17" s="219" t="s">
        <v>11</v>
      </c>
      <c r="D17" s="220" t="e">
        <f>'Maria Livramento - T1'!#REF!</f>
        <v>#REF!</v>
      </c>
      <c r="E17" s="221">
        <f>'Planilha Ajuste'!M52</f>
        <v>0</v>
      </c>
      <c r="F17" s="221">
        <f>E17*$I$5</f>
        <v>0</v>
      </c>
      <c r="G17" s="316" t="s">
        <v>346</v>
      </c>
      <c r="H17" s="221" t="e">
        <f>D17*F17</f>
        <v>#REF!</v>
      </c>
      <c r="I17" s="223"/>
      <c r="J17" s="224"/>
      <c r="K17" s="225"/>
      <c r="N17" s="227"/>
    </row>
    <row r="18" spans="1:14" s="226" customFormat="1" ht="38.25" x14ac:dyDescent="0.2">
      <c r="A18" s="273" t="s">
        <v>12</v>
      </c>
      <c r="B18" s="218" t="s">
        <v>305</v>
      </c>
      <c r="C18" s="219" t="s">
        <v>13</v>
      </c>
      <c r="D18" s="220" t="e">
        <f>'Maria Livramento - T1'!#REF!</f>
        <v>#REF!</v>
      </c>
      <c r="E18" s="221">
        <f>'Planilha Ajuste'!M53</f>
        <v>0</v>
      </c>
      <c r="F18" s="221">
        <f>E18*$I$5</f>
        <v>0</v>
      </c>
      <c r="G18" s="317" t="s">
        <v>348</v>
      </c>
      <c r="H18" s="221" t="e">
        <f>D18*F18</f>
        <v>#REF!</v>
      </c>
      <c r="I18" s="223"/>
      <c r="J18" s="224"/>
      <c r="K18" s="225"/>
      <c r="N18" s="227"/>
    </row>
    <row r="19" spans="1:14" s="226" customFormat="1" ht="27.75" customHeight="1" x14ac:dyDescent="0.2">
      <c r="A19" s="273" t="s">
        <v>108</v>
      </c>
      <c r="B19" s="218" t="s">
        <v>306</v>
      </c>
      <c r="C19" s="219" t="s">
        <v>11</v>
      </c>
      <c r="D19" s="220" t="e">
        <f>'Maria Livramento - T1'!#REF!</f>
        <v>#REF!</v>
      </c>
      <c r="E19" s="221">
        <f>'Planilha Ajuste'!M54</f>
        <v>0</v>
      </c>
      <c r="F19" s="221">
        <f>E19*$I$5</f>
        <v>0</v>
      </c>
      <c r="G19" s="222" t="s">
        <v>512</v>
      </c>
      <c r="H19" s="221" t="e">
        <f>D19*F19</f>
        <v>#REF!</v>
      </c>
      <c r="I19" s="223"/>
      <c r="J19" s="224"/>
      <c r="K19" s="225"/>
      <c r="N19" s="227"/>
    </row>
    <row r="20" spans="1:14" s="202" customFormat="1" ht="5.0999999999999996" customHeight="1" x14ac:dyDescent="0.2">
      <c r="A20" s="239"/>
      <c r="B20" s="239"/>
      <c r="C20" s="219"/>
      <c r="D20" s="220"/>
      <c r="E20" s="221"/>
      <c r="F20" s="221"/>
      <c r="G20" s="222"/>
      <c r="H20" s="274"/>
      <c r="I20" s="229"/>
      <c r="K20" s="230"/>
    </row>
    <row r="21" spans="1:14" s="216" customFormat="1" ht="12.75" customHeight="1" x14ac:dyDescent="0.2">
      <c r="A21" s="521" t="s">
        <v>14</v>
      </c>
      <c r="B21" s="248" t="s">
        <v>292</v>
      </c>
      <c r="C21" s="219"/>
      <c r="D21" s="241"/>
      <c r="E21" s="243"/>
      <c r="F21" s="243"/>
      <c r="G21" s="244"/>
      <c r="H21" s="243" t="e">
        <f>SUM(H22:H28)</f>
        <v>#REF!</v>
      </c>
      <c r="I21" s="215"/>
      <c r="L21" s="217"/>
    </row>
    <row r="22" spans="1:14" s="226" customFormat="1" ht="51" x14ac:dyDescent="0.2">
      <c r="A22" s="273" t="s">
        <v>15</v>
      </c>
      <c r="B22" s="261" t="s">
        <v>491</v>
      </c>
      <c r="C22" s="234" t="s">
        <v>13</v>
      </c>
      <c r="D22" s="220" t="e">
        <f>'Maria Livramento - T1'!#REF!</f>
        <v>#REF!</v>
      </c>
      <c r="E22" s="221">
        <f>'Planilha Ajuste'!M62</f>
        <v>0</v>
      </c>
      <c r="F22" s="221">
        <f t="shared" ref="F22:F27" si="0">E22*$I$5</f>
        <v>0</v>
      </c>
      <c r="G22" s="271" t="s">
        <v>500</v>
      </c>
      <c r="H22" s="221" t="e">
        <f t="shared" ref="H22:H27" si="1">D22*F22</f>
        <v>#REF!</v>
      </c>
      <c r="I22" s="223"/>
      <c r="J22" s="224"/>
      <c r="K22" s="225"/>
      <c r="N22" s="227"/>
    </row>
    <row r="23" spans="1:14" s="226" customFormat="1" ht="38.25" x14ac:dyDescent="0.2">
      <c r="A23" s="273" t="s">
        <v>129</v>
      </c>
      <c r="B23" s="261" t="s">
        <v>492</v>
      </c>
      <c r="C23" s="234" t="s">
        <v>128</v>
      </c>
      <c r="D23" s="220" t="e">
        <f>#REF!</f>
        <v>#REF!</v>
      </c>
      <c r="E23" s="221" t="e">
        <f>'Planilha Ajuste'!#REF!</f>
        <v>#REF!</v>
      </c>
      <c r="F23" s="221" t="e">
        <f t="shared" si="0"/>
        <v>#REF!</v>
      </c>
      <c r="G23" s="271" t="s">
        <v>323</v>
      </c>
      <c r="H23" s="221" t="e">
        <f t="shared" si="1"/>
        <v>#REF!</v>
      </c>
      <c r="I23" s="223"/>
      <c r="J23" s="224"/>
      <c r="K23" s="225"/>
      <c r="N23" s="227"/>
    </row>
    <row r="24" spans="1:14" s="226" customFormat="1" ht="38.25" x14ac:dyDescent="0.2">
      <c r="A24" s="273" t="s">
        <v>131</v>
      </c>
      <c r="B24" s="261" t="s">
        <v>493</v>
      </c>
      <c r="C24" s="234" t="s">
        <v>128</v>
      </c>
      <c r="D24" s="220" t="e">
        <f>#REF!</f>
        <v>#REF!</v>
      </c>
      <c r="E24" s="221" t="e">
        <f>'Planilha Ajuste'!#REF!</f>
        <v>#REF!</v>
      </c>
      <c r="F24" s="221" t="e">
        <f t="shared" si="0"/>
        <v>#REF!</v>
      </c>
      <c r="G24" s="271">
        <v>94990</v>
      </c>
      <c r="H24" s="221" t="e">
        <f t="shared" si="1"/>
        <v>#REF!</v>
      </c>
      <c r="I24" s="223"/>
      <c r="J24" s="224"/>
      <c r="K24" s="225"/>
      <c r="N24" s="227"/>
    </row>
    <row r="25" spans="1:14" s="226" customFormat="1" ht="51" x14ac:dyDescent="0.2">
      <c r="A25" s="273" t="s">
        <v>413</v>
      </c>
      <c r="B25" s="261" t="s">
        <v>494</v>
      </c>
      <c r="C25" s="234" t="s">
        <v>13</v>
      </c>
      <c r="D25" s="220" t="e">
        <f>#REF!</f>
        <v>#REF!</v>
      </c>
      <c r="E25" s="221" t="e">
        <f>'Planilha Ajuste'!#REF!</f>
        <v>#REF!</v>
      </c>
      <c r="F25" s="221" t="e">
        <f t="shared" si="0"/>
        <v>#REF!</v>
      </c>
      <c r="G25" s="316" t="s">
        <v>497</v>
      </c>
      <c r="H25" s="221" t="e">
        <f t="shared" si="1"/>
        <v>#REF!</v>
      </c>
      <c r="I25" s="223"/>
      <c r="J25" s="224"/>
      <c r="K25" s="225"/>
      <c r="N25" s="227"/>
    </row>
    <row r="26" spans="1:14" s="226" customFormat="1" ht="25.5" x14ac:dyDescent="0.2">
      <c r="A26" s="273" t="s">
        <v>414</v>
      </c>
      <c r="B26" s="261" t="s">
        <v>495</v>
      </c>
      <c r="C26" s="234" t="s">
        <v>13</v>
      </c>
      <c r="D26" s="220" t="e">
        <f>#REF!</f>
        <v>#REF!</v>
      </c>
      <c r="E26" s="221" t="e">
        <f>'Planilha Ajuste'!#REF!</f>
        <v>#REF!</v>
      </c>
      <c r="F26" s="221" t="e">
        <f t="shared" si="0"/>
        <v>#REF!</v>
      </c>
      <c r="G26" s="271" t="s">
        <v>501</v>
      </c>
      <c r="H26" s="221" t="e">
        <f t="shared" si="1"/>
        <v>#REF!</v>
      </c>
      <c r="I26" s="223" t="e">
        <f>D26*ORÇAMENTO!H8</f>
        <v>#REF!</v>
      </c>
      <c r="J26" s="224"/>
      <c r="K26" s="225"/>
      <c r="N26" s="227"/>
    </row>
    <row r="27" spans="1:14" s="226" customFormat="1" ht="26.25" customHeight="1" x14ac:dyDescent="0.2">
      <c r="A27" s="273" t="s">
        <v>415</v>
      </c>
      <c r="B27" s="261" t="s">
        <v>312</v>
      </c>
      <c r="C27" s="234" t="s">
        <v>279</v>
      </c>
      <c r="D27" s="220">
        <f>'Maria Livramento - T1'!D68</f>
        <v>0</v>
      </c>
      <c r="E27" s="221">
        <f>'Planilha Ajuste'!M67</f>
        <v>0</v>
      </c>
      <c r="F27" s="221">
        <f t="shared" si="0"/>
        <v>0</v>
      </c>
      <c r="G27" s="316" t="s">
        <v>498</v>
      </c>
      <c r="H27" s="221">
        <f t="shared" si="1"/>
        <v>0</v>
      </c>
      <c r="I27" s="223">
        <f>D27*ORÇAMENTO!H9</f>
        <v>0</v>
      </c>
      <c r="J27" s="224"/>
      <c r="K27" s="225"/>
      <c r="N27" s="227"/>
    </row>
    <row r="28" spans="1:14" s="202" customFormat="1" ht="25.5" x14ac:dyDescent="0.2">
      <c r="A28" s="273" t="s">
        <v>416</v>
      </c>
      <c r="B28" s="261" t="s">
        <v>419</v>
      </c>
      <c r="C28" s="219" t="s">
        <v>13</v>
      </c>
      <c r="D28" s="220">
        <f>'Maria Livramento - T1'!D69</f>
        <v>0</v>
      </c>
      <c r="E28" s="221">
        <f>'Planilha Ajuste'!M68</f>
        <v>0</v>
      </c>
      <c r="F28" s="221">
        <f>E28*$I$5</f>
        <v>0</v>
      </c>
      <c r="G28" s="271" t="s">
        <v>349</v>
      </c>
      <c r="H28" s="221">
        <f>D28*F28</f>
        <v>0</v>
      </c>
      <c r="I28" s="229"/>
      <c r="J28" s="230"/>
      <c r="K28" s="230"/>
      <c r="L28" s="247"/>
    </row>
    <row r="29" spans="1:14" s="202" customFormat="1" ht="6.75" customHeight="1" thickBot="1" x14ac:dyDescent="0.25">
      <c r="A29" s="276"/>
      <c r="B29" s="249"/>
      <c r="C29" s="250"/>
      <c r="D29" s="251"/>
      <c r="E29" s="252"/>
      <c r="F29" s="252"/>
      <c r="G29" s="252"/>
      <c r="H29" s="277"/>
      <c r="I29" s="229"/>
    </row>
    <row r="30" spans="1:14" s="254" customFormat="1" ht="20.25" customHeight="1" thickBot="1" x14ac:dyDescent="0.25">
      <c r="A30" s="810" t="s">
        <v>574</v>
      </c>
      <c r="B30" s="744"/>
      <c r="C30" s="744"/>
      <c r="D30" s="744"/>
      <c r="E30" s="744"/>
      <c r="F30" s="744"/>
      <c r="G30" s="745"/>
      <c r="H30" s="558" t="e">
        <f>H10+H13+H16+H21</f>
        <v>#REF!</v>
      </c>
      <c r="I30" s="253"/>
      <c r="J30" s="270" t="e">
        <f>#REF!-#REF!</f>
        <v>#REF!</v>
      </c>
      <c r="L30" s="255"/>
    </row>
    <row r="31" spans="1:14" s="202" customFormat="1" ht="6.75" customHeight="1" thickBot="1" x14ac:dyDescent="0.25">
      <c r="A31" s="276"/>
      <c r="B31" s="249"/>
      <c r="C31" s="250"/>
      <c r="D31" s="251"/>
      <c r="E31" s="252"/>
      <c r="F31" s="252"/>
      <c r="G31" s="252"/>
      <c r="H31" s="277"/>
      <c r="I31" s="229"/>
    </row>
    <row r="32" spans="1:14" s="202" customFormat="1" ht="25.5" customHeight="1" thickBot="1" x14ac:dyDescent="0.3">
      <c r="A32" s="573" t="str">
        <f>'Planilha Ajuste'!A66</f>
        <v>Rua Maria Livramento P. Lima (Trecho 01)</v>
      </c>
      <c r="B32" s="574"/>
      <c r="C32" s="574"/>
      <c r="D32" s="574"/>
      <c r="E32" s="574"/>
      <c r="F32" s="574"/>
      <c r="G32" s="574"/>
      <c r="H32" s="575"/>
      <c r="I32" s="205"/>
      <c r="J32" s="205"/>
      <c r="K32" s="205"/>
      <c r="L32" s="207"/>
      <c r="M32" s="208"/>
    </row>
    <row r="33" spans="1:14" s="216" customFormat="1" ht="12.75" customHeight="1" x14ac:dyDescent="0.2">
      <c r="A33" s="520" t="s">
        <v>4</v>
      </c>
      <c r="B33" s="209" t="s">
        <v>277</v>
      </c>
      <c r="C33" s="210"/>
      <c r="D33" s="213"/>
      <c r="E33" s="212"/>
      <c r="F33" s="212"/>
      <c r="G33" s="214"/>
      <c r="H33" s="212">
        <f>SUM(H34:H34)</f>
        <v>77.42</v>
      </c>
      <c r="I33" s="215"/>
      <c r="L33" s="217"/>
    </row>
    <row r="34" spans="1:14" s="226" customFormat="1" ht="14.25" x14ac:dyDescent="0.2">
      <c r="A34" s="273" t="s">
        <v>5</v>
      </c>
      <c r="B34" s="218" t="s">
        <v>303</v>
      </c>
      <c r="C34" s="234" t="s">
        <v>11</v>
      </c>
      <c r="D34" s="220">
        <f>'Maria Livramento - T1'!D76</f>
        <v>131.22</v>
      </c>
      <c r="E34" s="221">
        <f>'Planilha Ajuste'!M69</f>
        <v>0.46</v>
      </c>
      <c r="F34" s="221">
        <f>E34*$I$5</f>
        <v>0.59</v>
      </c>
      <c r="G34" s="246" t="s">
        <v>347</v>
      </c>
      <c r="H34" s="221">
        <f>D34*F34</f>
        <v>77.42</v>
      </c>
      <c r="I34" s="310" t="e">
        <f>#REF!*ORÇAMENTO!H20</f>
        <v>#REF!</v>
      </c>
      <c r="J34" s="224"/>
      <c r="K34" s="225"/>
      <c r="N34" s="227"/>
    </row>
    <row r="35" spans="1:14" s="202" customFormat="1" ht="5.0999999999999996" customHeight="1" x14ac:dyDescent="0.2">
      <c r="A35" s="239"/>
      <c r="B35" s="228"/>
      <c r="C35" s="219"/>
      <c r="D35" s="220"/>
      <c r="E35" s="221"/>
      <c r="F35" s="221"/>
      <c r="G35" s="222"/>
      <c r="H35" s="274"/>
      <c r="I35" s="229"/>
      <c r="K35" s="230"/>
    </row>
    <row r="36" spans="1:14" s="216" customFormat="1" ht="12.75" customHeight="1" x14ac:dyDescent="0.2">
      <c r="A36" s="520" t="s">
        <v>6</v>
      </c>
      <c r="B36" s="209" t="s">
        <v>278</v>
      </c>
      <c r="C36" s="210"/>
      <c r="D36" s="211"/>
      <c r="E36" s="221"/>
      <c r="F36" s="221"/>
      <c r="G36" s="222"/>
      <c r="H36" s="212">
        <f>SUM(H37)</f>
        <v>2362.25</v>
      </c>
      <c r="I36" s="215"/>
      <c r="L36" s="217">
        <v>1.2097</v>
      </c>
    </row>
    <row r="37" spans="1:14" s="226" customFormat="1" ht="25.5" x14ac:dyDescent="0.2">
      <c r="A37" s="273" t="s">
        <v>7</v>
      </c>
      <c r="B37" s="218" t="s">
        <v>280</v>
      </c>
      <c r="C37" s="234" t="s">
        <v>13</v>
      </c>
      <c r="D37" s="220">
        <f>'Maria Livramento - T1'!D79</f>
        <v>792.7</v>
      </c>
      <c r="E37" s="221">
        <f>'Planilha Ajuste'!M72</f>
        <v>2.31</v>
      </c>
      <c r="F37" s="221">
        <f>E37*$I$5</f>
        <v>2.98</v>
      </c>
      <c r="G37" s="309" t="s">
        <v>350</v>
      </c>
      <c r="H37" s="221">
        <f>D37*F37</f>
        <v>2362.25</v>
      </c>
      <c r="I37" s="223"/>
      <c r="J37" s="224"/>
      <c r="K37" s="225"/>
      <c r="N37" s="227"/>
    </row>
    <row r="38" spans="1:14" s="202" customFormat="1" ht="5.0999999999999996" customHeight="1" x14ac:dyDescent="0.2">
      <c r="A38" s="239"/>
      <c r="B38" s="228"/>
      <c r="C38" s="219"/>
      <c r="D38" s="220"/>
      <c r="E38" s="220"/>
      <c r="F38" s="220"/>
      <c r="G38" s="236"/>
      <c r="H38" s="274"/>
      <c r="I38" s="229"/>
      <c r="K38" s="230"/>
    </row>
    <row r="39" spans="1:14" s="216" customFormat="1" ht="12.75" customHeight="1" x14ac:dyDescent="0.2">
      <c r="A39" s="520" t="s">
        <v>8</v>
      </c>
      <c r="B39" s="209" t="s">
        <v>20</v>
      </c>
      <c r="C39" s="210"/>
      <c r="D39" s="211"/>
      <c r="E39" s="237"/>
      <c r="F39" s="237"/>
      <c r="G39" s="238"/>
      <c r="H39" s="212">
        <f>SUM(H40:H42)</f>
        <v>99440.09</v>
      </c>
      <c r="I39" s="215"/>
      <c r="L39" s="217"/>
    </row>
    <row r="40" spans="1:14" s="226" customFormat="1" ht="63.75" x14ac:dyDescent="0.2">
      <c r="A40" s="273" t="s">
        <v>9</v>
      </c>
      <c r="B40" s="218" t="s">
        <v>260</v>
      </c>
      <c r="C40" s="219" t="s">
        <v>11</v>
      </c>
      <c r="D40" s="220">
        <f>'Maria Livramento - T1'!D82</f>
        <v>262.48</v>
      </c>
      <c r="E40" s="221">
        <f>'Planilha Ajuste'!M75</f>
        <v>45.46</v>
      </c>
      <c r="F40" s="221">
        <f>E40*$I$5</f>
        <v>58.64</v>
      </c>
      <c r="G40" s="316" t="s">
        <v>346</v>
      </c>
      <c r="H40" s="221">
        <f>D40*F40</f>
        <v>15391.83</v>
      </c>
      <c r="I40" s="223"/>
      <c r="J40" s="224"/>
      <c r="K40" s="225"/>
      <c r="N40" s="227"/>
    </row>
    <row r="41" spans="1:14" s="226" customFormat="1" ht="38.25" x14ac:dyDescent="0.2">
      <c r="A41" s="273" t="s">
        <v>12</v>
      </c>
      <c r="B41" s="218" t="s">
        <v>305</v>
      </c>
      <c r="C41" s="219" t="s">
        <v>13</v>
      </c>
      <c r="D41" s="220">
        <f>'Maria Livramento - T1'!D83</f>
        <v>792.7</v>
      </c>
      <c r="E41" s="221">
        <f>'Planilha Ajuste'!M76</f>
        <v>81.319999999999993</v>
      </c>
      <c r="F41" s="221">
        <f>E41*$I$5</f>
        <v>104.89</v>
      </c>
      <c r="G41" s="317" t="s">
        <v>348</v>
      </c>
      <c r="H41" s="221">
        <f>D41*F41</f>
        <v>83146.3</v>
      </c>
      <c r="I41" s="223"/>
      <c r="J41" s="224"/>
      <c r="K41" s="225"/>
      <c r="N41" s="227"/>
    </row>
    <row r="42" spans="1:14" s="226" customFormat="1" ht="27.75" customHeight="1" x14ac:dyDescent="0.2">
      <c r="A42" s="273" t="s">
        <v>108</v>
      </c>
      <c r="B42" s="218" t="s">
        <v>306</v>
      </c>
      <c r="C42" s="219" t="s">
        <v>11</v>
      </c>
      <c r="D42" s="220">
        <f>'Maria Livramento - T1'!D84</f>
        <v>14.48</v>
      </c>
      <c r="E42" s="221">
        <f>'Planilha Ajuste'!M77</f>
        <v>48.29</v>
      </c>
      <c r="F42" s="221">
        <f>E42*$I$5</f>
        <v>62.29</v>
      </c>
      <c r="G42" s="222" t="s">
        <v>512</v>
      </c>
      <c r="H42" s="221">
        <f>D42*F42</f>
        <v>901.96</v>
      </c>
      <c r="I42" s="223"/>
      <c r="J42" s="224"/>
      <c r="K42" s="225"/>
      <c r="N42" s="227"/>
    </row>
    <row r="43" spans="1:14" s="202" customFormat="1" ht="5.0999999999999996" customHeight="1" x14ac:dyDescent="0.2">
      <c r="A43" s="239"/>
      <c r="B43" s="239"/>
      <c r="C43" s="219"/>
      <c r="D43" s="220"/>
      <c r="E43" s="221"/>
      <c r="F43" s="221"/>
      <c r="G43" s="222"/>
      <c r="H43" s="274"/>
      <c r="I43" s="229"/>
      <c r="K43" s="230"/>
    </row>
    <row r="44" spans="1:14" s="216" customFormat="1" ht="12.75" customHeight="1" x14ac:dyDescent="0.2">
      <c r="A44" s="521" t="s">
        <v>14</v>
      </c>
      <c r="B44" s="248" t="s">
        <v>292</v>
      </c>
      <c r="C44" s="219"/>
      <c r="D44" s="241"/>
      <c r="E44" s="243"/>
      <c r="F44" s="243"/>
      <c r="G44" s="244"/>
      <c r="H44" s="243" t="e">
        <f>SUM(H45:H51)</f>
        <v>#REF!</v>
      </c>
      <c r="I44" s="215"/>
      <c r="L44" s="217"/>
    </row>
    <row r="45" spans="1:14" s="226" customFormat="1" ht="51" x14ac:dyDescent="0.2">
      <c r="A45" s="273" t="s">
        <v>15</v>
      </c>
      <c r="B45" s="261" t="s">
        <v>491</v>
      </c>
      <c r="C45" s="234" t="s">
        <v>13</v>
      </c>
      <c r="D45" s="220" t="e">
        <f>'Maria Livramento - T1'!#REF!</f>
        <v>#REF!</v>
      </c>
      <c r="E45" s="221" t="e">
        <f>'Planilha Ajuste'!#REF!</f>
        <v>#REF!</v>
      </c>
      <c r="F45" s="221" t="e">
        <f t="shared" ref="F45:F50" si="2">E45*$I$5</f>
        <v>#REF!</v>
      </c>
      <c r="G45" s="271" t="s">
        <v>500</v>
      </c>
      <c r="H45" s="221" t="e">
        <f t="shared" ref="H45:H50" si="3">D45*F45</f>
        <v>#REF!</v>
      </c>
      <c r="I45" s="223"/>
      <c r="J45" s="224"/>
      <c r="K45" s="225"/>
      <c r="N45" s="227"/>
    </row>
    <row r="46" spans="1:14" s="226" customFormat="1" ht="38.25" x14ac:dyDescent="0.2">
      <c r="A46" s="273" t="s">
        <v>129</v>
      </c>
      <c r="B46" s="261" t="s">
        <v>492</v>
      </c>
      <c r="C46" s="234" t="s">
        <v>128</v>
      </c>
      <c r="D46" s="220" t="e">
        <f>'Maria Livramento - T1'!#REF!</f>
        <v>#REF!</v>
      </c>
      <c r="E46" s="221" t="e">
        <f>'Planilha Ajuste'!#REF!</f>
        <v>#REF!</v>
      </c>
      <c r="F46" s="221" t="e">
        <f t="shared" si="2"/>
        <v>#REF!</v>
      </c>
      <c r="G46" s="271" t="s">
        <v>323</v>
      </c>
      <c r="H46" s="221" t="e">
        <f t="shared" si="3"/>
        <v>#REF!</v>
      </c>
      <c r="I46" s="223"/>
      <c r="J46" s="224"/>
      <c r="K46" s="225"/>
      <c r="N46" s="227"/>
    </row>
    <row r="47" spans="1:14" s="226" customFormat="1" ht="38.25" x14ac:dyDescent="0.2">
      <c r="A47" s="273" t="s">
        <v>131</v>
      </c>
      <c r="B47" s="261" t="s">
        <v>493</v>
      </c>
      <c r="C47" s="234" t="s">
        <v>128</v>
      </c>
      <c r="D47" s="220" t="e">
        <f>'Maria Livramento - T1'!#REF!</f>
        <v>#REF!</v>
      </c>
      <c r="E47" s="221" t="e">
        <f>'Planilha Ajuste'!#REF!</f>
        <v>#REF!</v>
      </c>
      <c r="F47" s="221" t="e">
        <f t="shared" si="2"/>
        <v>#REF!</v>
      </c>
      <c r="G47" s="271">
        <v>94990</v>
      </c>
      <c r="H47" s="221" t="e">
        <f t="shared" si="3"/>
        <v>#REF!</v>
      </c>
      <c r="I47" s="223"/>
      <c r="J47" s="224"/>
      <c r="K47" s="225"/>
      <c r="N47" s="227"/>
    </row>
    <row r="48" spans="1:14" s="226" customFormat="1" ht="51" x14ac:dyDescent="0.2">
      <c r="A48" s="273" t="s">
        <v>413</v>
      </c>
      <c r="B48" s="261" t="s">
        <v>494</v>
      </c>
      <c r="C48" s="234" t="s">
        <v>13</v>
      </c>
      <c r="D48" s="220" t="e">
        <f>'Maria Livramento - T1'!#REF!</f>
        <v>#REF!</v>
      </c>
      <c r="E48" s="221" t="e">
        <f>'Planilha Ajuste'!#REF!</f>
        <v>#REF!</v>
      </c>
      <c r="F48" s="221" t="e">
        <f t="shared" si="2"/>
        <v>#REF!</v>
      </c>
      <c r="G48" s="316" t="s">
        <v>497</v>
      </c>
      <c r="H48" s="221" t="e">
        <f t="shared" si="3"/>
        <v>#REF!</v>
      </c>
      <c r="I48" s="223"/>
      <c r="J48" s="224"/>
      <c r="K48" s="225"/>
      <c r="N48" s="227"/>
    </row>
    <row r="49" spans="1:14" s="226" customFormat="1" ht="25.5" x14ac:dyDescent="0.2">
      <c r="A49" s="273" t="s">
        <v>414</v>
      </c>
      <c r="B49" s="261" t="s">
        <v>495</v>
      </c>
      <c r="C49" s="234" t="s">
        <v>13</v>
      </c>
      <c r="D49" s="220" t="e">
        <f>'Maria Livramento - T1'!#REF!</f>
        <v>#REF!</v>
      </c>
      <c r="E49" s="221" t="e">
        <f>'Planilha Ajuste'!#REF!</f>
        <v>#REF!</v>
      </c>
      <c r="F49" s="221" t="e">
        <f t="shared" si="2"/>
        <v>#REF!</v>
      </c>
      <c r="G49" s="271" t="s">
        <v>501</v>
      </c>
      <c r="H49" s="221" t="e">
        <f t="shared" si="3"/>
        <v>#REF!</v>
      </c>
      <c r="I49" s="223" t="e">
        <f>D49*ORÇAMENTO!H31</f>
        <v>#REF!</v>
      </c>
      <c r="J49" s="224"/>
      <c r="K49" s="225"/>
      <c r="N49" s="227"/>
    </row>
    <row r="50" spans="1:14" s="226" customFormat="1" ht="26.25" customHeight="1" x14ac:dyDescent="0.2">
      <c r="A50" s="273" t="s">
        <v>415</v>
      </c>
      <c r="B50" s="261" t="s">
        <v>312</v>
      </c>
      <c r="C50" s="234" t="s">
        <v>279</v>
      </c>
      <c r="D50" s="220" t="e">
        <f>'Maria Livramento - T1'!#REF!</f>
        <v>#REF!</v>
      </c>
      <c r="E50" s="221" t="e">
        <f>'Planilha Ajuste'!M93</f>
        <v>#REF!</v>
      </c>
      <c r="F50" s="221" t="e">
        <f t="shared" si="2"/>
        <v>#REF!</v>
      </c>
      <c r="G50" s="316" t="s">
        <v>498</v>
      </c>
      <c r="H50" s="221" t="e">
        <f t="shared" si="3"/>
        <v>#REF!</v>
      </c>
      <c r="I50" s="223" t="e">
        <f>D50*ORÇAMENTO!H32</f>
        <v>#REF!</v>
      </c>
      <c r="J50" s="224"/>
      <c r="K50" s="225"/>
      <c r="N50" s="227"/>
    </row>
    <row r="51" spans="1:14" s="202" customFormat="1" ht="25.5" x14ac:dyDescent="0.2">
      <c r="A51" s="273" t="s">
        <v>416</v>
      </c>
      <c r="B51" s="261" t="s">
        <v>419</v>
      </c>
      <c r="C51" s="219" t="s">
        <v>13</v>
      </c>
      <c r="D51" s="220">
        <f>'Maria Livramento - T1'!D102</f>
        <v>73.489999999999995</v>
      </c>
      <c r="E51" s="221">
        <f>'Planilha Ajuste'!M92</f>
        <v>1.25</v>
      </c>
      <c r="F51" s="221">
        <f>E51*$I$5</f>
        <v>1.61</v>
      </c>
      <c r="G51" s="271" t="s">
        <v>349</v>
      </c>
      <c r="H51" s="221">
        <f>D51*F51</f>
        <v>118.32</v>
      </c>
      <c r="I51" s="229"/>
      <c r="J51" s="230"/>
      <c r="K51" s="230"/>
      <c r="L51" s="247"/>
    </row>
    <row r="52" spans="1:14" s="202" customFormat="1" ht="6.75" customHeight="1" thickBot="1" x14ac:dyDescent="0.25">
      <c r="A52" s="276"/>
      <c r="B52" s="249"/>
      <c r="C52" s="250"/>
      <c r="D52" s="251"/>
      <c r="E52" s="252"/>
      <c r="F52" s="252"/>
      <c r="G52" s="252"/>
      <c r="H52" s="277"/>
      <c r="I52" s="229"/>
    </row>
    <row r="53" spans="1:14" s="254" customFormat="1" ht="20.25" customHeight="1" thickBot="1" x14ac:dyDescent="0.25">
      <c r="A53" s="810" t="s">
        <v>573</v>
      </c>
      <c r="B53" s="744"/>
      <c r="C53" s="744"/>
      <c r="D53" s="744"/>
      <c r="E53" s="744"/>
      <c r="F53" s="744"/>
      <c r="G53" s="745"/>
      <c r="H53" s="558" t="e">
        <f>H33+H36+H39+H44</f>
        <v>#REF!</v>
      </c>
      <c r="I53" s="253"/>
      <c r="J53" s="270" t="e">
        <f>#REF!-#REF!</f>
        <v>#REF!</v>
      </c>
      <c r="L53" s="255"/>
    </row>
    <row r="54" spans="1:14" s="202" customFormat="1" ht="6.75" customHeight="1" thickBot="1" x14ac:dyDescent="0.25">
      <c r="A54" s="276"/>
      <c r="B54" s="249"/>
      <c r="C54" s="250"/>
      <c r="D54" s="251"/>
      <c r="E54" s="252"/>
      <c r="F54" s="252"/>
      <c r="G54" s="252"/>
      <c r="H54" s="277"/>
      <c r="I54" s="229"/>
    </row>
    <row r="55" spans="1:14" s="202" customFormat="1" ht="27" customHeight="1" thickBot="1" x14ac:dyDescent="0.3">
      <c r="A55" s="547"/>
      <c r="B55" s="548" t="s">
        <v>351</v>
      </c>
      <c r="C55" s="549"/>
      <c r="D55" s="551"/>
      <c r="E55" s="551"/>
      <c r="F55" s="551"/>
      <c r="G55" s="551"/>
      <c r="H55" s="552"/>
      <c r="I55" s="205"/>
      <c r="J55" s="205"/>
      <c r="K55" s="205"/>
      <c r="L55" s="207"/>
      <c r="M55" s="208"/>
    </row>
    <row r="56" spans="1:14" s="202" customFormat="1" ht="25.5" customHeight="1" thickBot="1" x14ac:dyDescent="0.3">
      <c r="A56" s="813" t="s">
        <v>488</v>
      </c>
      <c r="B56" s="814"/>
      <c r="C56" s="814"/>
      <c r="D56" s="814"/>
      <c r="E56" s="814"/>
      <c r="F56" s="814"/>
      <c r="G56" s="814"/>
      <c r="H56" s="815"/>
      <c r="I56" s="205"/>
      <c r="J56" s="205"/>
      <c r="K56" s="205"/>
      <c r="L56" s="207"/>
      <c r="M56" s="208"/>
    </row>
    <row r="57" spans="1:14" s="216" customFormat="1" ht="12.75" customHeight="1" x14ac:dyDescent="0.2">
      <c r="A57" s="272" t="s">
        <v>4</v>
      </c>
      <c r="B57" s="209" t="s">
        <v>277</v>
      </c>
      <c r="C57" s="210"/>
      <c r="D57" s="213"/>
      <c r="E57" s="212"/>
      <c r="F57" s="212"/>
      <c r="G57" s="214"/>
      <c r="H57" s="212" t="e">
        <f>SUM(H58:H59)</f>
        <v>#REF!</v>
      </c>
      <c r="I57" s="215"/>
      <c r="L57" s="217"/>
    </row>
    <row r="58" spans="1:14" s="216" customFormat="1" ht="25.5" x14ac:dyDescent="0.2">
      <c r="A58" s="279" t="s">
        <v>5</v>
      </c>
      <c r="B58" s="235" t="s">
        <v>420</v>
      </c>
      <c r="C58" s="265" t="s">
        <v>13</v>
      </c>
      <c r="D58" s="267">
        <f>'Planilha Ajuste'!L103</f>
        <v>8</v>
      </c>
      <c r="E58" s="268" t="e">
        <f>'Composição Custos Unit'!#REF!</f>
        <v>#REF!</v>
      </c>
      <c r="F58" s="268" t="e">
        <f>E58*$I$5</f>
        <v>#REF!</v>
      </c>
      <c r="G58" s="269" t="s">
        <v>310</v>
      </c>
      <c r="H58" s="268" t="e">
        <f>D58*F58</f>
        <v>#REF!</v>
      </c>
      <c r="I58" s="310" t="e">
        <f>#REF!*ORÇAMENTO!H47</f>
        <v>#REF!</v>
      </c>
      <c r="L58" s="217"/>
    </row>
    <row r="59" spans="1:14" s="226" customFormat="1" ht="14.25" x14ac:dyDescent="0.2">
      <c r="A59" s="273" t="s">
        <v>86</v>
      </c>
      <c r="B59" s="218" t="s">
        <v>303</v>
      </c>
      <c r="C59" s="234" t="s">
        <v>11</v>
      </c>
      <c r="D59" s="267">
        <f>'Planilha Ajuste'!L104</f>
        <v>300</v>
      </c>
      <c r="E59" s="221">
        <f>E34</f>
        <v>0.46</v>
      </c>
      <c r="F59" s="221">
        <f>E59*$I$5</f>
        <v>0.59</v>
      </c>
      <c r="G59" s="246" t="s">
        <v>347</v>
      </c>
      <c r="H59" s="221">
        <f>D59*F59</f>
        <v>177</v>
      </c>
      <c r="I59" s="310" t="e">
        <f>#REF!*ORÇAMENTO!H48</f>
        <v>#REF!</v>
      </c>
      <c r="J59" s="224"/>
      <c r="K59" s="225"/>
      <c r="N59" s="227"/>
    </row>
    <row r="60" spans="1:14" s="202" customFormat="1" ht="5.0999999999999996" customHeight="1" x14ac:dyDescent="0.2">
      <c r="A60" s="239"/>
      <c r="B60" s="228"/>
      <c r="C60" s="219"/>
      <c r="D60" s="220"/>
      <c r="E60" s="221"/>
      <c r="F60" s="221"/>
      <c r="G60" s="222"/>
      <c r="H60" s="274"/>
      <c r="I60" s="229"/>
      <c r="K60" s="230"/>
    </row>
    <row r="61" spans="1:14" s="216" customFormat="1" ht="12.75" customHeight="1" x14ac:dyDescent="0.2">
      <c r="A61" s="272" t="s">
        <v>6</v>
      </c>
      <c r="B61" s="209" t="s">
        <v>278</v>
      </c>
      <c r="C61" s="210"/>
      <c r="D61" s="211"/>
      <c r="E61" s="221"/>
      <c r="F61" s="221"/>
      <c r="G61" s="222"/>
      <c r="H61" s="212">
        <f>SUM(H62:H62)</f>
        <v>4956.75</v>
      </c>
      <c r="I61" s="215"/>
      <c r="L61" s="217">
        <v>1.2097</v>
      </c>
    </row>
    <row r="62" spans="1:14" s="226" customFormat="1" ht="26.25" customHeight="1" x14ac:dyDescent="0.2">
      <c r="A62" s="273" t="s">
        <v>7</v>
      </c>
      <c r="B62" s="218" t="s">
        <v>304</v>
      </c>
      <c r="C62" s="234" t="s">
        <v>13</v>
      </c>
      <c r="D62" s="220">
        <f>'Planilha Ajuste'!L107</f>
        <v>1739.21</v>
      </c>
      <c r="E62" s="221">
        <v>2.21</v>
      </c>
      <c r="F62" s="221">
        <f>E62*$I$5</f>
        <v>2.85</v>
      </c>
      <c r="G62" s="246" t="s">
        <v>350</v>
      </c>
      <c r="H62" s="221">
        <f>D62*F62</f>
        <v>4956.75</v>
      </c>
      <c r="I62" s="311" t="e">
        <f>D62*ORÇAMENTO!H50</f>
        <v>#REF!</v>
      </c>
      <c r="J62" s="224"/>
      <c r="K62" s="225"/>
      <c r="N62" s="227"/>
    </row>
    <row r="63" spans="1:14" s="202" customFormat="1" ht="5.0999999999999996" customHeight="1" x14ac:dyDescent="0.2">
      <c r="A63" s="239"/>
      <c r="B63" s="228"/>
      <c r="C63" s="219"/>
      <c r="D63" s="220"/>
      <c r="E63" s="220"/>
      <c r="F63" s="220"/>
      <c r="G63" s="236"/>
      <c r="H63" s="274"/>
      <c r="I63" s="312"/>
      <c r="K63" s="230"/>
    </row>
    <row r="64" spans="1:14" s="216" customFormat="1" ht="12.75" customHeight="1" x14ac:dyDescent="0.2">
      <c r="A64" s="272" t="s">
        <v>8</v>
      </c>
      <c r="B64" s="209" t="s">
        <v>20</v>
      </c>
      <c r="C64" s="210"/>
      <c r="D64" s="211"/>
      <c r="E64" s="237"/>
      <c r="F64" s="237"/>
      <c r="G64" s="238"/>
      <c r="H64" s="212">
        <f>SUM(H65:H67)</f>
        <v>219938.91</v>
      </c>
      <c r="I64" s="313"/>
      <c r="L64" s="217"/>
    </row>
    <row r="65" spans="1:14" s="226" customFormat="1" ht="67.5" customHeight="1" x14ac:dyDescent="0.2">
      <c r="A65" s="273" t="s">
        <v>9</v>
      </c>
      <c r="B65" s="218" t="s">
        <v>260</v>
      </c>
      <c r="C65" s="219" t="s">
        <v>128</v>
      </c>
      <c r="D65" s="220">
        <f>'Planilha Ajuste'!L110</f>
        <v>589.72</v>
      </c>
      <c r="E65" s="221">
        <f>E40</f>
        <v>45.46</v>
      </c>
      <c r="F65" s="221">
        <f>E65*$I$5</f>
        <v>58.64</v>
      </c>
      <c r="G65" s="246" t="s">
        <v>346</v>
      </c>
      <c r="H65" s="221">
        <f>D65*F65</f>
        <v>34581.18</v>
      </c>
      <c r="I65" s="311" t="e">
        <f>D65*ORÇAMENTO!H52</f>
        <v>#REF!</v>
      </c>
      <c r="J65" s="224"/>
      <c r="K65" s="225"/>
      <c r="N65" s="227"/>
    </row>
    <row r="66" spans="1:14" s="226" customFormat="1" ht="41.25" customHeight="1" x14ac:dyDescent="0.2">
      <c r="A66" s="273" t="s">
        <v>12</v>
      </c>
      <c r="B66" s="218" t="s">
        <v>305</v>
      </c>
      <c r="C66" s="219" t="s">
        <v>13</v>
      </c>
      <c r="D66" s="220">
        <f>'Planilha Ajuste'!L111</f>
        <v>1739.21</v>
      </c>
      <c r="E66" s="221">
        <f>E41</f>
        <v>81.319999999999993</v>
      </c>
      <c r="F66" s="221">
        <f>E66*$I$5</f>
        <v>104.89</v>
      </c>
      <c r="G66" s="246" t="s">
        <v>348</v>
      </c>
      <c r="H66" s="221">
        <f>D66*F66</f>
        <v>182425.74</v>
      </c>
      <c r="I66" s="311" t="e">
        <f>D66*ORÇAMENTO!H53</f>
        <v>#REF!</v>
      </c>
      <c r="J66" s="224"/>
      <c r="K66" s="225"/>
      <c r="N66" s="227"/>
    </row>
    <row r="67" spans="1:14" s="226" customFormat="1" ht="28.5" customHeight="1" x14ac:dyDescent="0.2">
      <c r="A67" s="273" t="s">
        <v>108</v>
      </c>
      <c r="B67" s="218" t="s">
        <v>306</v>
      </c>
      <c r="C67" s="219" t="s">
        <v>13</v>
      </c>
      <c r="D67" s="220">
        <f>'Planilha Ajuste'!L112</f>
        <v>47.07</v>
      </c>
      <c r="E67" s="221">
        <f>'Composição Custos Unit'!G20</f>
        <v>48.29</v>
      </c>
      <c r="F67" s="221">
        <f>E67*$I$5</f>
        <v>62.29</v>
      </c>
      <c r="G67" s="222" t="s">
        <v>311</v>
      </c>
      <c r="H67" s="221">
        <f>D67*F67</f>
        <v>2931.99</v>
      </c>
      <c r="I67" s="311" t="e">
        <f>D67*ORÇAMENTO!H54</f>
        <v>#REF!</v>
      </c>
      <c r="J67" s="224"/>
      <c r="K67" s="225"/>
      <c r="N67" s="227"/>
    </row>
    <row r="68" spans="1:14" s="202" customFormat="1" ht="5.0999999999999996" customHeight="1" x14ac:dyDescent="0.2">
      <c r="A68" s="239"/>
      <c r="B68" s="239"/>
      <c r="C68" s="219"/>
      <c r="D68" s="220"/>
      <c r="E68" s="221"/>
      <c r="F68" s="221"/>
      <c r="G68" s="222"/>
      <c r="H68" s="274"/>
      <c r="I68" s="229"/>
      <c r="K68" s="230"/>
    </row>
    <row r="69" spans="1:14" s="216" customFormat="1" ht="12.75" hidden="1" customHeight="1" x14ac:dyDescent="0.2">
      <c r="A69" s="275" t="s">
        <v>14</v>
      </c>
      <c r="B69" s="248" t="s">
        <v>178</v>
      </c>
      <c r="C69" s="219"/>
      <c r="D69" s="241"/>
      <c r="E69" s="243"/>
      <c r="F69" s="243"/>
      <c r="G69" s="244"/>
      <c r="H69" s="243">
        <f>SUM(H70:H78)</f>
        <v>0</v>
      </c>
      <c r="I69" s="215"/>
      <c r="L69" s="217"/>
    </row>
    <row r="70" spans="1:14" s="202" customFormat="1" ht="25.5" hidden="1" x14ac:dyDescent="0.2">
      <c r="A70" s="273" t="s">
        <v>15</v>
      </c>
      <c r="B70" s="261" t="s">
        <v>236</v>
      </c>
      <c r="C70" s="219" t="s">
        <v>167</v>
      </c>
      <c r="D70" s="220">
        <v>1</v>
      </c>
      <c r="E70" s="221">
        <f>ORÇAMENTO!G59</f>
        <v>1736.73</v>
      </c>
      <c r="F70" s="221">
        <f t="shared" ref="F70:F78" si="4">E70*$I$5</f>
        <v>2240.21</v>
      </c>
      <c r="G70" s="271" t="s">
        <v>314</v>
      </c>
      <c r="H70" s="221"/>
      <c r="I70" s="312" t="e">
        <f>D70*ORÇAMENTO!H59</f>
        <v>#REF!</v>
      </c>
      <c r="J70" s="230"/>
      <c r="K70" s="230"/>
      <c r="L70" s="247"/>
    </row>
    <row r="71" spans="1:14" s="202" customFormat="1" ht="39" hidden="1" customHeight="1" x14ac:dyDescent="0.2">
      <c r="A71" s="273" t="s">
        <v>129</v>
      </c>
      <c r="B71" s="261" t="s">
        <v>233</v>
      </c>
      <c r="C71" s="219" t="s">
        <v>167</v>
      </c>
      <c r="D71" s="220">
        <v>1</v>
      </c>
      <c r="E71" s="221">
        <v>773.59</v>
      </c>
      <c r="F71" s="221">
        <f t="shared" si="4"/>
        <v>997.85</v>
      </c>
      <c r="G71" s="271" t="s">
        <v>315</v>
      </c>
      <c r="H71" s="221"/>
      <c r="I71" s="312" t="e">
        <f>D71*ORÇAMENTO!H60</f>
        <v>#REF!</v>
      </c>
      <c r="J71" s="230"/>
      <c r="K71" s="230"/>
      <c r="L71" s="247"/>
    </row>
    <row r="72" spans="1:14" s="202" customFormat="1" ht="27.75" hidden="1" customHeight="1" x14ac:dyDescent="0.2">
      <c r="A72" s="273" t="s">
        <v>131</v>
      </c>
      <c r="B72" s="261" t="s">
        <v>198</v>
      </c>
      <c r="C72" s="219" t="s">
        <v>167</v>
      </c>
      <c r="D72" s="220">
        <v>1</v>
      </c>
      <c r="E72" s="221">
        <f>ORÇAMENTO!G61</f>
        <v>1370.82</v>
      </c>
      <c r="F72" s="221">
        <f t="shared" si="4"/>
        <v>1768.22</v>
      </c>
      <c r="G72" s="271" t="s">
        <v>313</v>
      </c>
      <c r="H72" s="221"/>
      <c r="I72" s="312" t="e">
        <f>D72*ORÇAMENTO!H61</f>
        <v>#REF!</v>
      </c>
      <c r="J72" s="230"/>
      <c r="K72" s="230"/>
      <c r="L72" s="247"/>
    </row>
    <row r="73" spans="1:14" s="202" customFormat="1" ht="66" hidden="1" customHeight="1" x14ac:dyDescent="0.2">
      <c r="A73" s="273" t="s">
        <v>413</v>
      </c>
      <c r="B73" s="261" t="s">
        <v>200</v>
      </c>
      <c r="C73" s="219" t="s">
        <v>11</v>
      </c>
      <c r="D73" s="220">
        <v>126.46</v>
      </c>
      <c r="E73" s="221">
        <v>279.18</v>
      </c>
      <c r="F73" s="221">
        <f t="shared" si="4"/>
        <v>360.11</v>
      </c>
      <c r="G73" s="271" t="s">
        <v>316</v>
      </c>
      <c r="H73" s="221"/>
      <c r="I73" s="312" t="e">
        <f>D73*ORÇAMENTO!H62</f>
        <v>#REF!</v>
      </c>
      <c r="J73" s="230"/>
      <c r="K73" s="230"/>
      <c r="L73" s="247"/>
    </row>
    <row r="74" spans="1:14" s="202" customFormat="1" ht="14.25" hidden="1" x14ac:dyDescent="0.2">
      <c r="A74" s="273" t="s">
        <v>414</v>
      </c>
      <c r="B74" s="261" t="s">
        <v>234</v>
      </c>
      <c r="C74" s="219" t="s">
        <v>11</v>
      </c>
      <c r="D74" s="220">
        <v>126.46</v>
      </c>
      <c r="E74" s="221">
        <v>4.1900000000000004</v>
      </c>
      <c r="F74" s="221">
        <f t="shared" si="4"/>
        <v>5.4</v>
      </c>
      <c r="G74" s="271" t="s">
        <v>317</v>
      </c>
      <c r="H74" s="221"/>
      <c r="I74" s="312" t="e">
        <f>D74*ORÇAMENTO!H63</f>
        <v>#REF!</v>
      </c>
      <c r="J74" s="230"/>
      <c r="K74" s="230"/>
      <c r="L74" s="247"/>
    </row>
    <row r="75" spans="1:14" s="202" customFormat="1" ht="76.5" hidden="1" x14ac:dyDescent="0.2">
      <c r="A75" s="273" t="s">
        <v>415</v>
      </c>
      <c r="B75" s="261" t="s">
        <v>201</v>
      </c>
      <c r="C75" s="219" t="s">
        <v>128</v>
      </c>
      <c r="D75" s="220">
        <v>269.29000000000002</v>
      </c>
      <c r="E75" s="221">
        <v>5.27</v>
      </c>
      <c r="F75" s="221">
        <f t="shared" si="4"/>
        <v>6.8</v>
      </c>
      <c r="G75" s="271" t="s">
        <v>318</v>
      </c>
      <c r="H75" s="221"/>
      <c r="I75" s="312" t="e">
        <f>D75*ORÇAMENTO!H64</f>
        <v>#REF!</v>
      </c>
      <c r="J75" s="230"/>
      <c r="K75" s="230"/>
      <c r="L75" s="247"/>
    </row>
    <row r="76" spans="1:14" s="202" customFormat="1" ht="25.5" hidden="1" x14ac:dyDescent="0.2">
      <c r="A76" s="273" t="s">
        <v>416</v>
      </c>
      <c r="B76" s="261" t="s">
        <v>235</v>
      </c>
      <c r="C76" s="219" t="s">
        <v>128</v>
      </c>
      <c r="D76" s="220">
        <v>22.76</v>
      </c>
      <c r="E76" s="221">
        <f>ORÇAMENTO!G65</f>
        <v>41.03</v>
      </c>
      <c r="F76" s="220">
        <f t="shared" si="4"/>
        <v>52.92</v>
      </c>
      <c r="G76" s="246" t="s">
        <v>319</v>
      </c>
      <c r="H76" s="220"/>
      <c r="I76" s="312" t="e">
        <f>D76*ORÇAMENTO!H65</f>
        <v>#REF!</v>
      </c>
      <c r="J76" s="230"/>
      <c r="K76" s="230"/>
      <c r="L76" s="247"/>
    </row>
    <row r="77" spans="1:14" s="202" customFormat="1" ht="78.75" hidden="1" customHeight="1" x14ac:dyDescent="0.2">
      <c r="A77" s="273" t="s">
        <v>417</v>
      </c>
      <c r="B77" s="261" t="s">
        <v>202</v>
      </c>
      <c r="C77" s="219" t="s">
        <v>128</v>
      </c>
      <c r="D77" s="220">
        <v>202.27</v>
      </c>
      <c r="E77" s="221">
        <v>18.059999999999999</v>
      </c>
      <c r="F77" s="220">
        <f t="shared" si="4"/>
        <v>23.3</v>
      </c>
      <c r="G77" s="246" t="s">
        <v>320</v>
      </c>
      <c r="H77" s="220"/>
      <c r="I77" s="312" t="e">
        <f>D77*ORÇAMENTO!H66</f>
        <v>#REF!</v>
      </c>
      <c r="J77" s="230"/>
      <c r="K77" s="230"/>
      <c r="L77" s="247"/>
    </row>
    <row r="78" spans="1:14" s="202" customFormat="1" ht="25.5" hidden="1" x14ac:dyDescent="0.2">
      <c r="A78" s="273" t="s">
        <v>418</v>
      </c>
      <c r="B78" s="261" t="s">
        <v>239</v>
      </c>
      <c r="C78" s="219" t="s">
        <v>167</v>
      </c>
      <c r="D78" s="220">
        <v>1</v>
      </c>
      <c r="E78" s="221">
        <f>ORÇAMENTO!G67</f>
        <v>83.05</v>
      </c>
      <c r="F78" s="220">
        <f t="shared" si="4"/>
        <v>107.13</v>
      </c>
      <c r="G78" s="246" t="s">
        <v>321</v>
      </c>
      <c r="H78" s="220"/>
      <c r="I78" s="312" t="e">
        <f>D78*ORÇAMENTO!H67</f>
        <v>#REF!</v>
      </c>
      <c r="J78" s="230"/>
      <c r="K78" s="230"/>
      <c r="L78" s="247"/>
    </row>
    <row r="79" spans="1:14" s="202" customFormat="1" ht="5.0999999999999996" hidden="1" customHeight="1" x14ac:dyDescent="0.2">
      <c r="A79" s="239"/>
      <c r="B79" s="239"/>
      <c r="C79" s="219"/>
      <c r="D79" s="220"/>
      <c r="E79" s="221"/>
      <c r="F79" s="221"/>
      <c r="G79" s="222"/>
      <c r="H79" s="274"/>
      <c r="I79" s="229"/>
      <c r="K79" s="230"/>
    </row>
    <row r="80" spans="1:14" s="216" customFormat="1" ht="12.75" customHeight="1" x14ac:dyDescent="0.2">
      <c r="A80" s="275" t="s">
        <v>14</v>
      </c>
      <c r="B80" s="240" t="s">
        <v>292</v>
      </c>
      <c r="C80" s="219"/>
      <c r="D80" s="241"/>
      <c r="E80" s="221"/>
      <c r="F80" s="221"/>
      <c r="G80" s="222"/>
      <c r="H80" s="243" t="e">
        <f>SUM(H81:H88)</f>
        <v>#REF!</v>
      </c>
      <c r="I80" s="215"/>
      <c r="L80" s="217"/>
    </row>
    <row r="81" spans="1:14" s="226" customFormat="1" ht="51" x14ac:dyDescent="0.2">
      <c r="A81" s="273" t="s">
        <v>15</v>
      </c>
      <c r="B81" s="261" t="s">
        <v>491</v>
      </c>
      <c r="C81" s="234" t="s">
        <v>13</v>
      </c>
      <c r="D81" s="220" t="e">
        <f>'Planilha Ajuste'!#REF!</f>
        <v>#REF!</v>
      </c>
      <c r="E81" s="221">
        <v>70.13</v>
      </c>
      <c r="F81" s="221">
        <f t="shared" ref="F81:F88" si="5">E81*$I$5</f>
        <v>90.46</v>
      </c>
      <c r="G81" s="271" t="s">
        <v>500</v>
      </c>
      <c r="H81" s="221" t="e">
        <f t="shared" ref="H81:H88" si="6">D81*F81</f>
        <v>#REF!</v>
      </c>
      <c r="I81" s="223"/>
      <c r="J81" s="224"/>
      <c r="K81" s="225"/>
      <c r="N81" s="227"/>
    </row>
    <row r="82" spans="1:14" s="226" customFormat="1" ht="38.25" x14ac:dyDescent="0.2">
      <c r="A82" s="273" t="s">
        <v>129</v>
      </c>
      <c r="B82" s="261" t="s">
        <v>492</v>
      </c>
      <c r="C82" s="234" t="s">
        <v>128</v>
      </c>
      <c r="D82" s="220" t="e">
        <f>'Planilha Ajuste'!#REF!</f>
        <v>#REF!</v>
      </c>
      <c r="E82" s="221">
        <v>695.75</v>
      </c>
      <c r="F82" s="221">
        <f t="shared" si="5"/>
        <v>897.45</v>
      </c>
      <c r="G82" s="271" t="s">
        <v>323</v>
      </c>
      <c r="H82" s="221" t="e">
        <f t="shared" si="6"/>
        <v>#REF!</v>
      </c>
      <c r="I82" s="223"/>
      <c r="J82" s="224"/>
      <c r="K82" s="225"/>
      <c r="N82" s="227"/>
    </row>
    <row r="83" spans="1:14" s="226" customFormat="1" ht="38.25" x14ac:dyDescent="0.2">
      <c r="A83" s="273" t="s">
        <v>131</v>
      </c>
      <c r="B83" s="261" t="s">
        <v>493</v>
      </c>
      <c r="C83" s="234" t="s">
        <v>128</v>
      </c>
      <c r="D83" s="220" t="e">
        <f>'Planilha Ajuste'!#REF!</f>
        <v>#REF!</v>
      </c>
      <c r="E83" s="221">
        <f>E82</f>
        <v>695.75</v>
      </c>
      <c r="F83" s="221">
        <f t="shared" si="5"/>
        <v>897.45</v>
      </c>
      <c r="G83" s="271">
        <v>94990</v>
      </c>
      <c r="H83" s="221" t="e">
        <f t="shared" si="6"/>
        <v>#REF!</v>
      </c>
      <c r="I83" s="223"/>
      <c r="J83" s="224"/>
      <c r="K83" s="225"/>
      <c r="N83" s="227"/>
    </row>
    <row r="84" spans="1:14" s="226" customFormat="1" ht="51" x14ac:dyDescent="0.2">
      <c r="A84" s="273" t="s">
        <v>413</v>
      </c>
      <c r="B84" s="261" t="s">
        <v>494</v>
      </c>
      <c r="C84" s="234" t="s">
        <v>13</v>
      </c>
      <c r="D84" s="220" t="e">
        <f>'Planilha Ajuste'!#REF!</f>
        <v>#REF!</v>
      </c>
      <c r="E84" s="221" t="e">
        <f>'Composição Custos Unit'!#REF!</f>
        <v>#REF!</v>
      </c>
      <c r="F84" s="221" t="e">
        <f t="shared" si="5"/>
        <v>#REF!</v>
      </c>
      <c r="G84" s="316" t="s">
        <v>497</v>
      </c>
      <c r="H84" s="221" t="e">
        <f t="shared" si="6"/>
        <v>#REF!</v>
      </c>
      <c r="I84" s="223"/>
      <c r="J84" s="224"/>
      <c r="K84" s="225"/>
      <c r="N84" s="227"/>
    </row>
    <row r="85" spans="1:14" s="226" customFormat="1" ht="25.5" x14ac:dyDescent="0.2">
      <c r="A85" s="273" t="s">
        <v>414</v>
      </c>
      <c r="B85" s="261" t="s">
        <v>495</v>
      </c>
      <c r="C85" s="234" t="s">
        <v>13</v>
      </c>
      <c r="D85" s="220" t="e">
        <f>'Planilha Ajuste'!#REF!</f>
        <v>#REF!</v>
      </c>
      <c r="E85" s="221">
        <v>14.53</v>
      </c>
      <c r="F85" s="221">
        <f t="shared" si="5"/>
        <v>18.739999999999998</v>
      </c>
      <c r="G85" s="271" t="s">
        <v>501</v>
      </c>
      <c r="H85" s="221" t="e">
        <f t="shared" si="6"/>
        <v>#REF!</v>
      </c>
      <c r="I85" s="223" t="e">
        <f>D85*ORÇAMENTO!H71</f>
        <v>#REF!</v>
      </c>
      <c r="J85" s="224"/>
      <c r="K85" s="225"/>
      <c r="N85" s="227"/>
    </row>
    <row r="86" spans="1:14" s="226" customFormat="1" ht="26.25" customHeight="1" x14ac:dyDescent="0.2">
      <c r="A86" s="273" t="s">
        <v>415</v>
      </c>
      <c r="B86" s="261" t="s">
        <v>312</v>
      </c>
      <c r="C86" s="234" t="s">
        <v>279</v>
      </c>
      <c r="D86" s="220">
        <f>'Planilha Ajuste'!L127</f>
        <v>2</v>
      </c>
      <c r="E86" s="221" t="e">
        <f>'Composição Custos Unit'!#REF!</f>
        <v>#REF!</v>
      </c>
      <c r="F86" s="221" t="e">
        <f t="shared" si="5"/>
        <v>#REF!</v>
      </c>
      <c r="G86" s="316" t="s">
        <v>498</v>
      </c>
      <c r="H86" s="221" t="e">
        <f t="shared" si="6"/>
        <v>#REF!</v>
      </c>
      <c r="I86" s="223">
        <f>D86*ORÇAMENTO!H72</f>
        <v>0</v>
      </c>
      <c r="J86" s="224"/>
      <c r="K86" s="225"/>
      <c r="N86" s="227"/>
    </row>
    <row r="87" spans="1:14" s="226" customFormat="1" ht="25.5" x14ac:dyDescent="0.2">
      <c r="A87" s="273" t="s">
        <v>416</v>
      </c>
      <c r="B87" s="261" t="s">
        <v>419</v>
      </c>
      <c r="C87" s="234" t="s">
        <v>13</v>
      </c>
      <c r="D87" s="220">
        <f>'Planilha Ajuste'!L126</f>
        <v>165.12</v>
      </c>
      <c r="E87" s="221">
        <f>E51</f>
        <v>1.25</v>
      </c>
      <c r="F87" s="221">
        <f t="shared" si="5"/>
        <v>1.61</v>
      </c>
      <c r="G87" s="271">
        <v>102498</v>
      </c>
      <c r="H87" s="221">
        <f t="shared" si="6"/>
        <v>265.83999999999997</v>
      </c>
      <c r="I87" s="223"/>
      <c r="J87" s="224"/>
      <c r="K87" s="225"/>
      <c r="N87" s="227"/>
    </row>
    <row r="88" spans="1:14" s="226" customFormat="1" ht="25.5" x14ac:dyDescent="0.2">
      <c r="A88" s="273" t="s">
        <v>417</v>
      </c>
      <c r="B88" s="261" t="s">
        <v>499</v>
      </c>
      <c r="C88" s="234" t="s">
        <v>279</v>
      </c>
      <c r="D88" s="220">
        <f>'Planilha Ajuste'!L128</f>
        <v>2</v>
      </c>
      <c r="E88" s="221">
        <f>'Composição Custos Unit'!G35</f>
        <v>140.27000000000001</v>
      </c>
      <c r="F88" s="221">
        <f t="shared" si="5"/>
        <v>180.93</v>
      </c>
      <c r="G88" s="271" t="s">
        <v>502</v>
      </c>
      <c r="H88" s="221">
        <f t="shared" si="6"/>
        <v>361.86</v>
      </c>
      <c r="I88" s="223"/>
      <c r="J88" s="224"/>
      <c r="K88" s="225"/>
      <c r="N88" s="227"/>
    </row>
    <row r="89" spans="1:14" s="202" customFormat="1" ht="4.5" customHeight="1" thickBot="1" x14ac:dyDescent="0.25">
      <c r="A89" s="326"/>
      <c r="B89" s="327"/>
      <c r="C89" s="328"/>
      <c r="D89" s="329"/>
      <c r="E89" s="330"/>
      <c r="F89" s="330"/>
      <c r="G89" s="331"/>
      <c r="H89" s="332"/>
      <c r="I89" s="229"/>
    </row>
    <row r="90" spans="1:14" s="254" customFormat="1" ht="20.25" customHeight="1" thickBot="1" x14ac:dyDescent="0.25">
      <c r="A90" s="743" t="s">
        <v>526</v>
      </c>
      <c r="B90" s="744"/>
      <c r="C90" s="744"/>
      <c r="D90" s="744"/>
      <c r="E90" s="744"/>
      <c r="F90" s="744"/>
      <c r="G90" s="745"/>
      <c r="H90" s="560" t="e">
        <f>H57+H61+H64+H69+H80</f>
        <v>#REF!</v>
      </c>
      <c r="I90" s="253"/>
      <c r="L90" s="255"/>
    </row>
    <row r="91" spans="1:14" s="202" customFormat="1" ht="5.0999999999999996" customHeight="1" thickBot="1" x14ac:dyDescent="0.25">
      <c r="A91" s="239"/>
      <c r="B91" s="228"/>
      <c r="C91" s="219"/>
      <c r="D91" s="220"/>
      <c r="E91" s="220"/>
      <c r="F91" s="220"/>
      <c r="G91" s="236"/>
      <c r="H91" s="274"/>
      <c r="I91" s="229"/>
      <c r="K91" s="230"/>
    </row>
    <row r="92" spans="1:14" s="202" customFormat="1" ht="25.5" customHeight="1" thickBot="1" x14ac:dyDescent="0.3">
      <c r="A92" s="813" t="s">
        <v>503</v>
      </c>
      <c r="B92" s="814"/>
      <c r="C92" s="814"/>
      <c r="D92" s="814"/>
      <c r="E92" s="814"/>
      <c r="F92" s="814"/>
      <c r="G92" s="814"/>
      <c r="H92" s="815"/>
      <c r="I92" s="205"/>
      <c r="J92" s="205"/>
      <c r="K92" s="205"/>
      <c r="L92" s="207"/>
      <c r="M92" s="208"/>
    </row>
    <row r="93" spans="1:14" s="216" customFormat="1" ht="12.75" customHeight="1" x14ac:dyDescent="0.2">
      <c r="A93" s="272" t="s">
        <v>4</v>
      </c>
      <c r="B93" s="209" t="s">
        <v>277</v>
      </c>
      <c r="C93" s="210"/>
      <c r="D93" s="213"/>
      <c r="E93" s="212"/>
      <c r="F93" s="212"/>
      <c r="G93" s="214"/>
      <c r="H93" s="212">
        <f>SUM(H94:H94)</f>
        <v>157.77000000000001</v>
      </c>
      <c r="I93" s="215"/>
      <c r="L93" s="217"/>
    </row>
    <row r="94" spans="1:14" s="226" customFormat="1" ht="14.25" x14ac:dyDescent="0.2">
      <c r="A94" s="273" t="s">
        <v>86</v>
      </c>
      <c r="B94" s="218" t="s">
        <v>303</v>
      </c>
      <c r="C94" s="234" t="s">
        <v>11</v>
      </c>
      <c r="D94" s="220">
        <f>'Planilha Ajuste'!L134</f>
        <v>267.39999999999998</v>
      </c>
      <c r="E94" s="221">
        <f>E59</f>
        <v>0.46</v>
      </c>
      <c r="F94" s="221">
        <f>E94*$I$5</f>
        <v>0.59</v>
      </c>
      <c r="G94" s="246" t="s">
        <v>347</v>
      </c>
      <c r="H94" s="221">
        <f>D94*F94</f>
        <v>157.77000000000001</v>
      </c>
      <c r="I94" s="310" t="e">
        <f>#REF!*ORÇAMENTO!H84</f>
        <v>#REF!</v>
      </c>
      <c r="J94" s="224"/>
      <c r="K94" s="225"/>
      <c r="N94" s="227"/>
    </row>
    <row r="95" spans="1:14" s="202" customFormat="1" ht="5.0999999999999996" customHeight="1" x14ac:dyDescent="0.2">
      <c r="A95" s="239"/>
      <c r="B95" s="228"/>
      <c r="C95" s="219"/>
      <c r="D95" s="220"/>
      <c r="E95" s="221"/>
      <c r="F95" s="221"/>
      <c r="G95" s="222"/>
      <c r="H95" s="274"/>
      <c r="I95" s="229"/>
      <c r="K95" s="230"/>
    </row>
    <row r="96" spans="1:14" s="216" customFormat="1" ht="12.75" customHeight="1" x14ac:dyDescent="0.2">
      <c r="A96" s="272" t="s">
        <v>6</v>
      </c>
      <c r="B96" s="209" t="s">
        <v>278</v>
      </c>
      <c r="C96" s="210"/>
      <c r="D96" s="211"/>
      <c r="E96" s="221"/>
      <c r="F96" s="221"/>
      <c r="G96" s="222"/>
      <c r="H96" s="212">
        <f>SUM(H97:H97)</f>
        <v>4071.74</v>
      </c>
      <c r="I96" s="215"/>
      <c r="L96" s="217">
        <v>1.2097</v>
      </c>
    </row>
    <row r="97" spans="1:14" s="226" customFormat="1" ht="26.25" customHeight="1" x14ac:dyDescent="0.2">
      <c r="A97" s="273" t="s">
        <v>7</v>
      </c>
      <c r="B97" s="218" t="s">
        <v>304</v>
      </c>
      <c r="C97" s="234" t="s">
        <v>13</v>
      </c>
      <c r="D97" s="220">
        <f>'Planilha Ajuste'!L137</f>
        <v>1428.68</v>
      </c>
      <c r="E97" s="221">
        <f>E62</f>
        <v>2.21</v>
      </c>
      <c r="F97" s="221">
        <f>E97*$I$5</f>
        <v>2.85</v>
      </c>
      <c r="G97" s="246" t="s">
        <v>350</v>
      </c>
      <c r="H97" s="221">
        <f>D97*F97</f>
        <v>4071.74</v>
      </c>
      <c r="I97" s="311" t="e">
        <f>D97*ORÇAMENTO!H86</f>
        <v>#REF!</v>
      </c>
      <c r="J97" s="224"/>
      <c r="K97" s="225"/>
      <c r="N97" s="227"/>
    </row>
    <row r="98" spans="1:14" s="202" customFormat="1" ht="5.0999999999999996" customHeight="1" x14ac:dyDescent="0.2">
      <c r="A98" s="239"/>
      <c r="B98" s="228"/>
      <c r="C98" s="219"/>
      <c r="D98" s="220"/>
      <c r="E98" s="220"/>
      <c r="F98" s="220"/>
      <c r="G98" s="236"/>
      <c r="H98" s="274"/>
      <c r="I98" s="312"/>
      <c r="K98" s="230"/>
    </row>
    <row r="99" spans="1:14" s="216" customFormat="1" ht="12.75" customHeight="1" x14ac:dyDescent="0.2">
      <c r="A99" s="272" t="s">
        <v>8</v>
      </c>
      <c r="B99" s="209" t="s">
        <v>20</v>
      </c>
      <c r="C99" s="210"/>
      <c r="D99" s="211"/>
      <c r="E99" s="237"/>
      <c r="F99" s="237"/>
      <c r="G99" s="238"/>
      <c r="H99" s="212">
        <f>SUM(H100:H102)</f>
        <v>183802.94</v>
      </c>
      <c r="I99" s="313"/>
      <c r="L99" s="217"/>
    </row>
    <row r="100" spans="1:14" s="226" customFormat="1" ht="67.5" customHeight="1" x14ac:dyDescent="0.2">
      <c r="A100" s="273" t="s">
        <v>9</v>
      </c>
      <c r="B100" s="218" t="s">
        <v>260</v>
      </c>
      <c r="C100" s="219" t="s">
        <v>128</v>
      </c>
      <c r="D100" s="220">
        <f>'Planilha Ajuste'!L140</f>
        <v>533.29999999999995</v>
      </c>
      <c r="E100" s="221">
        <f>E65</f>
        <v>45.46</v>
      </c>
      <c r="F100" s="221">
        <f>E100*$I$5</f>
        <v>58.64</v>
      </c>
      <c r="G100" s="246" t="s">
        <v>346</v>
      </c>
      <c r="H100" s="221">
        <f>D100*F100</f>
        <v>31272.71</v>
      </c>
      <c r="I100" s="311" t="e">
        <f>D100*ORÇAMENTO!H88</f>
        <v>#REF!</v>
      </c>
      <c r="J100" s="224"/>
      <c r="K100" s="225"/>
      <c r="N100" s="227"/>
    </row>
    <row r="101" spans="1:14" s="226" customFormat="1" ht="41.25" customHeight="1" x14ac:dyDescent="0.2">
      <c r="A101" s="273" t="s">
        <v>12</v>
      </c>
      <c r="B101" s="218" t="s">
        <v>305</v>
      </c>
      <c r="C101" s="219" t="s">
        <v>13</v>
      </c>
      <c r="D101" s="220">
        <f>'Planilha Ajuste'!L141</f>
        <v>1428.68</v>
      </c>
      <c r="E101" s="221">
        <f>E66</f>
        <v>81.319999999999993</v>
      </c>
      <c r="F101" s="221">
        <f>E101*$I$5</f>
        <v>104.89</v>
      </c>
      <c r="G101" s="246" t="s">
        <v>348</v>
      </c>
      <c r="H101" s="221">
        <f>D101*F101</f>
        <v>149854.25</v>
      </c>
      <c r="I101" s="311">
        <f>D101*ORÇAMENTO!H89</f>
        <v>0</v>
      </c>
      <c r="J101" s="224"/>
      <c r="K101" s="225"/>
      <c r="N101" s="227"/>
    </row>
    <row r="102" spans="1:14" s="226" customFormat="1" ht="28.5" customHeight="1" x14ac:dyDescent="0.2">
      <c r="A102" s="273" t="s">
        <v>108</v>
      </c>
      <c r="B102" s="218" t="s">
        <v>306</v>
      </c>
      <c r="C102" s="219" t="s">
        <v>13</v>
      </c>
      <c r="D102" s="220">
        <f>'Planilha Ajuste'!L142</f>
        <v>42.96</v>
      </c>
      <c r="E102" s="221">
        <f>E67</f>
        <v>48.29</v>
      </c>
      <c r="F102" s="221">
        <f>E102*$I$5</f>
        <v>62.29</v>
      </c>
      <c r="G102" s="222" t="s">
        <v>311</v>
      </c>
      <c r="H102" s="221">
        <f>D102*F102</f>
        <v>2675.98</v>
      </c>
      <c r="I102" s="311">
        <f>D102*ORÇAMENTO!H90</f>
        <v>0</v>
      </c>
      <c r="J102" s="224"/>
      <c r="K102" s="225"/>
      <c r="N102" s="227"/>
    </row>
    <row r="103" spans="1:14" s="202" customFormat="1" ht="5.0999999999999996" customHeight="1" x14ac:dyDescent="0.2">
      <c r="A103" s="239"/>
      <c r="B103" s="239"/>
      <c r="C103" s="219"/>
      <c r="D103" s="220"/>
      <c r="E103" s="221"/>
      <c r="F103" s="221"/>
      <c r="G103" s="222"/>
      <c r="H103" s="274"/>
      <c r="I103" s="229"/>
      <c r="K103" s="230"/>
    </row>
    <row r="104" spans="1:14" s="216" customFormat="1" ht="12.75" hidden="1" customHeight="1" x14ac:dyDescent="0.2">
      <c r="A104" s="275" t="s">
        <v>14</v>
      </c>
      <c r="B104" s="248" t="s">
        <v>178</v>
      </c>
      <c r="C104" s="219"/>
      <c r="D104" s="241"/>
      <c r="E104" s="243"/>
      <c r="F104" s="243"/>
      <c r="G104" s="244"/>
      <c r="H104" s="243">
        <f>SUM(H105:H113)</f>
        <v>0</v>
      </c>
      <c r="I104" s="215"/>
      <c r="L104" s="217"/>
    </row>
    <row r="105" spans="1:14" s="202" customFormat="1" ht="25.5" hidden="1" x14ac:dyDescent="0.2">
      <c r="A105" s="273" t="s">
        <v>15</v>
      </c>
      <c r="B105" s="261" t="s">
        <v>236</v>
      </c>
      <c r="C105" s="219" t="s">
        <v>167</v>
      </c>
      <c r="D105" s="220">
        <v>0</v>
      </c>
      <c r="E105" s="221">
        <f>ORÇAMENTO!G95</f>
        <v>0</v>
      </c>
      <c r="F105" s="221">
        <f t="shared" ref="F105:F113" si="7">E105*$I$5</f>
        <v>0</v>
      </c>
      <c r="G105" s="271" t="s">
        <v>314</v>
      </c>
      <c r="H105" s="221"/>
      <c r="I105" s="312">
        <f>D105*ORÇAMENTO!H95</f>
        <v>0</v>
      </c>
      <c r="J105" s="230"/>
      <c r="K105" s="230"/>
      <c r="L105" s="247"/>
    </row>
    <row r="106" spans="1:14" s="202" customFormat="1" ht="39" hidden="1" customHeight="1" x14ac:dyDescent="0.2">
      <c r="A106" s="273" t="s">
        <v>129</v>
      </c>
      <c r="B106" s="261" t="s">
        <v>233</v>
      </c>
      <c r="C106" s="219" t="s">
        <v>167</v>
      </c>
      <c r="D106" s="220">
        <v>0</v>
      </c>
      <c r="E106" s="221">
        <v>773.59</v>
      </c>
      <c r="F106" s="221">
        <f t="shared" si="7"/>
        <v>997.85</v>
      </c>
      <c r="G106" s="271" t="s">
        <v>315</v>
      </c>
      <c r="H106" s="221"/>
      <c r="I106" s="312">
        <f>D106*ORÇAMENTO!H96</f>
        <v>0</v>
      </c>
      <c r="J106" s="230"/>
      <c r="K106" s="230"/>
      <c r="L106" s="247"/>
    </row>
    <row r="107" spans="1:14" s="202" customFormat="1" ht="27.75" hidden="1" customHeight="1" x14ac:dyDescent="0.2">
      <c r="A107" s="273" t="s">
        <v>131</v>
      </c>
      <c r="B107" s="261" t="s">
        <v>198</v>
      </c>
      <c r="C107" s="219" t="s">
        <v>167</v>
      </c>
      <c r="D107" s="220">
        <v>0</v>
      </c>
      <c r="E107" s="221">
        <f>ORÇAMENTO!G97</f>
        <v>0</v>
      </c>
      <c r="F107" s="221">
        <f t="shared" si="7"/>
        <v>0</v>
      </c>
      <c r="G107" s="271" t="s">
        <v>313</v>
      </c>
      <c r="H107" s="221"/>
      <c r="I107" s="312">
        <f>D107*ORÇAMENTO!H97</f>
        <v>0</v>
      </c>
      <c r="J107" s="230"/>
      <c r="K107" s="230"/>
      <c r="L107" s="247"/>
    </row>
    <row r="108" spans="1:14" s="202" customFormat="1" ht="66" hidden="1" customHeight="1" x14ac:dyDescent="0.2">
      <c r="A108" s="273" t="s">
        <v>413</v>
      </c>
      <c r="B108" s="261" t="s">
        <v>200</v>
      </c>
      <c r="C108" s="219" t="s">
        <v>11</v>
      </c>
      <c r="D108" s="220">
        <v>0</v>
      </c>
      <c r="E108" s="221">
        <v>279.18</v>
      </c>
      <c r="F108" s="221">
        <f t="shared" si="7"/>
        <v>360.11</v>
      </c>
      <c r="G108" s="271" t="s">
        <v>316</v>
      </c>
      <c r="H108" s="221"/>
      <c r="I108" s="312">
        <f>D108*ORÇAMENTO!H98</f>
        <v>0</v>
      </c>
      <c r="J108" s="230"/>
      <c r="K108" s="230"/>
      <c r="L108" s="247"/>
    </row>
    <row r="109" spans="1:14" s="202" customFormat="1" ht="14.25" hidden="1" x14ac:dyDescent="0.2">
      <c r="A109" s="273" t="s">
        <v>414</v>
      </c>
      <c r="B109" s="261" t="s">
        <v>234</v>
      </c>
      <c r="C109" s="219" t="s">
        <v>11</v>
      </c>
      <c r="D109" s="220">
        <v>0</v>
      </c>
      <c r="E109" s="221">
        <v>4.1900000000000004</v>
      </c>
      <c r="F109" s="221">
        <f t="shared" si="7"/>
        <v>5.4</v>
      </c>
      <c r="G109" s="271" t="s">
        <v>317</v>
      </c>
      <c r="H109" s="221"/>
      <c r="I109" s="312">
        <f>D109*ORÇAMENTO!H99</f>
        <v>0</v>
      </c>
      <c r="J109" s="230"/>
      <c r="K109" s="230"/>
      <c r="L109" s="247"/>
    </row>
    <row r="110" spans="1:14" s="202" customFormat="1" ht="76.5" hidden="1" x14ac:dyDescent="0.2">
      <c r="A110" s="273" t="s">
        <v>415</v>
      </c>
      <c r="B110" s="261" t="s">
        <v>201</v>
      </c>
      <c r="C110" s="219" t="s">
        <v>128</v>
      </c>
      <c r="D110" s="220">
        <v>0</v>
      </c>
      <c r="E110" s="221">
        <v>5.27</v>
      </c>
      <c r="F110" s="221">
        <f t="shared" si="7"/>
        <v>6.8</v>
      </c>
      <c r="G110" s="271" t="s">
        <v>318</v>
      </c>
      <c r="H110" s="221"/>
      <c r="I110" s="312">
        <f>D110*ORÇAMENTO!H100</f>
        <v>0</v>
      </c>
      <c r="J110" s="230"/>
      <c r="K110" s="230"/>
      <c r="L110" s="247"/>
    </row>
    <row r="111" spans="1:14" s="202" customFormat="1" ht="25.5" hidden="1" x14ac:dyDescent="0.2">
      <c r="A111" s="273" t="s">
        <v>416</v>
      </c>
      <c r="B111" s="261" t="s">
        <v>235</v>
      </c>
      <c r="C111" s="219" t="s">
        <v>128</v>
      </c>
      <c r="D111" s="220">
        <v>0</v>
      </c>
      <c r="E111" s="221">
        <f>ORÇAMENTO!G101</f>
        <v>0</v>
      </c>
      <c r="F111" s="220">
        <f t="shared" si="7"/>
        <v>0</v>
      </c>
      <c r="G111" s="246" t="s">
        <v>319</v>
      </c>
      <c r="H111" s="220"/>
      <c r="I111" s="312">
        <f>D111*ORÇAMENTO!H101</f>
        <v>0</v>
      </c>
      <c r="J111" s="230"/>
      <c r="K111" s="230"/>
      <c r="L111" s="247"/>
    </row>
    <row r="112" spans="1:14" s="202" customFormat="1" ht="78.75" hidden="1" customHeight="1" x14ac:dyDescent="0.2">
      <c r="A112" s="273" t="s">
        <v>417</v>
      </c>
      <c r="B112" s="261" t="s">
        <v>202</v>
      </c>
      <c r="C112" s="219" t="s">
        <v>128</v>
      </c>
      <c r="D112" s="220">
        <v>0</v>
      </c>
      <c r="E112" s="221">
        <v>18.059999999999999</v>
      </c>
      <c r="F112" s="220">
        <f t="shared" si="7"/>
        <v>23.3</v>
      </c>
      <c r="G112" s="246" t="s">
        <v>320</v>
      </c>
      <c r="H112" s="220"/>
      <c r="I112" s="312">
        <f>D112*ORÇAMENTO!H102</f>
        <v>0</v>
      </c>
      <c r="J112" s="230"/>
      <c r="K112" s="230"/>
      <c r="L112" s="247"/>
    </row>
    <row r="113" spans="1:14" s="202" customFormat="1" ht="25.5" hidden="1" x14ac:dyDescent="0.2">
      <c r="A113" s="273" t="s">
        <v>418</v>
      </c>
      <c r="B113" s="261" t="s">
        <v>239</v>
      </c>
      <c r="C113" s="219" t="s">
        <v>167</v>
      </c>
      <c r="D113" s="220">
        <v>0</v>
      </c>
      <c r="E113" s="221">
        <f>ORÇAMENTO!G103</f>
        <v>0</v>
      </c>
      <c r="F113" s="220">
        <f t="shared" si="7"/>
        <v>0</v>
      </c>
      <c r="G113" s="246" t="s">
        <v>321</v>
      </c>
      <c r="H113" s="220"/>
      <c r="I113" s="312">
        <f>D113*ORÇAMENTO!H103</f>
        <v>0</v>
      </c>
      <c r="J113" s="230"/>
      <c r="K113" s="230"/>
      <c r="L113" s="247"/>
    </row>
    <row r="114" spans="1:14" s="202" customFormat="1" ht="5.0999999999999996" hidden="1" customHeight="1" x14ac:dyDescent="0.2">
      <c r="A114" s="239"/>
      <c r="B114" s="239"/>
      <c r="C114" s="219"/>
      <c r="D114" s="220"/>
      <c r="E114" s="221"/>
      <c r="F114" s="221"/>
      <c r="G114" s="222"/>
      <c r="H114" s="274"/>
      <c r="I114" s="229"/>
      <c r="K114" s="230"/>
    </row>
    <row r="115" spans="1:14" s="216" customFormat="1" ht="12.75" customHeight="1" x14ac:dyDescent="0.2">
      <c r="A115" s="275" t="s">
        <v>14</v>
      </c>
      <c r="B115" s="240" t="s">
        <v>292</v>
      </c>
      <c r="C115" s="219"/>
      <c r="D115" s="241"/>
      <c r="E115" s="221"/>
      <c r="F115" s="221"/>
      <c r="G115" s="222"/>
      <c r="H115" s="243" t="e">
        <f>SUM(H116:H123)</f>
        <v>#REF!</v>
      </c>
      <c r="I115" s="215"/>
      <c r="L115" s="217"/>
    </row>
    <row r="116" spans="1:14" s="226" customFormat="1" ht="51" x14ac:dyDescent="0.2">
      <c r="A116" s="273" t="s">
        <v>15</v>
      </c>
      <c r="B116" s="261" t="s">
        <v>491</v>
      </c>
      <c r="C116" s="234" t="s">
        <v>13</v>
      </c>
      <c r="D116" s="220" t="e">
        <f>'Planilha Ajuste'!#REF!</f>
        <v>#REF!</v>
      </c>
      <c r="E116" s="221">
        <f t="shared" ref="E116:E123" si="8">E81</f>
        <v>70.13</v>
      </c>
      <c r="F116" s="221">
        <f t="shared" ref="F116:F123" si="9">E116*$I$5</f>
        <v>90.46</v>
      </c>
      <c r="G116" s="271" t="s">
        <v>500</v>
      </c>
      <c r="H116" s="221" t="e">
        <f t="shared" ref="H116:H123" si="10">D116*F116</f>
        <v>#REF!</v>
      </c>
      <c r="I116" s="223"/>
      <c r="J116" s="224"/>
      <c r="K116" s="225"/>
      <c r="N116" s="227"/>
    </row>
    <row r="117" spans="1:14" s="226" customFormat="1" ht="38.25" x14ac:dyDescent="0.2">
      <c r="A117" s="273" t="s">
        <v>129</v>
      </c>
      <c r="B117" s="261" t="s">
        <v>492</v>
      </c>
      <c r="C117" s="234" t="s">
        <v>128</v>
      </c>
      <c r="D117" s="220" t="e">
        <f>'Planilha Ajuste'!#REF!</f>
        <v>#REF!</v>
      </c>
      <c r="E117" s="221">
        <f t="shared" si="8"/>
        <v>695.75</v>
      </c>
      <c r="F117" s="221">
        <f t="shared" si="9"/>
        <v>897.45</v>
      </c>
      <c r="G117" s="271" t="s">
        <v>323</v>
      </c>
      <c r="H117" s="221" t="e">
        <f t="shared" si="10"/>
        <v>#REF!</v>
      </c>
      <c r="I117" s="223"/>
      <c r="J117" s="224"/>
      <c r="K117" s="225"/>
      <c r="N117" s="227"/>
    </row>
    <row r="118" spans="1:14" s="226" customFormat="1" ht="38.25" x14ac:dyDescent="0.2">
      <c r="A118" s="273" t="s">
        <v>131</v>
      </c>
      <c r="B118" s="261" t="s">
        <v>493</v>
      </c>
      <c r="C118" s="234" t="s">
        <v>128</v>
      </c>
      <c r="D118" s="220" t="e">
        <f>'Planilha Ajuste'!#REF!</f>
        <v>#REF!</v>
      </c>
      <c r="E118" s="221">
        <f t="shared" si="8"/>
        <v>695.75</v>
      </c>
      <c r="F118" s="221">
        <f t="shared" si="9"/>
        <v>897.45</v>
      </c>
      <c r="G118" s="271">
        <v>94990</v>
      </c>
      <c r="H118" s="221" t="e">
        <f t="shared" si="10"/>
        <v>#REF!</v>
      </c>
      <c r="I118" s="223"/>
      <c r="J118" s="224"/>
      <c r="K118" s="225"/>
      <c r="N118" s="227"/>
    </row>
    <row r="119" spans="1:14" s="226" customFormat="1" ht="51" x14ac:dyDescent="0.2">
      <c r="A119" s="273" t="s">
        <v>413</v>
      </c>
      <c r="B119" s="261" t="s">
        <v>494</v>
      </c>
      <c r="C119" s="234" t="s">
        <v>13</v>
      </c>
      <c r="D119" s="220" t="e">
        <f>'Planilha Ajuste'!#REF!</f>
        <v>#REF!</v>
      </c>
      <c r="E119" s="221" t="e">
        <f t="shared" si="8"/>
        <v>#REF!</v>
      </c>
      <c r="F119" s="221" t="e">
        <f t="shared" si="9"/>
        <v>#REF!</v>
      </c>
      <c r="G119" s="316" t="s">
        <v>497</v>
      </c>
      <c r="H119" s="221" t="e">
        <f t="shared" si="10"/>
        <v>#REF!</v>
      </c>
      <c r="I119" s="223"/>
      <c r="J119" s="224"/>
      <c r="K119" s="225"/>
      <c r="N119" s="227"/>
    </row>
    <row r="120" spans="1:14" s="226" customFormat="1" ht="25.5" x14ac:dyDescent="0.2">
      <c r="A120" s="273" t="s">
        <v>414</v>
      </c>
      <c r="B120" s="261" t="s">
        <v>495</v>
      </c>
      <c r="C120" s="234" t="s">
        <v>13</v>
      </c>
      <c r="D120" s="220" t="e">
        <f>'Planilha Ajuste'!#REF!</f>
        <v>#REF!</v>
      </c>
      <c r="E120" s="221">
        <f t="shared" si="8"/>
        <v>14.53</v>
      </c>
      <c r="F120" s="221">
        <f t="shared" si="9"/>
        <v>18.739999999999998</v>
      </c>
      <c r="G120" s="271" t="s">
        <v>501</v>
      </c>
      <c r="H120" s="221" t="e">
        <f t="shared" si="10"/>
        <v>#REF!</v>
      </c>
      <c r="I120" s="223" t="e">
        <f>D120*ORÇAMENTO!H107</f>
        <v>#REF!</v>
      </c>
      <c r="J120" s="224"/>
      <c r="K120" s="225"/>
      <c r="N120" s="227"/>
    </row>
    <row r="121" spans="1:14" s="226" customFormat="1" ht="26.25" customHeight="1" x14ac:dyDescent="0.2">
      <c r="A121" s="273" t="s">
        <v>415</v>
      </c>
      <c r="B121" s="261" t="s">
        <v>312</v>
      </c>
      <c r="C121" s="234" t="s">
        <v>279</v>
      </c>
      <c r="D121" s="220">
        <f>'Planilha Ajuste'!L157</f>
        <v>2</v>
      </c>
      <c r="E121" s="221" t="e">
        <f t="shared" si="8"/>
        <v>#REF!</v>
      </c>
      <c r="F121" s="221" t="e">
        <f t="shared" si="9"/>
        <v>#REF!</v>
      </c>
      <c r="G121" s="316" t="s">
        <v>498</v>
      </c>
      <c r="H121" s="221" t="e">
        <f t="shared" si="10"/>
        <v>#REF!</v>
      </c>
      <c r="I121" s="223">
        <f>D121*ORÇAMENTO!H108</f>
        <v>0</v>
      </c>
      <c r="J121" s="224"/>
      <c r="K121" s="225"/>
      <c r="N121" s="227"/>
    </row>
    <row r="122" spans="1:14" s="226" customFormat="1" ht="25.5" x14ac:dyDescent="0.2">
      <c r="A122" s="273" t="s">
        <v>416</v>
      </c>
      <c r="B122" s="261" t="s">
        <v>419</v>
      </c>
      <c r="C122" s="234" t="s">
        <v>13</v>
      </c>
      <c r="D122" s="220">
        <f>'Planilha Ajuste'!L156</f>
        <v>149.32</v>
      </c>
      <c r="E122" s="221">
        <f t="shared" si="8"/>
        <v>1.25</v>
      </c>
      <c r="F122" s="221">
        <f t="shared" si="9"/>
        <v>1.61</v>
      </c>
      <c r="G122" s="271">
        <v>102498</v>
      </c>
      <c r="H122" s="221">
        <f t="shared" si="10"/>
        <v>240.41</v>
      </c>
      <c r="I122" s="223"/>
      <c r="J122" s="224"/>
      <c r="K122" s="225"/>
      <c r="N122" s="227"/>
    </row>
    <row r="123" spans="1:14" s="226" customFormat="1" ht="25.5" x14ac:dyDescent="0.2">
      <c r="A123" s="273" t="s">
        <v>417</v>
      </c>
      <c r="B123" s="261" t="s">
        <v>499</v>
      </c>
      <c r="C123" s="234" t="s">
        <v>279</v>
      </c>
      <c r="D123" s="220">
        <f>'Planilha Ajuste'!L158</f>
        <v>2</v>
      </c>
      <c r="E123" s="221">
        <f t="shared" si="8"/>
        <v>140.27000000000001</v>
      </c>
      <c r="F123" s="221">
        <f t="shared" si="9"/>
        <v>180.93</v>
      </c>
      <c r="G123" s="271" t="s">
        <v>502</v>
      </c>
      <c r="H123" s="221">
        <f t="shared" si="10"/>
        <v>361.86</v>
      </c>
      <c r="I123" s="223"/>
      <c r="J123" s="224"/>
      <c r="K123" s="225"/>
      <c r="N123" s="227"/>
    </row>
    <row r="124" spans="1:14" s="202" customFormat="1" ht="4.5" customHeight="1" thickBot="1" x14ac:dyDescent="0.25">
      <c r="A124" s="326"/>
      <c r="B124" s="327"/>
      <c r="C124" s="328"/>
      <c r="D124" s="329"/>
      <c r="E124" s="330"/>
      <c r="F124" s="330"/>
      <c r="G124" s="331"/>
      <c r="H124" s="332"/>
      <c r="I124" s="229"/>
    </row>
    <row r="125" spans="1:14" s="254" customFormat="1" ht="20.25" customHeight="1" thickBot="1" x14ac:dyDescent="0.25">
      <c r="A125" s="743" t="s">
        <v>527</v>
      </c>
      <c r="B125" s="744"/>
      <c r="C125" s="744"/>
      <c r="D125" s="744"/>
      <c r="E125" s="744"/>
      <c r="F125" s="744"/>
      <c r="G125" s="745"/>
      <c r="H125" s="560" t="e">
        <f>H93+H96+H99+H104+H115</f>
        <v>#REF!</v>
      </c>
      <c r="I125" s="253"/>
      <c r="L125" s="255"/>
    </row>
    <row r="126" spans="1:14" s="202" customFormat="1" ht="5.0999999999999996" customHeight="1" thickBot="1" x14ac:dyDescent="0.25">
      <c r="A126" s="239"/>
      <c r="B126" s="228"/>
      <c r="C126" s="219"/>
      <c r="D126" s="220"/>
      <c r="E126" s="220"/>
      <c r="F126" s="220"/>
      <c r="G126" s="236"/>
      <c r="H126" s="274"/>
      <c r="I126" s="229"/>
      <c r="K126" s="230"/>
    </row>
    <row r="127" spans="1:14" s="202" customFormat="1" ht="25.5" hidden="1" customHeight="1" thickBot="1" x14ac:dyDescent="0.3">
      <c r="A127" s="816" t="s">
        <v>124</v>
      </c>
      <c r="B127" s="817"/>
      <c r="C127" s="817"/>
      <c r="D127" s="817"/>
      <c r="E127" s="817"/>
      <c r="F127" s="817"/>
      <c r="G127" s="817"/>
      <c r="H127" s="818"/>
      <c r="I127" s="205"/>
      <c r="J127" s="205"/>
      <c r="K127" s="205"/>
      <c r="L127" s="207"/>
      <c r="M127" s="208"/>
    </row>
    <row r="128" spans="1:14" s="216" customFormat="1" ht="12.75" hidden="1" customHeight="1" thickBot="1" x14ac:dyDescent="0.25">
      <c r="A128" s="272" t="s">
        <v>4</v>
      </c>
      <c r="B128" s="209" t="s">
        <v>277</v>
      </c>
      <c r="C128" s="210"/>
      <c r="D128" s="213"/>
      <c r="E128" s="212"/>
      <c r="F128" s="212"/>
      <c r="G128" s="214"/>
      <c r="H128" s="212" t="e">
        <f>SUM(H129:H129)</f>
        <v>#REF!</v>
      </c>
      <c r="I128" s="215"/>
      <c r="L128" s="217"/>
    </row>
    <row r="129" spans="1:14" s="226" customFormat="1" ht="15" hidden="1" thickBot="1" x14ac:dyDescent="0.25">
      <c r="A129" s="273" t="s">
        <v>86</v>
      </c>
      <c r="B129" s="218" t="str">
        <f>ORÇAMENTO!D73</f>
        <v>Locação de pavimentação</v>
      </c>
      <c r="C129" s="234" t="s">
        <v>11</v>
      </c>
      <c r="D129" s="220" t="e">
        <f>#REF!+#REF!-#REF!</f>
        <v>#REF!</v>
      </c>
      <c r="E129" s="221">
        <f>E59</f>
        <v>0.46</v>
      </c>
      <c r="F129" s="221">
        <f>E129*$I$5</f>
        <v>0.59</v>
      </c>
      <c r="G129" s="271" t="str">
        <f>G59</f>
        <v>SINAPI 99064</v>
      </c>
      <c r="H129" s="221" t="e">
        <f>D129*F129</f>
        <v>#REF!</v>
      </c>
      <c r="I129" s="223" t="e">
        <f>ORÇAMENTO!H73*'Planilha Consolidada Individual'!D129</f>
        <v>#REF!</v>
      </c>
      <c r="J129" s="224"/>
      <c r="K129" s="225"/>
      <c r="N129" s="227"/>
    </row>
    <row r="130" spans="1:14" s="202" customFormat="1" ht="5.0999999999999996" hidden="1" customHeight="1" thickBot="1" x14ac:dyDescent="0.25">
      <c r="A130" s="239"/>
      <c r="B130" s="228"/>
      <c r="C130" s="219"/>
      <c r="D130" s="220"/>
      <c r="E130" s="221"/>
      <c r="F130" s="221"/>
      <c r="G130" s="222"/>
      <c r="H130" s="274"/>
      <c r="I130" s="229"/>
      <c r="K130" s="230"/>
    </row>
    <row r="131" spans="1:14" s="216" customFormat="1" ht="12.75" hidden="1" customHeight="1" thickBot="1" x14ac:dyDescent="0.25">
      <c r="A131" s="272" t="s">
        <v>6</v>
      </c>
      <c r="B131" s="209" t="s">
        <v>278</v>
      </c>
      <c r="C131" s="210"/>
      <c r="D131" s="211"/>
      <c r="E131" s="221"/>
      <c r="F131" s="221"/>
      <c r="G131" s="222"/>
      <c r="H131" s="212" t="e">
        <f>SUM(H132:H132)</f>
        <v>#REF!</v>
      </c>
      <c r="I131" s="215"/>
      <c r="L131" s="217">
        <v>1.2097</v>
      </c>
    </row>
    <row r="132" spans="1:14" s="226" customFormat="1" ht="26.25" hidden="1" thickBot="1" x14ac:dyDescent="0.25">
      <c r="A132" s="273" t="s">
        <v>7</v>
      </c>
      <c r="B132" s="218" t="s">
        <v>304</v>
      </c>
      <c r="C132" s="234" t="s">
        <v>13</v>
      </c>
      <c r="D132" s="220" t="e">
        <f>#REF!+#REF!-#REF!</f>
        <v>#REF!</v>
      </c>
      <c r="E132" s="221">
        <f>E62</f>
        <v>2.21</v>
      </c>
      <c r="F132" s="221">
        <f>E132*$I$5</f>
        <v>2.85</v>
      </c>
      <c r="G132" s="271">
        <v>100576</v>
      </c>
      <c r="H132" s="221" t="e">
        <f>D132*F132</f>
        <v>#REF!</v>
      </c>
      <c r="I132" s="223" t="e">
        <f>ORÇAMENTO!H76*'Planilha Consolidada Individual'!D132</f>
        <v>#REF!</v>
      </c>
      <c r="J132" s="224"/>
      <c r="K132" s="225"/>
      <c r="N132" s="227"/>
    </row>
    <row r="133" spans="1:14" s="202" customFormat="1" ht="5.0999999999999996" hidden="1" customHeight="1" thickBot="1" x14ac:dyDescent="0.25">
      <c r="A133" s="239"/>
      <c r="B133" s="228"/>
      <c r="C133" s="219"/>
      <c r="D133" s="220"/>
      <c r="E133" s="220"/>
      <c r="F133" s="220"/>
      <c r="G133" s="236"/>
      <c r="H133" s="274"/>
      <c r="I133" s="229"/>
      <c r="K133" s="230"/>
    </row>
    <row r="134" spans="1:14" s="216" customFormat="1" ht="12.75" hidden="1" customHeight="1" thickBot="1" x14ac:dyDescent="0.25">
      <c r="A134" s="272" t="s">
        <v>8</v>
      </c>
      <c r="B134" s="209" t="s">
        <v>20</v>
      </c>
      <c r="C134" s="210"/>
      <c r="D134" s="211"/>
      <c r="E134" s="237"/>
      <c r="F134" s="237"/>
      <c r="G134" s="238"/>
      <c r="H134" s="212" t="e">
        <f>SUM(H135:H137)</f>
        <v>#REF!</v>
      </c>
      <c r="I134" s="215"/>
      <c r="L134" s="217"/>
    </row>
    <row r="135" spans="1:14" s="226" customFormat="1" ht="67.5" hidden="1" customHeight="1" thickBot="1" x14ac:dyDescent="0.25">
      <c r="A135" s="273" t="s">
        <v>9</v>
      </c>
      <c r="B135" s="218" t="str">
        <f>B65</f>
        <v>Assentamento de guia (meio-fio) em trecho reto, confeccionada em concreto pré-fabricado, dimensões 100x15x13x30 cm (comprimento x base inferior x base superior x altura), para vias urbanas (uso viário)</v>
      </c>
      <c r="C135" s="219" t="s">
        <v>128</v>
      </c>
      <c r="D135" s="220" t="e">
        <f>#REF!+#REF!-#REF!</f>
        <v>#REF!</v>
      </c>
      <c r="E135" s="221">
        <f>E65</f>
        <v>45.46</v>
      </c>
      <c r="F135" s="221">
        <f>E135*$I$5</f>
        <v>58.64</v>
      </c>
      <c r="G135" s="271">
        <v>94273</v>
      </c>
      <c r="H135" s="221" t="e">
        <f>D135*F135</f>
        <v>#REF!</v>
      </c>
      <c r="I135" s="223" t="e">
        <f>D135*ORÇAMENTO!H78</f>
        <v>#REF!</v>
      </c>
      <c r="J135" s="224"/>
      <c r="K135" s="225"/>
      <c r="N135" s="227"/>
    </row>
    <row r="136" spans="1:14" s="226" customFormat="1" ht="41.25" hidden="1" customHeight="1" thickBot="1" x14ac:dyDescent="0.25">
      <c r="A136" s="273" t="s">
        <v>12</v>
      </c>
      <c r="B136" s="218" t="str">
        <f>B66</f>
        <v>Execução de pavimento em paralelepípedo inclusive colchão de areia rejuntado no traço 1:3 (Cimento e areia)</v>
      </c>
      <c r="C136" s="219" t="s">
        <v>13</v>
      </c>
      <c r="D136" s="220" t="e">
        <f>#REF!+#REF!-#REF!</f>
        <v>#REF!</v>
      </c>
      <c r="E136" s="221">
        <f>E66</f>
        <v>81.319999999999993</v>
      </c>
      <c r="F136" s="221">
        <f>E136*$I$5</f>
        <v>104.89</v>
      </c>
      <c r="G136" s="271">
        <v>101169</v>
      </c>
      <c r="H136" s="221" t="e">
        <f>D136*F136</f>
        <v>#REF!</v>
      </c>
      <c r="I136" s="223" t="e">
        <f>D136*ORÇAMENTO!H79</f>
        <v>#REF!</v>
      </c>
      <c r="J136" s="224"/>
      <c r="K136" s="225"/>
      <c r="N136" s="227"/>
    </row>
    <row r="137" spans="1:14" s="226" customFormat="1" ht="29.25" hidden="1" customHeight="1" thickBot="1" x14ac:dyDescent="0.25">
      <c r="A137" s="273" t="s">
        <v>108</v>
      </c>
      <c r="B137" s="218" t="str">
        <f>B67</f>
        <v>Assentamento de guia (meio-fio) para cordão de travamento do pavimento, em pedra granítica</v>
      </c>
      <c r="C137" s="219" t="s">
        <v>13</v>
      </c>
      <c r="D137" s="220" t="e">
        <f>#REF!+#REF!-#REF!</f>
        <v>#REF!</v>
      </c>
      <c r="E137" s="221">
        <f>E67</f>
        <v>48.29</v>
      </c>
      <c r="F137" s="221">
        <f>E137*$I$5</f>
        <v>62.29</v>
      </c>
      <c r="G137" s="222" t="s">
        <v>345</v>
      </c>
      <c r="H137" s="221" t="e">
        <f>D137*F137</f>
        <v>#REF!</v>
      </c>
      <c r="I137" s="223"/>
      <c r="J137" s="224"/>
      <c r="K137" s="225"/>
      <c r="N137" s="227"/>
    </row>
    <row r="138" spans="1:14" s="202" customFormat="1" ht="5.0999999999999996" hidden="1" customHeight="1" thickBot="1" x14ac:dyDescent="0.25">
      <c r="A138" s="239"/>
      <c r="B138" s="239"/>
      <c r="C138" s="219"/>
      <c r="D138" s="220"/>
      <c r="E138" s="221"/>
      <c r="F138" s="221"/>
      <c r="G138" s="222"/>
      <c r="H138" s="274"/>
      <c r="I138" s="229"/>
      <c r="K138" s="230"/>
    </row>
    <row r="139" spans="1:14" s="216" customFormat="1" ht="12.75" hidden="1" customHeight="1" thickBot="1" x14ac:dyDescent="0.25">
      <c r="A139" s="272" t="s">
        <v>8</v>
      </c>
      <c r="B139" s="209" t="s">
        <v>307</v>
      </c>
      <c r="C139" s="210"/>
      <c r="D139" s="211"/>
      <c r="E139" s="237"/>
      <c r="F139" s="237"/>
      <c r="G139" s="238"/>
      <c r="H139" s="212" t="e">
        <f>SUM(H140:H142)</f>
        <v>#REF!</v>
      </c>
      <c r="I139" s="215"/>
      <c r="L139" s="217"/>
    </row>
    <row r="140" spans="1:14" s="226" customFormat="1" ht="41.25" hidden="1" customHeight="1" thickBot="1" x14ac:dyDescent="0.25">
      <c r="A140" s="273" t="s">
        <v>9</v>
      </c>
      <c r="B140" s="218" t="str">
        <f>ORÇAMENTO!D81</f>
        <v>Execução de passeio (calçada) ou piso de concreto com concreto moldado in loco, feito em obra, acabamento convencional, não armado</v>
      </c>
      <c r="C140" s="219" t="s">
        <v>128</v>
      </c>
      <c r="D140" s="220" t="e">
        <f>#REF!+#REF!-#REF!</f>
        <v>#REF!</v>
      </c>
      <c r="E140" s="221">
        <v>701.13</v>
      </c>
      <c r="F140" s="221">
        <f>E140*$I$5</f>
        <v>904.39</v>
      </c>
      <c r="G140" s="271" t="s">
        <v>323</v>
      </c>
      <c r="H140" s="221" t="e">
        <f>D140*F140</f>
        <v>#REF!</v>
      </c>
      <c r="I140" s="223" t="e">
        <f>D140*ORÇAMENTO!H81:H81</f>
        <v>#REF!</v>
      </c>
      <c r="J140" s="224"/>
      <c r="K140" s="225"/>
      <c r="N140" s="227"/>
    </row>
    <row r="141" spans="1:14" s="226" customFormat="1" ht="40.5" hidden="1" customHeight="1" thickBot="1" x14ac:dyDescent="0.25">
      <c r="A141" s="273" t="s">
        <v>12</v>
      </c>
      <c r="B141" s="218" t="str">
        <f>ORÇAMENTO!D82</f>
        <v>Execução de rampa de acessibilidade de concreto com concreto moldado in loco, feito em obra, acabamento convencional, não armado</v>
      </c>
      <c r="C141" s="219" t="s">
        <v>128</v>
      </c>
      <c r="D141" s="220" t="e">
        <f>#REF!+#REF!-#REF!</f>
        <v>#REF!</v>
      </c>
      <c r="E141" s="221">
        <f>E140</f>
        <v>701.13</v>
      </c>
      <c r="F141" s="221">
        <f>E141*$I$5</f>
        <v>904.39</v>
      </c>
      <c r="G141" s="271">
        <v>94990</v>
      </c>
      <c r="H141" s="221" t="e">
        <f>D141*F141</f>
        <v>#REF!</v>
      </c>
      <c r="I141" s="223" t="e">
        <f>D141*ORÇAMENTO!H82:H82</f>
        <v>#REF!</v>
      </c>
      <c r="J141" s="224"/>
      <c r="K141" s="225"/>
      <c r="N141" s="227"/>
    </row>
    <row r="142" spans="1:14" s="226" customFormat="1" ht="53.25" hidden="1" customHeight="1" thickBot="1" x14ac:dyDescent="0.25">
      <c r="A142" s="273" t="s">
        <v>108</v>
      </c>
      <c r="B142" s="218" t="str">
        <f>ORÇAMENTO!D83</f>
        <v>Piso tátil direcional e/ou alerta, de concreto, colorido, p/deficientes visuais, dimensões 25x25x2,5cm, aplicado com argamassa industrializada ac-ii.</v>
      </c>
      <c r="C142" s="219" t="s">
        <v>13</v>
      </c>
      <c r="D142" s="220" t="e">
        <f>#REF!+#REF!-#REF!</f>
        <v>#REF!</v>
      </c>
      <c r="E142" s="221">
        <f>ORÇAMENTO!G83</f>
        <v>104.97</v>
      </c>
      <c r="F142" s="221">
        <f>E142*$I$5</f>
        <v>135.4</v>
      </c>
      <c r="G142" s="222" t="s">
        <v>324</v>
      </c>
      <c r="H142" s="221" t="e">
        <f>D142*F142</f>
        <v>#REF!</v>
      </c>
      <c r="I142" s="223" t="e">
        <f>D142*ORÇAMENTO!H83:H83</f>
        <v>#REF!</v>
      </c>
      <c r="J142" s="224"/>
      <c r="K142" s="225"/>
      <c r="N142" s="227"/>
    </row>
    <row r="143" spans="1:14" s="202" customFormat="1" ht="5.0999999999999996" hidden="1" customHeight="1" thickBot="1" x14ac:dyDescent="0.25">
      <c r="A143" s="239"/>
      <c r="B143" s="239"/>
      <c r="C143" s="219"/>
      <c r="D143" s="220"/>
      <c r="E143" s="221"/>
      <c r="F143" s="221"/>
      <c r="G143" s="222"/>
      <c r="H143" s="274"/>
      <c r="I143" s="229"/>
      <c r="K143" s="230"/>
    </row>
    <row r="144" spans="1:14" s="216" customFormat="1" ht="12.75" hidden="1" customHeight="1" thickBot="1" x14ac:dyDescent="0.25">
      <c r="A144" s="275" t="s">
        <v>14</v>
      </c>
      <c r="B144" s="240" t="s">
        <v>168</v>
      </c>
      <c r="C144" s="219"/>
      <c r="D144" s="241"/>
      <c r="E144" s="221"/>
      <c r="F144" s="221"/>
      <c r="G144" s="222"/>
      <c r="H144" s="243" t="e">
        <f>SUM(H145:H146)</f>
        <v>#REF!</v>
      </c>
      <c r="I144" s="215"/>
      <c r="L144" s="217"/>
    </row>
    <row r="145" spans="1:14" s="226" customFormat="1" ht="64.5" hidden="1" thickBot="1" x14ac:dyDescent="0.25">
      <c r="A145" s="273" t="s">
        <v>15</v>
      </c>
      <c r="B145" s="261" t="s">
        <v>312</v>
      </c>
      <c r="C145" s="219" t="s">
        <v>13</v>
      </c>
      <c r="D145" s="220" t="e">
        <f>#REF!+#REF!-#REF!</f>
        <v>#REF!</v>
      </c>
      <c r="E145" s="221" t="e">
        <f>'Composição Custos Unit'!#REF!</f>
        <v>#REF!</v>
      </c>
      <c r="F145" s="221" t="e">
        <f>E145*$I$5</f>
        <v>#REF!</v>
      </c>
      <c r="G145" s="222" t="e">
        <f>#REF!</f>
        <v>#REF!</v>
      </c>
      <c r="H145" s="221" t="e">
        <f>D145*F145</f>
        <v>#REF!</v>
      </c>
      <c r="I145" s="223"/>
      <c r="J145" s="224"/>
      <c r="K145" s="225"/>
      <c r="N145" s="227"/>
    </row>
    <row r="146" spans="1:14" s="226" customFormat="1" ht="26.25" hidden="1" thickBot="1" x14ac:dyDescent="0.25">
      <c r="A146" s="273" t="s">
        <v>129</v>
      </c>
      <c r="B146" s="261" t="s">
        <v>166</v>
      </c>
      <c r="C146" s="219" t="s">
        <v>167</v>
      </c>
      <c r="D146" s="220" t="e">
        <f>#REF!+#REF!-#REF!</f>
        <v>#REF!</v>
      </c>
      <c r="E146" s="221">
        <f>'Composição Custos Unit'!G35</f>
        <v>140.27000000000001</v>
      </c>
      <c r="F146" s="221">
        <f>E146*$I$5</f>
        <v>180.93</v>
      </c>
      <c r="G146" s="222" t="e">
        <f>#REF!</f>
        <v>#REF!</v>
      </c>
      <c r="H146" s="221" t="e">
        <f>D146*F146</f>
        <v>#REF!</v>
      </c>
      <c r="I146" s="223"/>
      <c r="J146" s="224"/>
      <c r="K146" s="225"/>
      <c r="N146" s="227"/>
    </row>
    <row r="147" spans="1:14" s="202" customFormat="1" ht="5.0999999999999996" hidden="1" customHeight="1" thickBot="1" x14ac:dyDescent="0.25">
      <c r="A147" s="333"/>
      <c r="B147" s="333"/>
      <c r="C147" s="334"/>
      <c r="D147" s="335"/>
      <c r="E147" s="335"/>
      <c r="F147" s="335"/>
      <c r="G147" s="336"/>
      <c r="H147" s="337"/>
      <c r="I147" s="229"/>
      <c r="K147" s="230"/>
    </row>
    <row r="148" spans="1:14" s="254" customFormat="1" ht="20.25" hidden="1" customHeight="1" thickBot="1" x14ac:dyDescent="0.25">
      <c r="A148" s="819" t="s">
        <v>308</v>
      </c>
      <c r="B148" s="820"/>
      <c r="C148" s="820"/>
      <c r="D148" s="263"/>
      <c r="E148" s="278"/>
      <c r="F148" s="278"/>
      <c r="G148" s="324"/>
      <c r="H148" s="325" t="e">
        <f>H128+H131+H134+H139+H144</f>
        <v>#REF!</v>
      </c>
      <c r="I148" s="253"/>
      <c r="J148" s="270" t="e">
        <f>H148+ORÇAMENTO!I74</f>
        <v>#REF!</v>
      </c>
      <c r="L148" s="255"/>
    </row>
    <row r="149" spans="1:14" s="202" customFormat="1" ht="5.0999999999999996" hidden="1" customHeight="1" thickBot="1" x14ac:dyDescent="0.25">
      <c r="A149" s="318"/>
      <c r="B149" s="319"/>
      <c r="C149" s="320"/>
      <c r="D149" s="321"/>
      <c r="E149" s="321"/>
      <c r="F149" s="321"/>
      <c r="G149" s="322"/>
      <c r="H149" s="323"/>
      <c r="I149" s="229"/>
      <c r="K149" s="230"/>
    </row>
    <row r="150" spans="1:14" s="254" customFormat="1" ht="27" customHeight="1" thickBot="1" x14ac:dyDescent="0.25">
      <c r="A150" s="811" t="s">
        <v>509</v>
      </c>
      <c r="B150" s="812"/>
      <c r="C150" s="812"/>
      <c r="D150" s="555"/>
      <c r="E150" s="558"/>
      <c r="F150" s="558"/>
      <c r="G150" s="559"/>
      <c r="H150" s="560" t="e">
        <f>H30+H53+H90+H125</f>
        <v>#REF!</v>
      </c>
      <c r="I150" s="253"/>
      <c r="J150" s="270"/>
      <c r="L150" s="255"/>
    </row>
    <row r="151" spans="1:14" s="202" customFormat="1" ht="15.75" customHeight="1" x14ac:dyDescent="0.2">
      <c r="A151" s="202" t="s">
        <v>537</v>
      </c>
      <c r="B151" s="256"/>
      <c r="C151" s="204"/>
      <c r="G151" s="204"/>
      <c r="H151" s="256"/>
    </row>
    <row r="152" spans="1:14" s="202" customFormat="1" ht="14.25" customHeight="1" x14ac:dyDescent="0.2">
      <c r="A152" s="202" t="str">
        <f>'Francisco J. Cardoso - T1'!C82</f>
        <v>BDI: 27,48%</v>
      </c>
      <c r="B152" s="257"/>
      <c r="C152" s="204"/>
      <c r="D152" s="518"/>
      <c r="E152" s="518"/>
      <c r="F152" s="518"/>
      <c r="G152" s="518"/>
      <c r="H152" s="518"/>
    </row>
    <row r="153" spans="1:14" s="202" customFormat="1" ht="14.25" customHeight="1" x14ac:dyDescent="0.2">
      <c r="A153" s="724"/>
      <c r="B153" s="809"/>
      <c r="C153" s="809"/>
      <c r="D153" s="809"/>
      <c r="E153" s="809"/>
      <c r="F153" s="809"/>
      <c r="G153" s="518"/>
      <c r="H153" s="518"/>
      <c r="J153" s="338"/>
    </row>
    <row r="154" spans="1:14" ht="14.25" customHeight="1" x14ac:dyDescent="0.2">
      <c r="D154" s="518"/>
      <c r="E154" s="518"/>
      <c r="F154" s="518"/>
      <c r="G154" s="518"/>
      <c r="H154" s="518"/>
    </row>
    <row r="155" spans="1:14" s="202" customFormat="1" ht="12.75" customHeight="1" x14ac:dyDescent="0.2">
      <c r="B155" s="256"/>
      <c r="C155" s="204"/>
      <c r="G155" s="204"/>
      <c r="H155" s="202">
        <v>887645.87</v>
      </c>
    </row>
    <row r="156" spans="1:14" s="202" customFormat="1" ht="12.75" customHeight="1" x14ac:dyDescent="0.25">
      <c r="B156" s="256"/>
      <c r="C156" s="204"/>
      <c r="E156" s="247"/>
      <c r="F156" s="247"/>
      <c r="G156" s="204"/>
      <c r="H156" s="260"/>
    </row>
    <row r="157" spans="1:14" x14ac:dyDescent="0.2">
      <c r="H157" s="27"/>
    </row>
    <row r="160" spans="1:14" x14ac:dyDescent="0.2">
      <c r="D160" s="27">
        <v>102.9</v>
      </c>
    </row>
  </sheetData>
  <mergeCells count="18">
    <mergeCell ref="A153:F153"/>
    <mergeCell ref="I6:I8"/>
    <mergeCell ref="A7:A8"/>
    <mergeCell ref="B7:B8"/>
    <mergeCell ref="C7:C8"/>
    <mergeCell ref="D7:D8"/>
    <mergeCell ref="E7:H7"/>
    <mergeCell ref="A30:G30"/>
    <mergeCell ref="A4:H4"/>
    <mergeCell ref="A5:H5"/>
    <mergeCell ref="A53:G53"/>
    <mergeCell ref="A150:C150"/>
    <mergeCell ref="A56:H56"/>
    <mergeCell ref="A92:H92"/>
    <mergeCell ref="A127:H127"/>
    <mergeCell ref="A148:C148"/>
    <mergeCell ref="A90:G90"/>
    <mergeCell ref="A125:G125"/>
  </mergeCells>
  <printOptions horizontalCentered="1"/>
  <pageMargins left="0.51181102362204722" right="0.51181102362204722" top="0.39370078740157483" bottom="0.59055118110236227" header="0.31496062992125984" footer="0.31496062992125984"/>
  <pageSetup paperSize="9" scale="75" orientation="portrait" horizontalDpi="360" verticalDpi="360" r:id="rId1"/>
  <colBreaks count="1" manualBreakCount="1">
    <brk id="8" max="1048575"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5AA8B4-3013-4EFC-A354-DFF07C40542B}">
  <dimension ref="A1:V195"/>
  <sheetViews>
    <sheetView view="pageBreakPreview" topLeftCell="A88" zoomScale="110" zoomScaleNormal="90" zoomScaleSheetLayoutView="110" workbookViewId="0">
      <selection activeCell="A101" sqref="A101:P101"/>
    </sheetView>
  </sheetViews>
  <sheetFormatPr defaultRowHeight="12.75" x14ac:dyDescent="0.2"/>
  <cols>
    <col min="1" max="1" width="6.5703125" customWidth="1"/>
    <col min="2" max="2" width="44" customWidth="1"/>
    <col min="3" max="3" width="6.5703125" customWidth="1"/>
    <col min="4" max="5" width="11.7109375" customWidth="1"/>
    <col min="6" max="6" width="16.42578125" customWidth="1"/>
    <col min="7" max="7" width="11.7109375" customWidth="1"/>
    <col min="8" max="8" width="16.5703125" customWidth="1"/>
    <col min="9" max="14" width="11.7109375" customWidth="1"/>
    <col min="15" max="15" width="14.42578125" customWidth="1"/>
    <col min="16" max="16" width="17.5703125" customWidth="1"/>
    <col min="17" max="17" width="15.140625" bestFit="1" customWidth="1"/>
    <col min="18" max="19" width="15.140625" customWidth="1"/>
    <col min="20" max="20" width="17.5703125" customWidth="1"/>
    <col min="21" max="21" width="14.5703125" bestFit="1" customWidth="1"/>
    <col min="22" max="22" width="10.42578125" bestFit="1" customWidth="1"/>
    <col min="24" max="24" width="10.42578125" bestFit="1" customWidth="1"/>
    <col min="251" max="251" width="6.5703125" customWidth="1"/>
    <col min="252" max="252" width="43.42578125" customWidth="1"/>
    <col min="253" max="253" width="6.5703125" customWidth="1"/>
    <col min="254" max="255" width="11.7109375" customWidth="1"/>
    <col min="256" max="256" width="12.7109375" customWidth="1"/>
    <col min="257" max="257" width="11.7109375" customWidth="1"/>
    <col min="258" max="258" width="12.7109375" customWidth="1"/>
    <col min="259" max="260" width="11.7109375" customWidth="1"/>
    <col min="261" max="261" width="12.7109375" customWidth="1"/>
    <col min="262" max="271" width="11.7109375" customWidth="1"/>
    <col min="272" max="272" width="13.7109375" customWidth="1"/>
    <col min="273" max="273" width="15.140625" bestFit="1" customWidth="1"/>
    <col min="274" max="275" width="15.140625" customWidth="1"/>
    <col min="276" max="276" width="17.5703125" customWidth="1"/>
    <col min="277" max="277" width="14.5703125" bestFit="1" customWidth="1"/>
    <col min="278" max="278" width="10.42578125" bestFit="1" customWidth="1"/>
    <col min="280" max="280" width="10.42578125" bestFit="1" customWidth="1"/>
    <col min="507" max="507" width="6.5703125" customWidth="1"/>
    <col min="508" max="508" width="43.42578125" customWidth="1"/>
    <col min="509" max="509" width="6.5703125" customWidth="1"/>
    <col min="510" max="511" width="11.7109375" customWidth="1"/>
    <col min="512" max="512" width="12.7109375" customWidth="1"/>
    <col min="513" max="513" width="11.7109375" customWidth="1"/>
    <col min="514" max="514" width="12.7109375" customWidth="1"/>
    <col min="515" max="516" width="11.7109375" customWidth="1"/>
    <col min="517" max="517" width="12.7109375" customWidth="1"/>
    <col min="518" max="527" width="11.7109375" customWidth="1"/>
    <col min="528" max="528" width="13.7109375" customWidth="1"/>
    <col min="529" max="529" width="15.140625" bestFit="1" customWidth="1"/>
    <col min="530" max="531" width="15.140625" customWidth="1"/>
    <col min="532" max="532" width="17.5703125" customWidth="1"/>
    <col min="533" max="533" width="14.5703125" bestFit="1" customWidth="1"/>
    <col min="534" max="534" width="10.42578125" bestFit="1" customWidth="1"/>
    <col min="536" max="536" width="10.42578125" bestFit="1" customWidth="1"/>
    <col min="763" max="763" width="6.5703125" customWidth="1"/>
    <col min="764" max="764" width="43.42578125" customWidth="1"/>
    <col min="765" max="765" width="6.5703125" customWidth="1"/>
    <col min="766" max="767" width="11.7109375" customWidth="1"/>
    <col min="768" max="768" width="12.7109375" customWidth="1"/>
    <col min="769" max="769" width="11.7109375" customWidth="1"/>
    <col min="770" max="770" width="12.7109375" customWidth="1"/>
    <col min="771" max="772" width="11.7109375" customWidth="1"/>
    <col min="773" max="773" width="12.7109375" customWidth="1"/>
    <col min="774" max="783" width="11.7109375" customWidth="1"/>
    <col min="784" max="784" width="13.7109375" customWidth="1"/>
    <col min="785" max="785" width="15.140625" bestFit="1" customWidth="1"/>
    <col min="786" max="787" width="15.140625" customWidth="1"/>
    <col min="788" max="788" width="17.5703125" customWidth="1"/>
    <col min="789" max="789" width="14.5703125" bestFit="1" customWidth="1"/>
    <col min="790" max="790" width="10.42578125" bestFit="1" customWidth="1"/>
    <col min="792" max="792" width="10.42578125" bestFit="1" customWidth="1"/>
    <col min="1019" max="1019" width="6.5703125" customWidth="1"/>
    <col min="1020" max="1020" width="43.42578125" customWidth="1"/>
    <col min="1021" max="1021" width="6.5703125" customWidth="1"/>
    <col min="1022" max="1023" width="11.7109375" customWidth="1"/>
    <col min="1024" max="1024" width="12.7109375" customWidth="1"/>
    <col min="1025" max="1025" width="11.7109375" customWidth="1"/>
    <col min="1026" max="1026" width="12.7109375" customWidth="1"/>
    <col min="1027" max="1028" width="11.7109375" customWidth="1"/>
    <col min="1029" max="1029" width="12.7109375" customWidth="1"/>
    <col min="1030" max="1039" width="11.7109375" customWidth="1"/>
    <col min="1040" max="1040" width="13.7109375" customWidth="1"/>
    <col min="1041" max="1041" width="15.140625" bestFit="1" customWidth="1"/>
    <col min="1042" max="1043" width="15.140625" customWidth="1"/>
    <col min="1044" max="1044" width="17.5703125" customWidth="1"/>
    <col min="1045" max="1045" width="14.5703125" bestFit="1" customWidth="1"/>
    <col min="1046" max="1046" width="10.42578125" bestFit="1" customWidth="1"/>
    <col min="1048" max="1048" width="10.42578125" bestFit="1" customWidth="1"/>
    <col min="1275" max="1275" width="6.5703125" customWidth="1"/>
    <col min="1276" max="1276" width="43.42578125" customWidth="1"/>
    <col min="1277" max="1277" width="6.5703125" customWidth="1"/>
    <col min="1278" max="1279" width="11.7109375" customWidth="1"/>
    <col min="1280" max="1280" width="12.7109375" customWidth="1"/>
    <col min="1281" max="1281" width="11.7109375" customWidth="1"/>
    <col min="1282" max="1282" width="12.7109375" customWidth="1"/>
    <col min="1283" max="1284" width="11.7109375" customWidth="1"/>
    <col min="1285" max="1285" width="12.7109375" customWidth="1"/>
    <col min="1286" max="1295" width="11.7109375" customWidth="1"/>
    <col min="1296" max="1296" width="13.7109375" customWidth="1"/>
    <col min="1297" max="1297" width="15.140625" bestFit="1" customWidth="1"/>
    <col min="1298" max="1299" width="15.140625" customWidth="1"/>
    <col min="1300" max="1300" width="17.5703125" customWidth="1"/>
    <col min="1301" max="1301" width="14.5703125" bestFit="1" customWidth="1"/>
    <col min="1302" max="1302" width="10.42578125" bestFit="1" customWidth="1"/>
    <col min="1304" max="1304" width="10.42578125" bestFit="1" customWidth="1"/>
    <col min="1531" max="1531" width="6.5703125" customWidth="1"/>
    <col min="1532" max="1532" width="43.42578125" customWidth="1"/>
    <col min="1533" max="1533" width="6.5703125" customWidth="1"/>
    <col min="1534" max="1535" width="11.7109375" customWidth="1"/>
    <col min="1536" max="1536" width="12.7109375" customWidth="1"/>
    <col min="1537" max="1537" width="11.7109375" customWidth="1"/>
    <col min="1538" max="1538" width="12.7109375" customWidth="1"/>
    <col min="1539" max="1540" width="11.7109375" customWidth="1"/>
    <col min="1541" max="1541" width="12.7109375" customWidth="1"/>
    <col min="1542" max="1551" width="11.7109375" customWidth="1"/>
    <col min="1552" max="1552" width="13.7109375" customWidth="1"/>
    <col min="1553" max="1553" width="15.140625" bestFit="1" customWidth="1"/>
    <col min="1554" max="1555" width="15.140625" customWidth="1"/>
    <col min="1556" max="1556" width="17.5703125" customWidth="1"/>
    <col min="1557" max="1557" width="14.5703125" bestFit="1" customWidth="1"/>
    <col min="1558" max="1558" width="10.42578125" bestFit="1" customWidth="1"/>
    <col min="1560" max="1560" width="10.42578125" bestFit="1" customWidth="1"/>
    <col min="1787" max="1787" width="6.5703125" customWidth="1"/>
    <col min="1788" max="1788" width="43.42578125" customWidth="1"/>
    <col min="1789" max="1789" width="6.5703125" customWidth="1"/>
    <col min="1790" max="1791" width="11.7109375" customWidth="1"/>
    <col min="1792" max="1792" width="12.7109375" customWidth="1"/>
    <col min="1793" max="1793" width="11.7109375" customWidth="1"/>
    <col min="1794" max="1794" width="12.7109375" customWidth="1"/>
    <col min="1795" max="1796" width="11.7109375" customWidth="1"/>
    <col min="1797" max="1797" width="12.7109375" customWidth="1"/>
    <col min="1798" max="1807" width="11.7109375" customWidth="1"/>
    <col min="1808" max="1808" width="13.7109375" customWidth="1"/>
    <col min="1809" max="1809" width="15.140625" bestFit="1" customWidth="1"/>
    <col min="1810" max="1811" width="15.140625" customWidth="1"/>
    <col min="1812" max="1812" width="17.5703125" customWidth="1"/>
    <col min="1813" max="1813" width="14.5703125" bestFit="1" customWidth="1"/>
    <col min="1814" max="1814" width="10.42578125" bestFit="1" customWidth="1"/>
    <col min="1816" max="1816" width="10.42578125" bestFit="1" customWidth="1"/>
    <col min="2043" max="2043" width="6.5703125" customWidth="1"/>
    <col min="2044" max="2044" width="43.42578125" customWidth="1"/>
    <col min="2045" max="2045" width="6.5703125" customWidth="1"/>
    <col min="2046" max="2047" width="11.7109375" customWidth="1"/>
    <col min="2048" max="2048" width="12.7109375" customWidth="1"/>
    <col min="2049" max="2049" width="11.7109375" customWidth="1"/>
    <col min="2050" max="2050" width="12.7109375" customWidth="1"/>
    <col min="2051" max="2052" width="11.7109375" customWidth="1"/>
    <col min="2053" max="2053" width="12.7109375" customWidth="1"/>
    <col min="2054" max="2063" width="11.7109375" customWidth="1"/>
    <col min="2064" max="2064" width="13.7109375" customWidth="1"/>
    <col min="2065" max="2065" width="15.140625" bestFit="1" customWidth="1"/>
    <col min="2066" max="2067" width="15.140625" customWidth="1"/>
    <col min="2068" max="2068" width="17.5703125" customWidth="1"/>
    <col min="2069" max="2069" width="14.5703125" bestFit="1" customWidth="1"/>
    <col min="2070" max="2070" width="10.42578125" bestFit="1" customWidth="1"/>
    <col min="2072" max="2072" width="10.42578125" bestFit="1" customWidth="1"/>
    <col min="2299" max="2299" width="6.5703125" customWidth="1"/>
    <col min="2300" max="2300" width="43.42578125" customWidth="1"/>
    <col min="2301" max="2301" width="6.5703125" customWidth="1"/>
    <col min="2302" max="2303" width="11.7109375" customWidth="1"/>
    <col min="2304" max="2304" width="12.7109375" customWidth="1"/>
    <col min="2305" max="2305" width="11.7109375" customWidth="1"/>
    <col min="2306" max="2306" width="12.7109375" customWidth="1"/>
    <col min="2307" max="2308" width="11.7109375" customWidth="1"/>
    <col min="2309" max="2309" width="12.7109375" customWidth="1"/>
    <col min="2310" max="2319" width="11.7109375" customWidth="1"/>
    <col min="2320" max="2320" width="13.7109375" customWidth="1"/>
    <col min="2321" max="2321" width="15.140625" bestFit="1" customWidth="1"/>
    <col min="2322" max="2323" width="15.140625" customWidth="1"/>
    <col min="2324" max="2324" width="17.5703125" customWidth="1"/>
    <col min="2325" max="2325" width="14.5703125" bestFit="1" customWidth="1"/>
    <col min="2326" max="2326" width="10.42578125" bestFit="1" customWidth="1"/>
    <col min="2328" max="2328" width="10.42578125" bestFit="1" customWidth="1"/>
    <col min="2555" max="2555" width="6.5703125" customWidth="1"/>
    <col min="2556" max="2556" width="43.42578125" customWidth="1"/>
    <col min="2557" max="2557" width="6.5703125" customWidth="1"/>
    <col min="2558" max="2559" width="11.7109375" customWidth="1"/>
    <col min="2560" max="2560" width="12.7109375" customWidth="1"/>
    <col min="2561" max="2561" width="11.7109375" customWidth="1"/>
    <col min="2562" max="2562" width="12.7109375" customWidth="1"/>
    <col min="2563" max="2564" width="11.7109375" customWidth="1"/>
    <col min="2565" max="2565" width="12.7109375" customWidth="1"/>
    <col min="2566" max="2575" width="11.7109375" customWidth="1"/>
    <col min="2576" max="2576" width="13.7109375" customWidth="1"/>
    <col min="2577" max="2577" width="15.140625" bestFit="1" customWidth="1"/>
    <col min="2578" max="2579" width="15.140625" customWidth="1"/>
    <col min="2580" max="2580" width="17.5703125" customWidth="1"/>
    <col min="2581" max="2581" width="14.5703125" bestFit="1" customWidth="1"/>
    <col min="2582" max="2582" width="10.42578125" bestFit="1" customWidth="1"/>
    <col min="2584" max="2584" width="10.42578125" bestFit="1" customWidth="1"/>
    <col min="2811" max="2811" width="6.5703125" customWidth="1"/>
    <col min="2812" max="2812" width="43.42578125" customWidth="1"/>
    <col min="2813" max="2813" width="6.5703125" customWidth="1"/>
    <col min="2814" max="2815" width="11.7109375" customWidth="1"/>
    <col min="2816" max="2816" width="12.7109375" customWidth="1"/>
    <col min="2817" max="2817" width="11.7109375" customWidth="1"/>
    <col min="2818" max="2818" width="12.7109375" customWidth="1"/>
    <col min="2819" max="2820" width="11.7109375" customWidth="1"/>
    <col min="2821" max="2821" width="12.7109375" customWidth="1"/>
    <col min="2822" max="2831" width="11.7109375" customWidth="1"/>
    <col min="2832" max="2832" width="13.7109375" customWidth="1"/>
    <col min="2833" max="2833" width="15.140625" bestFit="1" customWidth="1"/>
    <col min="2834" max="2835" width="15.140625" customWidth="1"/>
    <col min="2836" max="2836" width="17.5703125" customWidth="1"/>
    <col min="2837" max="2837" width="14.5703125" bestFit="1" customWidth="1"/>
    <col min="2838" max="2838" width="10.42578125" bestFit="1" customWidth="1"/>
    <col min="2840" max="2840" width="10.42578125" bestFit="1" customWidth="1"/>
    <col min="3067" max="3067" width="6.5703125" customWidth="1"/>
    <col min="3068" max="3068" width="43.42578125" customWidth="1"/>
    <col min="3069" max="3069" width="6.5703125" customWidth="1"/>
    <col min="3070" max="3071" width="11.7109375" customWidth="1"/>
    <col min="3072" max="3072" width="12.7109375" customWidth="1"/>
    <col min="3073" max="3073" width="11.7109375" customWidth="1"/>
    <col min="3074" max="3074" width="12.7109375" customWidth="1"/>
    <col min="3075" max="3076" width="11.7109375" customWidth="1"/>
    <col min="3077" max="3077" width="12.7109375" customWidth="1"/>
    <col min="3078" max="3087" width="11.7109375" customWidth="1"/>
    <col min="3088" max="3088" width="13.7109375" customWidth="1"/>
    <col min="3089" max="3089" width="15.140625" bestFit="1" customWidth="1"/>
    <col min="3090" max="3091" width="15.140625" customWidth="1"/>
    <col min="3092" max="3092" width="17.5703125" customWidth="1"/>
    <col min="3093" max="3093" width="14.5703125" bestFit="1" customWidth="1"/>
    <col min="3094" max="3094" width="10.42578125" bestFit="1" customWidth="1"/>
    <col min="3096" max="3096" width="10.42578125" bestFit="1" customWidth="1"/>
    <col min="3323" max="3323" width="6.5703125" customWidth="1"/>
    <col min="3324" max="3324" width="43.42578125" customWidth="1"/>
    <col min="3325" max="3325" width="6.5703125" customWidth="1"/>
    <col min="3326" max="3327" width="11.7109375" customWidth="1"/>
    <col min="3328" max="3328" width="12.7109375" customWidth="1"/>
    <col min="3329" max="3329" width="11.7109375" customWidth="1"/>
    <col min="3330" max="3330" width="12.7109375" customWidth="1"/>
    <col min="3331" max="3332" width="11.7109375" customWidth="1"/>
    <col min="3333" max="3333" width="12.7109375" customWidth="1"/>
    <col min="3334" max="3343" width="11.7109375" customWidth="1"/>
    <col min="3344" max="3344" width="13.7109375" customWidth="1"/>
    <col min="3345" max="3345" width="15.140625" bestFit="1" customWidth="1"/>
    <col min="3346" max="3347" width="15.140625" customWidth="1"/>
    <col min="3348" max="3348" width="17.5703125" customWidth="1"/>
    <col min="3349" max="3349" width="14.5703125" bestFit="1" customWidth="1"/>
    <col min="3350" max="3350" width="10.42578125" bestFit="1" customWidth="1"/>
    <col min="3352" max="3352" width="10.42578125" bestFit="1" customWidth="1"/>
    <col min="3579" max="3579" width="6.5703125" customWidth="1"/>
    <col min="3580" max="3580" width="43.42578125" customWidth="1"/>
    <col min="3581" max="3581" width="6.5703125" customWidth="1"/>
    <col min="3582" max="3583" width="11.7109375" customWidth="1"/>
    <col min="3584" max="3584" width="12.7109375" customWidth="1"/>
    <col min="3585" max="3585" width="11.7109375" customWidth="1"/>
    <col min="3586" max="3586" width="12.7109375" customWidth="1"/>
    <col min="3587" max="3588" width="11.7109375" customWidth="1"/>
    <col min="3589" max="3589" width="12.7109375" customWidth="1"/>
    <col min="3590" max="3599" width="11.7109375" customWidth="1"/>
    <col min="3600" max="3600" width="13.7109375" customWidth="1"/>
    <col min="3601" max="3601" width="15.140625" bestFit="1" customWidth="1"/>
    <col min="3602" max="3603" width="15.140625" customWidth="1"/>
    <col min="3604" max="3604" width="17.5703125" customWidth="1"/>
    <col min="3605" max="3605" width="14.5703125" bestFit="1" customWidth="1"/>
    <col min="3606" max="3606" width="10.42578125" bestFit="1" customWidth="1"/>
    <col min="3608" max="3608" width="10.42578125" bestFit="1" customWidth="1"/>
    <col min="3835" max="3835" width="6.5703125" customWidth="1"/>
    <col min="3836" max="3836" width="43.42578125" customWidth="1"/>
    <col min="3837" max="3837" width="6.5703125" customWidth="1"/>
    <col min="3838" max="3839" width="11.7109375" customWidth="1"/>
    <col min="3840" max="3840" width="12.7109375" customWidth="1"/>
    <col min="3841" max="3841" width="11.7109375" customWidth="1"/>
    <col min="3842" max="3842" width="12.7109375" customWidth="1"/>
    <col min="3843" max="3844" width="11.7109375" customWidth="1"/>
    <col min="3845" max="3845" width="12.7109375" customWidth="1"/>
    <col min="3846" max="3855" width="11.7109375" customWidth="1"/>
    <col min="3856" max="3856" width="13.7109375" customWidth="1"/>
    <col min="3857" max="3857" width="15.140625" bestFit="1" customWidth="1"/>
    <col min="3858" max="3859" width="15.140625" customWidth="1"/>
    <col min="3860" max="3860" width="17.5703125" customWidth="1"/>
    <col min="3861" max="3861" width="14.5703125" bestFit="1" customWidth="1"/>
    <col min="3862" max="3862" width="10.42578125" bestFit="1" customWidth="1"/>
    <col min="3864" max="3864" width="10.42578125" bestFit="1" customWidth="1"/>
    <col min="4091" max="4091" width="6.5703125" customWidth="1"/>
    <col min="4092" max="4092" width="43.42578125" customWidth="1"/>
    <col min="4093" max="4093" width="6.5703125" customWidth="1"/>
    <col min="4094" max="4095" width="11.7109375" customWidth="1"/>
    <col min="4096" max="4096" width="12.7109375" customWidth="1"/>
    <col min="4097" max="4097" width="11.7109375" customWidth="1"/>
    <col min="4098" max="4098" width="12.7109375" customWidth="1"/>
    <col min="4099" max="4100" width="11.7109375" customWidth="1"/>
    <col min="4101" max="4101" width="12.7109375" customWidth="1"/>
    <col min="4102" max="4111" width="11.7109375" customWidth="1"/>
    <col min="4112" max="4112" width="13.7109375" customWidth="1"/>
    <col min="4113" max="4113" width="15.140625" bestFit="1" customWidth="1"/>
    <col min="4114" max="4115" width="15.140625" customWidth="1"/>
    <col min="4116" max="4116" width="17.5703125" customWidth="1"/>
    <col min="4117" max="4117" width="14.5703125" bestFit="1" customWidth="1"/>
    <col min="4118" max="4118" width="10.42578125" bestFit="1" customWidth="1"/>
    <col min="4120" max="4120" width="10.42578125" bestFit="1" customWidth="1"/>
    <col min="4347" max="4347" width="6.5703125" customWidth="1"/>
    <col min="4348" max="4348" width="43.42578125" customWidth="1"/>
    <col min="4349" max="4349" width="6.5703125" customWidth="1"/>
    <col min="4350" max="4351" width="11.7109375" customWidth="1"/>
    <col min="4352" max="4352" width="12.7109375" customWidth="1"/>
    <col min="4353" max="4353" width="11.7109375" customWidth="1"/>
    <col min="4354" max="4354" width="12.7109375" customWidth="1"/>
    <col min="4355" max="4356" width="11.7109375" customWidth="1"/>
    <col min="4357" max="4357" width="12.7109375" customWidth="1"/>
    <col min="4358" max="4367" width="11.7109375" customWidth="1"/>
    <col min="4368" max="4368" width="13.7109375" customWidth="1"/>
    <col min="4369" max="4369" width="15.140625" bestFit="1" customWidth="1"/>
    <col min="4370" max="4371" width="15.140625" customWidth="1"/>
    <col min="4372" max="4372" width="17.5703125" customWidth="1"/>
    <col min="4373" max="4373" width="14.5703125" bestFit="1" customWidth="1"/>
    <col min="4374" max="4374" width="10.42578125" bestFit="1" customWidth="1"/>
    <col min="4376" max="4376" width="10.42578125" bestFit="1" customWidth="1"/>
    <col min="4603" max="4603" width="6.5703125" customWidth="1"/>
    <col min="4604" max="4604" width="43.42578125" customWidth="1"/>
    <col min="4605" max="4605" width="6.5703125" customWidth="1"/>
    <col min="4606" max="4607" width="11.7109375" customWidth="1"/>
    <col min="4608" max="4608" width="12.7109375" customWidth="1"/>
    <col min="4609" max="4609" width="11.7109375" customWidth="1"/>
    <col min="4610" max="4610" width="12.7109375" customWidth="1"/>
    <col min="4611" max="4612" width="11.7109375" customWidth="1"/>
    <col min="4613" max="4613" width="12.7109375" customWidth="1"/>
    <col min="4614" max="4623" width="11.7109375" customWidth="1"/>
    <col min="4624" max="4624" width="13.7109375" customWidth="1"/>
    <col min="4625" max="4625" width="15.140625" bestFit="1" customWidth="1"/>
    <col min="4626" max="4627" width="15.140625" customWidth="1"/>
    <col min="4628" max="4628" width="17.5703125" customWidth="1"/>
    <col min="4629" max="4629" width="14.5703125" bestFit="1" customWidth="1"/>
    <col min="4630" max="4630" width="10.42578125" bestFit="1" customWidth="1"/>
    <col min="4632" max="4632" width="10.42578125" bestFit="1" customWidth="1"/>
    <col min="4859" max="4859" width="6.5703125" customWidth="1"/>
    <col min="4860" max="4860" width="43.42578125" customWidth="1"/>
    <col min="4861" max="4861" width="6.5703125" customWidth="1"/>
    <col min="4862" max="4863" width="11.7109375" customWidth="1"/>
    <col min="4864" max="4864" width="12.7109375" customWidth="1"/>
    <col min="4865" max="4865" width="11.7109375" customWidth="1"/>
    <col min="4866" max="4866" width="12.7109375" customWidth="1"/>
    <col min="4867" max="4868" width="11.7109375" customWidth="1"/>
    <col min="4869" max="4869" width="12.7109375" customWidth="1"/>
    <col min="4870" max="4879" width="11.7109375" customWidth="1"/>
    <col min="4880" max="4880" width="13.7109375" customWidth="1"/>
    <col min="4881" max="4881" width="15.140625" bestFit="1" customWidth="1"/>
    <col min="4882" max="4883" width="15.140625" customWidth="1"/>
    <col min="4884" max="4884" width="17.5703125" customWidth="1"/>
    <col min="4885" max="4885" width="14.5703125" bestFit="1" customWidth="1"/>
    <col min="4886" max="4886" width="10.42578125" bestFit="1" customWidth="1"/>
    <col min="4888" max="4888" width="10.42578125" bestFit="1" customWidth="1"/>
    <col min="5115" max="5115" width="6.5703125" customWidth="1"/>
    <col min="5116" max="5116" width="43.42578125" customWidth="1"/>
    <col min="5117" max="5117" width="6.5703125" customWidth="1"/>
    <col min="5118" max="5119" width="11.7109375" customWidth="1"/>
    <col min="5120" max="5120" width="12.7109375" customWidth="1"/>
    <col min="5121" max="5121" width="11.7109375" customWidth="1"/>
    <col min="5122" max="5122" width="12.7109375" customWidth="1"/>
    <col min="5123" max="5124" width="11.7109375" customWidth="1"/>
    <col min="5125" max="5125" width="12.7109375" customWidth="1"/>
    <col min="5126" max="5135" width="11.7109375" customWidth="1"/>
    <col min="5136" max="5136" width="13.7109375" customWidth="1"/>
    <col min="5137" max="5137" width="15.140625" bestFit="1" customWidth="1"/>
    <col min="5138" max="5139" width="15.140625" customWidth="1"/>
    <col min="5140" max="5140" width="17.5703125" customWidth="1"/>
    <col min="5141" max="5141" width="14.5703125" bestFit="1" customWidth="1"/>
    <col min="5142" max="5142" width="10.42578125" bestFit="1" customWidth="1"/>
    <col min="5144" max="5144" width="10.42578125" bestFit="1" customWidth="1"/>
    <col min="5371" max="5371" width="6.5703125" customWidth="1"/>
    <col min="5372" max="5372" width="43.42578125" customWidth="1"/>
    <col min="5373" max="5373" width="6.5703125" customWidth="1"/>
    <col min="5374" max="5375" width="11.7109375" customWidth="1"/>
    <col min="5376" max="5376" width="12.7109375" customWidth="1"/>
    <col min="5377" max="5377" width="11.7109375" customWidth="1"/>
    <col min="5378" max="5378" width="12.7109375" customWidth="1"/>
    <col min="5379" max="5380" width="11.7109375" customWidth="1"/>
    <col min="5381" max="5381" width="12.7109375" customWidth="1"/>
    <col min="5382" max="5391" width="11.7109375" customWidth="1"/>
    <col min="5392" max="5392" width="13.7109375" customWidth="1"/>
    <col min="5393" max="5393" width="15.140625" bestFit="1" customWidth="1"/>
    <col min="5394" max="5395" width="15.140625" customWidth="1"/>
    <col min="5396" max="5396" width="17.5703125" customWidth="1"/>
    <col min="5397" max="5397" width="14.5703125" bestFit="1" customWidth="1"/>
    <col min="5398" max="5398" width="10.42578125" bestFit="1" customWidth="1"/>
    <col min="5400" max="5400" width="10.42578125" bestFit="1" customWidth="1"/>
    <col min="5627" max="5627" width="6.5703125" customWidth="1"/>
    <col min="5628" max="5628" width="43.42578125" customWidth="1"/>
    <col min="5629" max="5629" width="6.5703125" customWidth="1"/>
    <col min="5630" max="5631" width="11.7109375" customWidth="1"/>
    <col min="5632" max="5632" width="12.7109375" customWidth="1"/>
    <col min="5633" max="5633" width="11.7109375" customWidth="1"/>
    <col min="5634" max="5634" width="12.7109375" customWidth="1"/>
    <col min="5635" max="5636" width="11.7109375" customWidth="1"/>
    <col min="5637" max="5637" width="12.7109375" customWidth="1"/>
    <col min="5638" max="5647" width="11.7109375" customWidth="1"/>
    <col min="5648" max="5648" width="13.7109375" customWidth="1"/>
    <col min="5649" max="5649" width="15.140625" bestFit="1" customWidth="1"/>
    <col min="5650" max="5651" width="15.140625" customWidth="1"/>
    <col min="5652" max="5652" width="17.5703125" customWidth="1"/>
    <col min="5653" max="5653" width="14.5703125" bestFit="1" customWidth="1"/>
    <col min="5654" max="5654" width="10.42578125" bestFit="1" customWidth="1"/>
    <col min="5656" max="5656" width="10.42578125" bestFit="1" customWidth="1"/>
    <col min="5883" max="5883" width="6.5703125" customWidth="1"/>
    <col min="5884" max="5884" width="43.42578125" customWidth="1"/>
    <col min="5885" max="5885" width="6.5703125" customWidth="1"/>
    <col min="5886" max="5887" width="11.7109375" customWidth="1"/>
    <col min="5888" max="5888" width="12.7109375" customWidth="1"/>
    <col min="5889" max="5889" width="11.7109375" customWidth="1"/>
    <col min="5890" max="5890" width="12.7109375" customWidth="1"/>
    <col min="5891" max="5892" width="11.7109375" customWidth="1"/>
    <col min="5893" max="5893" width="12.7109375" customWidth="1"/>
    <col min="5894" max="5903" width="11.7109375" customWidth="1"/>
    <col min="5904" max="5904" width="13.7109375" customWidth="1"/>
    <col min="5905" max="5905" width="15.140625" bestFit="1" customWidth="1"/>
    <col min="5906" max="5907" width="15.140625" customWidth="1"/>
    <col min="5908" max="5908" width="17.5703125" customWidth="1"/>
    <col min="5909" max="5909" width="14.5703125" bestFit="1" customWidth="1"/>
    <col min="5910" max="5910" width="10.42578125" bestFit="1" customWidth="1"/>
    <col min="5912" max="5912" width="10.42578125" bestFit="1" customWidth="1"/>
    <col min="6139" max="6139" width="6.5703125" customWidth="1"/>
    <col min="6140" max="6140" width="43.42578125" customWidth="1"/>
    <col min="6141" max="6141" width="6.5703125" customWidth="1"/>
    <col min="6142" max="6143" width="11.7109375" customWidth="1"/>
    <col min="6144" max="6144" width="12.7109375" customWidth="1"/>
    <col min="6145" max="6145" width="11.7109375" customWidth="1"/>
    <col min="6146" max="6146" width="12.7109375" customWidth="1"/>
    <col min="6147" max="6148" width="11.7109375" customWidth="1"/>
    <col min="6149" max="6149" width="12.7109375" customWidth="1"/>
    <col min="6150" max="6159" width="11.7109375" customWidth="1"/>
    <col min="6160" max="6160" width="13.7109375" customWidth="1"/>
    <col min="6161" max="6161" width="15.140625" bestFit="1" customWidth="1"/>
    <col min="6162" max="6163" width="15.140625" customWidth="1"/>
    <col min="6164" max="6164" width="17.5703125" customWidth="1"/>
    <col min="6165" max="6165" width="14.5703125" bestFit="1" customWidth="1"/>
    <col min="6166" max="6166" width="10.42578125" bestFit="1" customWidth="1"/>
    <col min="6168" max="6168" width="10.42578125" bestFit="1" customWidth="1"/>
    <col min="6395" max="6395" width="6.5703125" customWidth="1"/>
    <col min="6396" max="6396" width="43.42578125" customWidth="1"/>
    <col min="6397" max="6397" width="6.5703125" customWidth="1"/>
    <col min="6398" max="6399" width="11.7109375" customWidth="1"/>
    <col min="6400" max="6400" width="12.7109375" customWidth="1"/>
    <col min="6401" max="6401" width="11.7109375" customWidth="1"/>
    <col min="6402" max="6402" width="12.7109375" customWidth="1"/>
    <col min="6403" max="6404" width="11.7109375" customWidth="1"/>
    <col min="6405" max="6405" width="12.7109375" customWidth="1"/>
    <col min="6406" max="6415" width="11.7109375" customWidth="1"/>
    <col min="6416" max="6416" width="13.7109375" customWidth="1"/>
    <col min="6417" max="6417" width="15.140625" bestFit="1" customWidth="1"/>
    <col min="6418" max="6419" width="15.140625" customWidth="1"/>
    <col min="6420" max="6420" width="17.5703125" customWidth="1"/>
    <col min="6421" max="6421" width="14.5703125" bestFit="1" customWidth="1"/>
    <col min="6422" max="6422" width="10.42578125" bestFit="1" customWidth="1"/>
    <col min="6424" max="6424" width="10.42578125" bestFit="1" customWidth="1"/>
    <col min="6651" max="6651" width="6.5703125" customWidth="1"/>
    <col min="6652" max="6652" width="43.42578125" customWidth="1"/>
    <col min="6653" max="6653" width="6.5703125" customWidth="1"/>
    <col min="6654" max="6655" width="11.7109375" customWidth="1"/>
    <col min="6656" max="6656" width="12.7109375" customWidth="1"/>
    <col min="6657" max="6657" width="11.7109375" customWidth="1"/>
    <col min="6658" max="6658" width="12.7109375" customWidth="1"/>
    <col min="6659" max="6660" width="11.7109375" customWidth="1"/>
    <col min="6661" max="6661" width="12.7109375" customWidth="1"/>
    <col min="6662" max="6671" width="11.7109375" customWidth="1"/>
    <col min="6672" max="6672" width="13.7109375" customWidth="1"/>
    <col min="6673" max="6673" width="15.140625" bestFit="1" customWidth="1"/>
    <col min="6674" max="6675" width="15.140625" customWidth="1"/>
    <col min="6676" max="6676" width="17.5703125" customWidth="1"/>
    <col min="6677" max="6677" width="14.5703125" bestFit="1" customWidth="1"/>
    <col min="6678" max="6678" width="10.42578125" bestFit="1" customWidth="1"/>
    <col min="6680" max="6680" width="10.42578125" bestFit="1" customWidth="1"/>
    <col min="6907" max="6907" width="6.5703125" customWidth="1"/>
    <col min="6908" max="6908" width="43.42578125" customWidth="1"/>
    <col min="6909" max="6909" width="6.5703125" customWidth="1"/>
    <col min="6910" max="6911" width="11.7109375" customWidth="1"/>
    <col min="6912" max="6912" width="12.7109375" customWidth="1"/>
    <col min="6913" max="6913" width="11.7109375" customWidth="1"/>
    <col min="6914" max="6914" width="12.7109375" customWidth="1"/>
    <col min="6915" max="6916" width="11.7109375" customWidth="1"/>
    <col min="6917" max="6917" width="12.7109375" customWidth="1"/>
    <col min="6918" max="6927" width="11.7109375" customWidth="1"/>
    <col min="6928" max="6928" width="13.7109375" customWidth="1"/>
    <col min="6929" max="6929" width="15.140625" bestFit="1" customWidth="1"/>
    <col min="6930" max="6931" width="15.140625" customWidth="1"/>
    <col min="6932" max="6932" width="17.5703125" customWidth="1"/>
    <col min="6933" max="6933" width="14.5703125" bestFit="1" customWidth="1"/>
    <col min="6934" max="6934" width="10.42578125" bestFit="1" customWidth="1"/>
    <col min="6936" max="6936" width="10.42578125" bestFit="1" customWidth="1"/>
    <col min="7163" max="7163" width="6.5703125" customWidth="1"/>
    <col min="7164" max="7164" width="43.42578125" customWidth="1"/>
    <col min="7165" max="7165" width="6.5703125" customWidth="1"/>
    <col min="7166" max="7167" width="11.7109375" customWidth="1"/>
    <col min="7168" max="7168" width="12.7109375" customWidth="1"/>
    <col min="7169" max="7169" width="11.7109375" customWidth="1"/>
    <col min="7170" max="7170" width="12.7109375" customWidth="1"/>
    <col min="7171" max="7172" width="11.7109375" customWidth="1"/>
    <col min="7173" max="7173" width="12.7109375" customWidth="1"/>
    <col min="7174" max="7183" width="11.7109375" customWidth="1"/>
    <col min="7184" max="7184" width="13.7109375" customWidth="1"/>
    <col min="7185" max="7185" width="15.140625" bestFit="1" customWidth="1"/>
    <col min="7186" max="7187" width="15.140625" customWidth="1"/>
    <col min="7188" max="7188" width="17.5703125" customWidth="1"/>
    <col min="7189" max="7189" width="14.5703125" bestFit="1" customWidth="1"/>
    <col min="7190" max="7190" width="10.42578125" bestFit="1" customWidth="1"/>
    <col min="7192" max="7192" width="10.42578125" bestFit="1" customWidth="1"/>
    <col min="7419" max="7419" width="6.5703125" customWidth="1"/>
    <col min="7420" max="7420" width="43.42578125" customWidth="1"/>
    <col min="7421" max="7421" width="6.5703125" customWidth="1"/>
    <col min="7422" max="7423" width="11.7109375" customWidth="1"/>
    <col min="7424" max="7424" width="12.7109375" customWidth="1"/>
    <col min="7425" max="7425" width="11.7109375" customWidth="1"/>
    <col min="7426" max="7426" width="12.7109375" customWidth="1"/>
    <col min="7427" max="7428" width="11.7109375" customWidth="1"/>
    <col min="7429" max="7429" width="12.7109375" customWidth="1"/>
    <col min="7430" max="7439" width="11.7109375" customWidth="1"/>
    <col min="7440" max="7440" width="13.7109375" customWidth="1"/>
    <col min="7441" max="7441" width="15.140625" bestFit="1" customWidth="1"/>
    <col min="7442" max="7443" width="15.140625" customWidth="1"/>
    <col min="7444" max="7444" width="17.5703125" customWidth="1"/>
    <col min="7445" max="7445" width="14.5703125" bestFit="1" customWidth="1"/>
    <col min="7446" max="7446" width="10.42578125" bestFit="1" customWidth="1"/>
    <col min="7448" max="7448" width="10.42578125" bestFit="1" customWidth="1"/>
    <col min="7675" max="7675" width="6.5703125" customWidth="1"/>
    <col min="7676" max="7676" width="43.42578125" customWidth="1"/>
    <col min="7677" max="7677" width="6.5703125" customWidth="1"/>
    <col min="7678" max="7679" width="11.7109375" customWidth="1"/>
    <col min="7680" max="7680" width="12.7109375" customWidth="1"/>
    <col min="7681" max="7681" width="11.7109375" customWidth="1"/>
    <col min="7682" max="7682" width="12.7109375" customWidth="1"/>
    <col min="7683" max="7684" width="11.7109375" customWidth="1"/>
    <col min="7685" max="7685" width="12.7109375" customWidth="1"/>
    <col min="7686" max="7695" width="11.7109375" customWidth="1"/>
    <col min="7696" max="7696" width="13.7109375" customWidth="1"/>
    <col min="7697" max="7697" width="15.140625" bestFit="1" customWidth="1"/>
    <col min="7698" max="7699" width="15.140625" customWidth="1"/>
    <col min="7700" max="7700" width="17.5703125" customWidth="1"/>
    <col min="7701" max="7701" width="14.5703125" bestFit="1" customWidth="1"/>
    <col min="7702" max="7702" width="10.42578125" bestFit="1" customWidth="1"/>
    <col min="7704" max="7704" width="10.42578125" bestFit="1" customWidth="1"/>
    <col min="7931" max="7931" width="6.5703125" customWidth="1"/>
    <col min="7932" max="7932" width="43.42578125" customWidth="1"/>
    <col min="7933" max="7933" width="6.5703125" customWidth="1"/>
    <col min="7934" max="7935" width="11.7109375" customWidth="1"/>
    <col min="7936" max="7936" width="12.7109375" customWidth="1"/>
    <col min="7937" max="7937" width="11.7109375" customWidth="1"/>
    <col min="7938" max="7938" width="12.7109375" customWidth="1"/>
    <col min="7939" max="7940" width="11.7109375" customWidth="1"/>
    <col min="7941" max="7941" width="12.7109375" customWidth="1"/>
    <col min="7942" max="7951" width="11.7109375" customWidth="1"/>
    <col min="7952" max="7952" width="13.7109375" customWidth="1"/>
    <col min="7953" max="7953" width="15.140625" bestFit="1" customWidth="1"/>
    <col min="7954" max="7955" width="15.140625" customWidth="1"/>
    <col min="7956" max="7956" width="17.5703125" customWidth="1"/>
    <col min="7957" max="7957" width="14.5703125" bestFit="1" customWidth="1"/>
    <col min="7958" max="7958" width="10.42578125" bestFit="1" customWidth="1"/>
    <col min="7960" max="7960" width="10.42578125" bestFit="1" customWidth="1"/>
    <col min="8187" max="8187" width="6.5703125" customWidth="1"/>
    <col min="8188" max="8188" width="43.42578125" customWidth="1"/>
    <col min="8189" max="8189" width="6.5703125" customWidth="1"/>
    <col min="8190" max="8191" width="11.7109375" customWidth="1"/>
    <col min="8192" max="8192" width="12.7109375" customWidth="1"/>
    <col min="8193" max="8193" width="11.7109375" customWidth="1"/>
    <col min="8194" max="8194" width="12.7109375" customWidth="1"/>
    <col min="8195" max="8196" width="11.7109375" customWidth="1"/>
    <col min="8197" max="8197" width="12.7109375" customWidth="1"/>
    <col min="8198" max="8207" width="11.7109375" customWidth="1"/>
    <col min="8208" max="8208" width="13.7109375" customWidth="1"/>
    <col min="8209" max="8209" width="15.140625" bestFit="1" customWidth="1"/>
    <col min="8210" max="8211" width="15.140625" customWidth="1"/>
    <col min="8212" max="8212" width="17.5703125" customWidth="1"/>
    <col min="8213" max="8213" width="14.5703125" bestFit="1" customWidth="1"/>
    <col min="8214" max="8214" width="10.42578125" bestFit="1" customWidth="1"/>
    <col min="8216" max="8216" width="10.42578125" bestFit="1" customWidth="1"/>
    <col min="8443" max="8443" width="6.5703125" customWidth="1"/>
    <col min="8444" max="8444" width="43.42578125" customWidth="1"/>
    <col min="8445" max="8445" width="6.5703125" customWidth="1"/>
    <col min="8446" max="8447" width="11.7109375" customWidth="1"/>
    <col min="8448" max="8448" width="12.7109375" customWidth="1"/>
    <col min="8449" max="8449" width="11.7109375" customWidth="1"/>
    <col min="8450" max="8450" width="12.7109375" customWidth="1"/>
    <col min="8451" max="8452" width="11.7109375" customWidth="1"/>
    <col min="8453" max="8453" width="12.7109375" customWidth="1"/>
    <col min="8454" max="8463" width="11.7109375" customWidth="1"/>
    <col min="8464" max="8464" width="13.7109375" customWidth="1"/>
    <col min="8465" max="8465" width="15.140625" bestFit="1" customWidth="1"/>
    <col min="8466" max="8467" width="15.140625" customWidth="1"/>
    <col min="8468" max="8468" width="17.5703125" customWidth="1"/>
    <col min="8469" max="8469" width="14.5703125" bestFit="1" customWidth="1"/>
    <col min="8470" max="8470" width="10.42578125" bestFit="1" customWidth="1"/>
    <col min="8472" max="8472" width="10.42578125" bestFit="1" customWidth="1"/>
    <col min="8699" max="8699" width="6.5703125" customWidth="1"/>
    <col min="8700" max="8700" width="43.42578125" customWidth="1"/>
    <col min="8701" max="8701" width="6.5703125" customWidth="1"/>
    <col min="8702" max="8703" width="11.7109375" customWidth="1"/>
    <col min="8704" max="8704" width="12.7109375" customWidth="1"/>
    <col min="8705" max="8705" width="11.7109375" customWidth="1"/>
    <col min="8706" max="8706" width="12.7109375" customWidth="1"/>
    <col min="8707" max="8708" width="11.7109375" customWidth="1"/>
    <col min="8709" max="8709" width="12.7109375" customWidth="1"/>
    <col min="8710" max="8719" width="11.7109375" customWidth="1"/>
    <col min="8720" max="8720" width="13.7109375" customWidth="1"/>
    <col min="8721" max="8721" width="15.140625" bestFit="1" customWidth="1"/>
    <col min="8722" max="8723" width="15.140625" customWidth="1"/>
    <col min="8724" max="8724" width="17.5703125" customWidth="1"/>
    <col min="8725" max="8725" width="14.5703125" bestFit="1" customWidth="1"/>
    <col min="8726" max="8726" width="10.42578125" bestFit="1" customWidth="1"/>
    <col min="8728" max="8728" width="10.42578125" bestFit="1" customWidth="1"/>
    <col min="8955" max="8955" width="6.5703125" customWidth="1"/>
    <col min="8956" max="8956" width="43.42578125" customWidth="1"/>
    <col min="8957" max="8957" width="6.5703125" customWidth="1"/>
    <col min="8958" max="8959" width="11.7109375" customWidth="1"/>
    <col min="8960" max="8960" width="12.7109375" customWidth="1"/>
    <col min="8961" max="8961" width="11.7109375" customWidth="1"/>
    <col min="8962" max="8962" width="12.7109375" customWidth="1"/>
    <col min="8963" max="8964" width="11.7109375" customWidth="1"/>
    <col min="8965" max="8965" width="12.7109375" customWidth="1"/>
    <col min="8966" max="8975" width="11.7109375" customWidth="1"/>
    <col min="8976" max="8976" width="13.7109375" customWidth="1"/>
    <col min="8977" max="8977" width="15.140625" bestFit="1" customWidth="1"/>
    <col min="8978" max="8979" width="15.140625" customWidth="1"/>
    <col min="8980" max="8980" width="17.5703125" customWidth="1"/>
    <col min="8981" max="8981" width="14.5703125" bestFit="1" customWidth="1"/>
    <col min="8982" max="8982" width="10.42578125" bestFit="1" customWidth="1"/>
    <col min="8984" max="8984" width="10.42578125" bestFit="1" customWidth="1"/>
    <col min="9211" max="9211" width="6.5703125" customWidth="1"/>
    <col min="9212" max="9212" width="43.42578125" customWidth="1"/>
    <col min="9213" max="9213" width="6.5703125" customWidth="1"/>
    <col min="9214" max="9215" width="11.7109375" customWidth="1"/>
    <col min="9216" max="9216" width="12.7109375" customWidth="1"/>
    <col min="9217" max="9217" width="11.7109375" customWidth="1"/>
    <col min="9218" max="9218" width="12.7109375" customWidth="1"/>
    <col min="9219" max="9220" width="11.7109375" customWidth="1"/>
    <col min="9221" max="9221" width="12.7109375" customWidth="1"/>
    <col min="9222" max="9231" width="11.7109375" customWidth="1"/>
    <col min="9232" max="9232" width="13.7109375" customWidth="1"/>
    <col min="9233" max="9233" width="15.140625" bestFit="1" customWidth="1"/>
    <col min="9234" max="9235" width="15.140625" customWidth="1"/>
    <col min="9236" max="9236" width="17.5703125" customWidth="1"/>
    <col min="9237" max="9237" width="14.5703125" bestFit="1" customWidth="1"/>
    <col min="9238" max="9238" width="10.42578125" bestFit="1" customWidth="1"/>
    <col min="9240" max="9240" width="10.42578125" bestFit="1" customWidth="1"/>
    <col min="9467" max="9467" width="6.5703125" customWidth="1"/>
    <col min="9468" max="9468" width="43.42578125" customWidth="1"/>
    <col min="9469" max="9469" width="6.5703125" customWidth="1"/>
    <col min="9470" max="9471" width="11.7109375" customWidth="1"/>
    <col min="9472" max="9472" width="12.7109375" customWidth="1"/>
    <col min="9473" max="9473" width="11.7109375" customWidth="1"/>
    <col min="9474" max="9474" width="12.7109375" customWidth="1"/>
    <col min="9475" max="9476" width="11.7109375" customWidth="1"/>
    <col min="9477" max="9477" width="12.7109375" customWidth="1"/>
    <col min="9478" max="9487" width="11.7109375" customWidth="1"/>
    <col min="9488" max="9488" width="13.7109375" customWidth="1"/>
    <col min="9489" max="9489" width="15.140625" bestFit="1" customWidth="1"/>
    <col min="9490" max="9491" width="15.140625" customWidth="1"/>
    <col min="9492" max="9492" width="17.5703125" customWidth="1"/>
    <col min="9493" max="9493" width="14.5703125" bestFit="1" customWidth="1"/>
    <col min="9494" max="9494" width="10.42578125" bestFit="1" customWidth="1"/>
    <col min="9496" max="9496" width="10.42578125" bestFit="1" customWidth="1"/>
    <col min="9723" max="9723" width="6.5703125" customWidth="1"/>
    <col min="9724" max="9724" width="43.42578125" customWidth="1"/>
    <col min="9725" max="9725" width="6.5703125" customWidth="1"/>
    <col min="9726" max="9727" width="11.7109375" customWidth="1"/>
    <col min="9728" max="9728" width="12.7109375" customWidth="1"/>
    <col min="9729" max="9729" width="11.7109375" customWidth="1"/>
    <col min="9730" max="9730" width="12.7109375" customWidth="1"/>
    <col min="9731" max="9732" width="11.7109375" customWidth="1"/>
    <col min="9733" max="9733" width="12.7109375" customWidth="1"/>
    <col min="9734" max="9743" width="11.7109375" customWidth="1"/>
    <col min="9744" max="9744" width="13.7109375" customWidth="1"/>
    <col min="9745" max="9745" width="15.140625" bestFit="1" customWidth="1"/>
    <col min="9746" max="9747" width="15.140625" customWidth="1"/>
    <col min="9748" max="9748" width="17.5703125" customWidth="1"/>
    <col min="9749" max="9749" width="14.5703125" bestFit="1" customWidth="1"/>
    <col min="9750" max="9750" width="10.42578125" bestFit="1" customWidth="1"/>
    <col min="9752" max="9752" width="10.42578125" bestFit="1" customWidth="1"/>
    <col min="9979" max="9979" width="6.5703125" customWidth="1"/>
    <col min="9980" max="9980" width="43.42578125" customWidth="1"/>
    <col min="9981" max="9981" width="6.5703125" customWidth="1"/>
    <col min="9982" max="9983" width="11.7109375" customWidth="1"/>
    <col min="9984" max="9984" width="12.7109375" customWidth="1"/>
    <col min="9985" max="9985" width="11.7109375" customWidth="1"/>
    <col min="9986" max="9986" width="12.7109375" customWidth="1"/>
    <col min="9987" max="9988" width="11.7109375" customWidth="1"/>
    <col min="9989" max="9989" width="12.7109375" customWidth="1"/>
    <col min="9990" max="9999" width="11.7109375" customWidth="1"/>
    <col min="10000" max="10000" width="13.7109375" customWidth="1"/>
    <col min="10001" max="10001" width="15.140625" bestFit="1" customWidth="1"/>
    <col min="10002" max="10003" width="15.140625" customWidth="1"/>
    <col min="10004" max="10004" width="17.5703125" customWidth="1"/>
    <col min="10005" max="10005" width="14.5703125" bestFit="1" customWidth="1"/>
    <col min="10006" max="10006" width="10.42578125" bestFit="1" customWidth="1"/>
    <col min="10008" max="10008" width="10.42578125" bestFit="1" customWidth="1"/>
    <col min="10235" max="10235" width="6.5703125" customWidth="1"/>
    <col min="10236" max="10236" width="43.42578125" customWidth="1"/>
    <col min="10237" max="10237" width="6.5703125" customWidth="1"/>
    <col min="10238" max="10239" width="11.7109375" customWidth="1"/>
    <col min="10240" max="10240" width="12.7109375" customWidth="1"/>
    <col min="10241" max="10241" width="11.7109375" customWidth="1"/>
    <col min="10242" max="10242" width="12.7109375" customWidth="1"/>
    <col min="10243" max="10244" width="11.7109375" customWidth="1"/>
    <col min="10245" max="10245" width="12.7109375" customWidth="1"/>
    <col min="10246" max="10255" width="11.7109375" customWidth="1"/>
    <col min="10256" max="10256" width="13.7109375" customWidth="1"/>
    <col min="10257" max="10257" width="15.140625" bestFit="1" customWidth="1"/>
    <col min="10258" max="10259" width="15.140625" customWidth="1"/>
    <col min="10260" max="10260" width="17.5703125" customWidth="1"/>
    <col min="10261" max="10261" width="14.5703125" bestFit="1" customWidth="1"/>
    <col min="10262" max="10262" width="10.42578125" bestFit="1" customWidth="1"/>
    <col min="10264" max="10264" width="10.42578125" bestFit="1" customWidth="1"/>
    <col min="10491" max="10491" width="6.5703125" customWidth="1"/>
    <col min="10492" max="10492" width="43.42578125" customWidth="1"/>
    <col min="10493" max="10493" width="6.5703125" customWidth="1"/>
    <col min="10494" max="10495" width="11.7109375" customWidth="1"/>
    <col min="10496" max="10496" width="12.7109375" customWidth="1"/>
    <col min="10497" max="10497" width="11.7109375" customWidth="1"/>
    <col min="10498" max="10498" width="12.7109375" customWidth="1"/>
    <col min="10499" max="10500" width="11.7109375" customWidth="1"/>
    <col min="10501" max="10501" width="12.7109375" customWidth="1"/>
    <col min="10502" max="10511" width="11.7109375" customWidth="1"/>
    <col min="10512" max="10512" width="13.7109375" customWidth="1"/>
    <col min="10513" max="10513" width="15.140625" bestFit="1" customWidth="1"/>
    <col min="10514" max="10515" width="15.140625" customWidth="1"/>
    <col min="10516" max="10516" width="17.5703125" customWidth="1"/>
    <col min="10517" max="10517" width="14.5703125" bestFit="1" customWidth="1"/>
    <col min="10518" max="10518" width="10.42578125" bestFit="1" customWidth="1"/>
    <col min="10520" max="10520" width="10.42578125" bestFit="1" customWidth="1"/>
    <col min="10747" max="10747" width="6.5703125" customWidth="1"/>
    <col min="10748" max="10748" width="43.42578125" customWidth="1"/>
    <col min="10749" max="10749" width="6.5703125" customWidth="1"/>
    <col min="10750" max="10751" width="11.7109375" customWidth="1"/>
    <col min="10752" max="10752" width="12.7109375" customWidth="1"/>
    <col min="10753" max="10753" width="11.7109375" customWidth="1"/>
    <col min="10754" max="10754" width="12.7109375" customWidth="1"/>
    <col min="10755" max="10756" width="11.7109375" customWidth="1"/>
    <col min="10757" max="10757" width="12.7109375" customWidth="1"/>
    <col min="10758" max="10767" width="11.7109375" customWidth="1"/>
    <col min="10768" max="10768" width="13.7109375" customWidth="1"/>
    <col min="10769" max="10769" width="15.140625" bestFit="1" customWidth="1"/>
    <col min="10770" max="10771" width="15.140625" customWidth="1"/>
    <col min="10772" max="10772" width="17.5703125" customWidth="1"/>
    <col min="10773" max="10773" width="14.5703125" bestFit="1" customWidth="1"/>
    <col min="10774" max="10774" width="10.42578125" bestFit="1" customWidth="1"/>
    <col min="10776" max="10776" width="10.42578125" bestFit="1" customWidth="1"/>
    <col min="11003" max="11003" width="6.5703125" customWidth="1"/>
    <col min="11004" max="11004" width="43.42578125" customWidth="1"/>
    <col min="11005" max="11005" width="6.5703125" customWidth="1"/>
    <col min="11006" max="11007" width="11.7109375" customWidth="1"/>
    <col min="11008" max="11008" width="12.7109375" customWidth="1"/>
    <col min="11009" max="11009" width="11.7109375" customWidth="1"/>
    <col min="11010" max="11010" width="12.7109375" customWidth="1"/>
    <col min="11011" max="11012" width="11.7109375" customWidth="1"/>
    <col min="11013" max="11013" width="12.7109375" customWidth="1"/>
    <col min="11014" max="11023" width="11.7109375" customWidth="1"/>
    <col min="11024" max="11024" width="13.7109375" customWidth="1"/>
    <col min="11025" max="11025" width="15.140625" bestFit="1" customWidth="1"/>
    <col min="11026" max="11027" width="15.140625" customWidth="1"/>
    <col min="11028" max="11028" width="17.5703125" customWidth="1"/>
    <col min="11029" max="11029" width="14.5703125" bestFit="1" customWidth="1"/>
    <col min="11030" max="11030" width="10.42578125" bestFit="1" customWidth="1"/>
    <col min="11032" max="11032" width="10.42578125" bestFit="1" customWidth="1"/>
    <col min="11259" max="11259" width="6.5703125" customWidth="1"/>
    <col min="11260" max="11260" width="43.42578125" customWidth="1"/>
    <col min="11261" max="11261" width="6.5703125" customWidth="1"/>
    <col min="11262" max="11263" width="11.7109375" customWidth="1"/>
    <col min="11264" max="11264" width="12.7109375" customWidth="1"/>
    <col min="11265" max="11265" width="11.7109375" customWidth="1"/>
    <col min="11266" max="11266" width="12.7109375" customWidth="1"/>
    <col min="11267" max="11268" width="11.7109375" customWidth="1"/>
    <col min="11269" max="11269" width="12.7109375" customWidth="1"/>
    <col min="11270" max="11279" width="11.7109375" customWidth="1"/>
    <col min="11280" max="11280" width="13.7109375" customWidth="1"/>
    <col min="11281" max="11281" width="15.140625" bestFit="1" customWidth="1"/>
    <col min="11282" max="11283" width="15.140625" customWidth="1"/>
    <col min="11284" max="11284" width="17.5703125" customWidth="1"/>
    <col min="11285" max="11285" width="14.5703125" bestFit="1" customWidth="1"/>
    <col min="11286" max="11286" width="10.42578125" bestFit="1" customWidth="1"/>
    <col min="11288" max="11288" width="10.42578125" bestFit="1" customWidth="1"/>
    <col min="11515" max="11515" width="6.5703125" customWidth="1"/>
    <col min="11516" max="11516" width="43.42578125" customWidth="1"/>
    <col min="11517" max="11517" width="6.5703125" customWidth="1"/>
    <col min="11518" max="11519" width="11.7109375" customWidth="1"/>
    <col min="11520" max="11520" width="12.7109375" customWidth="1"/>
    <col min="11521" max="11521" width="11.7109375" customWidth="1"/>
    <col min="11522" max="11522" width="12.7109375" customWidth="1"/>
    <col min="11523" max="11524" width="11.7109375" customWidth="1"/>
    <col min="11525" max="11525" width="12.7109375" customWidth="1"/>
    <col min="11526" max="11535" width="11.7109375" customWidth="1"/>
    <col min="11536" max="11536" width="13.7109375" customWidth="1"/>
    <col min="11537" max="11537" width="15.140625" bestFit="1" customWidth="1"/>
    <col min="11538" max="11539" width="15.140625" customWidth="1"/>
    <col min="11540" max="11540" width="17.5703125" customWidth="1"/>
    <col min="11541" max="11541" width="14.5703125" bestFit="1" customWidth="1"/>
    <col min="11542" max="11542" width="10.42578125" bestFit="1" customWidth="1"/>
    <col min="11544" max="11544" width="10.42578125" bestFit="1" customWidth="1"/>
    <col min="11771" max="11771" width="6.5703125" customWidth="1"/>
    <col min="11772" max="11772" width="43.42578125" customWidth="1"/>
    <col min="11773" max="11773" width="6.5703125" customWidth="1"/>
    <col min="11774" max="11775" width="11.7109375" customWidth="1"/>
    <col min="11776" max="11776" width="12.7109375" customWidth="1"/>
    <col min="11777" max="11777" width="11.7109375" customWidth="1"/>
    <col min="11778" max="11778" width="12.7109375" customWidth="1"/>
    <col min="11779" max="11780" width="11.7109375" customWidth="1"/>
    <col min="11781" max="11781" width="12.7109375" customWidth="1"/>
    <col min="11782" max="11791" width="11.7109375" customWidth="1"/>
    <col min="11792" max="11792" width="13.7109375" customWidth="1"/>
    <col min="11793" max="11793" width="15.140625" bestFit="1" customWidth="1"/>
    <col min="11794" max="11795" width="15.140625" customWidth="1"/>
    <col min="11796" max="11796" width="17.5703125" customWidth="1"/>
    <col min="11797" max="11797" width="14.5703125" bestFit="1" customWidth="1"/>
    <col min="11798" max="11798" width="10.42578125" bestFit="1" customWidth="1"/>
    <col min="11800" max="11800" width="10.42578125" bestFit="1" customWidth="1"/>
    <col min="12027" max="12027" width="6.5703125" customWidth="1"/>
    <col min="12028" max="12028" width="43.42578125" customWidth="1"/>
    <col min="12029" max="12029" width="6.5703125" customWidth="1"/>
    <col min="12030" max="12031" width="11.7109375" customWidth="1"/>
    <col min="12032" max="12032" width="12.7109375" customWidth="1"/>
    <col min="12033" max="12033" width="11.7109375" customWidth="1"/>
    <col min="12034" max="12034" width="12.7109375" customWidth="1"/>
    <col min="12035" max="12036" width="11.7109375" customWidth="1"/>
    <col min="12037" max="12037" width="12.7109375" customWidth="1"/>
    <col min="12038" max="12047" width="11.7109375" customWidth="1"/>
    <col min="12048" max="12048" width="13.7109375" customWidth="1"/>
    <col min="12049" max="12049" width="15.140625" bestFit="1" customWidth="1"/>
    <col min="12050" max="12051" width="15.140625" customWidth="1"/>
    <col min="12052" max="12052" width="17.5703125" customWidth="1"/>
    <col min="12053" max="12053" width="14.5703125" bestFit="1" customWidth="1"/>
    <col min="12054" max="12054" width="10.42578125" bestFit="1" customWidth="1"/>
    <col min="12056" max="12056" width="10.42578125" bestFit="1" customWidth="1"/>
    <col min="12283" max="12283" width="6.5703125" customWidth="1"/>
    <col min="12284" max="12284" width="43.42578125" customWidth="1"/>
    <col min="12285" max="12285" width="6.5703125" customWidth="1"/>
    <col min="12286" max="12287" width="11.7109375" customWidth="1"/>
    <col min="12288" max="12288" width="12.7109375" customWidth="1"/>
    <col min="12289" max="12289" width="11.7109375" customWidth="1"/>
    <col min="12290" max="12290" width="12.7109375" customWidth="1"/>
    <col min="12291" max="12292" width="11.7109375" customWidth="1"/>
    <col min="12293" max="12293" width="12.7109375" customWidth="1"/>
    <col min="12294" max="12303" width="11.7109375" customWidth="1"/>
    <col min="12304" max="12304" width="13.7109375" customWidth="1"/>
    <col min="12305" max="12305" width="15.140625" bestFit="1" customWidth="1"/>
    <col min="12306" max="12307" width="15.140625" customWidth="1"/>
    <col min="12308" max="12308" width="17.5703125" customWidth="1"/>
    <col min="12309" max="12309" width="14.5703125" bestFit="1" customWidth="1"/>
    <col min="12310" max="12310" width="10.42578125" bestFit="1" customWidth="1"/>
    <col min="12312" max="12312" width="10.42578125" bestFit="1" customWidth="1"/>
    <col min="12539" max="12539" width="6.5703125" customWidth="1"/>
    <col min="12540" max="12540" width="43.42578125" customWidth="1"/>
    <col min="12541" max="12541" width="6.5703125" customWidth="1"/>
    <col min="12542" max="12543" width="11.7109375" customWidth="1"/>
    <col min="12544" max="12544" width="12.7109375" customWidth="1"/>
    <col min="12545" max="12545" width="11.7109375" customWidth="1"/>
    <col min="12546" max="12546" width="12.7109375" customWidth="1"/>
    <col min="12547" max="12548" width="11.7109375" customWidth="1"/>
    <col min="12549" max="12549" width="12.7109375" customWidth="1"/>
    <col min="12550" max="12559" width="11.7109375" customWidth="1"/>
    <col min="12560" max="12560" width="13.7109375" customWidth="1"/>
    <col min="12561" max="12561" width="15.140625" bestFit="1" customWidth="1"/>
    <col min="12562" max="12563" width="15.140625" customWidth="1"/>
    <col min="12564" max="12564" width="17.5703125" customWidth="1"/>
    <col min="12565" max="12565" width="14.5703125" bestFit="1" customWidth="1"/>
    <col min="12566" max="12566" width="10.42578125" bestFit="1" customWidth="1"/>
    <col min="12568" max="12568" width="10.42578125" bestFit="1" customWidth="1"/>
    <col min="12795" max="12795" width="6.5703125" customWidth="1"/>
    <col min="12796" max="12796" width="43.42578125" customWidth="1"/>
    <col min="12797" max="12797" width="6.5703125" customWidth="1"/>
    <col min="12798" max="12799" width="11.7109375" customWidth="1"/>
    <col min="12800" max="12800" width="12.7109375" customWidth="1"/>
    <col min="12801" max="12801" width="11.7109375" customWidth="1"/>
    <col min="12802" max="12802" width="12.7109375" customWidth="1"/>
    <col min="12803" max="12804" width="11.7109375" customWidth="1"/>
    <col min="12805" max="12805" width="12.7109375" customWidth="1"/>
    <col min="12806" max="12815" width="11.7109375" customWidth="1"/>
    <col min="12816" max="12816" width="13.7109375" customWidth="1"/>
    <col min="12817" max="12817" width="15.140625" bestFit="1" customWidth="1"/>
    <col min="12818" max="12819" width="15.140625" customWidth="1"/>
    <col min="12820" max="12820" width="17.5703125" customWidth="1"/>
    <col min="12821" max="12821" width="14.5703125" bestFit="1" customWidth="1"/>
    <col min="12822" max="12822" width="10.42578125" bestFit="1" customWidth="1"/>
    <col min="12824" max="12824" width="10.42578125" bestFit="1" customWidth="1"/>
    <col min="13051" max="13051" width="6.5703125" customWidth="1"/>
    <col min="13052" max="13052" width="43.42578125" customWidth="1"/>
    <col min="13053" max="13053" width="6.5703125" customWidth="1"/>
    <col min="13054" max="13055" width="11.7109375" customWidth="1"/>
    <col min="13056" max="13056" width="12.7109375" customWidth="1"/>
    <col min="13057" max="13057" width="11.7109375" customWidth="1"/>
    <col min="13058" max="13058" width="12.7109375" customWidth="1"/>
    <col min="13059" max="13060" width="11.7109375" customWidth="1"/>
    <col min="13061" max="13061" width="12.7109375" customWidth="1"/>
    <col min="13062" max="13071" width="11.7109375" customWidth="1"/>
    <col min="13072" max="13072" width="13.7109375" customWidth="1"/>
    <col min="13073" max="13073" width="15.140625" bestFit="1" customWidth="1"/>
    <col min="13074" max="13075" width="15.140625" customWidth="1"/>
    <col min="13076" max="13076" width="17.5703125" customWidth="1"/>
    <col min="13077" max="13077" width="14.5703125" bestFit="1" customWidth="1"/>
    <col min="13078" max="13078" width="10.42578125" bestFit="1" customWidth="1"/>
    <col min="13080" max="13080" width="10.42578125" bestFit="1" customWidth="1"/>
    <col min="13307" max="13307" width="6.5703125" customWidth="1"/>
    <col min="13308" max="13308" width="43.42578125" customWidth="1"/>
    <col min="13309" max="13309" width="6.5703125" customWidth="1"/>
    <col min="13310" max="13311" width="11.7109375" customWidth="1"/>
    <col min="13312" max="13312" width="12.7109375" customWidth="1"/>
    <col min="13313" max="13313" width="11.7109375" customWidth="1"/>
    <col min="13314" max="13314" width="12.7109375" customWidth="1"/>
    <col min="13315" max="13316" width="11.7109375" customWidth="1"/>
    <col min="13317" max="13317" width="12.7109375" customWidth="1"/>
    <col min="13318" max="13327" width="11.7109375" customWidth="1"/>
    <col min="13328" max="13328" width="13.7109375" customWidth="1"/>
    <col min="13329" max="13329" width="15.140625" bestFit="1" customWidth="1"/>
    <col min="13330" max="13331" width="15.140625" customWidth="1"/>
    <col min="13332" max="13332" width="17.5703125" customWidth="1"/>
    <col min="13333" max="13333" width="14.5703125" bestFit="1" customWidth="1"/>
    <col min="13334" max="13334" width="10.42578125" bestFit="1" customWidth="1"/>
    <col min="13336" max="13336" width="10.42578125" bestFit="1" customWidth="1"/>
    <col min="13563" max="13563" width="6.5703125" customWidth="1"/>
    <col min="13564" max="13564" width="43.42578125" customWidth="1"/>
    <col min="13565" max="13565" width="6.5703125" customWidth="1"/>
    <col min="13566" max="13567" width="11.7109375" customWidth="1"/>
    <col min="13568" max="13568" width="12.7109375" customWidth="1"/>
    <col min="13569" max="13569" width="11.7109375" customWidth="1"/>
    <col min="13570" max="13570" width="12.7109375" customWidth="1"/>
    <col min="13571" max="13572" width="11.7109375" customWidth="1"/>
    <col min="13573" max="13573" width="12.7109375" customWidth="1"/>
    <col min="13574" max="13583" width="11.7109375" customWidth="1"/>
    <col min="13584" max="13584" width="13.7109375" customWidth="1"/>
    <col min="13585" max="13585" width="15.140625" bestFit="1" customWidth="1"/>
    <col min="13586" max="13587" width="15.140625" customWidth="1"/>
    <col min="13588" max="13588" width="17.5703125" customWidth="1"/>
    <col min="13589" max="13589" width="14.5703125" bestFit="1" customWidth="1"/>
    <col min="13590" max="13590" width="10.42578125" bestFit="1" customWidth="1"/>
    <col min="13592" max="13592" width="10.42578125" bestFit="1" customWidth="1"/>
    <col min="13819" max="13819" width="6.5703125" customWidth="1"/>
    <col min="13820" max="13820" width="43.42578125" customWidth="1"/>
    <col min="13821" max="13821" width="6.5703125" customWidth="1"/>
    <col min="13822" max="13823" width="11.7109375" customWidth="1"/>
    <col min="13824" max="13824" width="12.7109375" customWidth="1"/>
    <col min="13825" max="13825" width="11.7109375" customWidth="1"/>
    <col min="13826" max="13826" width="12.7109375" customWidth="1"/>
    <col min="13827" max="13828" width="11.7109375" customWidth="1"/>
    <col min="13829" max="13829" width="12.7109375" customWidth="1"/>
    <col min="13830" max="13839" width="11.7109375" customWidth="1"/>
    <col min="13840" max="13840" width="13.7109375" customWidth="1"/>
    <col min="13841" max="13841" width="15.140625" bestFit="1" customWidth="1"/>
    <col min="13842" max="13843" width="15.140625" customWidth="1"/>
    <col min="13844" max="13844" width="17.5703125" customWidth="1"/>
    <col min="13845" max="13845" width="14.5703125" bestFit="1" customWidth="1"/>
    <col min="13846" max="13846" width="10.42578125" bestFit="1" customWidth="1"/>
    <col min="13848" max="13848" width="10.42578125" bestFit="1" customWidth="1"/>
    <col min="14075" max="14075" width="6.5703125" customWidth="1"/>
    <col min="14076" max="14076" width="43.42578125" customWidth="1"/>
    <col min="14077" max="14077" width="6.5703125" customWidth="1"/>
    <col min="14078" max="14079" width="11.7109375" customWidth="1"/>
    <col min="14080" max="14080" width="12.7109375" customWidth="1"/>
    <col min="14081" max="14081" width="11.7109375" customWidth="1"/>
    <col min="14082" max="14082" width="12.7109375" customWidth="1"/>
    <col min="14083" max="14084" width="11.7109375" customWidth="1"/>
    <col min="14085" max="14085" width="12.7109375" customWidth="1"/>
    <col min="14086" max="14095" width="11.7109375" customWidth="1"/>
    <col min="14096" max="14096" width="13.7109375" customWidth="1"/>
    <col min="14097" max="14097" width="15.140625" bestFit="1" customWidth="1"/>
    <col min="14098" max="14099" width="15.140625" customWidth="1"/>
    <col min="14100" max="14100" width="17.5703125" customWidth="1"/>
    <col min="14101" max="14101" width="14.5703125" bestFit="1" customWidth="1"/>
    <col min="14102" max="14102" width="10.42578125" bestFit="1" customWidth="1"/>
    <col min="14104" max="14104" width="10.42578125" bestFit="1" customWidth="1"/>
    <col min="14331" max="14331" width="6.5703125" customWidth="1"/>
    <col min="14332" max="14332" width="43.42578125" customWidth="1"/>
    <col min="14333" max="14333" width="6.5703125" customWidth="1"/>
    <col min="14334" max="14335" width="11.7109375" customWidth="1"/>
    <col min="14336" max="14336" width="12.7109375" customWidth="1"/>
    <col min="14337" max="14337" width="11.7109375" customWidth="1"/>
    <col min="14338" max="14338" width="12.7109375" customWidth="1"/>
    <col min="14339" max="14340" width="11.7109375" customWidth="1"/>
    <col min="14341" max="14341" width="12.7109375" customWidth="1"/>
    <col min="14342" max="14351" width="11.7109375" customWidth="1"/>
    <col min="14352" max="14352" width="13.7109375" customWidth="1"/>
    <col min="14353" max="14353" width="15.140625" bestFit="1" customWidth="1"/>
    <col min="14354" max="14355" width="15.140625" customWidth="1"/>
    <col min="14356" max="14356" width="17.5703125" customWidth="1"/>
    <col min="14357" max="14357" width="14.5703125" bestFit="1" customWidth="1"/>
    <col min="14358" max="14358" width="10.42578125" bestFit="1" customWidth="1"/>
    <col min="14360" max="14360" width="10.42578125" bestFit="1" customWidth="1"/>
    <col min="14587" max="14587" width="6.5703125" customWidth="1"/>
    <col min="14588" max="14588" width="43.42578125" customWidth="1"/>
    <col min="14589" max="14589" width="6.5703125" customWidth="1"/>
    <col min="14590" max="14591" width="11.7109375" customWidth="1"/>
    <col min="14592" max="14592" width="12.7109375" customWidth="1"/>
    <col min="14593" max="14593" width="11.7109375" customWidth="1"/>
    <col min="14594" max="14594" width="12.7109375" customWidth="1"/>
    <col min="14595" max="14596" width="11.7109375" customWidth="1"/>
    <col min="14597" max="14597" width="12.7109375" customWidth="1"/>
    <col min="14598" max="14607" width="11.7109375" customWidth="1"/>
    <col min="14608" max="14608" width="13.7109375" customWidth="1"/>
    <col min="14609" max="14609" width="15.140625" bestFit="1" customWidth="1"/>
    <col min="14610" max="14611" width="15.140625" customWidth="1"/>
    <col min="14612" max="14612" width="17.5703125" customWidth="1"/>
    <col min="14613" max="14613" width="14.5703125" bestFit="1" customWidth="1"/>
    <col min="14614" max="14614" width="10.42578125" bestFit="1" customWidth="1"/>
    <col min="14616" max="14616" width="10.42578125" bestFit="1" customWidth="1"/>
    <col min="14843" max="14843" width="6.5703125" customWidth="1"/>
    <col min="14844" max="14844" width="43.42578125" customWidth="1"/>
    <col min="14845" max="14845" width="6.5703125" customWidth="1"/>
    <col min="14846" max="14847" width="11.7109375" customWidth="1"/>
    <col min="14848" max="14848" width="12.7109375" customWidth="1"/>
    <col min="14849" max="14849" width="11.7109375" customWidth="1"/>
    <col min="14850" max="14850" width="12.7109375" customWidth="1"/>
    <col min="14851" max="14852" width="11.7109375" customWidth="1"/>
    <col min="14853" max="14853" width="12.7109375" customWidth="1"/>
    <col min="14854" max="14863" width="11.7109375" customWidth="1"/>
    <col min="14864" max="14864" width="13.7109375" customWidth="1"/>
    <col min="14865" max="14865" width="15.140625" bestFit="1" customWidth="1"/>
    <col min="14866" max="14867" width="15.140625" customWidth="1"/>
    <col min="14868" max="14868" width="17.5703125" customWidth="1"/>
    <col min="14869" max="14869" width="14.5703125" bestFit="1" customWidth="1"/>
    <col min="14870" max="14870" width="10.42578125" bestFit="1" customWidth="1"/>
    <col min="14872" max="14872" width="10.42578125" bestFit="1" customWidth="1"/>
    <col min="15099" max="15099" width="6.5703125" customWidth="1"/>
    <col min="15100" max="15100" width="43.42578125" customWidth="1"/>
    <col min="15101" max="15101" width="6.5703125" customWidth="1"/>
    <col min="15102" max="15103" width="11.7109375" customWidth="1"/>
    <col min="15104" max="15104" width="12.7109375" customWidth="1"/>
    <col min="15105" max="15105" width="11.7109375" customWidth="1"/>
    <col min="15106" max="15106" width="12.7109375" customWidth="1"/>
    <col min="15107" max="15108" width="11.7109375" customWidth="1"/>
    <col min="15109" max="15109" width="12.7109375" customWidth="1"/>
    <col min="15110" max="15119" width="11.7109375" customWidth="1"/>
    <col min="15120" max="15120" width="13.7109375" customWidth="1"/>
    <col min="15121" max="15121" width="15.140625" bestFit="1" customWidth="1"/>
    <col min="15122" max="15123" width="15.140625" customWidth="1"/>
    <col min="15124" max="15124" width="17.5703125" customWidth="1"/>
    <col min="15125" max="15125" width="14.5703125" bestFit="1" customWidth="1"/>
    <col min="15126" max="15126" width="10.42578125" bestFit="1" customWidth="1"/>
    <col min="15128" max="15128" width="10.42578125" bestFit="1" customWidth="1"/>
    <col min="15355" max="15355" width="6.5703125" customWidth="1"/>
    <col min="15356" max="15356" width="43.42578125" customWidth="1"/>
    <col min="15357" max="15357" width="6.5703125" customWidth="1"/>
    <col min="15358" max="15359" width="11.7109375" customWidth="1"/>
    <col min="15360" max="15360" width="12.7109375" customWidth="1"/>
    <col min="15361" max="15361" width="11.7109375" customWidth="1"/>
    <col min="15362" max="15362" width="12.7109375" customWidth="1"/>
    <col min="15363" max="15364" width="11.7109375" customWidth="1"/>
    <col min="15365" max="15365" width="12.7109375" customWidth="1"/>
    <col min="15366" max="15375" width="11.7109375" customWidth="1"/>
    <col min="15376" max="15376" width="13.7109375" customWidth="1"/>
    <col min="15377" max="15377" width="15.140625" bestFit="1" customWidth="1"/>
    <col min="15378" max="15379" width="15.140625" customWidth="1"/>
    <col min="15380" max="15380" width="17.5703125" customWidth="1"/>
    <col min="15381" max="15381" width="14.5703125" bestFit="1" customWidth="1"/>
    <col min="15382" max="15382" width="10.42578125" bestFit="1" customWidth="1"/>
    <col min="15384" max="15384" width="10.42578125" bestFit="1" customWidth="1"/>
    <col min="15611" max="15611" width="6.5703125" customWidth="1"/>
    <col min="15612" max="15612" width="43.42578125" customWidth="1"/>
    <col min="15613" max="15613" width="6.5703125" customWidth="1"/>
    <col min="15614" max="15615" width="11.7109375" customWidth="1"/>
    <col min="15616" max="15616" width="12.7109375" customWidth="1"/>
    <col min="15617" max="15617" width="11.7109375" customWidth="1"/>
    <col min="15618" max="15618" width="12.7109375" customWidth="1"/>
    <col min="15619" max="15620" width="11.7109375" customWidth="1"/>
    <col min="15621" max="15621" width="12.7109375" customWidth="1"/>
    <col min="15622" max="15631" width="11.7109375" customWidth="1"/>
    <col min="15632" max="15632" width="13.7109375" customWidth="1"/>
    <col min="15633" max="15633" width="15.140625" bestFit="1" customWidth="1"/>
    <col min="15634" max="15635" width="15.140625" customWidth="1"/>
    <col min="15636" max="15636" width="17.5703125" customWidth="1"/>
    <col min="15637" max="15637" width="14.5703125" bestFit="1" customWidth="1"/>
    <col min="15638" max="15638" width="10.42578125" bestFit="1" customWidth="1"/>
    <col min="15640" max="15640" width="10.42578125" bestFit="1" customWidth="1"/>
    <col min="15867" max="15867" width="6.5703125" customWidth="1"/>
    <col min="15868" max="15868" width="43.42578125" customWidth="1"/>
    <col min="15869" max="15869" width="6.5703125" customWidth="1"/>
    <col min="15870" max="15871" width="11.7109375" customWidth="1"/>
    <col min="15872" max="15872" width="12.7109375" customWidth="1"/>
    <col min="15873" max="15873" width="11.7109375" customWidth="1"/>
    <col min="15874" max="15874" width="12.7109375" customWidth="1"/>
    <col min="15875" max="15876" width="11.7109375" customWidth="1"/>
    <col min="15877" max="15877" width="12.7109375" customWidth="1"/>
    <col min="15878" max="15887" width="11.7109375" customWidth="1"/>
    <col min="15888" max="15888" width="13.7109375" customWidth="1"/>
    <col min="15889" max="15889" width="15.140625" bestFit="1" customWidth="1"/>
    <col min="15890" max="15891" width="15.140625" customWidth="1"/>
    <col min="15892" max="15892" width="17.5703125" customWidth="1"/>
    <col min="15893" max="15893" width="14.5703125" bestFit="1" customWidth="1"/>
    <col min="15894" max="15894" width="10.42578125" bestFit="1" customWidth="1"/>
    <col min="15896" max="15896" width="10.42578125" bestFit="1" customWidth="1"/>
    <col min="16123" max="16123" width="6.5703125" customWidth="1"/>
    <col min="16124" max="16124" width="43.42578125" customWidth="1"/>
    <col min="16125" max="16125" width="6.5703125" customWidth="1"/>
    <col min="16126" max="16127" width="11.7109375" customWidth="1"/>
    <col min="16128" max="16128" width="12.7109375" customWidth="1"/>
    <col min="16129" max="16129" width="11.7109375" customWidth="1"/>
    <col min="16130" max="16130" width="12.7109375" customWidth="1"/>
    <col min="16131" max="16132" width="11.7109375" customWidth="1"/>
    <col min="16133" max="16133" width="12.7109375" customWidth="1"/>
    <col min="16134" max="16143" width="11.7109375" customWidth="1"/>
    <col min="16144" max="16144" width="13.7109375" customWidth="1"/>
    <col min="16145" max="16145" width="15.140625" bestFit="1" customWidth="1"/>
    <col min="16146" max="16147" width="15.140625" customWidth="1"/>
    <col min="16148" max="16148" width="17.5703125" customWidth="1"/>
    <col min="16149" max="16149" width="14.5703125" bestFit="1" customWidth="1"/>
    <col min="16150" max="16150" width="10.42578125" bestFit="1" customWidth="1"/>
    <col min="16152" max="16152" width="10.42578125" bestFit="1" customWidth="1"/>
  </cols>
  <sheetData>
    <row r="1" spans="1:22" x14ac:dyDescent="0.2">
      <c r="A1" s="53" t="s">
        <v>265</v>
      </c>
    </row>
    <row r="2" spans="1:22" x14ac:dyDescent="0.2">
      <c r="A2" s="53" t="s">
        <v>114</v>
      </c>
    </row>
    <row r="3" spans="1:22" ht="5.0999999999999996" customHeight="1" x14ac:dyDescent="0.2"/>
    <row r="4" spans="1:22" s="103" customFormat="1" ht="16.5" customHeight="1" x14ac:dyDescent="0.2">
      <c r="A4" s="750" t="s">
        <v>325</v>
      </c>
      <c r="B4" s="750"/>
      <c r="C4" s="750"/>
      <c r="D4" s="750"/>
      <c r="E4" s="750"/>
      <c r="F4" s="750"/>
      <c r="G4" s="750"/>
      <c r="H4" s="750"/>
      <c r="I4" s="750"/>
      <c r="J4" s="750"/>
      <c r="K4" s="750"/>
      <c r="L4" s="750"/>
      <c r="M4" s="750"/>
      <c r="N4" s="750"/>
      <c r="O4" s="750"/>
      <c r="P4" s="750"/>
    </row>
    <row r="5" spans="1:22" s="103" customFormat="1" ht="15.75" customHeight="1" x14ac:dyDescent="0.2">
      <c r="A5" s="750" t="s">
        <v>294</v>
      </c>
      <c r="B5" s="750"/>
      <c r="C5" s="750"/>
      <c r="D5" s="750"/>
      <c r="E5" s="750"/>
      <c r="F5" s="750"/>
      <c r="G5" s="750"/>
      <c r="H5" s="750"/>
      <c r="I5" s="750"/>
      <c r="J5" s="750"/>
      <c r="K5" s="750"/>
      <c r="L5" s="750"/>
      <c r="M5" s="750"/>
      <c r="N5" s="750"/>
      <c r="O5" s="750"/>
      <c r="P5" s="750"/>
      <c r="Q5" s="634">
        <f>BDI!B16+1</f>
        <v>1.2899</v>
      </c>
    </row>
    <row r="6" spans="1:22" s="202" customFormat="1" ht="4.5" customHeight="1" x14ac:dyDescent="0.25">
      <c r="M6" s="571"/>
      <c r="N6" s="571"/>
      <c r="O6" s="572"/>
      <c r="P6" s="571"/>
      <c r="Q6" s="751" t="s">
        <v>266</v>
      </c>
      <c r="R6" s="205"/>
      <c r="S6" s="205"/>
      <c r="T6" s="206"/>
    </row>
    <row r="7" spans="1:22" s="202" customFormat="1" ht="12.75" customHeight="1" x14ac:dyDescent="0.2">
      <c r="A7" s="752" t="s">
        <v>53</v>
      </c>
      <c r="B7" s="752" t="s">
        <v>267</v>
      </c>
      <c r="C7" s="752" t="s">
        <v>268</v>
      </c>
      <c r="D7" s="746" t="s">
        <v>293</v>
      </c>
      <c r="E7" s="746" t="s">
        <v>296</v>
      </c>
      <c r="F7" s="746" t="s">
        <v>297</v>
      </c>
      <c r="G7" s="746" t="s">
        <v>298</v>
      </c>
      <c r="H7" s="746" t="s">
        <v>299</v>
      </c>
      <c r="I7" s="746" t="s">
        <v>269</v>
      </c>
      <c r="J7" s="746" t="s">
        <v>270</v>
      </c>
      <c r="K7" s="746" t="s">
        <v>271</v>
      </c>
      <c r="L7" s="746" t="s">
        <v>272</v>
      </c>
      <c r="M7" s="748" t="s">
        <v>273</v>
      </c>
      <c r="N7" s="748"/>
      <c r="O7" s="748"/>
      <c r="P7" s="749"/>
      <c r="Q7" s="751"/>
      <c r="R7" s="205"/>
      <c r="S7" s="205"/>
    </row>
    <row r="8" spans="1:22" s="202" customFormat="1" ht="54" customHeight="1" thickBot="1" x14ac:dyDescent="0.3">
      <c r="A8" s="753"/>
      <c r="B8" s="753"/>
      <c r="C8" s="753"/>
      <c r="D8" s="754"/>
      <c r="E8" s="747"/>
      <c r="F8" s="747"/>
      <c r="G8" s="747"/>
      <c r="H8" s="747"/>
      <c r="I8" s="747"/>
      <c r="J8" s="747"/>
      <c r="K8" s="747"/>
      <c r="L8" s="747"/>
      <c r="M8" s="546" t="s">
        <v>274</v>
      </c>
      <c r="N8" s="546" t="s">
        <v>664</v>
      </c>
      <c r="O8" s="546" t="s">
        <v>322</v>
      </c>
      <c r="P8" s="546" t="s">
        <v>275</v>
      </c>
      <c r="Q8" s="751"/>
      <c r="R8" s="205"/>
      <c r="S8" s="205"/>
      <c r="T8" s="207" t="s">
        <v>276</v>
      </c>
      <c r="U8" s="208">
        <v>0.2097</v>
      </c>
    </row>
    <row r="9" spans="1:22" s="202" customFormat="1" ht="27" customHeight="1" thickBot="1" x14ac:dyDescent="0.3">
      <c r="A9" s="547"/>
      <c r="B9" s="548" t="s">
        <v>302</v>
      </c>
      <c r="C9" s="549"/>
      <c r="D9" s="550"/>
      <c r="E9" s="551"/>
      <c r="F9" s="551"/>
      <c r="G9" s="551"/>
      <c r="H9" s="551"/>
      <c r="I9" s="551"/>
      <c r="J9" s="551"/>
      <c r="K9" s="551"/>
      <c r="L9" s="551"/>
      <c r="M9" s="551"/>
      <c r="N9" s="551"/>
      <c r="O9" s="551"/>
      <c r="P9" s="552"/>
      <c r="Q9" s="205"/>
      <c r="R9" s="205"/>
      <c r="S9" s="205"/>
      <c r="T9" s="207"/>
      <c r="U9" s="208"/>
    </row>
    <row r="10" spans="1:22" s="202" customFormat="1" ht="18" customHeight="1" thickBot="1" x14ac:dyDescent="0.3">
      <c r="A10" s="821" t="s">
        <v>261</v>
      </c>
      <c r="B10" s="822"/>
      <c r="C10" s="822"/>
      <c r="D10" s="822"/>
      <c r="E10" s="822"/>
      <c r="F10" s="822"/>
      <c r="G10" s="822"/>
      <c r="H10" s="822"/>
      <c r="I10" s="822"/>
      <c r="J10" s="822"/>
      <c r="K10" s="822"/>
      <c r="L10" s="822"/>
      <c r="M10" s="822"/>
      <c r="N10" s="822"/>
      <c r="O10" s="822"/>
      <c r="P10" s="823"/>
      <c r="Q10" s="205"/>
      <c r="R10" s="205"/>
      <c r="S10" s="205"/>
      <c r="T10" s="207"/>
      <c r="U10" s="208"/>
    </row>
    <row r="11" spans="1:22" s="216" customFormat="1" ht="12.75" customHeight="1" x14ac:dyDescent="0.2">
      <c r="A11" s="272" t="s">
        <v>4</v>
      </c>
      <c r="B11" s="209" t="s">
        <v>277</v>
      </c>
      <c r="C11" s="210"/>
      <c r="D11" s="211"/>
      <c r="E11" s="211"/>
      <c r="F11" s="213">
        <f>SUM(F12:F12)</f>
        <v>646.76</v>
      </c>
      <c r="G11" s="211"/>
      <c r="H11" s="213">
        <f>SUM(H12:H12)</f>
        <v>646.76</v>
      </c>
      <c r="I11" s="211"/>
      <c r="J11" s="211"/>
      <c r="K11" s="211"/>
      <c r="L11" s="213"/>
      <c r="M11" s="212"/>
      <c r="N11" s="212"/>
      <c r="O11" s="214"/>
      <c r="P11" s="212">
        <f>SUM(P12:P12)</f>
        <v>0</v>
      </c>
      <c r="Q11" s="215"/>
      <c r="T11" s="217"/>
    </row>
    <row r="12" spans="1:22" s="226" customFormat="1" ht="25.5" x14ac:dyDescent="0.2">
      <c r="A12" s="273" t="s">
        <v>5</v>
      </c>
      <c r="B12" s="218" t="str">
        <f>'Planilha CT Original'!D16</f>
        <v>Serviços topográficos para pavimentação, inclusive nota de serviços, acompanhamento e greide</v>
      </c>
      <c r="C12" s="234" t="s">
        <v>13</v>
      </c>
      <c r="D12" s="220">
        <f>'Planilha CT Original'!F16</f>
        <v>1702</v>
      </c>
      <c r="E12" s="220">
        <f>'Planilha CT Original'!H16</f>
        <v>0.38</v>
      </c>
      <c r="F12" s="220">
        <f>D12*E12</f>
        <v>646.76</v>
      </c>
      <c r="G12" s="220">
        <v>1702</v>
      </c>
      <c r="H12" s="220">
        <f>E12*G12</f>
        <v>646.76</v>
      </c>
      <c r="I12" s="220">
        <f>D12-G12</f>
        <v>0</v>
      </c>
      <c r="J12" s="220">
        <v>0</v>
      </c>
      <c r="K12" s="220">
        <v>0</v>
      </c>
      <c r="L12" s="220">
        <f>I12+J12-K12</f>
        <v>0</v>
      </c>
      <c r="M12" s="221">
        <v>0</v>
      </c>
      <c r="N12" s="221">
        <f>M12*$Q$5</f>
        <v>0</v>
      </c>
      <c r="O12" s="222" t="s">
        <v>58</v>
      </c>
      <c r="P12" s="221">
        <f>L12*N12</f>
        <v>0</v>
      </c>
      <c r="Q12" s="223"/>
      <c r="R12" s="224"/>
      <c r="S12" s="225"/>
      <c r="V12" s="227"/>
    </row>
    <row r="13" spans="1:22" s="202" customFormat="1" ht="5.0999999999999996" customHeight="1" x14ac:dyDescent="0.2">
      <c r="A13" s="239"/>
      <c r="B13" s="228"/>
      <c r="C13" s="219"/>
      <c r="D13" s="220"/>
      <c r="E13" s="220"/>
      <c r="F13" s="220"/>
      <c r="G13" s="220"/>
      <c r="H13" s="220"/>
      <c r="I13" s="220"/>
      <c r="J13" s="220"/>
      <c r="K13" s="220"/>
      <c r="L13" s="220"/>
      <c r="M13" s="221"/>
      <c r="N13" s="221"/>
      <c r="O13" s="222"/>
      <c r="P13" s="274"/>
      <c r="Q13" s="229"/>
      <c r="S13" s="230"/>
    </row>
    <row r="14" spans="1:22" s="216" customFormat="1" ht="12.75" customHeight="1" x14ac:dyDescent="0.2">
      <c r="A14" s="272" t="s">
        <v>6</v>
      </c>
      <c r="B14" s="209" t="s">
        <v>278</v>
      </c>
      <c r="C14" s="210"/>
      <c r="D14" s="220"/>
      <c r="E14" s="232"/>
      <c r="F14" s="233">
        <f>SUM(F15:F15)</f>
        <v>2365.7800000000002</v>
      </c>
      <c r="G14" s="211"/>
      <c r="H14" s="233">
        <f>SUM(H15:H15)</f>
        <v>2365.7800000000002</v>
      </c>
      <c r="I14" s="211"/>
      <c r="J14" s="211"/>
      <c r="K14" s="211"/>
      <c r="L14" s="211"/>
      <c r="M14" s="221"/>
      <c r="N14" s="221"/>
      <c r="O14" s="222"/>
      <c r="P14" s="212">
        <f>SUM(P15:P15)</f>
        <v>0</v>
      </c>
      <c r="Q14" s="215"/>
      <c r="T14" s="217">
        <v>1.2097</v>
      </c>
    </row>
    <row r="15" spans="1:22" s="226" customFormat="1" ht="25.5" x14ac:dyDescent="0.2">
      <c r="A15" s="273" t="s">
        <v>7</v>
      </c>
      <c r="B15" s="218" t="str">
        <f>'Planilha CT Original'!D18</f>
        <v>Regularização e compactação do subleito até 20 cm de espessura</v>
      </c>
      <c r="C15" s="234" t="s">
        <v>13</v>
      </c>
      <c r="D15" s="220">
        <f>'Planilha CT Original'!F18</f>
        <v>1702</v>
      </c>
      <c r="E15" s="220">
        <f>'Planilha CT Original'!H18</f>
        <v>1.39</v>
      </c>
      <c r="F15" s="220">
        <f>D15*E15</f>
        <v>2365.7800000000002</v>
      </c>
      <c r="G15" s="220">
        <v>1702</v>
      </c>
      <c r="H15" s="220">
        <f>E15*G15</f>
        <v>2365.7800000000002</v>
      </c>
      <c r="I15" s="220">
        <f>D15-G15</f>
        <v>0</v>
      </c>
      <c r="J15" s="220">
        <v>0</v>
      </c>
      <c r="K15" s="220">
        <v>0</v>
      </c>
      <c r="L15" s="220">
        <f>I15+J15-K15</f>
        <v>0</v>
      </c>
      <c r="M15" s="221">
        <v>0</v>
      </c>
      <c r="N15" s="221">
        <f>M15*$Q$5</f>
        <v>0</v>
      </c>
      <c r="O15" s="222" t="s">
        <v>58</v>
      </c>
      <c r="P15" s="221">
        <f>L15*N15</f>
        <v>0</v>
      </c>
      <c r="Q15" s="223"/>
      <c r="R15" s="224"/>
      <c r="S15" s="225"/>
      <c r="V15" s="227"/>
    </row>
    <row r="16" spans="1:22" s="202" customFormat="1" ht="5.0999999999999996" customHeight="1" x14ac:dyDescent="0.2">
      <c r="A16" s="239"/>
      <c r="B16" s="228"/>
      <c r="C16" s="219"/>
      <c r="D16" s="220"/>
      <c r="E16" s="220"/>
      <c r="F16" s="220"/>
      <c r="G16" s="220"/>
      <c r="H16" s="220"/>
      <c r="I16" s="220"/>
      <c r="J16" s="220"/>
      <c r="K16" s="220"/>
      <c r="L16" s="220"/>
      <c r="M16" s="220"/>
      <c r="N16" s="220"/>
      <c r="O16" s="236"/>
      <c r="P16" s="274"/>
      <c r="Q16" s="229"/>
      <c r="S16" s="230"/>
    </row>
    <row r="17" spans="1:22" s="216" customFormat="1" ht="12.75" customHeight="1" x14ac:dyDescent="0.2">
      <c r="A17" s="272" t="s">
        <v>8</v>
      </c>
      <c r="B17" s="209" t="s">
        <v>20</v>
      </c>
      <c r="C17" s="210"/>
      <c r="D17" s="211"/>
      <c r="E17" s="211"/>
      <c r="F17" s="233">
        <f>SUM(F18:F20)</f>
        <v>89010.38</v>
      </c>
      <c r="G17" s="211"/>
      <c r="H17" s="233">
        <f>SUM(H18:H20)</f>
        <v>78904.11</v>
      </c>
      <c r="I17" s="211"/>
      <c r="J17" s="211"/>
      <c r="K17" s="211"/>
      <c r="L17" s="211"/>
      <c r="M17" s="237"/>
      <c r="N17" s="237"/>
      <c r="O17" s="238"/>
      <c r="P17" s="212">
        <f>SUM(P18:P20)</f>
        <v>0</v>
      </c>
      <c r="Q17" s="215"/>
      <c r="T17" s="217"/>
    </row>
    <row r="18" spans="1:22" s="226" customFormat="1" ht="66.75" customHeight="1" x14ac:dyDescent="0.2">
      <c r="A18" s="273" t="s">
        <v>9</v>
      </c>
      <c r="B18" s="218" t="str">
        <f>'Planilha CT Original'!D20</f>
        <v>Assentamento de guia (meio-fio) em trecho reto, confeccionada em concreto pré-fabricado, dimensões 100x15x13x30 cm (comprimento x base inferior x base superior x altura), para vias urbanas (uso viário)</v>
      </c>
      <c r="C18" s="234" t="s">
        <v>11</v>
      </c>
      <c r="D18" s="220">
        <f>'Planilha CT Original'!F20</f>
        <v>390</v>
      </c>
      <c r="E18" s="220">
        <f>'Planilha CT Original'!H20</f>
        <v>30.84</v>
      </c>
      <c r="F18" s="220">
        <f>D18*E18</f>
        <v>12027.6</v>
      </c>
      <c r="G18" s="220">
        <v>62.3</v>
      </c>
      <c r="H18" s="220">
        <f>E18*G18</f>
        <v>1921.33</v>
      </c>
      <c r="I18" s="220">
        <f>D18-G18</f>
        <v>327.7</v>
      </c>
      <c r="J18" s="220">
        <v>0</v>
      </c>
      <c r="K18" s="220">
        <v>327.7</v>
      </c>
      <c r="L18" s="220">
        <f>I18+J18-K18</f>
        <v>0</v>
      </c>
      <c r="M18" s="221">
        <v>0</v>
      </c>
      <c r="N18" s="221">
        <v>0</v>
      </c>
      <c r="O18" s="222" t="s">
        <v>58</v>
      </c>
      <c r="P18" s="221">
        <f>L18*N18</f>
        <v>0</v>
      </c>
      <c r="Q18" s="223"/>
      <c r="R18" s="224"/>
      <c r="S18" s="225"/>
      <c r="V18" s="227"/>
    </row>
    <row r="19" spans="1:22" s="226" customFormat="1" ht="28.5" customHeight="1" x14ac:dyDescent="0.2">
      <c r="A19" s="273" t="s">
        <v>12</v>
      </c>
      <c r="B19" s="218" t="str">
        <f>'Planilha CT Original'!D21</f>
        <v>Revestimento em paralelepipedo inc.colchao areia</v>
      </c>
      <c r="C19" s="234" t="s">
        <v>13</v>
      </c>
      <c r="D19" s="220">
        <f>'Planilha CT Original'!F21</f>
        <v>1702</v>
      </c>
      <c r="E19" s="220">
        <f>'Planilha CT Original'!H21</f>
        <v>44.87</v>
      </c>
      <c r="F19" s="220">
        <f>D19*E19</f>
        <v>76368.740000000005</v>
      </c>
      <c r="G19" s="220">
        <v>1702</v>
      </c>
      <c r="H19" s="220">
        <f>E19*G19</f>
        <v>76368.740000000005</v>
      </c>
      <c r="I19" s="220">
        <f>D19-G19</f>
        <v>0</v>
      </c>
      <c r="J19" s="220">
        <v>0</v>
      </c>
      <c r="K19" s="220">
        <v>0</v>
      </c>
      <c r="L19" s="220">
        <f>I19+J19-K19</f>
        <v>0</v>
      </c>
      <c r="M19" s="221">
        <v>0</v>
      </c>
      <c r="N19" s="221">
        <f>M19*$Q$5</f>
        <v>0</v>
      </c>
      <c r="O19" s="222" t="s">
        <v>58</v>
      </c>
      <c r="P19" s="221">
        <f>L19*N19</f>
        <v>0</v>
      </c>
      <c r="Q19" s="223"/>
      <c r="R19" s="224"/>
      <c r="S19" s="225"/>
      <c r="V19" s="227"/>
    </row>
    <row r="20" spans="1:22" s="226" customFormat="1" ht="25.5" x14ac:dyDescent="0.2">
      <c r="A20" s="273" t="s">
        <v>108</v>
      </c>
      <c r="B20" s="218" t="str">
        <f>'Planilha CT Original'!D22</f>
        <v>Forn. e aplicacao de meio fio em pedra granitica (Cordão de travamento)</v>
      </c>
      <c r="C20" s="234" t="s">
        <v>11</v>
      </c>
      <c r="D20" s="220">
        <f>'Planilha CT Original'!F22</f>
        <v>42</v>
      </c>
      <c r="E20" s="220">
        <f>'Planilha CT Original'!H22</f>
        <v>14.62</v>
      </c>
      <c r="F20" s="220">
        <f>D20*E20</f>
        <v>614.04</v>
      </c>
      <c r="G20" s="220">
        <v>42</v>
      </c>
      <c r="H20" s="220">
        <f>E20*G20</f>
        <v>614.04</v>
      </c>
      <c r="I20" s="220">
        <f>D20-G20</f>
        <v>0</v>
      </c>
      <c r="J20" s="220">
        <v>0</v>
      </c>
      <c r="K20" s="220">
        <v>0</v>
      </c>
      <c r="L20" s="220">
        <f>I20+J20-K20</f>
        <v>0</v>
      </c>
      <c r="M20" s="221">
        <v>0</v>
      </c>
      <c r="N20" s="221">
        <f>M20*$Q$5</f>
        <v>0</v>
      </c>
      <c r="O20" s="222" t="s">
        <v>58</v>
      </c>
      <c r="P20" s="221">
        <f>L20*N20</f>
        <v>0</v>
      </c>
      <c r="Q20" s="223"/>
      <c r="R20" s="224"/>
      <c r="S20" s="225"/>
      <c r="V20" s="227"/>
    </row>
    <row r="21" spans="1:22" s="202" customFormat="1" ht="5.0999999999999996" customHeight="1" x14ac:dyDescent="0.2">
      <c r="A21" s="239"/>
      <c r="B21" s="239"/>
      <c r="C21" s="219"/>
      <c r="D21" s="220"/>
      <c r="E21" s="220"/>
      <c r="F21" s="220"/>
      <c r="G21" s="220"/>
      <c r="H21" s="220"/>
      <c r="I21" s="220"/>
      <c r="J21" s="220"/>
      <c r="K21" s="220"/>
      <c r="L21" s="220"/>
      <c r="M21" s="221"/>
      <c r="N21" s="221"/>
      <c r="O21" s="222"/>
      <c r="P21" s="274"/>
      <c r="Q21" s="229"/>
      <c r="S21" s="230"/>
    </row>
    <row r="22" spans="1:22" s="216" customFormat="1" ht="12.75" customHeight="1" x14ac:dyDescent="0.2">
      <c r="A22" s="521" t="s">
        <v>14</v>
      </c>
      <c r="B22" s="240" t="s">
        <v>610</v>
      </c>
      <c r="C22" s="219"/>
      <c r="D22" s="220"/>
      <c r="E22" s="220"/>
      <c r="F22" s="233">
        <f>SUM(F23:F23)</f>
        <v>0</v>
      </c>
      <c r="G22" s="241"/>
      <c r="H22" s="242">
        <f>SUM(H23:H23)</f>
        <v>0</v>
      </c>
      <c r="I22" s="241"/>
      <c r="J22" s="241"/>
      <c r="K22" s="241"/>
      <c r="L22" s="241"/>
      <c r="M22" s="221"/>
      <c r="N22" s="221"/>
      <c r="O22" s="222"/>
      <c r="P22" s="243" t="e">
        <f>SUM(P23:P23)</f>
        <v>#REF!</v>
      </c>
      <c r="Q22" s="215"/>
      <c r="T22" s="217"/>
    </row>
    <row r="23" spans="1:22" s="226" customFormat="1" ht="38.25" x14ac:dyDescent="0.2">
      <c r="A23" s="315" t="s">
        <v>15</v>
      </c>
      <c r="B23" s="261" t="s">
        <v>127</v>
      </c>
      <c r="C23" s="234" t="s">
        <v>128</v>
      </c>
      <c r="D23" s="220">
        <f>'Planilha CT Original'!F19</f>
        <v>0</v>
      </c>
      <c r="E23" s="220">
        <f>'Planilha CT Original'!H19</f>
        <v>0</v>
      </c>
      <c r="F23" s="220">
        <f>D23*E23</f>
        <v>0</v>
      </c>
      <c r="G23" s="220">
        <v>0</v>
      </c>
      <c r="H23" s="220">
        <f>E23*G23</f>
        <v>0</v>
      </c>
      <c r="I23" s="220">
        <f>D23-G23</f>
        <v>0</v>
      </c>
      <c r="J23" s="220" t="e">
        <f>#REF!</f>
        <v>#REF!</v>
      </c>
      <c r="K23" s="220">
        <v>0</v>
      </c>
      <c r="L23" s="220" t="e">
        <f>I23+J23-K23</f>
        <v>#REF!</v>
      </c>
      <c r="M23" s="221">
        <v>699.25</v>
      </c>
      <c r="N23" s="221">
        <f>M23*$Q$5</f>
        <v>901.96</v>
      </c>
      <c r="O23" s="316" t="s">
        <v>646</v>
      </c>
      <c r="P23" s="221" t="e">
        <f>L23*N23</f>
        <v>#REF!</v>
      </c>
      <c r="Q23" s="223"/>
      <c r="R23" s="224"/>
      <c r="S23" s="225"/>
      <c r="V23" s="227"/>
    </row>
    <row r="24" spans="1:22" s="202" customFormat="1" ht="5.0999999999999996" customHeight="1" x14ac:dyDescent="0.2">
      <c r="A24" s="239"/>
      <c r="B24" s="239"/>
      <c r="C24" s="219"/>
      <c r="D24" s="220"/>
      <c r="E24" s="220"/>
      <c r="F24" s="220"/>
      <c r="G24" s="220"/>
      <c r="H24" s="220"/>
      <c r="I24" s="220"/>
      <c r="J24" s="220"/>
      <c r="K24" s="220"/>
      <c r="L24" s="220"/>
      <c r="M24" s="220"/>
      <c r="N24" s="220"/>
      <c r="O24" s="236"/>
      <c r="P24" s="274"/>
      <c r="Q24" s="229"/>
      <c r="S24" s="230"/>
    </row>
    <row r="25" spans="1:22" s="216" customFormat="1" ht="12.75" customHeight="1" x14ac:dyDescent="0.2">
      <c r="A25" s="521" t="s">
        <v>157</v>
      </c>
      <c r="B25" s="240" t="s">
        <v>291</v>
      </c>
      <c r="C25" s="219"/>
      <c r="D25" s="220"/>
      <c r="E25" s="220"/>
      <c r="F25" s="233">
        <f>SUM(F26:F28)</f>
        <v>0</v>
      </c>
      <c r="G25" s="241"/>
      <c r="H25" s="242">
        <f>SUM(H26:H28)</f>
        <v>0</v>
      </c>
      <c r="I25" s="241"/>
      <c r="J25" s="241"/>
      <c r="K25" s="241"/>
      <c r="L25" s="241"/>
      <c r="M25" s="221"/>
      <c r="N25" s="221"/>
      <c r="O25" s="222"/>
      <c r="P25" s="243" t="e">
        <f>SUM(P26:P29)</f>
        <v>#REF!</v>
      </c>
      <c r="Q25" s="215"/>
      <c r="T25" s="217"/>
    </row>
    <row r="26" spans="1:22" s="226" customFormat="1" ht="38.25" x14ac:dyDescent="0.2">
      <c r="A26" s="273" t="s">
        <v>158</v>
      </c>
      <c r="B26" s="261" t="s">
        <v>642</v>
      </c>
      <c r="C26" s="234" t="s">
        <v>128</v>
      </c>
      <c r="D26" s="220">
        <f>'Planilha CT Original'!F24</f>
        <v>0</v>
      </c>
      <c r="E26" s="220">
        <f>'Planilha CT Original'!H24</f>
        <v>302.23</v>
      </c>
      <c r="F26" s="220">
        <f>D26*E26</f>
        <v>0</v>
      </c>
      <c r="G26" s="220">
        <v>0</v>
      </c>
      <c r="H26" s="220">
        <f>E26*G26</f>
        <v>0</v>
      </c>
      <c r="I26" s="220">
        <f>D26-G26</f>
        <v>0</v>
      </c>
      <c r="J26" s="220" t="e">
        <f>#REF!</f>
        <v>#REF!</v>
      </c>
      <c r="K26" s="220">
        <v>0</v>
      </c>
      <c r="L26" s="220" t="e">
        <f>I26+J26-K26</f>
        <v>#REF!</v>
      </c>
      <c r="M26" s="221">
        <v>407.9</v>
      </c>
      <c r="N26" s="221">
        <f>M26*$Q$5</f>
        <v>526.15</v>
      </c>
      <c r="O26" s="316" t="s">
        <v>647</v>
      </c>
      <c r="P26" s="221" t="e">
        <f>L26*N26</f>
        <v>#REF!</v>
      </c>
      <c r="Q26" s="223"/>
      <c r="R26" s="224"/>
      <c r="S26" s="225"/>
      <c r="V26" s="227"/>
    </row>
    <row r="27" spans="1:22" s="226" customFormat="1" ht="38.25" customHeight="1" x14ac:dyDescent="0.2">
      <c r="A27" s="273" t="s">
        <v>170</v>
      </c>
      <c r="B27" s="261" t="s">
        <v>608</v>
      </c>
      <c r="C27" s="219" t="s">
        <v>128</v>
      </c>
      <c r="D27" s="220">
        <f>'Planilha CT Original'!F25</f>
        <v>0</v>
      </c>
      <c r="E27" s="220">
        <f>'Planilha CT Original'!H25</f>
        <v>102.63</v>
      </c>
      <c r="F27" s="220">
        <f>D27*E27</f>
        <v>0</v>
      </c>
      <c r="G27" s="220">
        <v>0</v>
      </c>
      <c r="H27" s="220">
        <f>E27*G27</f>
        <v>0</v>
      </c>
      <c r="I27" s="220">
        <f>D27-G27</f>
        <v>0</v>
      </c>
      <c r="J27" s="220" t="e">
        <f>#REF!</f>
        <v>#REF!</v>
      </c>
      <c r="K27" s="220">
        <v>0</v>
      </c>
      <c r="L27" s="220" t="e">
        <f>I27+J27-K27</f>
        <v>#REF!</v>
      </c>
      <c r="M27" s="221">
        <v>223.27</v>
      </c>
      <c r="N27" s="221">
        <f>M27*$Q$5</f>
        <v>288</v>
      </c>
      <c r="O27" s="316" t="s">
        <v>648</v>
      </c>
      <c r="P27" s="221" t="e">
        <f>L27*N27</f>
        <v>#REF!</v>
      </c>
      <c r="Q27" s="223"/>
      <c r="R27" s="224"/>
      <c r="S27" s="225"/>
      <c r="V27" s="227"/>
    </row>
    <row r="28" spans="1:22" s="226" customFormat="1" ht="54" customHeight="1" x14ac:dyDescent="0.2">
      <c r="A28" s="273" t="s">
        <v>203</v>
      </c>
      <c r="B28" s="261" t="s">
        <v>640</v>
      </c>
      <c r="C28" s="234" t="s">
        <v>13</v>
      </c>
      <c r="D28" s="220">
        <f>'Planilha CT Original'!F26</f>
        <v>0</v>
      </c>
      <c r="E28" s="220">
        <f>'Planilha CT Original'!H26</f>
        <v>33.840000000000003</v>
      </c>
      <c r="F28" s="220">
        <f>D28*E28</f>
        <v>0</v>
      </c>
      <c r="G28" s="220">
        <v>0</v>
      </c>
      <c r="H28" s="220">
        <f>E28*G28</f>
        <v>0</v>
      </c>
      <c r="I28" s="220">
        <f>D28-G28</f>
        <v>0</v>
      </c>
      <c r="J28" s="220" t="e">
        <f>#REF!</f>
        <v>#REF!</v>
      </c>
      <c r="K28" s="220">
        <v>0</v>
      </c>
      <c r="L28" s="220" t="e">
        <f>I28+J28-K28</f>
        <v>#REF!</v>
      </c>
      <c r="M28" s="221" t="e">
        <f>'Composição Custos Unit'!#REF!</f>
        <v>#REF!</v>
      </c>
      <c r="N28" s="221" t="e">
        <f>M28*$Q$5</f>
        <v>#REF!</v>
      </c>
      <c r="O28" s="316" t="s">
        <v>657</v>
      </c>
      <c r="P28" s="221" t="e">
        <f>L28*N28</f>
        <v>#REF!</v>
      </c>
      <c r="Q28" s="223"/>
      <c r="R28" s="224"/>
      <c r="S28" s="225"/>
      <c r="V28" s="227"/>
    </row>
    <row r="29" spans="1:22" s="226" customFormat="1" ht="38.25" customHeight="1" x14ac:dyDescent="0.2">
      <c r="A29" s="315" t="s">
        <v>181</v>
      </c>
      <c r="B29" s="261" t="s">
        <v>609</v>
      </c>
      <c r="C29" s="234" t="s">
        <v>13</v>
      </c>
      <c r="D29" s="220">
        <v>0</v>
      </c>
      <c r="E29" s="220">
        <v>0</v>
      </c>
      <c r="F29" s="220">
        <v>0</v>
      </c>
      <c r="G29" s="220">
        <v>0</v>
      </c>
      <c r="H29" s="220">
        <v>0</v>
      </c>
      <c r="I29" s="220">
        <v>0</v>
      </c>
      <c r="J29" s="220" t="e">
        <f>#REF!</f>
        <v>#REF!</v>
      </c>
      <c r="K29" s="220">
        <v>0</v>
      </c>
      <c r="L29" s="220" t="e">
        <f>I29+J29-K29</f>
        <v>#REF!</v>
      </c>
      <c r="M29" s="221">
        <v>14.87</v>
      </c>
      <c r="N29" s="221">
        <f>M29*$Q$5</f>
        <v>19.18</v>
      </c>
      <c r="O29" s="316" t="s">
        <v>649</v>
      </c>
      <c r="P29" s="221" t="e">
        <f>L29*N29</f>
        <v>#REF!</v>
      </c>
      <c r="Q29" s="223"/>
      <c r="R29" s="224"/>
      <c r="S29" s="225"/>
    </row>
    <row r="30" spans="1:22" s="202" customFormat="1" ht="5.0999999999999996" customHeight="1" x14ac:dyDescent="0.2">
      <c r="A30" s="239"/>
      <c r="B30" s="239"/>
      <c r="C30" s="219"/>
      <c r="D30" s="220"/>
      <c r="E30" s="220"/>
      <c r="F30" s="220"/>
      <c r="G30" s="220"/>
      <c r="H30" s="220"/>
      <c r="I30" s="220"/>
      <c r="J30" s="220"/>
      <c r="K30" s="220"/>
      <c r="L30" s="220"/>
      <c r="M30" s="220"/>
      <c r="N30" s="220"/>
      <c r="O30" s="236"/>
      <c r="P30" s="274"/>
      <c r="Q30" s="229"/>
      <c r="S30" s="230"/>
    </row>
    <row r="31" spans="1:22" s="216" customFormat="1" ht="12.75" customHeight="1" x14ac:dyDescent="0.2">
      <c r="A31" s="275" t="s">
        <v>174</v>
      </c>
      <c r="B31" s="248" t="s">
        <v>292</v>
      </c>
      <c r="C31" s="219"/>
      <c r="D31" s="220"/>
      <c r="E31" s="220"/>
      <c r="F31" s="233">
        <f>SUM(F32:F36)</f>
        <v>899.59</v>
      </c>
      <c r="G31" s="241"/>
      <c r="H31" s="233">
        <f>SUM(H32:H36)</f>
        <v>798.82</v>
      </c>
      <c r="I31" s="241"/>
      <c r="J31" s="241"/>
      <c r="K31" s="241"/>
      <c r="L31" s="241"/>
      <c r="M31" s="243"/>
      <c r="N31" s="243"/>
      <c r="O31" s="244"/>
      <c r="P31" s="243">
        <f>SUM(P32:P36)</f>
        <v>0</v>
      </c>
      <c r="Q31" s="215"/>
      <c r="T31" s="217"/>
    </row>
    <row r="32" spans="1:22" s="202" customFormat="1" ht="25.5" x14ac:dyDescent="0.2">
      <c r="A32" s="273" t="s">
        <v>175</v>
      </c>
      <c r="B32" s="261" t="str">
        <f>'Planilha CT Original'!D28</f>
        <v>Placa esmaltada para identificação nr de Rua, dimensões 45x25cm</v>
      </c>
      <c r="C32" s="234" t="s">
        <v>279</v>
      </c>
      <c r="D32" s="220">
        <f>'Planilha CT Original'!F28</f>
        <v>2</v>
      </c>
      <c r="E32" s="220">
        <f>'Planilha CT Original'!H28</f>
        <v>100.49</v>
      </c>
      <c r="F32" s="220">
        <f>D32*E32</f>
        <v>200.98</v>
      </c>
      <c r="G32" s="220">
        <v>2</v>
      </c>
      <c r="H32" s="220">
        <f>E32*G32</f>
        <v>200.98</v>
      </c>
      <c r="I32" s="220">
        <f>D32-G32</f>
        <v>0</v>
      </c>
      <c r="J32" s="220">
        <v>0</v>
      </c>
      <c r="K32" s="220">
        <v>0</v>
      </c>
      <c r="L32" s="220">
        <f>I32+J32-K32</f>
        <v>0</v>
      </c>
      <c r="M32" s="221">
        <v>0</v>
      </c>
      <c r="N32" s="221">
        <f>M32*$Q$5</f>
        <v>0</v>
      </c>
      <c r="O32" s="245" t="s">
        <v>58</v>
      </c>
      <c r="P32" s="221">
        <f>L32*N32</f>
        <v>0</v>
      </c>
      <c r="Q32" s="229"/>
      <c r="R32" s="230"/>
      <c r="S32" s="230"/>
      <c r="T32" s="247"/>
    </row>
    <row r="33" spans="1:22" s="202" customFormat="1" ht="14.25" x14ac:dyDescent="0.2">
      <c r="A33" s="273" t="s">
        <v>246</v>
      </c>
      <c r="B33" s="261" t="str">
        <f>'Planilha CT Original'!D29</f>
        <v>Caiação de meio-fio</v>
      </c>
      <c r="C33" s="219" t="s">
        <v>13</v>
      </c>
      <c r="D33" s="220">
        <f>'Planilha CT Original'!F29</f>
        <v>97.5</v>
      </c>
      <c r="E33" s="220">
        <f>'Planilha CT Original'!H29</f>
        <v>1.23</v>
      </c>
      <c r="F33" s="220">
        <f>D33*E33</f>
        <v>119.93</v>
      </c>
      <c r="G33" s="220">
        <v>15.58</v>
      </c>
      <c r="H33" s="220">
        <f>E33*G33</f>
        <v>19.16</v>
      </c>
      <c r="I33" s="220">
        <f>D33-G33</f>
        <v>81.92</v>
      </c>
      <c r="J33" s="220">
        <v>0</v>
      </c>
      <c r="K33" s="220">
        <v>81.92</v>
      </c>
      <c r="L33" s="220">
        <f>I33+J33-K33</f>
        <v>0</v>
      </c>
      <c r="M33" s="221">
        <v>0</v>
      </c>
      <c r="N33" s="221">
        <f>M33*$Q$5</f>
        <v>0</v>
      </c>
      <c r="O33" s="245" t="s">
        <v>58</v>
      </c>
      <c r="P33" s="221">
        <f>L33*N33</f>
        <v>0</v>
      </c>
      <c r="Q33" s="229"/>
      <c r="R33" s="230"/>
      <c r="S33" s="230"/>
      <c r="T33" s="247"/>
    </row>
    <row r="34" spans="1:22" s="202" customFormat="1" ht="25.5" x14ac:dyDescent="0.2">
      <c r="A34" s="314" t="s">
        <v>247</v>
      </c>
      <c r="B34" s="261" t="str">
        <f>'Planilha CT Original'!D30</f>
        <v>Confecção de placa em aço nº 16 galvanizado, com película retrorrefletiva tipo I + III</v>
      </c>
      <c r="C34" s="219" t="s">
        <v>279</v>
      </c>
      <c r="D34" s="220">
        <f>'Planilha CT Original'!F30</f>
        <v>0</v>
      </c>
      <c r="E34" s="220">
        <f>'Planilha CT Original'!H30</f>
        <v>295.73</v>
      </c>
      <c r="F34" s="220">
        <f>D34*E34</f>
        <v>0</v>
      </c>
      <c r="G34" s="220">
        <v>0</v>
      </c>
      <c r="H34" s="220">
        <f>E34*G34</f>
        <v>0</v>
      </c>
      <c r="I34" s="220">
        <f>D34-G34</f>
        <v>0</v>
      </c>
      <c r="J34" s="220">
        <v>0</v>
      </c>
      <c r="K34" s="220">
        <v>0</v>
      </c>
      <c r="L34" s="220">
        <f>I34+J34-K34</f>
        <v>0</v>
      </c>
      <c r="M34" s="220">
        <v>0</v>
      </c>
      <c r="N34" s="220">
        <f>M34*$Q$5</f>
        <v>0</v>
      </c>
      <c r="O34" s="246" t="s">
        <v>58</v>
      </c>
      <c r="P34" s="220">
        <f>L34*N34</f>
        <v>0</v>
      </c>
      <c r="Q34" s="229"/>
      <c r="R34" s="230"/>
      <c r="S34" s="230"/>
      <c r="T34" s="247"/>
    </row>
    <row r="35" spans="1:22" s="202" customFormat="1" ht="38.25" x14ac:dyDescent="0.2">
      <c r="A35" s="314" t="s">
        <v>248</v>
      </c>
      <c r="B35" s="261" t="str">
        <f>'Planilha CT Original'!D31</f>
        <v>Fornecimento e implantação de suporte e travessa para placa de sinalização em madeira de lei tratada 8 x 8 cm (h = 3,00m)</v>
      </c>
      <c r="C35" s="234" t="s">
        <v>279</v>
      </c>
      <c r="D35" s="220">
        <f>'Planilha CT Original'!F31</f>
        <v>0</v>
      </c>
      <c r="E35" s="220">
        <f>'Planilha CT Original'!H31</f>
        <v>123.16</v>
      </c>
      <c r="F35" s="220">
        <f>D35*E35</f>
        <v>0</v>
      </c>
      <c r="G35" s="220">
        <v>0</v>
      </c>
      <c r="H35" s="220">
        <f>E35*G35</f>
        <v>0</v>
      </c>
      <c r="I35" s="220">
        <f>D35-G35</f>
        <v>0</v>
      </c>
      <c r="J35" s="220">
        <v>0</v>
      </c>
      <c r="K35" s="220">
        <v>0</v>
      </c>
      <c r="L35" s="220">
        <f>I35+J35-K35</f>
        <v>0</v>
      </c>
      <c r="M35" s="220">
        <v>0</v>
      </c>
      <c r="N35" s="220">
        <f>M35*$Q$5</f>
        <v>0</v>
      </c>
      <c r="O35" s="246" t="s">
        <v>58</v>
      </c>
      <c r="P35" s="220">
        <f>L35*N35</f>
        <v>0</v>
      </c>
      <c r="Q35" s="229"/>
      <c r="R35" s="230"/>
      <c r="S35" s="230"/>
      <c r="T35" s="247"/>
    </row>
    <row r="36" spans="1:22" s="202" customFormat="1" ht="14.25" x14ac:dyDescent="0.2">
      <c r="A36" s="314" t="s">
        <v>249</v>
      </c>
      <c r="B36" s="261" t="str">
        <f>'Planilha CT Original'!D32</f>
        <v>Limpeza final de obra</v>
      </c>
      <c r="C36" s="234" t="s">
        <v>13</v>
      </c>
      <c r="D36" s="220">
        <f>'Planilha CT Original'!F32</f>
        <v>1702</v>
      </c>
      <c r="E36" s="220">
        <f>'Planilha CT Original'!H32</f>
        <v>0.34</v>
      </c>
      <c r="F36" s="220">
        <f>D36*E36</f>
        <v>578.67999999999995</v>
      </c>
      <c r="G36" s="220">
        <v>1702</v>
      </c>
      <c r="H36" s="220">
        <f>E36*G36</f>
        <v>578.67999999999995</v>
      </c>
      <c r="I36" s="220">
        <f>D36-G36</f>
        <v>0</v>
      </c>
      <c r="J36" s="220">
        <v>0</v>
      </c>
      <c r="K36" s="220">
        <v>0</v>
      </c>
      <c r="L36" s="220">
        <f>I36+J36-K36</f>
        <v>0</v>
      </c>
      <c r="M36" s="220">
        <v>0</v>
      </c>
      <c r="N36" s="220">
        <f>M36*$Q$5</f>
        <v>0</v>
      </c>
      <c r="O36" s="246" t="s">
        <v>58</v>
      </c>
      <c r="P36" s="220">
        <f>L36*N36</f>
        <v>0</v>
      </c>
      <c r="Q36" s="229"/>
      <c r="R36" s="230"/>
      <c r="S36" s="230"/>
      <c r="T36" s="247"/>
    </row>
    <row r="37" spans="1:22" s="202" customFormat="1" ht="6.75" customHeight="1" thickBot="1" x14ac:dyDescent="0.25">
      <c r="A37" s="276"/>
      <c r="B37" s="249"/>
      <c r="C37" s="250"/>
      <c r="D37" s="251"/>
      <c r="E37" s="251"/>
      <c r="F37" s="251"/>
      <c r="G37" s="251"/>
      <c r="H37" s="251"/>
      <c r="I37" s="251"/>
      <c r="J37" s="251"/>
      <c r="K37" s="251"/>
      <c r="L37" s="251"/>
      <c r="M37" s="252"/>
      <c r="N37" s="252"/>
      <c r="O37" s="252"/>
      <c r="P37" s="277"/>
      <c r="Q37" s="229"/>
    </row>
    <row r="38" spans="1:22" s="254" customFormat="1" ht="20.25" customHeight="1" thickBot="1" x14ac:dyDescent="0.25">
      <c r="A38" s="810" t="s">
        <v>295</v>
      </c>
      <c r="B38" s="744"/>
      <c r="C38" s="744"/>
      <c r="D38" s="744"/>
      <c r="E38" s="744"/>
      <c r="F38" s="553">
        <f>F11+F14+F17+F25+F31</f>
        <v>92922.51</v>
      </c>
      <c r="G38" s="554"/>
      <c r="H38" s="553">
        <f>H11+H14+H17+H25+H31</f>
        <v>82715.47</v>
      </c>
      <c r="I38" s="555"/>
      <c r="J38" s="555"/>
      <c r="K38" s="555"/>
      <c r="L38" s="555"/>
      <c r="M38" s="556"/>
      <c r="N38" s="556"/>
      <c r="O38" s="557"/>
      <c r="P38" s="558" t="e">
        <f>P11+P14+P17+P22+P25+P31</f>
        <v>#REF!</v>
      </c>
      <c r="Q38" s="253"/>
      <c r="R38" s="270">
        <f>F38-H38</f>
        <v>10207.040000000001</v>
      </c>
      <c r="T38" s="255"/>
    </row>
    <row r="39" spans="1:22" s="202" customFormat="1" ht="5.0999999999999996" customHeight="1" thickBot="1" x14ac:dyDescent="0.25">
      <c r="A39" s="239"/>
      <c r="B39" s="228"/>
      <c r="C39" s="219"/>
      <c r="D39" s="220"/>
      <c r="E39" s="220"/>
      <c r="F39" s="220"/>
      <c r="G39" s="220"/>
      <c r="H39" s="220"/>
      <c r="I39" s="220"/>
      <c r="J39" s="220"/>
      <c r="K39" s="220"/>
      <c r="L39" s="220"/>
      <c r="M39" s="220"/>
      <c r="N39" s="220"/>
      <c r="O39" s="236"/>
      <c r="P39" s="274"/>
      <c r="Q39" s="229"/>
      <c r="S39" s="230"/>
    </row>
    <row r="40" spans="1:22" s="202" customFormat="1" ht="18" customHeight="1" thickBot="1" x14ac:dyDescent="0.3">
      <c r="A40" s="821" t="s">
        <v>263</v>
      </c>
      <c r="B40" s="822"/>
      <c r="C40" s="822"/>
      <c r="D40" s="822"/>
      <c r="E40" s="822"/>
      <c r="F40" s="822"/>
      <c r="G40" s="822"/>
      <c r="H40" s="822"/>
      <c r="I40" s="822"/>
      <c r="J40" s="822"/>
      <c r="K40" s="822"/>
      <c r="L40" s="822"/>
      <c r="M40" s="822"/>
      <c r="N40" s="822"/>
      <c r="O40" s="822"/>
      <c r="P40" s="823"/>
      <c r="Q40" s="205"/>
      <c r="R40" s="205"/>
      <c r="S40" s="205"/>
      <c r="T40" s="207"/>
      <c r="U40" s="208"/>
    </row>
    <row r="41" spans="1:22" s="216" customFormat="1" ht="12.75" customHeight="1" x14ac:dyDescent="0.2">
      <c r="A41" s="272" t="s">
        <v>4</v>
      </c>
      <c r="B41" s="209" t="s">
        <v>277</v>
      </c>
      <c r="C41" s="210"/>
      <c r="D41" s="211"/>
      <c r="E41" s="211"/>
      <c r="F41" s="213">
        <f>SUM(F42:F42)</f>
        <v>644.48</v>
      </c>
      <c r="G41" s="211"/>
      <c r="H41" s="213">
        <f>SUM(H42:H42)</f>
        <v>644.48</v>
      </c>
      <c r="I41" s="211"/>
      <c r="J41" s="211"/>
      <c r="K41" s="211"/>
      <c r="L41" s="213"/>
      <c r="M41" s="212"/>
      <c r="N41" s="212"/>
      <c r="O41" s="214"/>
      <c r="P41" s="212">
        <f>SUM(P42:P42)</f>
        <v>0</v>
      </c>
      <c r="Q41" s="215"/>
      <c r="T41" s="217"/>
    </row>
    <row r="42" spans="1:22" s="226" customFormat="1" ht="25.5" x14ac:dyDescent="0.2">
      <c r="A42" s="273" t="s">
        <v>5</v>
      </c>
      <c r="B42" s="218" t="str">
        <f>B12</f>
        <v>Serviços topográficos para pavimentação, inclusive nota de serviços, acompanhamento e greide</v>
      </c>
      <c r="C42" s="219" t="str">
        <f>C12</f>
        <v>m²</v>
      </c>
      <c r="D42" s="220">
        <f>'Planilha CT Original'!F36</f>
        <v>1696</v>
      </c>
      <c r="E42" s="220">
        <f>E12</f>
        <v>0.38</v>
      </c>
      <c r="F42" s="220">
        <f>D42*E42</f>
        <v>644.48</v>
      </c>
      <c r="G42" s="220">
        <v>1696</v>
      </c>
      <c r="H42" s="220">
        <f>E42*G42</f>
        <v>644.48</v>
      </c>
      <c r="I42" s="220">
        <f>D42-G42</f>
        <v>0</v>
      </c>
      <c r="J42" s="220">
        <v>0</v>
      </c>
      <c r="K42" s="220">
        <v>0</v>
      </c>
      <c r="L42" s="220">
        <f>I42+J42-K42</f>
        <v>0</v>
      </c>
      <c r="M42" s="221">
        <v>0</v>
      </c>
      <c r="N42" s="221">
        <f>M42*$Q$5</f>
        <v>0</v>
      </c>
      <c r="O42" s="222" t="s">
        <v>58</v>
      </c>
      <c r="P42" s="221">
        <f>L42*N42</f>
        <v>0</v>
      </c>
      <c r="Q42" s="223"/>
      <c r="R42" s="224"/>
      <c r="S42" s="225"/>
      <c r="V42" s="227"/>
    </row>
    <row r="43" spans="1:22" s="202" customFormat="1" ht="5.0999999999999996" customHeight="1" x14ac:dyDescent="0.2">
      <c r="A43" s="239"/>
      <c r="B43" s="228"/>
      <c r="C43" s="219"/>
      <c r="D43" s="220"/>
      <c r="E43" s="220"/>
      <c r="F43" s="220"/>
      <c r="G43" s="220"/>
      <c r="H43" s="220"/>
      <c r="I43" s="220"/>
      <c r="J43" s="220"/>
      <c r="K43" s="220"/>
      <c r="L43" s="220"/>
      <c r="M43" s="221"/>
      <c r="N43" s="221"/>
      <c r="O43" s="222"/>
      <c r="P43" s="274"/>
      <c r="Q43" s="229"/>
      <c r="S43" s="230"/>
    </row>
    <row r="44" spans="1:22" s="216" customFormat="1" ht="12.75" customHeight="1" x14ac:dyDescent="0.2">
      <c r="A44" s="272" t="s">
        <v>6</v>
      </c>
      <c r="B44" s="209" t="s">
        <v>278</v>
      </c>
      <c r="C44" s="210"/>
      <c r="D44" s="220"/>
      <c r="E44" s="232"/>
      <c r="F44" s="233">
        <f>SUM(F45:F45)</f>
        <v>2357.44</v>
      </c>
      <c r="G44" s="211"/>
      <c r="H44" s="233">
        <f>SUM(H45:H45)</f>
        <v>2357.44</v>
      </c>
      <c r="I44" s="211"/>
      <c r="J44" s="211"/>
      <c r="K44" s="211"/>
      <c r="L44" s="211"/>
      <c r="M44" s="221"/>
      <c r="N44" s="221"/>
      <c r="O44" s="222"/>
      <c r="P44" s="212">
        <f>SUM(P45)</f>
        <v>0</v>
      </c>
      <c r="Q44" s="215"/>
      <c r="T44" s="217">
        <v>1.2097</v>
      </c>
    </row>
    <row r="45" spans="1:22" s="226" customFormat="1" ht="25.5" x14ac:dyDescent="0.2">
      <c r="A45" s="273" t="s">
        <v>7</v>
      </c>
      <c r="B45" s="218" t="str">
        <f>B15</f>
        <v>Regularização e compactação do subleito até 20 cm de espessura</v>
      </c>
      <c r="C45" s="234" t="str">
        <f>C15</f>
        <v>m²</v>
      </c>
      <c r="D45" s="220">
        <f>'Planilha CT Original'!F38</f>
        <v>1696</v>
      </c>
      <c r="E45" s="220">
        <f>E15</f>
        <v>1.39</v>
      </c>
      <c r="F45" s="220">
        <f>D45*E45</f>
        <v>2357.44</v>
      </c>
      <c r="G45" s="220">
        <v>1696</v>
      </c>
      <c r="H45" s="220">
        <f>E45*G45</f>
        <v>2357.44</v>
      </c>
      <c r="I45" s="220">
        <f>D45-G45</f>
        <v>0</v>
      </c>
      <c r="J45" s="220">
        <v>0</v>
      </c>
      <c r="K45" s="220">
        <v>0</v>
      </c>
      <c r="L45" s="220">
        <f>I45+J45-K45</f>
        <v>0</v>
      </c>
      <c r="M45" s="221">
        <v>0</v>
      </c>
      <c r="N45" s="221">
        <f>M45*$Q$5</f>
        <v>0</v>
      </c>
      <c r="O45" s="222" t="s">
        <v>58</v>
      </c>
      <c r="P45" s="221">
        <f>L45*N45</f>
        <v>0</v>
      </c>
      <c r="Q45" s="223"/>
      <c r="R45" s="224"/>
      <c r="S45" s="225"/>
      <c r="V45" s="227"/>
    </row>
    <row r="46" spans="1:22" s="202" customFormat="1" ht="5.0999999999999996" customHeight="1" x14ac:dyDescent="0.2">
      <c r="A46" s="239"/>
      <c r="B46" s="228"/>
      <c r="C46" s="219"/>
      <c r="D46" s="220"/>
      <c r="E46" s="220"/>
      <c r="F46" s="220"/>
      <c r="G46" s="220"/>
      <c r="H46" s="220"/>
      <c r="I46" s="220"/>
      <c r="J46" s="220"/>
      <c r="K46" s="220"/>
      <c r="L46" s="220"/>
      <c r="M46" s="220"/>
      <c r="N46" s="220"/>
      <c r="O46" s="236"/>
      <c r="P46" s="274"/>
      <c r="Q46" s="229"/>
      <c r="S46" s="230"/>
    </row>
    <row r="47" spans="1:22" s="216" customFormat="1" ht="12.75" customHeight="1" x14ac:dyDescent="0.2">
      <c r="A47" s="272" t="s">
        <v>8</v>
      </c>
      <c r="B47" s="209" t="s">
        <v>20</v>
      </c>
      <c r="C47" s="210"/>
      <c r="D47" s="211"/>
      <c r="E47" s="211"/>
      <c r="F47" s="233">
        <f>SUM(F48:F50)</f>
        <v>88773.6</v>
      </c>
      <c r="G47" s="211"/>
      <c r="H47" s="233">
        <f>SUM(H48:H50)</f>
        <v>76684.320000000007</v>
      </c>
      <c r="I47" s="211"/>
      <c r="J47" s="211"/>
      <c r="K47" s="211"/>
      <c r="L47" s="211"/>
      <c r="M47" s="237"/>
      <c r="N47" s="237"/>
      <c r="O47" s="238"/>
      <c r="P47" s="212">
        <f>SUM(P48:P50)</f>
        <v>0</v>
      </c>
      <c r="Q47" s="215"/>
      <c r="T47" s="217"/>
    </row>
    <row r="48" spans="1:22" s="226" customFormat="1" ht="66.75" customHeight="1" x14ac:dyDescent="0.2">
      <c r="A48" s="273" t="s">
        <v>9</v>
      </c>
      <c r="B48" s="218" t="str">
        <f t="shared" ref="B48:C50" si="0">B18</f>
        <v>Assentamento de guia (meio-fio) em trecho reto, confeccionada em concreto pré-fabricado, dimensões 100x15x13x30 cm (comprimento x base inferior x base superior x altura), para vias urbanas (uso viário)</v>
      </c>
      <c r="C48" s="219" t="str">
        <f t="shared" si="0"/>
        <v>m</v>
      </c>
      <c r="D48" s="220">
        <f>'Planilha CT Original'!F40</f>
        <v>392</v>
      </c>
      <c r="E48" s="220">
        <f>E18</f>
        <v>30.84</v>
      </c>
      <c r="F48" s="220">
        <f>D48*E48</f>
        <v>12089.28</v>
      </c>
      <c r="G48" s="220">
        <v>0</v>
      </c>
      <c r="H48" s="220">
        <f>E48*G48</f>
        <v>0</v>
      </c>
      <c r="I48" s="220">
        <f>D48-G48</f>
        <v>392</v>
      </c>
      <c r="J48" s="220">
        <v>0</v>
      </c>
      <c r="K48" s="220">
        <v>392</v>
      </c>
      <c r="L48" s="220">
        <f>I48+J48-K48</f>
        <v>0</v>
      </c>
      <c r="M48" s="221">
        <f>M18</f>
        <v>0</v>
      </c>
      <c r="N48" s="221">
        <f>M48*$Q$5</f>
        <v>0</v>
      </c>
      <c r="O48" s="316" t="str">
        <f>O18</f>
        <v>-</v>
      </c>
      <c r="P48" s="221">
        <f>L48*N48</f>
        <v>0</v>
      </c>
      <c r="Q48" s="223"/>
      <c r="R48" s="224"/>
      <c r="S48" s="225"/>
      <c r="V48" s="227"/>
    </row>
    <row r="49" spans="1:22" s="226" customFormat="1" ht="14.25" x14ac:dyDescent="0.2">
      <c r="A49" s="273" t="s">
        <v>12</v>
      </c>
      <c r="B49" s="218" t="str">
        <f t="shared" si="0"/>
        <v>Revestimento em paralelepipedo inc.colchao areia</v>
      </c>
      <c r="C49" s="219" t="str">
        <f t="shared" si="0"/>
        <v>m²</v>
      </c>
      <c r="D49" s="220">
        <f>'Planilha CT Original'!F41</f>
        <v>1696</v>
      </c>
      <c r="E49" s="220">
        <f>E19</f>
        <v>44.87</v>
      </c>
      <c r="F49" s="220">
        <f>D49*E49</f>
        <v>76099.520000000004</v>
      </c>
      <c r="G49" s="220">
        <v>1696</v>
      </c>
      <c r="H49" s="220">
        <f>E49*G49</f>
        <v>76099.520000000004</v>
      </c>
      <c r="I49" s="220">
        <f>D49-G49</f>
        <v>0</v>
      </c>
      <c r="J49" s="220">
        <v>0</v>
      </c>
      <c r="K49" s="220">
        <v>0</v>
      </c>
      <c r="L49" s="220">
        <f>I49+J49-K49</f>
        <v>0</v>
      </c>
      <c r="M49" s="221">
        <v>0</v>
      </c>
      <c r="N49" s="221">
        <f>M49*$Q$5</f>
        <v>0</v>
      </c>
      <c r="O49" s="222" t="s">
        <v>58</v>
      </c>
      <c r="P49" s="221">
        <f>L49*N49</f>
        <v>0</v>
      </c>
      <c r="Q49" s="223"/>
      <c r="R49" s="224"/>
      <c r="S49" s="225"/>
      <c r="V49" s="227"/>
    </row>
    <row r="50" spans="1:22" s="226" customFormat="1" ht="25.5" x14ac:dyDescent="0.2">
      <c r="A50" s="273" t="s">
        <v>108</v>
      </c>
      <c r="B50" s="218" t="str">
        <f t="shared" si="0"/>
        <v>Forn. e aplicacao de meio fio em pedra granitica (Cordão de travamento)</v>
      </c>
      <c r="C50" s="219" t="str">
        <f t="shared" si="0"/>
        <v>m</v>
      </c>
      <c r="D50" s="220">
        <f>'Planilha CT Original'!F42</f>
        <v>40</v>
      </c>
      <c r="E50" s="220">
        <f>E20</f>
        <v>14.62</v>
      </c>
      <c r="F50" s="220">
        <f>D50*E50</f>
        <v>584.79999999999995</v>
      </c>
      <c r="G50" s="220">
        <v>40</v>
      </c>
      <c r="H50" s="220">
        <f>E50*G50</f>
        <v>584.79999999999995</v>
      </c>
      <c r="I50" s="220">
        <f>D50-G50</f>
        <v>0</v>
      </c>
      <c r="J50" s="220">
        <v>0</v>
      </c>
      <c r="K50" s="220">
        <v>0</v>
      </c>
      <c r="L50" s="220">
        <f>I50+J50-K50</f>
        <v>0</v>
      </c>
      <c r="M50" s="221">
        <v>0</v>
      </c>
      <c r="N50" s="221">
        <f>M50*$Q$5</f>
        <v>0</v>
      </c>
      <c r="O50" s="222" t="s">
        <v>58</v>
      </c>
      <c r="P50" s="221">
        <f>L50*N50</f>
        <v>0</v>
      </c>
      <c r="Q50" s="223"/>
      <c r="R50" s="224"/>
      <c r="S50" s="225"/>
      <c r="V50" s="227"/>
    </row>
    <row r="51" spans="1:22" s="202" customFormat="1" ht="5.0999999999999996" customHeight="1" x14ac:dyDescent="0.2">
      <c r="A51" s="239"/>
      <c r="B51" s="239"/>
      <c r="C51" s="219"/>
      <c r="D51" s="220"/>
      <c r="E51" s="220"/>
      <c r="F51" s="220"/>
      <c r="G51" s="220"/>
      <c r="H51" s="220"/>
      <c r="I51" s="220"/>
      <c r="J51" s="220"/>
      <c r="K51" s="220"/>
      <c r="L51" s="220"/>
      <c r="M51" s="221"/>
      <c r="N51" s="221"/>
      <c r="O51" s="222"/>
      <c r="P51" s="274"/>
      <c r="Q51" s="229"/>
      <c r="S51" s="230"/>
    </row>
    <row r="52" spans="1:22" s="216" customFormat="1" ht="12.75" customHeight="1" x14ac:dyDescent="0.2">
      <c r="A52" s="275" t="s">
        <v>14</v>
      </c>
      <c r="B52" s="240" t="s">
        <v>291</v>
      </c>
      <c r="C52" s="219"/>
      <c r="D52" s="220"/>
      <c r="E52" s="220"/>
      <c r="F52" s="231">
        <f>SUM(F53:F55)</f>
        <v>0</v>
      </c>
      <c r="G52" s="241"/>
      <c r="H52" s="233">
        <f>SUM(H53:H55)</f>
        <v>0</v>
      </c>
      <c r="I52" s="241"/>
      <c r="J52" s="241"/>
      <c r="K52" s="241"/>
      <c r="L52" s="241"/>
      <c r="M52" s="221"/>
      <c r="N52" s="221"/>
      <c r="O52" s="222"/>
      <c r="P52" s="243">
        <f>SUM(P53:P55)</f>
        <v>0</v>
      </c>
      <c r="Q52" s="215"/>
      <c r="T52" s="217"/>
    </row>
    <row r="53" spans="1:22" s="226" customFormat="1" ht="38.25" x14ac:dyDescent="0.2">
      <c r="A53" s="273" t="s">
        <v>15</v>
      </c>
      <c r="B53" s="261" t="str">
        <f t="shared" ref="B53:C55" si="1">B26</f>
        <v>Concreto Fck = 15mpa, traço 1:3,4:3,5 (em massa seca de cimento/ areia média/ brita 1), preparo mecânico com betoneira 400 L</v>
      </c>
      <c r="C53" s="219" t="str">
        <f t="shared" si="1"/>
        <v>m³</v>
      </c>
      <c r="D53" s="220">
        <f>'Planilha CT Original'!F44</f>
        <v>0</v>
      </c>
      <c r="E53" s="220">
        <f>E26</f>
        <v>302.23</v>
      </c>
      <c r="F53" s="220">
        <f>D53*E53</f>
        <v>0</v>
      </c>
      <c r="G53" s="220">
        <v>0</v>
      </c>
      <c r="H53" s="220">
        <f>E53*G53</f>
        <v>0</v>
      </c>
      <c r="I53" s="220">
        <f>D53-G53</f>
        <v>0</v>
      </c>
      <c r="J53" s="220">
        <v>0</v>
      </c>
      <c r="K53" s="220">
        <v>0</v>
      </c>
      <c r="L53" s="220">
        <f>I53+J53-K53</f>
        <v>0</v>
      </c>
      <c r="M53" s="221">
        <v>0</v>
      </c>
      <c r="N53" s="221">
        <f>M53*$Q$5</f>
        <v>0</v>
      </c>
      <c r="O53" s="222" t="s">
        <v>58</v>
      </c>
      <c r="P53" s="221">
        <f>L53*N53</f>
        <v>0</v>
      </c>
      <c r="Q53" s="223"/>
      <c r="R53" s="224"/>
      <c r="S53" s="225"/>
      <c r="V53" s="227"/>
    </row>
    <row r="54" spans="1:22" s="226" customFormat="1" ht="25.5" x14ac:dyDescent="0.2">
      <c r="A54" s="273" t="s">
        <v>129</v>
      </c>
      <c r="B54" s="261" t="str">
        <f t="shared" si="1"/>
        <v>Lançamento com uso de baldes, adensamento e acabamento de concreto em estruturas</v>
      </c>
      <c r="C54" s="219" t="str">
        <f t="shared" si="1"/>
        <v>m³</v>
      </c>
      <c r="D54" s="220">
        <f>'Planilha CT Original'!F45</f>
        <v>0</v>
      </c>
      <c r="E54" s="220">
        <f>E27</f>
        <v>102.63</v>
      </c>
      <c r="F54" s="220">
        <f>D54*E54</f>
        <v>0</v>
      </c>
      <c r="G54" s="220">
        <v>0</v>
      </c>
      <c r="H54" s="220">
        <f>E54*G54</f>
        <v>0</v>
      </c>
      <c r="I54" s="220">
        <f>D54-G54</f>
        <v>0</v>
      </c>
      <c r="J54" s="220">
        <v>0</v>
      </c>
      <c r="K54" s="220">
        <v>0</v>
      </c>
      <c r="L54" s="220">
        <f>I54+J54-K54</f>
        <v>0</v>
      </c>
      <c r="M54" s="221">
        <v>0</v>
      </c>
      <c r="N54" s="221">
        <f>M54*$Q$5</f>
        <v>0</v>
      </c>
      <c r="O54" s="222" t="s">
        <v>58</v>
      </c>
      <c r="P54" s="221">
        <f>L54*N54</f>
        <v>0</v>
      </c>
      <c r="Q54" s="223"/>
      <c r="R54" s="224"/>
      <c r="S54" s="225"/>
      <c r="V54" s="227"/>
    </row>
    <row r="55" spans="1:22" s="226" customFormat="1" ht="51" x14ac:dyDescent="0.2">
      <c r="A55" s="273" t="s">
        <v>131</v>
      </c>
      <c r="B55" s="261" t="str">
        <f t="shared" si="1"/>
        <v>Piso tátil direcional e/ou alerta, de concreto, na cor natural, para deficientes visuais, dimensões 20x20cm, aplicado com argamassa industrializada ac-ii - m²</v>
      </c>
      <c r="C55" s="219" t="str">
        <f t="shared" si="1"/>
        <v>m²</v>
      </c>
      <c r="D55" s="220">
        <v>0</v>
      </c>
      <c r="E55" s="220">
        <f>E28</f>
        <v>33.840000000000003</v>
      </c>
      <c r="F55" s="220">
        <f>D55*E55</f>
        <v>0</v>
      </c>
      <c r="G55" s="220">
        <v>0</v>
      </c>
      <c r="H55" s="220">
        <f>E55*G55</f>
        <v>0</v>
      </c>
      <c r="I55" s="220">
        <f>D55-G55</f>
        <v>0</v>
      </c>
      <c r="J55" s="220">
        <v>0</v>
      </c>
      <c r="K55" s="220">
        <v>0</v>
      </c>
      <c r="L55" s="220">
        <f>I55+J55-K55</f>
        <v>0</v>
      </c>
      <c r="M55" s="221">
        <v>0</v>
      </c>
      <c r="N55" s="221">
        <f>M55*$Q$5</f>
        <v>0</v>
      </c>
      <c r="O55" s="222" t="s">
        <v>58</v>
      </c>
      <c r="P55" s="221">
        <f>L55*N55</f>
        <v>0</v>
      </c>
      <c r="Q55" s="223"/>
      <c r="R55" s="224"/>
      <c r="S55" s="225"/>
      <c r="V55" s="227"/>
    </row>
    <row r="56" spans="1:22" s="202" customFormat="1" ht="5.0999999999999996" customHeight="1" x14ac:dyDescent="0.2">
      <c r="A56" s="239"/>
      <c r="B56" s="239"/>
      <c r="C56" s="219"/>
      <c r="D56" s="220"/>
      <c r="E56" s="220"/>
      <c r="F56" s="220"/>
      <c r="G56" s="220"/>
      <c r="H56" s="220"/>
      <c r="I56" s="220"/>
      <c r="J56" s="220"/>
      <c r="K56" s="220"/>
      <c r="L56" s="220"/>
      <c r="M56" s="220"/>
      <c r="N56" s="220"/>
      <c r="O56" s="236"/>
      <c r="P56" s="274"/>
      <c r="Q56" s="229"/>
      <c r="S56" s="230"/>
    </row>
    <row r="57" spans="1:22" s="216" customFormat="1" ht="12.75" customHeight="1" x14ac:dyDescent="0.2">
      <c r="A57" s="275" t="s">
        <v>157</v>
      </c>
      <c r="B57" s="248" t="s">
        <v>292</v>
      </c>
      <c r="C57" s="219"/>
      <c r="D57" s="220"/>
      <c r="E57" s="220"/>
      <c r="F57" s="233">
        <f>SUM(F58:F62)</f>
        <v>898.16</v>
      </c>
      <c r="G57" s="241"/>
      <c r="H57" s="233">
        <f>SUM(H58:H62)</f>
        <v>777.62</v>
      </c>
      <c r="I57" s="241"/>
      <c r="J57" s="241"/>
      <c r="K57" s="241"/>
      <c r="L57" s="241"/>
      <c r="M57" s="243"/>
      <c r="N57" s="243"/>
      <c r="O57" s="244"/>
      <c r="P57" s="243">
        <f>SUM(P58:P62)</f>
        <v>0</v>
      </c>
      <c r="Q57" s="215"/>
      <c r="T57" s="217"/>
    </row>
    <row r="58" spans="1:22" s="202" customFormat="1" ht="25.5" x14ac:dyDescent="0.2">
      <c r="A58" s="273" t="s">
        <v>158</v>
      </c>
      <c r="B58" s="261" t="str">
        <f t="shared" ref="B58:C62" si="2">B32</f>
        <v>Placa esmaltada para identificação nr de Rua, dimensões 45x25cm</v>
      </c>
      <c r="C58" s="219" t="str">
        <f t="shared" si="2"/>
        <v>unid</v>
      </c>
      <c r="D58" s="220">
        <f>'Planilha CT Original'!F48</f>
        <v>2</v>
      </c>
      <c r="E58" s="220">
        <f>E32</f>
        <v>100.49</v>
      </c>
      <c r="F58" s="220">
        <f>D58*E58</f>
        <v>200.98</v>
      </c>
      <c r="G58" s="220">
        <v>2</v>
      </c>
      <c r="H58" s="220">
        <f>E58*G58</f>
        <v>200.98</v>
      </c>
      <c r="I58" s="220">
        <f>D58-G58</f>
        <v>0</v>
      </c>
      <c r="J58" s="220">
        <v>0</v>
      </c>
      <c r="K58" s="220">
        <v>0</v>
      </c>
      <c r="L58" s="220">
        <f>I58+J58-K58</f>
        <v>0</v>
      </c>
      <c r="M58" s="221">
        <v>0</v>
      </c>
      <c r="N58" s="221">
        <f>M58*$Q$5</f>
        <v>0</v>
      </c>
      <c r="O58" s="245" t="s">
        <v>58</v>
      </c>
      <c r="P58" s="221">
        <f>L58*N58</f>
        <v>0</v>
      </c>
      <c r="Q58" s="229"/>
      <c r="R58" s="230"/>
      <c r="S58" s="230"/>
      <c r="T58" s="247"/>
    </row>
    <row r="59" spans="1:22" s="202" customFormat="1" ht="14.25" x14ac:dyDescent="0.2">
      <c r="A59" s="273" t="s">
        <v>170</v>
      </c>
      <c r="B59" s="261" t="str">
        <f t="shared" si="2"/>
        <v>Caiação de meio-fio</v>
      </c>
      <c r="C59" s="219" t="str">
        <f t="shared" si="2"/>
        <v>m²</v>
      </c>
      <c r="D59" s="220">
        <f>'Planilha CT Original'!F49</f>
        <v>98</v>
      </c>
      <c r="E59" s="220">
        <f>E33</f>
        <v>1.23</v>
      </c>
      <c r="F59" s="220">
        <f>D59*E59</f>
        <v>120.54</v>
      </c>
      <c r="G59" s="220">
        <v>0</v>
      </c>
      <c r="H59" s="220">
        <f>E59*G59</f>
        <v>0</v>
      </c>
      <c r="I59" s="220">
        <f>D59-G59</f>
        <v>98</v>
      </c>
      <c r="J59" s="220">
        <v>0</v>
      </c>
      <c r="K59" s="220">
        <v>98</v>
      </c>
      <c r="L59" s="220">
        <f>I59+J59-K59</f>
        <v>0</v>
      </c>
      <c r="M59" s="221">
        <v>0</v>
      </c>
      <c r="N59" s="221">
        <f>M59*$Q$5</f>
        <v>0</v>
      </c>
      <c r="O59" s="245" t="s">
        <v>58</v>
      </c>
      <c r="P59" s="221">
        <f>L59*N59</f>
        <v>0</v>
      </c>
      <c r="Q59" s="229"/>
      <c r="R59" s="230"/>
      <c r="S59" s="230"/>
      <c r="T59" s="247"/>
    </row>
    <row r="60" spans="1:22" s="202" customFormat="1" ht="25.5" x14ac:dyDescent="0.2">
      <c r="A60" s="273" t="s">
        <v>203</v>
      </c>
      <c r="B60" s="261" t="str">
        <f t="shared" si="2"/>
        <v>Confecção de placa em aço nº 16 galvanizado, com película retrorrefletiva tipo I + III</v>
      </c>
      <c r="C60" s="219" t="str">
        <f t="shared" si="2"/>
        <v>unid</v>
      </c>
      <c r="D60" s="220">
        <f>'Planilha CT Original'!F50</f>
        <v>0</v>
      </c>
      <c r="E60" s="220">
        <f>E34</f>
        <v>295.73</v>
      </c>
      <c r="F60" s="220">
        <f>D60*E60</f>
        <v>0</v>
      </c>
      <c r="G60" s="220">
        <v>0</v>
      </c>
      <c r="H60" s="220">
        <f>E60*G60</f>
        <v>0</v>
      </c>
      <c r="I60" s="220">
        <f>D60-G60</f>
        <v>0</v>
      </c>
      <c r="J60" s="220">
        <v>0</v>
      </c>
      <c r="K60" s="220">
        <v>0</v>
      </c>
      <c r="L60" s="220">
        <f>I60+J60-K60</f>
        <v>0</v>
      </c>
      <c r="M60" s="220">
        <v>0</v>
      </c>
      <c r="N60" s="220">
        <f>M60*$Q$5</f>
        <v>0</v>
      </c>
      <c r="O60" s="246" t="s">
        <v>58</v>
      </c>
      <c r="P60" s="220">
        <f>L60*N60</f>
        <v>0</v>
      </c>
      <c r="Q60" s="229"/>
      <c r="R60" s="230"/>
      <c r="S60" s="230"/>
      <c r="T60" s="247"/>
    </row>
    <row r="61" spans="1:22" s="202" customFormat="1" ht="38.25" x14ac:dyDescent="0.2">
      <c r="A61" s="273" t="s">
        <v>181</v>
      </c>
      <c r="B61" s="261" t="str">
        <f t="shared" si="2"/>
        <v>Fornecimento e implantação de suporte e travessa para placa de sinalização em madeira de lei tratada 8 x 8 cm (h = 3,00m)</v>
      </c>
      <c r="C61" s="219" t="str">
        <f t="shared" si="2"/>
        <v>unid</v>
      </c>
      <c r="D61" s="220">
        <f>'Planilha CT Original'!F51</f>
        <v>0</v>
      </c>
      <c r="E61" s="220">
        <f>E35</f>
        <v>123.16</v>
      </c>
      <c r="F61" s="220">
        <f>D61*E61</f>
        <v>0</v>
      </c>
      <c r="G61" s="220">
        <v>0</v>
      </c>
      <c r="H61" s="220">
        <f>E61*G61</f>
        <v>0</v>
      </c>
      <c r="I61" s="220">
        <f>D61-G61</f>
        <v>0</v>
      </c>
      <c r="J61" s="220">
        <v>0</v>
      </c>
      <c r="K61" s="220">
        <v>0</v>
      </c>
      <c r="L61" s="220">
        <f>I61+J61-K61</f>
        <v>0</v>
      </c>
      <c r="M61" s="220">
        <v>0</v>
      </c>
      <c r="N61" s="220">
        <f>M61*$Q$5</f>
        <v>0</v>
      </c>
      <c r="O61" s="246" t="s">
        <v>58</v>
      </c>
      <c r="P61" s="220">
        <f>L61*N61</f>
        <v>0</v>
      </c>
      <c r="Q61" s="229"/>
      <c r="R61" s="230"/>
      <c r="S61" s="230"/>
      <c r="T61" s="247"/>
    </row>
    <row r="62" spans="1:22" s="202" customFormat="1" ht="14.25" x14ac:dyDescent="0.2">
      <c r="A62" s="273" t="s">
        <v>183</v>
      </c>
      <c r="B62" s="261" t="str">
        <f t="shared" si="2"/>
        <v>Limpeza final de obra</v>
      </c>
      <c r="C62" s="219" t="str">
        <f t="shared" si="2"/>
        <v>m²</v>
      </c>
      <c r="D62" s="220">
        <f>'Planilha CT Original'!F52</f>
        <v>1696</v>
      </c>
      <c r="E62" s="220">
        <f>E36</f>
        <v>0.34</v>
      </c>
      <c r="F62" s="220">
        <f>D62*E62</f>
        <v>576.64</v>
      </c>
      <c r="G62" s="220">
        <v>1696</v>
      </c>
      <c r="H62" s="220">
        <f>E62*G62</f>
        <v>576.64</v>
      </c>
      <c r="I62" s="220">
        <f>D62-G62</f>
        <v>0</v>
      </c>
      <c r="J62" s="220">
        <v>0</v>
      </c>
      <c r="K62" s="220">
        <v>0</v>
      </c>
      <c r="L62" s="220">
        <f>I62+J62-K62</f>
        <v>0</v>
      </c>
      <c r="M62" s="220">
        <v>0</v>
      </c>
      <c r="N62" s="220">
        <f>M62*$Q$5</f>
        <v>0</v>
      </c>
      <c r="O62" s="246" t="s">
        <v>58</v>
      </c>
      <c r="P62" s="220">
        <f>L62*N62</f>
        <v>0</v>
      </c>
      <c r="Q62" s="229"/>
      <c r="R62" s="230"/>
      <c r="S62" s="230"/>
      <c r="T62" s="247"/>
    </row>
    <row r="63" spans="1:22" s="202" customFormat="1" ht="6.75" customHeight="1" thickBot="1" x14ac:dyDescent="0.25">
      <c r="A63" s="276"/>
      <c r="B63" s="249"/>
      <c r="C63" s="250"/>
      <c r="D63" s="251"/>
      <c r="E63" s="251"/>
      <c r="F63" s="251"/>
      <c r="G63" s="251"/>
      <c r="H63" s="251"/>
      <c r="I63" s="251"/>
      <c r="J63" s="251"/>
      <c r="K63" s="251"/>
      <c r="L63" s="251"/>
      <c r="M63" s="252"/>
      <c r="N63" s="252"/>
      <c r="O63" s="252"/>
      <c r="P63" s="277"/>
      <c r="Q63" s="229"/>
    </row>
    <row r="64" spans="1:22" s="254" customFormat="1" ht="20.25" customHeight="1" thickBot="1" x14ac:dyDescent="0.25">
      <c r="A64" s="810" t="s">
        <v>300</v>
      </c>
      <c r="B64" s="744"/>
      <c r="C64" s="744"/>
      <c r="D64" s="744"/>
      <c r="E64" s="744"/>
      <c r="F64" s="553">
        <f>F41+F44+F47+F52+F57</f>
        <v>92673.68</v>
      </c>
      <c r="G64" s="554"/>
      <c r="H64" s="553">
        <f>H41+H44+H47+H52+H57</f>
        <v>80463.86</v>
      </c>
      <c r="I64" s="555"/>
      <c r="J64" s="555"/>
      <c r="K64" s="555"/>
      <c r="L64" s="555"/>
      <c r="M64" s="556"/>
      <c r="N64" s="556"/>
      <c r="O64" s="557"/>
      <c r="P64" s="558">
        <f>P41+P44+P47+P52+P57</f>
        <v>0</v>
      </c>
      <c r="Q64" s="253"/>
      <c r="R64" s="270">
        <f>F64-H64</f>
        <v>12209.82</v>
      </c>
      <c r="T64" s="255"/>
    </row>
    <row r="65" spans="1:22" s="202" customFormat="1" ht="6.75" customHeight="1" thickBot="1" x14ac:dyDescent="0.25">
      <c r="A65" s="276"/>
      <c r="B65" s="249"/>
      <c r="C65" s="250"/>
      <c r="D65" s="251"/>
      <c r="E65" s="251"/>
      <c r="F65" s="251"/>
      <c r="G65" s="251"/>
      <c r="H65" s="251"/>
      <c r="I65" s="251"/>
      <c r="J65" s="251"/>
      <c r="K65" s="251"/>
      <c r="L65" s="251"/>
      <c r="M65" s="252"/>
      <c r="N65" s="252"/>
      <c r="O65" s="252"/>
      <c r="P65" s="277"/>
      <c r="Q65" s="229"/>
    </row>
    <row r="66" spans="1:22" s="202" customFormat="1" ht="18" customHeight="1" thickBot="1" x14ac:dyDescent="0.3">
      <c r="A66" s="821" t="str">
        <f>'Maria Livramento - T1'!A6</f>
        <v>Rua Maria Livramento P. Lima (Trecho 01)</v>
      </c>
      <c r="B66" s="822"/>
      <c r="C66" s="822"/>
      <c r="D66" s="822"/>
      <c r="E66" s="822"/>
      <c r="F66" s="822"/>
      <c r="G66" s="822"/>
      <c r="H66" s="822"/>
      <c r="I66" s="822"/>
      <c r="J66" s="822"/>
      <c r="K66" s="822"/>
      <c r="L66" s="822"/>
      <c r="M66" s="822"/>
      <c r="N66" s="822"/>
      <c r="O66" s="822"/>
      <c r="P66" s="823"/>
      <c r="Q66" s="205"/>
      <c r="R66" s="205"/>
      <c r="S66" s="205"/>
      <c r="T66" s="207"/>
      <c r="U66" s="208"/>
    </row>
    <row r="67" spans="1:22" s="216" customFormat="1" ht="12.75" customHeight="1" x14ac:dyDescent="0.2">
      <c r="A67" s="272" t="s">
        <v>4</v>
      </c>
      <c r="B67" s="209" t="s">
        <v>277</v>
      </c>
      <c r="C67" s="210"/>
      <c r="D67" s="211"/>
      <c r="E67" s="211"/>
      <c r="F67" s="213">
        <f>SUM(F68:F68)</f>
        <v>644.77</v>
      </c>
      <c r="G67" s="211"/>
      <c r="H67" s="213">
        <f>SUM(H68:H68)</f>
        <v>182.4</v>
      </c>
      <c r="I67" s="211"/>
      <c r="J67" s="211"/>
      <c r="K67" s="211"/>
      <c r="L67" s="213"/>
      <c r="M67" s="212"/>
      <c r="N67" s="212"/>
      <c r="O67" s="214"/>
      <c r="P67" s="212">
        <f>SUM(P69:P69)</f>
        <v>77.42</v>
      </c>
      <c r="Q67" s="215"/>
      <c r="T67" s="217"/>
    </row>
    <row r="68" spans="1:22" s="226" customFormat="1" ht="25.5" x14ac:dyDescent="0.2">
      <c r="A68" s="314" t="s">
        <v>5</v>
      </c>
      <c r="B68" s="218" t="str">
        <f>B42</f>
        <v>Serviços topográficos para pavimentação, inclusive nota de serviços, acompanhamento e greide</v>
      </c>
      <c r="C68" s="219" t="str">
        <f>C12</f>
        <v>m²</v>
      </c>
      <c r="D68" s="220">
        <f>'Planilha CT Original'!F56</f>
        <v>1696.75</v>
      </c>
      <c r="E68" s="220">
        <f>'Planilha Ajuste'!E12</f>
        <v>0.38</v>
      </c>
      <c r="F68" s="220">
        <f>D68*E68</f>
        <v>644.77</v>
      </c>
      <c r="G68" s="220">
        <v>480</v>
      </c>
      <c r="H68" s="220">
        <f>E68*G68</f>
        <v>182.4</v>
      </c>
      <c r="I68" s="220">
        <f>D68-G68</f>
        <v>1216.75</v>
      </c>
      <c r="J68" s="220">
        <v>0</v>
      </c>
      <c r="K68" s="220">
        <f>I68</f>
        <v>1216.75</v>
      </c>
      <c r="L68" s="220">
        <f>I68+J68-K68</f>
        <v>0</v>
      </c>
      <c r="M68" s="221">
        <v>0</v>
      </c>
      <c r="N68" s="221">
        <f>M68*$Q$5</f>
        <v>0</v>
      </c>
      <c r="O68" s="222" t="s">
        <v>58</v>
      </c>
      <c r="P68" s="221">
        <f>L68*N68</f>
        <v>0</v>
      </c>
      <c r="Q68" s="223"/>
      <c r="R68" s="224"/>
      <c r="S68" s="225"/>
      <c r="V68" s="227"/>
    </row>
    <row r="69" spans="1:22" s="226" customFormat="1" ht="25.5" x14ac:dyDescent="0.2">
      <c r="A69" s="315" t="s">
        <v>86</v>
      </c>
      <c r="B69" s="218" t="s">
        <v>303</v>
      </c>
      <c r="C69" s="234" t="s">
        <v>11</v>
      </c>
      <c r="D69" s="220">
        <v>0</v>
      </c>
      <c r="E69" s="220">
        <f>'Planilha CT Original'!H66</f>
        <v>33.840000000000003</v>
      </c>
      <c r="F69" s="220">
        <f>D69*E69</f>
        <v>0</v>
      </c>
      <c r="G69" s="220">
        <v>0</v>
      </c>
      <c r="H69" s="220">
        <v>0</v>
      </c>
      <c r="I69" s="220">
        <f>D69-G69</f>
        <v>0</v>
      </c>
      <c r="J69" s="220">
        <f>'Maria Livramento - T1'!D76</f>
        <v>131.22</v>
      </c>
      <c r="K69" s="220">
        <v>0</v>
      </c>
      <c r="L69" s="220">
        <f>I69+J69-K69</f>
        <v>131.22</v>
      </c>
      <c r="M69" s="221">
        <v>0.46</v>
      </c>
      <c r="N69" s="221">
        <f>M69*$Q$5</f>
        <v>0.59</v>
      </c>
      <c r="O69" s="246" t="s">
        <v>652</v>
      </c>
      <c r="P69" s="221">
        <f>L69*N69</f>
        <v>77.42</v>
      </c>
      <c r="Q69" s="310" t="e">
        <f>J69*ORÇAMENTO!H20</f>
        <v>#REF!</v>
      </c>
      <c r="R69" s="224"/>
      <c r="S69" s="225"/>
      <c r="V69" s="227"/>
    </row>
    <row r="70" spans="1:22" s="202" customFormat="1" ht="5.0999999999999996" customHeight="1" x14ac:dyDescent="0.2">
      <c r="A70" s="239"/>
      <c r="B70" s="228"/>
      <c r="C70" s="219"/>
      <c r="D70" s="220"/>
      <c r="E70" s="220"/>
      <c r="F70" s="220"/>
      <c r="G70" s="220"/>
      <c r="H70" s="220"/>
      <c r="I70" s="220"/>
      <c r="J70" s="220"/>
      <c r="K70" s="220"/>
      <c r="L70" s="220"/>
      <c r="M70" s="221"/>
      <c r="N70" s="221"/>
      <c r="O70" s="316"/>
      <c r="P70" s="274"/>
      <c r="Q70" s="229"/>
      <c r="S70" s="230"/>
    </row>
    <row r="71" spans="1:22" s="216" customFormat="1" ht="12.75" customHeight="1" x14ac:dyDescent="0.2">
      <c r="A71" s="272" t="s">
        <v>6</v>
      </c>
      <c r="B71" s="209" t="s">
        <v>278</v>
      </c>
      <c r="C71" s="210"/>
      <c r="D71" s="220"/>
      <c r="E71" s="232"/>
      <c r="F71" s="233">
        <f>SUM(F72:F72)</f>
        <v>2358.48</v>
      </c>
      <c r="G71" s="211"/>
      <c r="H71" s="233">
        <f>SUM(H72:H72)</f>
        <v>2358.48</v>
      </c>
      <c r="I71" s="211"/>
      <c r="J71" s="211"/>
      <c r="K71" s="211"/>
      <c r="L71" s="211"/>
      <c r="M71" s="221"/>
      <c r="N71" s="221"/>
      <c r="O71" s="316"/>
      <c r="P71" s="212">
        <f>SUM(P72)</f>
        <v>2362.25</v>
      </c>
      <c r="Q71" s="215"/>
      <c r="T71" s="217">
        <v>1.2097</v>
      </c>
    </row>
    <row r="72" spans="1:22" s="226" customFormat="1" ht="25.5" x14ac:dyDescent="0.2">
      <c r="A72" s="273" t="s">
        <v>7</v>
      </c>
      <c r="B72" s="218" t="str">
        <f>B45</f>
        <v>Regularização e compactação do subleito até 20 cm de espessura</v>
      </c>
      <c r="C72" s="234" t="str">
        <f>C15</f>
        <v>m²</v>
      </c>
      <c r="D72" s="220">
        <f>'Planilha CT Original'!F58</f>
        <v>1696.75</v>
      </c>
      <c r="E72" s="220">
        <f>'Planilha Ajuste'!E15</f>
        <v>1.39</v>
      </c>
      <c r="F72" s="220">
        <f>D72*E72</f>
        <v>2358.48</v>
      </c>
      <c r="G72" s="220">
        <v>1696.75</v>
      </c>
      <c r="H72" s="220">
        <f>E72*G72</f>
        <v>2358.48</v>
      </c>
      <c r="I72" s="220">
        <f>D72-G72</f>
        <v>0</v>
      </c>
      <c r="J72" s="220">
        <f>'Maria Livramento - T1'!D79</f>
        <v>792.7</v>
      </c>
      <c r="K72" s="220">
        <v>0</v>
      </c>
      <c r="L72" s="220">
        <f>I72+J72-K72</f>
        <v>792.7</v>
      </c>
      <c r="M72" s="221">
        <v>2.31</v>
      </c>
      <c r="N72" s="221">
        <f>M72*$Q$5</f>
        <v>2.98</v>
      </c>
      <c r="O72" s="317" t="s">
        <v>651</v>
      </c>
      <c r="P72" s="221">
        <f>L72*N72</f>
        <v>2362.25</v>
      </c>
      <c r="Q72" s="223"/>
      <c r="R72" s="224"/>
      <c r="S72" s="225"/>
      <c r="V72" s="227"/>
    </row>
    <row r="73" spans="1:22" s="202" customFormat="1" ht="5.0999999999999996" customHeight="1" x14ac:dyDescent="0.2">
      <c r="A73" s="239"/>
      <c r="B73" s="228"/>
      <c r="C73" s="219"/>
      <c r="D73" s="220"/>
      <c r="E73" s="220"/>
      <c r="F73" s="220"/>
      <c r="G73" s="220"/>
      <c r="H73" s="220"/>
      <c r="I73" s="220"/>
      <c r="J73" s="220"/>
      <c r="K73" s="220"/>
      <c r="L73" s="220"/>
      <c r="M73" s="220"/>
      <c r="N73" s="220"/>
      <c r="O73" s="236"/>
      <c r="P73" s="274"/>
      <c r="Q73" s="229"/>
      <c r="S73" s="230"/>
    </row>
    <row r="74" spans="1:22" s="216" customFormat="1" ht="12.75" customHeight="1" x14ac:dyDescent="0.2">
      <c r="A74" s="272" t="s">
        <v>8</v>
      </c>
      <c r="B74" s="209" t="s">
        <v>20</v>
      </c>
      <c r="C74" s="210"/>
      <c r="D74" s="211"/>
      <c r="E74" s="211"/>
      <c r="F74" s="233">
        <f>SUM(F75:F77)</f>
        <v>88800.27</v>
      </c>
      <c r="G74" s="211"/>
      <c r="H74" s="233">
        <f>SUM(H75:H77)</f>
        <v>21537.599999999999</v>
      </c>
      <c r="I74" s="211"/>
      <c r="J74" s="211"/>
      <c r="K74" s="211"/>
      <c r="L74" s="211"/>
      <c r="M74" s="237"/>
      <c r="N74" s="237"/>
      <c r="O74" s="544"/>
      <c r="P74" s="212">
        <f>SUM(P75:P77)</f>
        <v>99440.09</v>
      </c>
      <c r="Q74" s="215"/>
      <c r="T74" s="217"/>
    </row>
    <row r="75" spans="1:22" s="226" customFormat="1" ht="66" customHeight="1" x14ac:dyDescent="0.2">
      <c r="A75" s="273" t="s">
        <v>9</v>
      </c>
      <c r="B75" s="218" t="str">
        <f>B48</f>
        <v>Assentamento de guia (meio-fio) em trecho reto, confeccionada em concreto pré-fabricado, dimensões 100x15x13x30 cm (comprimento x base inferior x base superior x altura), para vias urbanas (uso viário)</v>
      </c>
      <c r="C75" s="219" t="str">
        <f>C18</f>
        <v>m</v>
      </c>
      <c r="D75" s="220">
        <f>'Planilha CT Original'!F60</f>
        <v>391.75</v>
      </c>
      <c r="E75" s="220">
        <f>'Planilha Ajuste'!E18</f>
        <v>30.84</v>
      </c>
      <c r="F75" s="220">
        <f>D75*E75</f>
        <v>12081.57</v>
      </c>
      <c r="G75" s="220">
        <v>0</v>
      </c>
      <c r="H75" s="220">
        <f>E75*G75</f>
        <v>0</v>
      </c>
      <c r="I75" s="220">
        <f>D75-G75</f>
        <v>391.75</v>
      </c>
      <c r="J75" s="220">
        <f>'Maria Livramento - T1'!D82</f>
        <v>262.48</v>
      </c>
      <c r="K75" s="220">
        <v>391.75</v>
      </c>
      <c r="L75" s="220">
        <f>I75+J75-K75</f>
        <v>262.48</v>
      </c>
      <c r="M75" s="221">
        <v>45.46</v>
      </c>
      <c r="N75" s="221">
        <f>M75*$Q$5</f>
        <v>58.64</v>
      </c>
      <c r="O75" s="316" t="s">
        <v>654</v>
      </c>
      <c r="P75" s="221">
        <f>L75*N75</f>
        <v>15391.83</v>
      </c>
      <c r="Q75" s="223"/>
      <c r="R75" s="224"/>
      <c r="S75" s="225"/>
      <c r="V75" s="227"/>
    </row>
    <row r="76" spans="1:22" s="226" customFormat="1" ht="40.5" customHeight="1" x14ac:dyDescent="0.2">
      <c r="A76" s="273" t="s">
        <v>12</v>
      </c>
      <c r="B76" s="218" t="s">
        <v>643</v>
      </c>
      <c r="C76" s="219" t="str">
        <f>C19</f>
        <v>m²</v>
      </c>
      <c r="D76" s="220">
        <f>'Planilha CT Original'!F61</f>
        <v>1696.75</v>
      </c>
      <c r="E76" s="220">
        <f>'Planilha Ajuste'!E19</f>
        <v>44.87</v>
      </c>
      <c r="F76" s="220">
        <f>D76*E76</f>
        <v>76133.17</v>
      </c>
      <c r="G76" s="220">
        <v>480</v>
      </c>
      <c r="H76" s="220">
        <f>E76*G76</f>
        <v>21537.599999999999</v>
      </c>
      <c r="I76" s="220">
        <f>D76-G76</f>
        <v>1216.75</v>
      </c>
      <c r="J76" s="220">
        <f>'Maria Livramento - T1'!D83</f>
        <v>792.7</v>
      </c>
      <c r="K76" s="220">
        <v>1216.75</v>
      </c>
      <c r="L76" s="220">
        <f>I76+J76-K76</f>
        <v>792.7</v>
      </c>
      <c r="M76" s="221">
        <v>81.319999999999993</v>
      </c>
      <c r="N76" s="221">
        <f>M76*$Q$5</f>
        <v>104.89</v>
      </c>
      <c r="O76" s="317" t="s">
        <v>655</v>
      </c>
      <c r="P76" s="221">
        <f>L76*N76</f>
        <v>83146.3</v>
      </c>
      <c r="Q76" s="223"/>
      <c r="R76" s="224"/>
      <c r="S76" s="225"/>
      <c r="V76" s="227"/>
    </row>
    <row r="77" spans="1:22" s="226" customFormat="1" ht="39.75" customHeight="1" x14ac:dyDescent="0.2">
      <c r="A77" s="273" t="s">
        <v>108</v>
      </c>
      <c r="B77" s="218" t="s">
        <v>306</v>
      </c>
      <c r="C77" s="219" t="str">
        <f>C20</f>
        <v>m</v>
      </c>
      <c r="D77" s="220">
        <f>'Planilha CT Original'!F62</f>
        <v>40.049999999999997</v>
      </c>
      <c r="E77" s="220">
        <f>'Planilha Ajuste'!E20</f>
        <v>14.62</v>
      </c>
      <c r="F77" s="220">
        <f>D77*E77</f>
        <v>585.53</v>
      </c>
      <c r="G77" s="220">
        <v>0</v>
      </c>
      <c r="H77" s="220">
        <f>E77*G77</f>
        <v>0</v>
      </c>
      <c r="I77" s="220">
        <f>D77-G77</f>
        <v>40.049999999999997</v>
      </c>
      <c r="J77" s="220">
        <f>'Maria Livramento - T1'!D84</f>
        <v>14.48</v>
      </c>
      <c r="K77" s="220">
        <v>40.049999999999997</v>
      </c>
      <c r="L77" s="220">
        <f>I77+J77-K77</f>
        <v>14.48</v>
      </c>
      <c r="M77" s="221">
        <f>'Composição Custos Unit'!G20</f>
        <v>48.29</v>
      </c>
      <c r="N77" s="221">
        <f>M77*$Q$5</f>
        <v>62.29</v>
      </c>
      <c r="O77" s="316" t="s">
        <v>656</v>
      </c>
      <c r="P77" s="221">
        <f>L77*N77</f>
        <v>901.96</v>
      </c>
      <c r="Q77" s="223"/>
      <c r="R77" s="224"/>
      <c r="S77" s="225"/>
      <c r="V77" s="227"/>
    </row>
    <row r="78" spans="1:22" s="202" customFormat="1" ht="5.0999999999999996" customHeight="1" x14ac:dyDescent="0.2">
      <c r="A78" s="239"/>
      <c r="B78" s="239"/>
      <c r="C78" s="219"/>
      <c r="D78" s="220"/>
      <c r="E78" s="220"/>
      <c r="F78" s="220"/>
      <c r="G78" s="220"/>
      <c r="H78" s="220"/>
      <c r="I78" s="220"/>
      <c r="J78" s="220"/>
      <c r="K78" s="220"/>
      <c r="L78" s="220"/>
      <c r="M78" s="221"/>
      <c r="N78" s="221"/>
      <c r="O78" s="222"/>
      <c r="P78" s="274"/>
      <c r="Q78" s="229"/>
      <c r="S78" s="230"/>
    </row>
    <row r="79" spans="1:22" s="216" customFormat="1" ht="12.75" customHeight="1" x14ac:dyDescent="0.2">
      <c r="A79" s="521" t="s">
        <v>14</v>
      </c>
      <c r="B79" s="240" t="s">
        <v>610</v>
      </c>
      <c r="C79" s="219"/>
      <c r="D79" s="220"/>
      <c r="E79" s="220"/>
      <c r="F79" s="233">
        <f>SUM(F81:F81)</f>
        <v>0</v>
      </c>
      <c r="G79" s="241"/>
      <c r="H79" s="242">
        <f>SUM(H81:H81)</f>
        <v>0</v>
      </c>
      <c r="I79" s="241"/>
      <c r="J79" s="241"/>
      <c r="K79" s="241"/>
      <c r="L79" s="241"/>
      <c r="M79" s="221"/>
      <c r="N79" s="221"/>
      <c r="O79" s="222"/>
      <c r="P79" s="243" t="e">
        <f>SUM(P80:P82)</f>
        <v>#REF!</v>
      </c>
      <c r="Q79" s="215"/>
      <c r="T79" s="217"/>
    </row>
    <row r="80" spans="1:22" s="226" customFormat="1" ht="54" customHeight="1" x14ac:dyDescent="0.2">
      <c r="A80" s="315" t="s">
        <v>15</v>
      </c>
      <c r="B80" s="261" t="s">
        <v>644</v>
      </c>
      <c r="C80" s="234" t="s">
        <v>13</v>
      </c>
      <c r="D80" s="220">
        <v>0</v>
      </c>
      <c r="E80" s="220">
        <v>0</v>
      </c>
      <c r="F80" s="220">
        <f>D80*E80</f>
        <v>0</v>
      </c>
      <c r="G80" s="220">
        <v>0</v>
      </c>
      <c r="H80" s="220">
        <v>0</v>
      </c>
      <c r="I80" s="220">
        <v>0</v>
      </c>
      <c r="J80" s="220">
        <f>'Maria Livramento - T1'!D87</f>
        <v>30.79</v>
      </c>
      <c r="K80" s="220">
        <v>0</v>
      </c>
      <c r="L80" s="220">
        <f>I80+J80-K80</f>
        <v>30.79</v>
      </c>
      <c r="M80" s="221">
        <v>73.16</v>
      </c>
      <c r="N80" s="221">
        <f>M80*$Q$5</f>
        <v>94.37</v>
      </c>
      <c r="O80" s="271" t="s">
        <v>645</v>
      </c>
      <c r="P80" s="221">
        <f>L80*N80</f>
        <v>2905.65</v>
      </c>
      <c r="Q80" s="223"/>
      <c r="R80" s="224"/>
      <c r="S80" s="225"/>
      <c r="V80" s="227"/>
    </row>
    <row r="81" spans="1:22" s="226" customFormat="1" ht="42.75" customHeight="1" x14ac:dyDescent="0.2">
      <c r="A81" s="315" t="s">
        <v>129</v>
      </c>
      <c r="B81" s="261" t="str">
        <f>B23</f>
        <v>Execução de passeio (calçada) ou piso de concreto com concreto moldado in loco, feito em obra, acabamento convencional, não armado</v>
      </c>
      <c r="C81" s="234" t="s">
        <v>128</v>
      </c>
      <c r="D81" s="220">
        <f>'Planilha CT Original'!F76</f>
        <v>0</v>
      </c>
      <c r="E81" s="220">
        <f>'Planilha CT Original'!H76</f>
        <v>0</v>
      </c>
      <c r="F81" s="220">
        <f>D81*E81</f>
        <v>0</v>
      </c>
      <c r="G81" s="220">
        <v>0</v>
      </c>
      <c r="H81" s="220">
        <f>E81*G81</f>
        <v>0</v>
      </c>
      <c r="I81" s="220">
        <f>D81-G81</f>
        <v>0</v>
      </c>
      <c r="J81" s="220">
        <f>'Maria Livramento - T1'!D88</f>
        <v>15.81</v>
      </c>
      <c r="K81" s="220">
        <v>0</v>
      </c>
      <c r="L81" s="220">
        <f>I81+J81-K81</f>
        <v>15.81</v>
      </c>
      <c r="M81" s="221">
        <f>M23</f>
        <v>699.25</v>
      </c>
      <c r="N81" s="221">
        <f>M81*$Q$5</f>
        <v>901.96</v>
      </c>
      <c r="O81" s="316" t="str">
        <f>O23</f>
        <v>94990 SINAPI
Out/23</v>
      </c>
      <c r="P81" s="221">
        <f>L81*N81</f>
        <v>14259.99</v>
      </c>
      <c r="Q81" s="223"/>
      <c r="R81" s="224"/>
      <c r="S81" s="225"/>
      <c r="V81" s="227"/>
    </row>
    <row r="82" spans="1:22" s="226" customFormat="1" ht="54.75" customHeight="1" x14ac:dyDescent="0.2">
      <c r="A82" s="315" t="s">
        <v>131</v>
      </c>
      <c r="B82" s="261" t="str">
        <f>B28</f>
        <v>Piso tátil direcional e/ou alerta, de concreto, na cor natural, para deficientes visuais, dimensões 20x20cm, aplicado com argamassa industrializada ac-ii - m²</v>
      </c>
      <c r="C82" s="219" t="str">
        <f>C80</f>
        <v>m²</v>
      </c>
      <c r="D82" s="220">
        <v>0</v>
      </c>
      <c r="E82" s="220">
        <f>'Planilha Ajuste'!E22</f>
        <v>0</v>
      </c>
      <c r="F82" s="220">
        <f>D82*E82</f>
        <v>0</v>
      </c>
      <c r="G82" s="220">
        <v>0</v>
      </c>
      <c r="H82" s="220">
        <f>E82*G82</f>
        <v>0</v>
      </c>
      <c r="I82" s="220">
        <f>D82-G82</f>
        <v>0</v>
      </c>
      <c r="J82" s="220">
        <f>'Maria Livramento - T1'!D89</f>
        <v>46.49</v>
      </c>
      <c r="K82" s="220">
        <v>0</v>
      </c>
      <c r="L82" s="220">
        <f>I82+J82-K82</f>
        <v>46.49</v>
      </c>
      <c r="M82" s="221" t="e">
        <f>'Composição Custos Unit'!#REF!</f>
        <v>#REF!</v>
      </c>
      <c r="N82" s="221" t="e">
        <f>M82*$Q$5</f>
        <v>#REF!</v>
      </c>
      <c r="O82" s="316" t="str">
        <f>O28</f>
        <v>Composição 03 (Base 09417/ORSE)</v>
      </c>
      <c r="P82" s="221" t="e">
        <f>L82*N82</f>
        <v>#REF!</v>
      </c>
      <c r="Q82" s="223"/>
      <c r="R82" s="224"/>
      <c r="S82" s="225"/>
      <c r="V82" s="227"/>
    </row>
    <row r="83" spans="1:22" s="202" customFormat="1" ht="5.0999999999999996" customHeight="1" x14ac:dyDescent="0.2">
      <c r="A83" s="239"/>
      <c r="B83" s="239"/>
      <c r="C83" s="219"/>
      <c r="D83" s="220"/>
      <c r="E83" s="220"/>
      <c r="F83" s="220"/>
      <c r="G83" s="220"/>
      <c r="H83" s="220"/>
      <c r="I83" s="220"/>
      <c r="J83" s="220"/>
      <c r="K83" s="220"/>
      <c r="L83" s="220"/>
      <c r="M83" s="220"/>
      <c r="N83" s="220"/>
      <c r="O83" s="236"/>
      <c r="P83" s="274"/>
      <c r="Q83" s="229"/>
      <c r="S83" s="230"/>
    </row>
    <row r="84" spans="1:22" s="216" customFormat="1" ht="12.75" customHeight="1" x14ac:dyDescent="0.2">
      <c r="A84" s="521" t="s">
        <v>157</v>
      </c>
      <c r="B84" s="240" t="s">
        <v>291</v>
      </c>
      <c r="C84" s="219"/>
      <c r="D84" s="220"/>
      <c r="E84" s="220"/>
      <c r="F84" s="231">
        <f>SUM(F85:F87)</f>
        <v>0</v>
      </c>
      <c r="G84" s="241"/>
      <c r="H84" s="233">
        <f>SUM(H85:H87)</f>
        <v>0</v>
      </c>
      <c r="I84" s="241"/>
      <c r="J84" s="241"/>
      <c r="K84" s="241"/>
      <c r="L84" s="241"/>
      <c r="M84" s="221"/>
      <c r="N84" s="221"/>
      <c r="O84" s="222"/>
      <c r="P84" s="243" t="e">
        <f>SUM(P85:P88)</f>
        <v>#REF!</v>
      </c>
      <c r="Q84" s="215"/>
      <c r="T84" s="217"/>
    </row>
    <row r="85" spans="1:22" s="226" customFormat="1" ht="38.25" x14ac:dyDescent="0.2">
      <c r="A85" s="273" t="s">
        <v>158</v>
      </c>
      <c r="B85" s="261" t="str">
        <f t="shared" ref="B85:C87" si="3">B26</f>
        <v>Concreto Fck = 15mpa, traço 1:3,4:3,5 (em massa seca de cimento/ areia média/ brita 1), preparo mecânico com betoneira 400 L</v>
      </c>
      <c r="C85" s="219" t="str">
        <f t="shared" si="3"/>
        <v>m³</v>
      </c>
      <c r="D85" s="220">
        <f>'Planilha CT Original'!F64</f>
        <v>0</v>
      </c>
      <c r="E85" s="220">
        <f>'Planilha Ajuste'!E26</f>
        <v>302.23</v>
      </c>
      <c r="F85" s="220">
        <f>D85*E85</f>
        <v>0</v>
      </c>
      <c r="G85" s="220">
        <v>0</v>
      </c>
      <c r="H85" s="220">
        <f>E85*G85</f>
        <v>0</v>
      </c>
      <c r="I85" s="220">
        <f>D85-G85</f>
        <v>0</v>
      </c>
      <c r="J85" s="220">
        <f>'Maria Livramento - T1'!D92</f>
        <v>2.1</v>
      </c>
      <c r="K85" s="220">
        <v>0</v>
      </c>
      <c r="L85" s="220">
        <f>I85+J85-K85</f>
        <v>2.1</v>
      </c>
      <c r="M85" s="221">
        <f>M26</f>
        <v>407.9</v>
      </c>
      <c r="N85" s="221">
        <f>M85*$Q$5</f>
        <v>526.15</v>
      </c>
      <c r="O85" s="316" t="str">
        <f>O26</f>
        <v>94963 SINAPI
Out/23</v>
      </c>
      <c r="P85" s="221">
        <f>L85*N85</f>
        <v>1104.92</v>
      </c>
      <c r="Q85" s="223"/>
      <c r="R85" s="224"/>
      <c r="S85" s="225"/>
      <c r="V85" s="227"/>
    </row>
    <row r="86" spans="1:22" s="226" customFormat="1" ht="28.5" customHeight="1" x14ac:dyDescent="0.2">
      <c r="A86" s="273" t="s">
        <v>170</v>
      </c>
      <c r="B86" s="261" t="str">
        <f t="shared" si="3"/>
        <v>Lançamento com uso de baldes, adensamento e acabamento de concreto em estruturas</v>
      </c>
      <c r="C86" s="219" t="str">
        <f t="shared" si="3"/>
        <v>m³</v>
      </c>
      <c r="D86" s="220">
        <f>'Planilha CT Original'!F65</f>
        <v>0</v>
      </c>
      <c r="E86" s="220">
        <f>'Planilha Ajuste'!E27</f>
        <v>102.63</v>
      </c>
      <c r="F86" s="220">
        <f>D86*E86</f>
        <v>0</v>
      </c>
      <c r="G86" s="220">
        <v>0</v>
      </c>
      <c r="H86" s="220">
        <f>E86*G86</f>
        <v>0</v>
      </c>
      <c r="I86" s="220">
        <f>D86-G86</f>
        <v>0</v>
      </c>
      <c r="J86" s="220">
        <f>'Maria Livramento - T1'!D93</f>
        <v>2.1</v>
      </c>
      <c r="K86" s="220">
        <v>0</v>
      </c>
      <c r="L86" s="220">
        <f>I86+J86-K86</f>
        <v>2.1</v>
      </c>
      <c r="M86" s="221">
        <f>M27</f>
        <v>223.27</v>
      </c>
      <c r="N86" s="221">
        <f>M86*$Q$5</f>
        <v>288</v>
      </c>
      <c r="O86" s="316" t="str">
        <f>O27</f>
        <v>103670 SINAPI
Out/23</v>
      </c>
      <c r="P86" s="221">
        <f>L86*N86</f>
        <v>604.79999999999995</v>
      </c>
      <c r="Q86" s="223"/>
      <c r="R86" s="224"/>
      <c r="S86" s="225"/>
      <c r="V86" s="227"/>
    </row>
    <row r="87" spans="1:22" s="226" customFormat="1" ht="51" x14ac:dyDescent="0.2">
      <c r="A87" s="273" t="s">
        <v>203</v>
      </c>
      <c r="B87" s="261" t="str">
        <f t="shared" si="3"/>
        <v>Piso tátil direcional e/ou alerta, de concreto, na cor natural, para deficientes visuais, dimensões 20x20cm, aplicado com argamassa industrializada ac-ii - m²</v>
      </c>
      <c r="C87" s="219" t="str">
        <f t="shared" si="3"/>
        <v>m²</v>
      </c>
      <c r="D87" s="220">
        <f>'Planilha CT Original'!F66</f>
        <v>0</v>
      </c>
      <c r="E87" s="220">
        <f>'Planilha Ajuste'!E28</f>
        <v>33.840000000000003</v>
      </c>
      <c r="F87" s="220">
        <f>D87*E87</f>
        <v>0</v>
      </c>
      <c r="G87" s="220">
        <v>0</v>
      </c>
      <c r="H87" s="220">
        <f>E87*G87</f>
        <v>0</v>
      </c>
      <c r="I87" s="220">
        <f>D87-G87</f>
        <v>0</v>
      </c>
      <c r="J87" s="220">
        <f>'Maria Livramento - T1'!D94</f>
        <v>3.12</v>
      </c>
      <c r="K87" s="220">
        <v>0</v>
      </c>
      <c r="L87" s="220">
        <f>I87+J87-K87</f>
        <v>3.12</v>
      </c>
      <c r="M87" s="221" t="e">
        <f>M28</f>
        <v>#REF!</v>
      </c>
      <c r="N87" s="221" t="e">
        <f>M87*$Q$5</f>
        <v>#REF!</v>
      </c>
      <c r="O87" s="316" t="str">
        <f>O28</f>
        <v>Composição 03 (Base 09417/ORSE)</v>
      </c>
      <c r="P87" s="221" t="e">
        <f>L87*N87</f>
        <v>#REF!</v>
      </c>
      <c r="Q87" s="223"/>
      <c r="R87" s="224"/>
      <c r="S87" s="225"/>
      <c r="V87" s="227"/>
    </row>
    <row r="88" spans="1:22" s="226" customFormat="1" ht="25.5" x14ac:dyDescent="0.2">
      <c r="A88" s="315" t="s">
        <v>181</v>
      </c>
      <c r="B88" s="261" t="str">
        <f>B29</f>
        <v>Pintura de piso com tinta acrílica, aplicação manual, 2 demãos, incluso fundo preparador</v>
      </c>
      <c r="C88" s="234" t="s">
        <v>13</v>
      </c>
      <c r="D88" s="220">
        <v>0</v>
      </c>
      <c r="E88" s="220">
        <v>0</v>
      </c>
      <c r="F88" s="220">
        <v>0</v>
      </c>
      <c r="G88" s="220">
        <v>0</v>
      </c>
      <c r="H88" s="220">
        <v>0</v>
      </c>
      <c r="I88" s="220">
        <v>0</v>
      </c>
      <c r="J88" s="220">
        <f>'Maria Livramento - T1'!D95</f>
        <v>36</v>
      </c>
      <c r="K88" s="220">
        <v>0</v>
      </c>
      <c r="L88" s="220">
        <f>I88+J88-K88</f>
        <v>36</v>
      </c>
      <c r="M88" s="221">
        <f>M29</f>
        <v>14.87</v>
      </c>
      <c r="N88" s="221">
        <f>M88*$Q$5</f>
        <v>19.18</v>
      </c>
      <c r="O88" s="316" t="str">
        <f>O29</f>
        <v>102491 SINAPI
Out/23</v>
      </c>
      <c r="P88" s="221">
        <f>L88*N88</f>
        <v>690.48</v>
      </c>
      <c r="Q88" s="223"/>
      <c r="R88" s="224"/>
      <c r="S88" s="225"/>
    </row>
    <row r="89" spans="1:22" s="202" customFormat="1" ht="5.0999999999999996" customHeight="1" x14ac:dyDescent="0.2">
      <c r="A89" s="239"/>
      <c r="B89" s="239"/>
      <c r="C89" s="219"/>
      <c r="D89" s="220"/>
      <c r="E89" s="220"/>
      <c r="F89" s="220"/>
      <c r="G89" s="220"/>
      <c r="H89" s="220"/>
      <c r="I89" s="220"/>
      <c r="J89" s="220"/>
      <c r="K89" s="220"/>
      <c r="L89" s="220"/>
      <c r="M89" s="220"/>
      <c r="N89" s="220"/>
      <c r="O89" s="236"/>
      <c r="P89" s="274"/>
      <c r="Q89" s="229"/>
      <c r="S89" s="230"/>
    </row>
    <row r="90" spans="1:22" s="216" customFormat="1" ht="12.75" customHeight="1" x14ac:dyDescent="0.2">
      <c r="A90" s="275" t="s">
        <v>174</v>
      </c>
      <c r="B90" s="248" t="s">
        <v>292</v>
      </c>
      <c r="C90" s="219"/>
      <c r="D90" s="220"/>
      <c r="E90" s="220"/>
      <c r="F90" s="233">
        <f>SUM(F91:F96)</f>
        <v>898.35</v>
      </c>
      <c r="G90" s="241"/>
      <c r="H90" s="233">
        <f>SUM(H91:H96)</f>
        <v>200.98</v>
      </c>
      <c r="I90" s="241"/>
      <c r="J90" s="241"/>
      <c r="K90" s="241"/>
      <c r="L90" s="241"/>
      <c r="M90" s="243"/>
      <c r="N90" s="243"/>
      <c r="O90" s="244"/>
      <c r="P90" s="243" t="e">
        <f>SUM(P91:P96)</f>
        <v>#REF!</v>
      </c>
      <c r="Q90" s="215"/>
      <c r="T90" s="217"/>
    </row>
    <row r="91" spans="1:22" s="202" customFormat="1" ht="25.5" x14ac:dyDescent="0.2">
      <c r="A91" s="273" t="s">
        <v>175</v>
      </c>
      <c r="B91" s="261" t="str">
        <f>'Planilha CT Original'!D68</f>
        <v>Placa esmaltada para identificação nr de Rua, dimensões 45x25cm</v>
      </c>
      <c r="C91" s="219" t="str">
        <f>C32</f>
        <v>unid</v>
      </c>
      <c r="D91" s="220">
        <f>'Planilha CT Original'!F68</f>
        <v>2</v>
      </c>
      <c r="E91" s="220">
        <f>'Planilha Ajuste'!E32</f>
        <v>100.49</v>
      </c>
      <c r="F91" s="220">
        <f t="shared" ref="F91:F96" si="4">D91*E91</f>
        <v>200.98</v>
      </c>
      <c r="G91" s="220">
        <v>2</v>
      </c>
      <c r="H91" s="220">
        <f>E91*G91</f>
        <v>200.98</v>
      </c>
      <c r="I91" s="220">
        <f t="shared" ref="I91:I96" si="5">D91-G91</f>
        <v>0</v>
      </c>
      <c r="J91" s="220">
        <v>0</v>
      </c>
      <c r="K91" s="220">
        <v>0</v>
      </c>
      <c r="L91" s="220">
        <f t="shared" ref="L91:L96" si="6">I91+J91-K91</f>
        <v>0</v>
      </c>
      <c r="M91" s="221">
        <v>0</v>
      </c>
      <c r="N91" s="221">
        <f t="shared" ref="N91:N96" si="7">M91*$Q$5</f>
        <v>0</v>
      </c>
      <c r="O91" s="245" t="s">
        <v>58</v>
      </c>
      <c r="P91" s="221">
        <f t="shared" ref="P91:P96" si="8">L91*N91</f>
        <v>0</v>
      </c>
      <c r="Q91" s="229"/>
      <c r="R91" s="230"/>
      <c r="S91" s="230"/>
      <c r="T91" s="247"/>
    </row>
    <row r="92" spans="1:22" s="202" customFormat="1" ht="25.5" x14ac:dyDescent="0.2">
      <c r="A92" s="273" t="s">
        <v>246</v>
      </c>
      <c r="B92" s="261" t="s">
        <v>633</v>
      </c>
      <c r="C92" s="219" t="str">
        <f>C33</f>
        <v>m²</v>
      </c>
      <c r="D92" s="220">
        <f>'Planilha CT Original'!F69</f>
        <v>97.94</v>
      </c>
      <c r="E92" s="220">
        <f>'Planilha Ajuste'!E33</f>
        <v>1.23</v>
      </c>
      <c r="F92" s="220">
        <f t="shared" si="4"/>
        <v>120.47</v>
      </c>
      <c r="G92" s="220">
        <v>0</v>
      </c>
      <c r="H92" s="220">
        <f>E92*G92</f>
        <v>0</v>
      </c>
      <c r="I92" s="220">
        <f t="shared" si="5"/>
        <v>97.94</v>
      </c>
      <c r="J92" s="220">
        <f>'Maria Livramento - T1'!D102</f>
        <v>73.489999999999995</v>
      </c>
      <c r="K92" s="220">
        <v>97.94</v>
      </c>
      <c r="L92" s="220">
        <f t="shared" si="6"/>
        <v>73.489999999999995</v>
      </c>
      <c r="M92" s="221">
        <v>1.25</v>
      </c>
      <c r="N92" s="221">
        <f t="shared" si="7"/>
        <v>1.61</v>
      </c>
      <c r="O92" s="271" t="s">
        <v>658</v>
      </c>
      <c r="P92" s="221">
        <f t="shared" si="8"/>
        <v>118.32</v>
      </c>
      <c r="Q92" s="229"/>
      <c r="R92" s="230"/>
      <c r="S92" s="230"/>
      <c r="T92" s="247"/>
    </row>
    <row r="93" spans="1:22" s="226" customFormat="1" ht="66" customHeight="1" x14ac:dyDescent="0.2">
      <c r="A93" s="315" t="s">
        <v>247</v>
      </c>
      <c r="B93" s="261" t="s">
        <v>312</v>
      </c>
      <c r="C93" s="234" t="s">
        <v>279</v>
      </c>
      <c r="D93" s="220">
        <v>0</v>
      </c>
      <c r="E93" s="220">
        <f>'Planilha CT Original'!H78</f>
        <v>0</v>
      </c>
      <c r="F93" s="220">
        <f t="shared" si="4"/>
        <v>0</v>
      </c>
      <c r="G93" s="220">
        <v>0</v>
      </c>
      <c r="H93" s="220">
        <v>0</v>
      </c>
      <c r="I93" s="220">
        <f t="shared" si="5"/>
        <v>0</v>
      </c>
      <c r="J93" s="220" t="e">
        <f>'Maria Livramento - T1'!#REF!</f>
        <v>#REF!</v>
      </c>
      <c r="K93" s="220">
        <v>0</v>
      </c>
      <c r="L93" s="220" t="e">
        <f t="shared" si="6"/>
        <v>#REF!</v>
      </c>
      <c r="M93" s="221" t="e">
        <f>'Composição Custos Unit'!#REF!</f>
        <v>#REF!</v>
      </c>
      <c r="N93" s="221" t="e">
        <f t="shared" si="7"/>
        <v>#REF!</v>
      </c>
      <c r="O93" s="316" t="s">
        <v>659</v>
      </c>
      <c r="P93" s="221" t="e">
        <f t="shared" si="8"/>
        <v>#REF!</v>
      </c>
      <c r="Q93" s="223" t="e">
        <f>L93*ORÇAMENTO!H32</f>
        <v>#REF!</v>
      </c>
      <c r="R93" s="224"/>
      <c r="S93" s="225"/>
      <c r="V93" s="227"/>
    </row>
    <row r="94" spans="1:22" s="202" customFormat="1" ht="25.5" x14ac:dyDescent="0.2">
      <c r="A94" s="314" t="s">
        <v>248</v>
      </c>
      <c r="B94" s="261" t="str">
        <f>B60</f>
        <v>Confecção de placa em aço nº 16 galvanizado, com película retrorrefletiva tipo I + III</v>
      </c>
      <c r="C94" s="219" t="str">
        <f>C34</f>
        <v>unid</v>
      </c>
      <c r="D94" s="220">
        <f>'Planilha CT Original'!F70</f>
        <v>0</v>
      </c>
      <c r="E94" s="220">
        <f>'Planilha Ajuste'!E34</f>
        <v>295.73</v>
      </c>
      <c r="F94" s="220">
        <f t="shared" si="4"/>
        <v>0</v>
      </c>
      <c r="G94" s="220">
        <v>0</v>
      </c>
      <c r="H94" s="220">
        <f>E94*G94</f>
        <v>0</v>
      </c>
      <c r="I94" s="220">
        <f t="shared" si="5"/>
        <v>0</v>
      </c>
      <c r="J94" s="220">
        <v>0</v>
      </c>
      <c r="K94" s="220">
        <v>0</v>
      </c>
      <c r="L94" s="220">
        <f t="shared" si="6"/>
        <v>0</v>
      </c>
      <c r="M94" s="220">
        <v>0</v>
      </c>
      <c r="N94" s="220">
        <f t="shared" si="7"/>
        <v>0</v>
      </c>
      <c r="O94" s="246" t="s">
        <v>58</v>
      </c>
      <c r="P94" s="220">
        <f t="shared" si="8"/>
        <v>0</v>
      </c>
      <c r="Q94" s="229"/>
      <c r="R94" s="230"/>
      <c r="S94" s="230"/>
      <c r="T94" s="247"/>
    </row>
    <row r="95" spans="1:22" s="202" customFormat="1" ht="38.25" x14ac:dyDescent="0.2">
      <c r="A95" s="314" t="s">
        <v>249</v>
      </c>
      <c r="B95" s="261" t="str">
        <f>B61</f>
        <v>Fornecimento e implantação de suporte e travessa para placa de sinalização em madeira de lei tratada 8 x 8 cm (h = 3,00m)</v>
      </c>
      <c r="C95" s="219" t="str">
        <f>C35</f>
        <v>unid</v>
      </c>
      <c r="D95" s="220">
        <f>'Planilha CT Original'!F71</f>
        <v>0</v>
      </c>
      <c r="E95" s="220">
        <f>'Planilha Ajuste'!E35</f>
        <v>123.16</v>
      </c>
      <c r="F95" s="220">
        <f t="shared" si="4"/>
        <v>0</v>
      </c>
      <c r="G95" s="220">
        <v>0</v>
      </c>
      <c r="H95" s="220">
        <f>E95*G95</f>
        <v>0</v>
      </c>
      <c r="I95" s="220">
        <f t="shared" si="5"/>
        <v>0</v>
      </c>
      <c r="J95" s="220">
        <v>0</v>
      </c>
      <c r="K95" s="220">
        <v>0</v>
      </c>
      <c r="L95" s="220">
        <f t="shared" si="6"/>
        <v>0</v>
      </c>
      <c r="M95" s="220">
        <v>0</v>
      </c>
      <c r="N95" s="220">
        <f t="shared" si="7"/>
        <v>0</v>
      </c>
      <c r="O95" s="246" t="s">
        <v>58</v>
      </c>
      <c r="P95" s="220">
        <f t="shared" si="8"/>
        <v>0</v>
      </c>
      <c r="Q95" s="229"/>
      <c r="R95" s="230"/>
      <c r="S95" s="230"/>
      <c r="T95" s="247"/>
    </row>
    <row r="96" spans="1:22" s="202" customFormat="1" ht="14.25" x14ac:dyDescent="0.2">
      <c r="A96" s="314" t="s">
        <v>250</v>
      </c>
      <c r="B96" s="261" t="str">
        <f>B62</f>
        <v>Limpeza final de obra</v>
      </c>
      <c r="C96" s="219" t="str">
        <f>C36</f>
        <v>m²</v>
      </c>
      <c r="D96" s="220">
        <f>'Planilha CT Original'!F72</f>
        <v>1696.75</v>
      </c>
      <c r="E96" s="220">
        <f>'Planilha Ajuste'!E36</f>
        <v>0.34</v>
      </c>
      <c r="F96" s="220">
        <f t="shared" si="4"/>
        <v>576.9</v>
      </c>
      <c r="G96" s="220">
        <v>0</v>
      </c>
      <c r="H96" s="220">
        <f>E96*G96</f>
        <v>0</v>
      </c>
      <c r="I96" s="220">
        <f t="shared" si="5"/>
        <v>1696.75</v>
      </c>
      <c r="J96" s="220">
        <v>0</v>
      </c>
      <c r="K96" s="220">
        <f>I96</f>
        <v>1696.75</v>
      </c>
      <c r="L96" s="220">
        <f t="shared" si="6"/>
        <v>0</v>
      </c>
      <c r="M96" s="220">
        <v>0</v>
      </c>
      <c r="N96" s="220">
        <f t="shared" si="7"/>
        <v>0</v>
      </c>
      <c r="O96" s="246" t="s">
        <v>58</v>
      </c>
      <c r="P96" s="220">
        <f t="shared" si="8"/>
        <v>0</v>
      </c>
      <c r="Q96" s="229"/>
      <c r="R96" s="230"/>
      <c r="S96" s="230"/>
      <c r="T96" s="247"/>
    </row>
    <row r="97" spans="1:22" s="202" customFormat="1" ht="6.75" customHeight="1" thickBot="1" x14ac:dyDescent="0.25">
      <c r="A97" s="276"/>
      <c r="B97" s="249"/>
      <c r="C97" s="250"/>
      <c r="D97" s="251"/>
      <c r="E97" s="251"/>
      <c r="F97" s="251"/>
      <c r="G97" s="251"/>
      <c r="H97" s="251"/>
      <c r="I97" s="251"/>
      <c r="J97" s="251"/>
      <c r="K97" s="251"/>
      <c r="L97" s="251"/>
      <c r="M97" s="252"/>
      <c r="N97" s="252"/>
      <c r="O97" s="252"/>
      <c r="P97" s="277"/>
      <c r="Q97" s="229"/>
    </row>
    <row r="98" spans="1:22" s="254" customFormat="1" ht="20.25" customHeight="1" thickBot="1" x14ac:dyDescent="0.25">
      <c r="A98" s="810" t="s">
        <v>301</v>
      </c>
      <c r="B98" s="744"/>
      <c r="C98" s="744"/>
      <c r="D98" s="744"/>
      <c r="E98" s="744"/>
      <c r="F98" s="553">
        <f>F67+F71+F74+F84+F90</f>
        <v>92701.87</v>
      </c>
      <c r="G98" s="554"/>
      <c r="H98" s="553">
        <f>H67+H71+H74+H84+H90</f>
        <v>24279.46</v>
      </c>
      <c r="I98" s="555"/>
      <c r="J98" s="555"/>
      <c r="K98" s="555"/>
      <c r="L98" s="555"/>
      <c r="M98" s="556"/>
      <c r="N98" s="556"/>
      <c r="O98" s="557"/>
      <c r="P98" s="558" t="e">
        <f>P67+P71+P74+P79+P84+P90</f>
        <v>#REF!</v>
      </c>
      <c r="Q98" s="253"/>
      <c r="R98" s="270">
        <f>F98-H98</f>
        <v>68422.41</v>
      </c>
      <c r="T98" s="255"/>
    </row>
    <row r="99" spans="1:22" s="202" customFormat="1" ht="6.75" customHeight="1" thickBot="1" x14ac:dyDescent="0.25">
      <c r="A99" s="276"/>
      <c r="B99" s="249"/>
      <c r="C99" s="250"/>
      <c r="D99" s="251"/>
      <c r="E99" s="251"/>
      <c r="F99" s="251"/>
      <c r="G99" s="251"/>
      <c r="H99" s="251"/>
      <c r="I99" s="251"/>
      <c r="J99" s="251"/>
      <c r="K99" s="251"/>
      <c r="L99" s="251"/>
      <c r="M99" s="252"/>
      <c r="N99" s="252"/>
      <c r="O99" s="252"/>
      <c r="P99" s="277"/>
      <c r="Q99" s="229"/>
    </row>
    <row r="100" spans="1:22" s="202" customFormat="1" ht="27" customHeight="1" thickBot="1" x14ac:dyDescent="0.3">
      <c r="A100" s="547"/>
      <c r="B100" s="548" t="s">
        <v>351</v>
      </c>
      <c r="C100" s="549"/>
      <c r="D100" s="550"/>
      <c r="E100" s="551"/>
      <c r="F100" s="551"/>
      <c r="G100" s="551"/>
      <c r="H100" s="551"/>
      <c r="I100" s="551"/>
      <c r="J100" s="551"/>
      <c r="K100" s="551"/>
      <c r="L100" s="551"/>
      <c r="M100" s="551"/>
      <c r="N100" s="551"/>
      <c r="O100" s="551"/>
      <c r="P100" s="552"/>
      <c r="Q100" s="205"/>
      <c r="R100" s="205"/>
      <c r="S100" s="205"/>
      <c r="T100" s="207"/>
      <c r="U100" s="208"/>
    </row>
    <row r="101" spans="1:22" s="202" customFormat="1" ht="18" customHeight="1" thickBot="1" x14ac:dyDescent="0.3">
      <c r="A101" s="821" t="str">
        <f>'Vale Verde 1'!A6:B6</f>
        <v>RUA PROJETADA 1 (Vale Verde)</v>
      </c>
      <c r="B101" s="822"/>
      <c r="C101" s="822"/>
      <c r="D101" s="822"/>
      <c r="E101" s="822"/>
      <c r="F101" s="822"/>
      <c r="G101" s="822"/>
      <c r="H101" s="822"/>
      <c r="I101" s="822"/>
      <c r="J101" s="822"/>
      <c r="K101" s="822"/>
      <c r="L101" s="822"/>
      <c r="M101" s="822"/>
      <c r="N101" s="822"/>
      <c r="O101" s="822"/>
      <c r="P101" s="823"/>
      <c r="Q101" s="205"/>
      <c r="R101" s="205"/>
      <c r="S101" s="205"/>
      <c r="T101" s="207"/>
      <c r="U101" s="208"/>
    </row>
    <row r="102" spans="1:22" s="216" customFormat="1" ht="12.75" customHeight="1" x14ac:dyDescent="0.2">
      <c r="A102" s="272" t="s">
        <v>4</v>
      </c>
      <c r="B102" s="209" t="s">
        <v>277</v>
      </c>
      <c r="C102" s="210"/>
      <c r="D102" s="211"/>
      <c r="E102" s="211"/>
      <c r="F102" s="213">
        <f>SUM(F104:F104)</f>
        <v>0</v>
      </c>
      <c r="G102" s="211"/>
      <c r="H102" s="213">
        <f>SUM(H104:H104)</f>
        <v>0</v>
      </c>
      <c r="I102" s="211"/>
      <c r="J102" s="211"/>
      <c r="K102" s="211"/>
      <c r="L102" s="213"/>
      <c r="M102" s="212"/>
      <c r="N102" s="212"/>
      <c r="O102" s="214"/>
      <c r="P102" s="212" t="e">
        <f>SUM(P103:P104)</f>
        <v>#REF!</v>
      </c>
      <c r="Q102" s="215"/>
      <c r="T102" s="217"/>
    </row>
    <row r="103" spans="1:22" s="216" customFormat="1" ht="51" x14ac:dyDescent="0.2">
      <c r="A103" s="279" t="s">
        <v>5</v>
      </c>
      <c r="B103" s="235" t="s">
        <v>420</v>
      </c>
      <c r="C103" s="265" t="s">
        <v>13</v>
      </c>
      <c r="D103" s="220">
        <v>0</v>
      </c>
      <c r="E103" s="220">
        <v>0</v>
      </c>
      <c r="F103" s="267">
        <v>0</v>
      </c>
      <c r="G103" s="220">
        <v>0</v>
      </c>
      <c r="H103" s="220">
        <v>0</v>
      </c>
      <c r="I103" s="220">
        <f>D103-G103</f>
        <v>0</v>
      </c>
      <c r="J103" s="266">
        <f>'Vale Verde 1'!D71</f>
        <v>8</v>
      </c>
      <c r="K103" s="220">
        <v>0</v>
      </c>
      <c r="L103" s="267">
        <f>I103+J103-K103</f>
        <v>8</v>
      </c>
      <c r="M103" s="268" t="e">
        <f>'Composição Custos Unit'!#REF!</f>
        <v>#REF!</v>
      </c>
      <c r="N103" s="268" t="e">
        <f>M103*$Q$5</f>
        <v>#REF!</v>
      </c>
      <c r="O103" s="545" t="s">
        <v>653</v>
      </c>
      <c r="P103" s="268" t="e">
        <f>L103*N103</f>
        <v>#REF!</v>
      </c>
      <c r="Q103" s="310" t="e">
        <f>J103*ORÇAMENTO!H47</f>
        <v>#REF!</v>
      </c>
      <c r="T103" s="217"/>
    </row>
    <row r="104" spans="1:22" s="226" customFormat="1" ht="25.5" x14ac:dyDescent="0.2">
      <c r="A104" s="273" t="s">
        <v>86</v>
      </c>
      <c r="B104" s="218" t="str">
        <f>B69</f>
        <v>Locação de pavimentação</v>
      </c>
      <c r="C104" s="234" t="s">
        <v>11</v>
      </c>
      <c r="D104" s="220">
        <v>0</v>
      </c>
      <c r="E104" s="220">
        <v>0</v>
      </c>
      <c r="F104" s="220">
        <f>D104*E104</f>
        <v>0</v>
      </c>
      <c r="G104" s="220">
        <v>0</v>
      </c>
      <c r="H104" s="220">
        <v>0</v>
      </c>
      <c r="I104" s="220">
        <f>D104-G104</f>
        <v>0</v>
      </c>
      <c r="J104" s="220">
        <f>'Vale Verde 1'!D72</f>
        <v>300</v>
      </c>
      <c r="K104" s="220">
        <v>0</v>
      </c>
      <c r="L104" s="220">
        <f>I104+J104-K104</f>
        <v>300</v>
      </c>
      <c r="M104" s="221">
        <f>M69</f>
        <v>0.46</v>
      </c>
      <c r="N104" s="221">
        <f>M104*$Q$5</f>
        <v>0.59</v>
      </c>
      <c r="O104" s="246" t="s">
        <v>652</v>
      </c>
      <c r="P104" s="221">
        <f>L104*N104</f>
        <v>177</v>
      </c>
      <c r="Q104" s="310" t="e">
        <f>J104*ORÇAMENTO!H48</f>
        <v>#REF!</v>
      </c>
      <c r="R104" s="224"/>
      <c r="S104" s="225"/>
      <c r="V104" s="227"/>
    </row>
    <row r="105" spans="1:22" s="202" customFormat="1" ht="5.0999999999999996" customHeight="1" x14ac:dyDescent="0.2">
      <c r="A105" s="239"/>
      <c r="B105" s="228"/>
      <c r="C105" s="219"/>
      <c r="D105" s="220"/>
      <c r="E105" s="220"/>
      <c r="F105" s="220"/>
      <c r="G105" s="220"/>
      <c r="H105" s="220"/>
      <c r="I105" s="220"/>
      <c r="J105" s="220"/>
      <c r="K105" s="220"/>
      <c r="L105" s="220"/>
      <c r="M105" s="221"/>
      <c r="N105" s="221"/>
      <c r="O105" s="222"/>
      <c r="P105" s="274"/>
      <c r="Q105" s="229"/>
      <c r="S105" s="230"/>
    </row>
    <row r="106" spans="1:22" s="216" customFormat="1" ht="12.75" customHeight="1" x14ac:dyDescent="0.2">
      <c r="A106" s="272" t="s">
        <v>6</v>
      </c>
      <c r="B106" s="209" t="s">
        <v>278</v>
      </c>
      <c r="C106" s="210"/>
      <c r="D106" s="220"/>
      <c r="E106" s="232"/>
      <c r="F106" s="233">
        <f>SUM(F107:F107)</f>
        <v>0</v>
      </c>
      <c r="G106" s="211"/>
      <c r="H106" s="213">
        <f>SUM(H107:H107)</f>
        <v>0</v>
      </c>
      <c r="I106" s="211"/>
      <c r="J106" s="211"/>
      <c r="K106" s="211"/>
      <c r="L106" s="211"/>
      <c r="M106" s="221"/>
      <c r="N106" s="221"/>
      <c r="O106" s="222"/>
      <c r="P106" s="212">
        <f>SUM(P107:P107)</f>
        <v>5182.8500000000004</v>
      </c>
      <c r="Q106" s="215"/>
      <c r="T106" s="217">
        <v>1.2097</v>
      </c>
    </row>
    <row r="107" spans="1:22" s="226" customFormat="1" ht="26.25" customHeight="1" x14ac:dyDescent="0.2">
      <c r="A107" s="273" t="s">
        <v>7</v>
      </c>
      <c r="B107" s="218" t="str">
        <f>B72</f>
        <v>Regularização e compactação do subleito até 20 cm de espessura</v>
      </c>
      <c r="C107" s="234" t="s">
        <v>13</v>
      </c>
      <c r="D107" s="220">
        <v>0</v>
      </c>
      <c r="E107" s="220">
        <v>0</v>
      </c>
      <c r="F107" s="220">
        <f>D107*E107</f>
        <v>0</v>
      </c>
      <c r="G107" s="220">
        <v>0</v>
      </c>
      <c r="H107" s="220">
        <v>0</v>
      </c>
      <c r="I107" s="220">
        <f>D107-G107</f>
        <v>0</v>
      </c>
      <c r="J107" s="220">
        <f>'Vale Verde 1'!D75</f>
        <v>1739.21</v>
      </c>
      <c r="K107" s="220">
        <v>0</v>
      </c>
      <c r="L107" s="220">
        <f>I107+J107-K107</f>
        <v>1739.21</v>
      </c>
      <c r="M107" s="221">
        <f>M72</f>
        <v>2.31</v>
      </c>
      <c r="N107" s="221">
        <f>M107*$Q$5</f>
        <v>2.98</v>
      </c>
      <c r="O107" s="246" t="s">
        <v>651</v>
      </c>
      <c r="P107" s="221">
        <f>L107*N107</f>
        <v>5182.8500000000004</v>
      </c>
      <c r="Q107" s="311" t="e">
        <f>L107*ORÇAMENTO!H50</f>
        <v>#REF!</v>
      </c>
      <c r="R107" s="224"/>
      <c r="S107" s="225"/>
      <c r="V107" s="227"/>
    </row>
    <row r="108" spans="1:22" s="202" customFormat="1" ht="5.0999999999999996" customHeight="1" x14ac:dyDescent="0.2">
      <c r="A108" s="239"/>
      <c r="B108" s="228"/>
      <c r="C108" s="219"/>
      <c r="D108" s="220"/>
      <c r="E108" s="220"/>
      <c r="F108" s="220"/>
      <c r="G108" s="220"/>
      <c r="H108" s="220"/>
      <c r="I108" s="220"/>
      <c r="J108" s="220"/>
      <c r="K108" s="220"/>
      <c r="L108" s="220"/>
      <c r="M108" s="220"/>
      <c r="N108" s="220"/>
      <c r="O108" s="236"/>
      <c r="P108" s="274"/>
      <c r="Q108" s="312"/>
      <c r="S108" s="230"/>
    </row>
    <row r="109" spans="1:22" s="216" customFormat="1" ht="12.75" customHeight="1" x14ac:dyDescent="0.2">
      <c r="A109" s="272" t="s">
        <v>8</v>
      </c>
      <c r="B109" s="209" t="s">
        <v>20</v>
      </c>
      <c r="C109" s="210"/>
      <c r="D109" s="211"/>
      <c r="E109" s="211"/>
      <c r="F109" s="233">
        <f>SUM(F110:F112)</f>
        <v>0</v>
      </c>
      <c r="G109" s="211"/>
      <c r="H109" s="213">
        <f>SUM(H110:H112)</f>
        <v>0</v>
      </c>
      <c r="I109" s="211"/>
      <c r="J109" s="211"/>
      <c r="K109" s="211"/>
      <c r="L109" s="211"/>
      <c r="M109" s="237"/>
      <c r="N109" s="237"/>
      <c r="O109" s="238"/>
      <c r="P109" s="212">
        <f>SUM(P110:P112)</f>
        <v>219938.91</v>
      </c>
      <c r="Q109" s="313"/>
      <c r="T109" s="217"/>
    </row>
    <row r="110" spans="1:22" s="226" customFormat="1" ht="67.5" customHeight="1" x14ac:dyDescent="0.2">
      <c r="A110" s="273" t="s">
        <v>9</v>
      </c>
      <c r="B110" s="218" t="str">
        <f>B75</f>
        <v>Assentamento de guia (meio-fio) em trecho reto, confeccionada em concreto pré-fabricado, dimensões 100x15x13x30 cm (comprimento x base inferior x base superior x altura), para vias urbanas (uso viário)</v>
      </c>
      <c r="C110" s="219" t="s">
        <v>11</v>
      </c>
      <c r="D110" s="220">
        <v>0</v>
      </c>
      <c r="E110" s="220">
        <v>0</v>
      </c>
      <c r="F110" s="220">
        <f>D110*E110</f>
        <v>0</v>
      </c>
      <c r="G110" s="220">
        <v>0</v>
      </c>
      <c r="H110" s="220">
        <v>0</v>
      </c>
      <c r="I110" s="220">
        <f>D110-G110</f>
        <v>0</v>
      </c>
      <c r="J110" s="220">
        <f>'Vale Verde 1'!D78</f>
        <v>589.72</v>
      </c>
      <c r="K110" s="220">
        <v>0</v>
      </c>
      <c r="L110" s="220">
        <f>I110+J110-K110</f>
        <v>589.72</v>
      </c>
      <c r="M110" s="221">
        <f>M75</f>
        <v>45.46</v>
      </c>
      <c r="N110" s="221">
        <f>M110*$Q$5</f>
        <v>58.64</v>
      </c>
      <c r="O110" s="246" t="s">
        <v>654</v>
      </c>
      <c r="P110" s="221">
        <f>L110*N110</f>
        <v>34581.18</v>
      </c>
      <c r="Q110" s="311" t="e">
        <f>L110*ORÇAMENTO!H52</f>
        <v>#REF!</v>
      </c>
      <c r="R110" s="224"/>
      <c r="S110" s="225"/>
      <c r="V110" s="227"/>
    </row>
    <row r="111" spans="1:22" s="226" customFormat="1" ht="41.25" customHeight="1" x14ac:dyDescent="0.2">
      <c r="A111" s="273" t="s">
        <v>12</v>
      </c>
      <c r="B111" s="218" t="str">
        <f>B76</f>
        <v>Execução de pavimento em paralelepípedos, rejuntamento com argamassa traço 1:3 (cimento e areia)</v>
      </c>
      <c r="C111" s="219" t="s">
        <v>13</v>
      </c>
      <c r="D111" s="220">
        <v>0</v>
      </c>
      <c r="E111" s="220">
        <v>0</v>
      </c>
      <c r="F111" s="220">
        <f>D111*E111</f>
        <v>0</v>
      </c>
      <c r="G111" s="220">
        <v>0</v>
      </c>
      <c r="H111" s="220">
        <v>0</v>
      </c>
      <c r="I111" s="220">
        <f>D111-G111</f>
        <v>0</v>
      </c>
      <c r="J111" s="220">
        <f>'Vale Verde 1'!D79</f>
        <v>1739.21</v>
      </c>
      <c r="K111" s="220">
        <v>0</v>
      </c>
      <c r="L111" s="220">
        <f>I111+J111-K111</f>
        <v>1739.21</v>
      </c>
      <c r="M111" s="221">
        <f>M76</f>
        <v>81.319999999999993</v>
      </c>
      <c r="N111" s="221">
        <f>M111*$Q$5</f>
        <v>104.89</v>
      </c>
      <c r="O111" s="246" t="s">
        <v>655</v>
      </c>
      <c r="P111" s="221">
        <f>L111*N111</f>
        <v>182425.74</v>
      </c>
      <c r="Q111" s="311" t="e">
        <f>L111*ORÇAMENTO!H53</f>
        <v>#REF!</v>
      </c>
      <c r="R111" s="224"/>
      <c r="S111" s="225"/>
      <c r="V111" s="227"/>
    </row>
    <row r="112" spans="1:22" s="226" customFormat="1" ht="25.5" x14ac:dyDescent="0.2">
      <c r="A112" s="273" t="s">
        <v>108</v>
      </c>
      <c r="B112" s="218" t="str">
        <f>B77</f>
        <v>Assentamento de guia (meio-fio) para cordão de travamento do pavimento, em pedra granítica</v>
      </c>
      <c r="C112" s="219" t="s">
        <v>11</v>
      </c>
      <c r="D112" s="220">
        <v>0</v>
      </c>
      <c r="E112" s="220">
        <v>0</v>
      </c>
      <c r="F112" s="220">
        <f>D112*E112</f>
        <v>0</v>
      </c>
      <c r="G112" s="220">
        <v>0</v>
      </c>
      <c r="H112" s="220">
        <v>0</v>
      </c>
      <c r="I112" s="220">
        <f>D112-G112</f>
        <v>0</v>
      </c>
      <c r="J112" s="220">
        <f>'Vale Verde 1'!D80</f>
        <v>47.07</v>
      </c>
      <c r="K112" s="220">
        <v>0</v>
      </c>
      <c r="L112" s="220">
        <f>I112+J112-K112</f>
        <v>47.07</v>
      </c>
      <c r="M112" s="221">
        <f>'Composição Custos Unit'!G20</f>
        <v>48.29</v>
      </c>
      <c r="N112" s="221">
        <f>M112*$Q$5</f>
        <v>62.29</v>
      </c>
      <c r="O112" s="316" t="s">
        <v>656</v>
      </c>
      <c r="P112" s="221">
        <f>L112*N112</f>
        <v>2931.99</v>
      </c>
      <c r="Q112" s="311" t="e">
        <f>L112*ORÇAMENTO!H54</f>
        <v>#REF!</v>
      </c>
      <c r="R112" s="224"/>
      <c r="S112" s="225"/>
      <c r="V112" s="227"/>
    </row>
    <row r="113" spans="1:22" s="202" customFormat="1" ht="5.0999999999999996" customHeight="1" x14ac:dyDescent="0.2">
      <c r="A113" s="239"/>
      <c r="B113" s="239"/>
      <c r="C113" s="219"/>
      <c r="D113" s="220"/>
      <c r="E113" s="220"/>
      <c r="F113" s="220"/>
      <c r="G113" s="220"/>
      <c r="H113" s="220"/>
      <c r="I113" s="220"/>
      <c r="J113" s="220"/>
      <c r="K113" s="220"/>
      <c r="L113" s="220"/>
      <c r="M113" s="221"/>
      <c r="N113" s="221"/>
      <c r="O113" s="222"/>
      <c r="P113" s="274"/>
      <c r="Q113" s="229"/>
      <c r="S113" s="230"/>
    </row>
    <row r="114" spans="1:22" s="216" customFormat="1" ht="12.75" customHeight="1" x14ac:dyDescent="0.2">
      <c r="A114" s="521" t="s">
        <v>14</v>
      </c>
      <c r="B114" s="240" t="s">
        <v>610</v>
      </c>
      <c r="C114" s="219"/>
      <c r="D114" s="220"/>
      <c r="E114" s="220"/>
      <c r="F114" s="233">
        <f>SUM(F116:F116)</f>
        <v>0</v>
      </c>
      <c r="G114" s="241"/>
      <c r="H114" s="242">
        <f>SUM(H116:H116)</f>
        <v>0</v>
      </c>
      <c r="I114" s="241"/>
      <c r="J114" s="241"/>
      <c r="K114" s="241"/>
      <c r="L114" s="241"/>
      <c r="M114" s="221"/>
      <c r="N114" s="221"/>
      <c r="O114" s="222"/>
      <c r="P114" s="243" t="e">
        <f>SUM(P115:P117)</f>
        <v>#REF!</v>
      </c>
      <c r="Q114" s="215"/>
      <c r="T114" s="217"/>
    </row>
    <row r="115" spans="1:22" s="226" customFormat="1" ht="51" x14ac:dyDescent="0.2">
      <c r="A115" s="315" t="s">
        <v>15</v>
      </c>
      <c r="B115" s="261" t="str">
        <f>B80</f>
        <v>Alvenaria de blocos cerâmicos furados na horizontal de 9x19x19 cm (espessura 9 cm) e argamassa de assentamento com preparo manual (para contenção das calçadas)</v>
      </c>
      <c r="C115" s="234" t="s">
        <v>13</v>
      </c>
      <c r="D115" s="220">
        <v>0</v>
      </c>
      <c r="E115" s="220">
        <v>0</v>
      </c>
      <c r="F115" s="220">
        <f>D115*E115</f>
        <v>0</v>
      </c>
      <c r="G115" s="220">
        <v>0</v>
      </c>
      <c r="H115" s="220">
        <v>0</v>
      </c>
      <c r="I115" s="220">
        <v>0</v>
      </c>
      <c r="J115" s="220">
        <f>'Vale Verde 1'!D83</f>
        <v>108.16</v>
      </c>
      <c r="K115" s="220">
        <v>0</v>
      </c>
      <c r="L115" s="220">
        <f>I115+J115-K115</f>
        <v>108.16</v>
      </c>
      <c r="M115" s="221">
        <v>73.16</v>
      </c>
      <c r="N115" s="221">
        <f>M115*$Q$5</f>
        <v>94.37</v>
      </c>
      <c r="O115" s="271" t="s">
        <v>645</v>
      </c>
      <c r="P115" s="221">
        <f>L115*N115</f>
        <v>10207.06</v>
      </c>
      <c r="Q115" s="223"/>
      <c r="R115" s="224"/>
      <c r="S115" s="225"/>
      <c r="V115" s="227"/>
    </row>
    <row r="116" spans="1:22" s="226" customFormat="1" ht="38.25" x14ac:dyDescent="0.2">
      <c r="A116" s="315" t="s">
        <v>129</v>
      </c>
      <c r="B116" s="261" t="str">
        <f>B81</f>
        <v>Execução de passeio (calçada) ou piso de concreto com concreto moldado in loco, feito em obra, acabamento convencional, não armado</v>
      </c>
      <c r="C116" s="234" t="s">
        <v>128</v>
      </c>
      <c r="D116" s="220">
        <f>'Planilha CT Original'!F111</f>
        <v>0</v>
      </c>
      <c r="E116" s="220">
        <f>'Planilha CT Original'!H111</f>
        <v>0</v>
      </c>
      <c r="F116" s="220">
        <f>D116*E116</f>
        <v>0</v>
      </c>
      <c r="G116" s="220">
        <v>0</v>
      </c>
      <c r="H116" s="220">
        <f>E116*G116</f>
        <v>0</v>
      </c>
      <c r="I116" s="220">
        <f>D116-G116</f>
        <v>0</v>
      </c>
      <c r="J116" s="220">
        <f>'Vale Verde 1'!D84</f>
        <v>34.92</v>
      </c>
      <c r="K116" s="220">
        <v>0</v>
      </c>
      <c r="L116" s="220">
        <f>I116+J116-K116</f>
        <v>34.92</v>
      </c>
      <c r="M116" s="221">
        <f>M23</f>
        <v>699.25</v>
      </c>
      <c r="N116" s="221">
        <f>M116*$Q$5</f>
        <v>901.96</v>
      </c>
      <c r="O116" s="316" t="str">
        <f>O23</f>
        <v>94990 SINAPI
Out/23</v>
      </c>
      <c r="P116" s="221">
        <f>L116*N116</f>
        <v>31496.44</v>
      </c>
      <c r="Q116" s="223"/>
      <c r="R116" s="224"/>
      <c r="S116" s="225"/>
      <c r="V116" s="227"/>
    </row>
    <row r="117" spans="1:22" s="226" customFormat="1" ht="53.25" customHeight="1" x14ac:dyDescent="0.2">
      <c r="A117" s="315" t="s">
        <v>131</v>
      </c>
      <c r="B117" s="261" t="str">
        <f>B82</f>
        <v>Piso tátil direcional e/ou alerta, de concreto, na cor natural, para deficientes visuais, dimensões 20x20cm, aplicado com argamassa industrializada ac-ii - m²</v>
      </c>
      <c r="C117" s="219" t="s">
        <v>13</v>
      </c>
      <c r="D117" s="220">
        <v>0</v>
      </c>
      <c r="E117" s="220">
        <f>'Planilha Ajuste'!E57</f>
        <v>0</v>
      </c>
      <c r="F117" s="220">
        <f>D117*E117</f>
        <v>0</v>
      </c>
      <c r="G117" s="220">
        <v>0</v>
      </c>
      <c r="H117" s="220">
        <f>E117*G117</f>
        <v>0</v>
      </c>
      <c r="I117" s="220">
        <f>D117-G117</f>
        <v>0</v>
      </c>
      <c r="J117" s="220">
        <f>'Vale Verde 1'!D85</f>
        <v>105.48</v>
      </c>
      <c r="K117" s="220">
        <v>0</v>
      </c>
      <c r="L117" s="220">
        <f>I117+J117-K117</f>
        <v>105.48</v>
      </c>
      <c r="M117" s="221" t="e">
        <f>M28</f>
        <v>#REF!</v>
      </c>
      <c r="N117" s="221" t="e">
        <f>M117*$Q$5</f>
        <v>#REF!</v>
      </c>
      <c r="O117" s="316" t="str">
        <f>O28</f>
        <v>Composição 03 (Base 09417/ORSE)</v>
      </c>
      <c r="P117" s="221" t="e">
        <f>L117*N117</f>
        <v>#REF!</v>
      </c>
      <c r="Q117" s="223"/>
      <c r="R117" s="224"/>
      <c r="S117" s="225"/>
      <c r="V117" s="227"/>
    </row>
    <row r="118" spans="1:22" s="202" customFormat="1" ht="5.0999999999999996" customHeight="1" x14ac:dyDescent="0.2">
      <c r="A118" s="239"/>
      <c r="B118" s="239"/>
      <c r="C118" s="219"/>
      <c r="D118" s="220"/>
      <c r="E118" s="220"/>
      <c r="F118" s="220"/>
      <c r="G118" s="220"/>
      <c r="H118" s="220"/>
      <c r="I118" s="220"/>
      <c r="J118" s="220"/>
      <c r="K118" s="220"/>
      <c r="L118" s="220"/>
      <c r="M118" s="220"/>
      <c r="N118" s="220"/>
      <c r="O118" s="236"/>
      <c r="P118" s="274"/>
      <c r="Q118" s="229"/>
      <c r="S118" s="230"/>
    </row>
    <row r="119" spans="1:22" s="216" customFormat="1" ht="12.75" customHeight="1" x14ac:dyDescent="0.2">
      <c r="A119" s="521" t="s">
        <v>157</v>
      </c>
      <c r="B119" s="240" t="s">
        <v>291</v>
      </c>
      <c r="C119" s="219"/>
      <c r="D119" s="220"/>
      <c r="E119" s="220"/>
      <c r="F119" s="231">
        <f>SUM(F120:F122)</f>
        <v>0</v>
      </c>
      <c r="G119" s="241"/>
      <c r="H119" s="233">
        <f>SUM(H120:H122)</f>
        <v>0</v>
      </c>
      <c r="I119" s="241"/>
      <c r="J119" s="241"/>
      <c r="K119" s="241"/>
      <c r="L119" s="241"/>
      <c r="M119" s="221"/>
      <c r="N119" s="221"/>
      <c r="O119" s="222"/>
      <c r="P119" s="243" t="e">
        <f>SUM(P120:P123)</f>
        <v>#REF!</v>
      </c>
      <c r="Q119" s="215"/>
      <c r="T119" s="217"/>
    </row>
    <row r="120" spans="1:22" s="226" customFormat="1" ht="38.25" x14ac:dyDescent="0.2">
      <c r="A120" s="273" t="s">
        <v>158</v>
      </c>
      <c r="B120" s="261" t="str">
        <f>B26</f>
        <v>Concreto Fck = 15mpa, traço 1:3,4:3,5 (em massa seca de cimento/ areia média/ brita 1), preparo mecânico com betoneira 400 L</v>
      </c>
      <c r="C120" s="219" t="str">
        <f>C61</f>
        <v>unid</v>
      </c>
      <c r="D120" s="220">
        <f>'Planilha CT Original'!F99</f>
        <v>0</v>
      </c>
      <c r="E120" s="220">
        <f>'Planilha Ajuste'!E61</f>
        <v>123.16</v>
      </c>
      <c r="F120" s="220">
        <f>D120*E120</f>
        <v>0</v>
      </c>
      <c r="G120" s="220">
        <v>0</v>
      </c>
      <c r="H120" s="220">
        <f>E120*G120</f>
        <v>0</v>
      </c>
      <c r="I120" s="220">
        <f>D120-G120</f>
        <v>0</v>
      </c>
      <c r="J120" s="220">
        <f>'Vale Verde 1'!D88</f>
        <v>5.24</v>
      </c>
      <c r="K120" s="220">
        <v>0</v>
      </c>
      <c r="L120" s="220">
        <f>I120+J120-K120</f>
        <v>5.24</v>
      </c>
      <c r="M120" s="221">
        <f>M85</f>
        <v>407.9</v>
      </c>
      <c r="N120" s="221">
        <f>M120*$Q$5</f>
        <v>526.15</v>
      </c>
      <c r="O120" s="316" t="str">
        <f>O85</f>
        <v>94963 SINAPI
Out/23</v>
      </c>
      <c r="P120" s="221">
        <f>L120*N120</f>
        <v>2757.03</v>
      </c>
      <c r="Q120" s="223"/>
      <c r="R120" s="224"/>
      <c r="S120" s="225"/>
      <c r="V120" s="227"/>
    </row>
    <row r="121" spans="1:22" s="226" customFormat="1" ht="40.5" customHeight="1" x14ac:dyDescent="0.2">
      <c r="A121" s="273" t="s">
        <v>170</v>
      </c>
      <c r="B121" s="261" t="str">
        <f>B27</f>
        <v>Lançamento com uso de baldes, adensamento e acabamento de concreto em estruturas</v>
      </c>
      <c r="C121" s="219" t="str">
        <f>C62</f>
        <v>m²</v>
      </c>
      <c r="D121" s="220">
        <f>'Planilha CT Original'!F100</f>
        <v>0</v>
      </c>
      <c r="E121" s="220">
        <f>'Planilha Ajuste'!E62</f>
        <v>0.34</v>
      </c>
      <c r="F121" s="220">
        <f>D121*E121</f>
        <v>0</v>
      </c>
      <c r="G121" s="220">
        <v>0</v>
      </c>
      <c r="H121" s="220">
        <f>E121*G121</f>
        <v>0</v>
      </c>
      <c r="I121" s="220">
        <f>D121-G121</f>
        <v>0</v>
      </c>
      <c r="J121" s="220">
        <f>'Vale Verde 1'!D89</f>
        <v>5.24</v>
      </c>
      <c r="K121" s="220">
        <v>0</v>
      </c>
      <c r="L121" s="220">
        <f>I121+J121-K121</f>
        <v>5.24</v>
      </c>
      <c r="M121" s="221">
        <f>M86</f>
        <v>223.27</v>
      </c>
      <c r="N121" s="221">
        <f>M121*$Q$5</f>
        <v>288</v>
      </c>
      <c r="O121" s="316" t="str">
        <f>O86</f>
        <v>103670 SINAPI
Out/23</v>
      </c>
      <c r="P121" s="221">
        <f>L121*N121</f>
        <v>1509.12</v>
      </c>
      <c r="Q121" s="223"/>
      <c r="R121" s="224"/>
      <c r="S121" s="225"/>
      <c r="V121" s="227"/>
    </row>
    <row r="122" spans="1:22" s="226" customFormat="1" ht="51" x14ac:dyDescent="0.2">
      <c r="A122" s="273" t="s">
        <v>203</v>
      </c>
      <c r="B122" s="261" t="str">
        <f>B28</f>
        <v>Piso tátil direcional e/ou alerta, de concreto, na cor natural, para deficientes visuais, dimensões 20x20cm, aplicado com argamassa industrializada ac-ii - m²</v>
      </c>
      <c r="C122" s="219" t="str">
        <f>C117</f>
        <v>m²</v>
      </c>
      <c r="D122" s="220">
        <f>'Planilha CT Original'!F101</f>
        <v>0</v>
      </c>
      <c r="E122" s="220">
        <f>'Planilha Ajuste'!E63</f>
        <v>0</v>
      </c>
      <c r="F122" s="220">
        <f>D122*E122</f>
        <v>0</v>
      </c>
      <c r="G122" s="220">
        <v>0</v>
      </c>
      <c r="H122" s="220">
        <f>E122*G122</f>
        <v>0</v>
      </c>
      <c r="I122" s="220">
        <f>D122-G122</f>
        <v>0</v>
      </c>
      <c r="J122" s="220">
        <f>'Vale Verde 1'!D90</f>
        <v>7.8</v>
      </c>
      <c r="K122" s="220">
        <v>0</v>
      </c>
      <c r="L122" s="220">
        <f>I122+J122-K122</f>
        <v>7.8</v>
      </c>
      <c r="M122" s="221" t="e">
        <f>M87</f>
        <v>#REF!</v>
      </c>
      <c r="N122" s="221" t="e">
        <f>M122*$Q$5</f>
        <v>#REF!</v>
      </c>
      <c r="O122" s="316" t="str">
        <f>O87</f>
        <v>Composição 03 (Base 09417/ORSE)</v>
      </c>
      <c r="P122" s="221" t="e">
        <f>L122*N122</f>
        <v>#REF!</v>
      </c>
      <c r="Q122" s="223"/>
      <c r="R122" s="224"/>
      <c r="S122" s="225"/>
      <c r="V122" s="227"/>
    </row>
    <row r="123" spans="1:22" s="226" customFormat="1" ht="25.5" x14ac:dyDescent="0.2">
      <c r="A123" s="315" t="s">
        <v>181</v>
      </c>
      <c r="B123" s="261" t="str">
        <f>B29</f>
        <v>Pintura de piso com tinta acrílica, aplicação manual, 2 demãos, incluso fundo preparador</v>
      </c>
      <c r="C123" s="234" t="s">
        <v>13</v>
      </c>
      <c r="D123" s="220">
        <v>0</v>
      </c>
      <c r="E123" s="220">
        <v>0</v>
      </c>
      <c r="F123" s="220">
        <v>0</v>
      </c>
      <c r="G123" s="220">
        <v>0</v>
      </c>
      <c r="H123" s="220">
        <v>0</v>
      </c>
      <c r="I123" s="220">
        <v>0</v>
      </c>
      <c r="J123" s="220">
        <f>'Vale Verde 1'!D91</f>
        <v>90</v>
      </c>
      <c r="K123" s="220">
        <v>0</v>
      </c>
      <c r="L123" s="220">
        <f>I123+J123-K123</f>
        <v>90</v>
      </c>
      <c r="M123" s="221">
        <f>M88</f>
        <v>14.87</v>
      </c>
      <c r="N123" s="221">
        <f>M123*$Q$5</f>
        <v>19.18</v>
      </c>
      <c r="O123" s="316" t="str">
        <f>O88</f>
        <v>102491 SINAPI
Out/23</v>
      </c>
      <c r="P123" s="221">
        <f>L123*N123</f>
        <v>1726.2</v>
      </c>
      <c r="Q123" s="223"/>
      <c r="R123" s="224"/>
      <c r="S123" s="225"/>
    </row>
    <row r="124" spans="1:22" s="202" customFormat="1" ht="5.0999999999999996" customHeight="1" x14ac:dyDescent="0.2">
      <c r="A124" s="239"/>
      <c r="B124" s="239"/>
      <c r="C124" s="219"/>
      <c r="D124" s="220"/>
      <c r="E124" s="220"/>
      <c r="F124" s="220"/>
      <c r="G124" s="220"/>
      <c r="H124" s="220"/>
      <c r="I124" s="220"/>
      <c r="J124" s="220"/>
      <c r="K124" s="220"/>
      <c r="L124" s="220"/>
      <c r="M124" s="220"/>
      <c r="N124" s="220"/>
      <c r="O124" s="236"/>
      <c r="P124" s="274"/>
      <c r="Q124" s="229"/>
      <c r="S124" s="230"/>
    </row>
    <row r="125" spans="1:22" s="216" customFormat="1" ht="12.75" customHeight="1" x14ac:dyDescent="0.2">
      <c r="A125" s="275" t="s">
        <v>174</v>
      </c>
      <c r="B125" s="240" t="s">
        <v>292</v>
      </c>
      <c r="C125" s="219"/>
      <c r="D125" s="220"/>
      <c r="E125" s="220"/>
      <c r="F125" s="233">
        <f>SUM(F127:F127)</f>
        <v>0</v>
      </c>
      <c r="G125" s="241"/>
      <c r="H125" s="242">
        <f>SUM(H127:H127)</f>
        <v>0</v>
      </c>
      <c r="I125" s="241"/>
      <c r="J125" s="241"/>
      <c r="K125" s="241"/>
      <c r="L125" s="241"/>
      <c r="M125" s="221"/>
      <c r="N125" s="221"/>
      <c r="O125" s="222"/>
      <c r="P125" s="243" t="e">
        <f>SUM(P126:P128)</f>
        <v>#REF!</v>
      </c>
      <c r="Q125" s="215"/>
      <c r="T125" s="217"/>
    </row>
    <row r="126" spans="1:22" s="226" customFormat="1" ht="25.5" x14ac:dyDescent="0.2">
      <c r="A126" s="273" t="s">
        <v>175</v>
      </c>
      <c r="B126" s="261" t="str">
        <f>B92</f>
        <v>Pintura de meio-fio com tinta branca a base de cal (caiação)</v>
      </c>
      <c r="C126" s="234" t="s">
        <v>13</v>
      </c>
      <c r="D126" s="220">
        <v>0</v>
      </c>
      <c r="E126" s="220">
        <f>'Planilha CT Original'!H119</f>
        <v>0</v>
      </c>
      <c r="F126" s="220">
        <f>D126*E126</f>
        <v>0</v>
      </c>
      <c r="G126" s="220">
        <v>0</v>
      </c>
      <c r="H126" s="220">
        <v>0</v>
      </c>
      <c r="I126" s="220">
        <f>D126-G126</f>
        <v>0</v>
      </c>
      <c r="J126" s="220">
        <f>'Vale Verde 1'!D94</f>
        <v>165.12</v>
      </c>
      <c r="K126" s="220">
        <v>0</v>
      </c>
      <c r="L126" s="220">
        <f>I126+J126-K126</f>
        <v>165.12</v>
      </c>
      <c r="M126" s="221">
        <f>M92</f>
        <v>1.25</v>
      </c>
      <c r="N126" s="221">
        <f>M126*$Q$5</f>
        <v>1.61</v>
      </c>
      <c r="O126" s="271" t="s">
        <v>658</v>
      </c>
      <c r="P126" s="221">
        <f>L126*N126</f>
        <v>265.83999999999997</v>
      </c>
      <c r="Q126" s="223"/>
      <c r="R126" s="224"/>
      <c r="S126" s="225"/>
      <c r="V126" s="227"/>
    </row>
    <row r="127" spans="1:22" s="226" customFormat="1" ht="67.5" customHeight="1" x14ac:dyDescent="0.2">
      <c r="A127" s="273" t="s">
        <v>246</v>
      </c>
      <c r="B127" s="261" t="str">
        <f>B93</f>
        <v>Sinalização permanente, vertical, com placa octogonal de aço, padrão DNER, largura 0,60m, com tubo de aço galvanizado de 2,10m, já sendo descontado a altura que ficará contido na base, fixado com base de concreto 40 x 40 x 50</v>
      </c>
      <c r="C127" s="234" t="s">
        <v>279</v>
      </c>
      <c r="D127" s="220">
        <v>0</v>
      </c>
      <c r="E127" s="220">
        <f>'Planilha CT Original'!H118</f>
        <v>0</v>
      </c>
      <c r="F127" s="220">
        <f>D127*E127</f>
        <v>0</v>
      </c>
      <c r="G127" s="220">
        <v>0</v>
      </c>
      <c r="H127" s="220">
        <v>0</v>
      </c>
      <c r="I127" s="220">
        <f>D127-G127</f>
        <v>0</v>
      </c>
      <c r="J127" s="220">
        <f>'Vale Verde 1'!D95</f>
        <v>2</v>
      </c>
      <c r="K127" s="220">
        <v>0</v>
      </c>
      <c r="L127" s="220">
        <f>I127+J127-K127</f>
        <v>2</v>
      </c>
      <c r="M127" s="221" t="e">
        <f>'Composição Custos Unit'!#REF!</f>
        <v>#REF!</v>
      </c>
      <c r="N127" s="221" t="e">
        <f>M127*$Q$5</f>
        <v>#REF!</v>
      </c>
      <c r="O127" s="316" t="s">
        <v>659</v>
      </c>
      <c r="P127" s="221" t="e">
        <f>L127*N127</f>
        <v>#REF!</v>
      </c>
      <c r="Q127" s="223">
        <f>L127*ORÇAMENTO!H72</f>
        <v>0</v>
      </c>
      <c r="R127" s="224"/>
      <c r="S127" s="225"/>
      <c r="V127" s="227"/>
    </row>
    <row r="128" spans="1:22" s="226" customFormat="1" ht="51.75" customHeight="1" x14ac:dyDescent="0.2">
      <c r="A128" s="273" t="s">
        <v>247</v>
      </c>
      <c r="B128" s="261" t="s">
        <v>499</v>
      </c>
      <c r="C128" s="234" t="s">
        <v>279</v>
      </c>
      <c r="D128" s="220">
        <v>0</v>
      </c>
      <c r="E128" s="220">
        <f>'Planilha CT Original'!H120</f>
        <v>0</v>
      </c>
      <c r="F128" s="220">
        <f>D128*E128</f>
        <v>0</v>
      </c>
      <c r="G128" s="220">
        <v>0</v>
      </c>
      <c r="H128" s="220">
        <v>0</v>
      </c>
      <c r="I128" s="220">
        <f>D128-G128</f>
        <v>0</v>
      </c>
      <c r="J128" s="220">
        <f>'Vale Verde 1'!D96</f>
        <v>2</v>
      </c>
      <c r="K128" s="220">
        <v>0</v>
      </c>
      <c r="L128" s="220">
        <f>I128+J128-K128</f>
        <v>2</v>
      </c>
      <c r="M128" s="221">
        <f>'Composição Custos Unit'!G35</f>
        <v>140.27000000000001</v>
      </c>
      <c r="N128" s="221">
        <f>M128*$Q$5</f>
        <v>180.93</v>
      </c>
      <c r="O128" s="271" t="s">
        <v>660</v>
      </c>
      <c r="P128" s="221">
        <f>L128*N128</f>
        <v>361.86</v>
      </c>
      <c r="Q128" s="223"/>
      <c r="R128" s="224"/>
      <c r="S128" s="225"/>
      <c r="V128" s="227"/>
    </row>
    <row r="129" spans="1:22" s="202" customFormat="1" ht="4.5" customHeight="1" thickBot="1" x14ac:dyDescent="0.25">
      <c r="A129" s="326"/>
      <c r="B129" s="327"/>
      <c r="C129" s="328"/>
      <c r="D129" s="329"/>
      <c r="E129" s="329"/>
      <c r="F129" s="329"/>
      <c r="G129" s="329"/>
      <c r="H129" s="329"/>
      <c r="I129" s="329"/>
      <c r="J129" s="329"/>
      <c r="K129" s="329"/>
      <c r="L129" s="329"/>
      <c r="M129" s="330"/>
      <c r="N129" s="330"/>
      <c r="O129" s="331"/>
      <c r="P129" s="332"/>
      <c r="Q129" s="229"/>
    </row>
    <row r="130" spans="1:22" s="254" customFormat="1" ht="20.25" customHeight="1" thickBot="1" x14ac:dyDescent="0.25">
      <c r="A130" s="743" t="s">
        <v>638</v>
      </c>
      <c r="B130" s="744"/>
      <c r="C130" s="744"/>
      <c r="D130" s="744"/>
      <c r="E130" s="744"/>
      <c r="F130" s="553">
        <f>F102+F106+F109+F125</f>
        <v>0</v>
      </c>
      <c r="G130" s="555"/>
      <c r="H130" s="553">
        <f>H102+H106+H109+H125</f>
        <v>0</v>
      </c>
      <c r="I130" s="555"/>
      <c r="J130" s="555"/>
      <c r="K130" s="555"/>
      <c r="L130" s="555"/>
      <c r="M130" s="558"/>
      <c r="N130" s="558"/>
      <c r="O130" s="559"/>
      <c r="P130" s="560" t="e">
        <f>P102+P106+P109+P114+P119+P125</f>
        <v>#REF!</v>
      </c>
      <c r="Q130" s="253"/>
      <c r="T130" s="255"/>
    </row>
    <row r="131" spans="1:22" s="202" customFormat="1" ht="5.0999999999999996" customHeight="1" thickBot="1" x14ac:dyDescent="0.25">
      <c r="A131" s="239"/>
      <c r="B131" s="228"/>
      <c r="C131" s="219"/>
      <c r="D131" s="220"/>
      <c r="E131" s="220"/>
      <c r="F131" s="220"/>
      <c r="G131" s="220"/>
      <c r="H131" s="220"/>
      <c r="I131" s="220"/>
      <c r="J131" s="220"/>
      <c r="K131" s="220"/>
      <c r="L131" s="220"/>
      <c r="M131" s="220"/>
      <c r="N131" s="220"/>
      <c r="O131" s="236"/>
      <c r="P131" s="274"/>
      <c r="Q131" s="229"/>
      <c r="S131" s="230"/>
    </row>
    <row r="132" spans="1:22" s="202" customFormat="1" ht="18" customHeight="1" thickBot="1" x14ac:dyDescent="0.3">
      <c r="A132" s="821" t="str">
        <f>'Vale Verde 2'!A6:B6</f>
        <v>RUA PROJETADA 2 (Vale Verde)</v>
      </c>
      <c r="B132" s="822"/>
      <c r="C132" s="822"/>
      <c r="D132" s="822"/>
      <c r="E132" s="822"/>
      <c r="F132" s="822"/>
      <c r="G132" s="822"/>
      <c r="H132" s="822"/>
      <c r="I132" s="822"/>
      <c r="J132" s="822"/>
      <c r="K132" s="822"/>
      <c r="L132" s="822"/>
      <c r="M132" s="822"/>
      <c r="N132" s="822"/>
      <c r="O132" s="822"/>
      <c r="P132" s="823"/>
      <c r="Q132" s="205"/>
      <c r="R132" s="205"/>
      <c r="S132" s="205"/>
      <c r="T132" s="207"/>
      <c r="U132" s="208"/>
    </row>
    <row r="133" spans="1:22" s="216" customFormat="1" ht="12.75" customHeight="1" x14ac:dyDescent="0.2">
      <c r="A133" s="272" t="s">
        <v>4</v>
      </c>
      <c r="B133" s="209" t="s">
        <v>277</v>
      </c>
      <c r="C133" s="210"/>
      <c r="D133" s="211"/>
      <c r="E133" s="211"/>
      <c r="F133" s="213">
        <f>SUM(F134:F134)</f>
        <v>0</v>
      </c>
      <c r="G133" s="211"/>
      <c r="H133" s="213">
        <f>SUM(H134:H134)</f>
        <v>0</v>
      </c>
      <c r="I133" s="211"/>
      <c r="J133" s="211"/>
      <c r="K133" s="211"/>
      <c r="L133" s="213"/>
      <c r="M133" s="212"/>
      <c r="N133" s="212"/>
      <c r="O133" s="214"/>
      <c r="P133" s="212">
        <f>SUM(P134:P134)</f>
        <v>157.77000000000001</v>
      </c>
      <c r="Q133" s="215"/>
      <c r="T133" s="217"/>
    </row>
    <row r="134" spans="1:22" s="226" customFormat="1" ht="25.5" x14ac:dyDescent="0.2">
      <c r="A134" s="273" t="s">
        <v>86</v>
      </c>
      <c r="B134" s="218" t="str">
        <f>B69</f>
        <v>Locação de pavimentação</v>
      </c>
      <c r="C134" s="234" t="s">
        <v>11</v>
      </c>
      <c r="D134" s="220">
        <v>0</v>
      </c>
      <c r="E134" s="220">
        <v>0</v>
      </c>
      <c r="F134" s="220">
        <f>D134*E134</f>
        <v>0</v>
      </c>
      <c r="G134" s="220">
        <v>0</v>
      </c>
      <c r="H134" s="220">
        <v>0</v>
      </c>
      <c r="I134" s="220">
        <f>D134-G134</f>
        <v>0</v>
      </c>
      <c r="J134" s="220">
        <f>'Vale Verde 2'!D74</f>
        <v>267.39999999999998</v>
      </c>
      <c r="K134" s="220">
        <v>0</v>
      </c>
      <c r="L134" s="220">
        <f>I134+J134-K134</f>
        <v>267.39999999999998</v>
      </c>
      <c r="M134" s="221">
        <f>M104</f>
        <v>0.46</v>
      </c>
      <c r="N134" s="221">
        <f>M134*$Q$5</f>
        <v>0.59</v>
      </c>
      <c r="O134" s="246" t="s">
        <v>652</v>
      </c>
      <c r="P134" s="221">
        <f>L134*N134</f>
        <v>157.77000000000001</v>
      </c>
      <c r="Q134" s="310">
        <f>J134*ORÇAMENTO!H84</f>
        <v>0</v>
      </c>
      <c r="R134" s="224"/>
      <c r="S134" s="225"/>
      <c r="V134" s="227"/>
    </row>
    <row r="135" spans="1:22" s="202" customFormat="1" ht="5.0999999999999996" customHeight="1" x14ac:dyDescent="0.2">
      <c r="A135" s="239"/>
      <c r="B135" s="228"/>
      <c r="C135" s="219"/>
      <c r="D135" s="220"/>
      <c r="E135" s="220"/>
      <c r="F135" s="220"/>
      <c r="G135" s="220"/>
      <c r="H135" s="220"/>
      <c r="I135" s="220"/>
      <c r="J135" s="220"/>
      <c r="K135" s="220"/>
      <c r="L135" s="220"/>
      <c r="M135" s="221"/>
      <c r="N135" s="221"/>
      <c r="O135" s="222"/>
      <c r="P135" s="274"/>
      <c r="Q135" s="229"/>
      <c r="S135" s="230"/>
    </row>
    <row r="136" spans="1:22" s="216" customFormat="1" ht="12.75" customHeight="1" x14ac:dyDescent="0.2">
      <c r="A136" s="272" t="s">
        <v>6</v>
      </c>
      <c r="B136" s="209" t="s">
        <v>278</v>
      </c>
      <c r="C136" s="210"/>
      <c r="D136" s="220"/>
      <c r="E136" s="232"/>
      <c r="F136" s="233">
        <f>SUM(F137:F137)</f>
        <v>0</v>
      </c>
      <c r="G136" s="211"/>
      <c r="H136" s="213">
        <f>SUM(H137:H137)</f>
        <v>0</v>
      </c>
      <c r="I136" s="211"/>
      <c r="J136" s="211"/>
      <c r="K136" s="211"/>
      <c r="L136" s="211"/>
      <c r="M136" s="221"/>
      <c r="N136" s="221"/>
      <c r="O136" s="222"/>
      <c r="P136" s="212">
        <f>SUM(P137:P137)</f>
        <v>4257.47</v>
      </c>
      <c r="Q136" s="215"/>
      <c r="T136" s="217">
        <v>1.2097</v>
      </c>
    </row>
    <row r="137" spans="1:22" s="226" customFormat="1" ht="26.25" customHeight="1" x14ac:dyDescent="0.2">
      <c r="A137" s="273" t="s">
        <v>7</v>
      </c>
      <c r="B137" s="218" t="str">
        <f>B72</f>
        <v>Regularização e compactação do subleito até 20 cm de espessura</v>
      </c>
      <c r="C137" s="234" t="s">
        <v>13</v>
      </c>
      <c r="D137" s="220">
        <v>0</v>
      </c>
      <c r="E137" s="220">
        <v>0</v>
      </c>
      <c r="F137" s="220">
        <f>D137*E137</f>
        <v>0</v>
      </c>
      <c r="G137" s="220">
        <v>0</v>
      </c>
      <c r="H137" s="220">
        <v>0</v>
      </c>
      <c r="I137" s="220">
        <f>D137-G137</f>
        <v>0</v>
      </c>
      <c r="J137" s="220">
        <f>'Vale Verde 2'!D77</f>
        <v>1428.68</v>
      </c>
      <c r="K137" s="220">
        <v>0</v>
      </c>
      <c r="L137" s="220">
        <f>I137+J137-K137</f>
        <v>1428.68</v>
      </c>
      <c r="M137" s="221">
        <f>M107</f>
        <v>2.31</v>
      </c>
      <c r="N137" s="221">
        <f>M137*$Q$5</f>
        <v>2.98</v>
      </c>
      <c r="O137" s="246" t="s">
        <v>651</v>
      </c>
      <c r="P137" s="221">
        <f>L137*N137</f>
        <v>4257.47</v>
      </c>
      <c r="Q137" s="311" t="e">
        <f>L137*ORÇAMENTO!H86</f>
        <v>#REF!</v>
      </c>
      <c r="R137" s="224"/>
      <c r="S137" s="225"/>
      <c r="V137" s="227"/>
    </row>
    <row r="138" spans="1:22" s="202" customFormat="1" ht="5.0999999999999996" customHeight="1" x14ac:dyDescent="0.2">
      <c r="A138" s="239"/>
      <c r="B138" s="228"/>
      <c r="C138" s="219"/>
      <c r="D138" s="220"/>
      <c r="E138" s="220"/>
      <c r="F138" s="220"/>
      <c r="G138" s="220"/>
      <c r="H138" s="220"/>
      <c r="I138" s="220"/>
      <c r="J138" s="220"/>
      <c r="K138" s="220"/>
      <c r="L138" s="220"/>
      <c r="M138" s="220"/>
      <c r="N138" s="220"/>
      <c r="O138" s="236"/>
      <c r="P138" s="274"/>
      <c r="Q138" s="312"/>
      <c r="S138" s="230"/>
    </row>
    <row r="139" spans="1:22" s="216" customFormat="1" ht="12.75" customHeight="1" x14ac:dyDescent="0.2">
      <c r="A139" s="272" t="s">
        <v>8</v>
      </c>
      <c r="B139" s="209" t="s">
        <v>20</v>
      </c>
      <c r="C139" s="210"/>
      <c r="D139" s="211"/>
      <c r="E139" s="211"/>
      <c r="F139" s="233">
        <f>SUM(F140:F142)</f>
        <v>0</v>
      </c>
      <c r="G139" s="211"/>
      <c r="H139" s="213">
        <f>SUM(H140:H142)</f>
        <v>0</v>
      </c>
      <c r="I139" s="211"/>
      <c r="J139" s="211"/>
      <c r="K139" s="211"/>
      <c r="L139" s="211"/>
      <c r="M139" s="237"/>
      <c r="N139" s="237"/>
      <c r="O139" s="238"/>
      <c r="P139" s="212">
        <f>SUM(P140:P142)</f>
        <v>183802.94</v>
      </c>
      <c r="Q139" s="313"/>
      <c r="T139" s="217"/>
    </row>
    <row r="140" spans="1:22" s="226" customFormat="1" ht="67.5" customHeight="1" x14ac:dyDescent="0.2">
      <c r="A140" s="273" t="s">
        <v>9</v>
      </c>
      <c r="B140" s="218" t="str">
        <f>B75</f>
        <v>Assentamento de guia (meio-fio) em trecho reto, confeccionada em concreto pré-fabricado, dimensões 100x15x13x30 cm (comprimento x base inferior x base superior x altura), para vias urbanas (uso viário)</v>
      </c>
      <c r="C140" s="219" t="s">
        <v>11</v>
      </c>
      <c r="D140" s="220">
        <v>0</v>
      </c>
      <c r="E140" s="220">
        <v>0</v>
      </c>
      <c r="F140" s="220">
        <f>D140*E140</f>
        <v>0</v>
      </c>
      <c r="G140" s="220">
        <v>0</v>
      </c>
      <c r="H140" s="220">
        <v>0</v>
      </c>
      <c r="I140" s="220">
        <f>D140-G140</f>
        <v>0</v>
      </c>
      <c r="J140" s="220">
        <f>'Vale Verde 2'!D80</f>
        <v>533.29999999999995</v>
      </c>
      <c r="K140" s="220">
        <v>0</v>
      </c>
      <c r="L140" s="220">
        <f>I140+J140-K140</f>
        <v>533.29999999999995</v>
      </c>
      <c r="M140" s="221">
        <f>M110</f>
        <v>45.46</v>
      </c>
      <c r="N140" s="221">
        <f>M140*$Q$5</f>
        <v>58.64</v>
      </c>
      <c r="O140" s="246" t="s">
        <v>654</v>
      </c>
      <c r="P140" s="221">
        <f>L140*N140</f>
        <v>31272.71</v>
      </c>
      <c r="Q140" s="311" t="e">
        <f>L140*ORÇAMENTO!H88</f>
        <v>#REF!</v>
      </c>
      <c r="R140" s="224"/>
      <c r="S140" s="225"/>
      <c r="V140" s="227"/>
    </row>
    <row r="141" spans="1:22" s="226" customFormat="1" ht="41.25" customHeight="1" x14ac:dyDescent="0.2">
      <c r="A141" s="273" t="s">
        <v>12</v>
      </c>
      <c r="B141" s="218" t="str">
        <f>B76</f>
        <v>Execução de pavimento em paralelepípedos, rejuntamento com argamassa traço 1:3 (cimento e areia)</v>
      </c>
      <c r="C141" s="219" t="s">
        <v>13</v>
      </c>
      <c r="D141" s="220">
        <v>0</v>
      </c>
      <c r="E141" s="220">
        <v>0</v>
      </c>
      <c r="F141" s="220">
        <f>D141*E141</f>
        <v>0</v>
      </c>
      <c r="G141" s="220">
        <v>0</v>
      </c>
      <c r="H141" s="220">
        <v>0</v>
      </c>
      <c r="I141" s="220">
        <f>D141-G141</f>
        <v>0</v>
      </c>
      <c r="J141" s="220">
        <f>'Vale Verde 2'!D81</f>
        <v>1428.68</v>
      </c>
      <c r="K141" s="220">
        <v>0</v>
      </c>
      <c r="L141" s="220">
        <f>I141+J141-K141</f>
        <v>1428.68</v>
      </c>
      <c r="M141" s="221">
        <f>M111</f>
        <v>81.319999999999993</v>
      </c>
      <c r="N141" s="221">
        <f>M141*$Q$5</f>
        <v>104.89</v>
      </c>
      <c r="O141" s="246" t="s">
        <v>655</v>
      </c>
      <c r="P141" s="221">
        <f>L141*N141</f>
        <v>149854.25</v>
      </c>
      <c r="Q141" s="311">
        <f>L141*ORÇAMENTO!H89</f>
        <v>0</v>
      </c>
      <c r="R141" s="224"/>
      <c r="S141" s="225"/>
      <c r="V141" s="227"/>
    </row>
    <row r="142" spans="1:22" s="226" customFormat="1" ht="39.75" customHeight="1" x14ac:dyDescent="0.2">
      <c r="A142" s="273" t="s">
        <v>108</v>
      </c>
      <c r="B142" s="218" t="str">
        <f>B77</f>
        <v>Assentamento de guia (meio-fio) para cordão de travamento do pavimento, em pedra granítica</v>
      </c>
      <c r="C142" s="219" t="s">
        <v>11</v>
      </c>
      <c r="D142" s="220">
        <v>0</v>
      </c>
      <c r="E142" s="220">
        <v>0</v>
      </c>
      <c r="F142" s="220">
        <f>D142*E142</f>
        <v>0</v>
      </c>
      <c r="G142" s="220">
        <v>0</v>
      </c>
      <c r="H142" s="220">
        <v>0</v>
      </c>
      <c r="I142" s="220">
        <f>D142-G142</f>
        <v>0</v>
      </c>
      <c r="J142" s="220">
        <f>'Vale Verde 2'!D82</f>
        <v>42.96</v>
      </c>
      <c r="K142" s="220">
        <v>0</v>
      </c>
      <c r="L142" s="220">
        <f>I142+J142-K142</f>
        <v>42.96</v>
      </c>
      <c r="M142" s="221">
        <f>M112</f>
        <v>48.29</v>
      </c>
      <c r="N142" s="221">
        <f>M142*$Q$5</f>
        <v>62.29</v>
      </c>
      <c r="O142" s="316" t="s">
        <v>656</v>
      </c>
      <c r="P142" s="221">
        <f>L142*N142</f>
        <v>2675.98</v>
      </c>
      <c r="Q142" s="311">
        <f>L142*ORÇAMENTO!H90</f>
        <v>0</v>
      </c>
      <c r="R142" s="224"/>
      <c r="S142" s="225"/>
      <c r="V142" s="227"/>
    </row>
    <row r="143" spans="1:22" s="202" customFormat="1" ht="5.0999999999999996" customHeight="1" x14ac:dyDescent="0.2">
      <c r="A143" s="239"/>
      <c r="B143" s="239"/>
      <c r="C143" s="219"/>
      <c r="D143" s="220"/>
      <c r="E143" s="220"/>
      <c r="F143" s="220"/>
      <c r="G143" s="220"/>
      <c r="H143" s="220"/>
      <c r="I143" s="220"/>
      <c r="J143" s="220"/>
      <c r="K143" s="220"/>
      <c r="L143" s="220"/>
      <c r="M143" s="221"/>
      <c r="N143" s="221"/>
      <c r="O143" s="222"/>
      <c r="P143" s="274"/>
      <c r="Q143" s="229"/>
      <c r="S143" s="230"/>
    </row>
    <row r="144" spans="1:22" s="216" customFormat="1" ht="12.75" customHeight="1" x14ac:dyDescent="0.2">
      <c r="A144" s="521" t="s">
        <v>14</v>
      </c>
      <c r="B144" s="240" t="s">
        <v>610</v>
      </c>
      <c r="C144" s="219"/>
      <c r="D144" s="220"/>
      <c r="E144" s="220"/>
      <c r="F144" s="233">
        <f>SUM(F146:F146)</f>
        <v>0</v>
      </c>
      <c r="G144" s="241"/>
      <c r="H144" s="242">
        <f>SUM(H146:H146)</f>
        <v>0</v>
      </c>
      <c r="I144" s="241"/>
      <c r="J144" s="241"/>
      <c r="K144" s="241"/>
      <c r="L144" s="241"/>
      <c r="M144" s="221"/>
      <c r="N144" s="221"/>
      <c r="O144" s="222"/>
      <c r="P144" s="243" t="e">
        <f>SUM(P145:P147)</f>
        <v>#REF!</v>
      </c>
      <c r="Q144" s="215"/>
      <c r="T144" s="217"/>
    </row>
    <row r="145" spans="1:22" s="226" customFormat="1" ht="54.75" customHeight="1" x14ac:dyDescent="0.2">
      <c r="A145" s="315" t="s">
        <v>15</v>
      </c>
      <c r="B145" s="261" t="str">
        <f>B80</f>
        <v>Alvenaria de blocos cerâmicos furados na horizontal de 9x19x19 cm (espessura 9 cm) e argamassa de assentamento com preparo manual (para contenção das calçadas)</v>
      </c>
      <c r="C145" s="234" t="s">
        <v>13</v>
      </c>
      <c r="D145" s="220">
        <v>0</v>
      </c>
      <c r="E145" s="220">
        <v>0</v>
      </c>
      <c r="F145" s="220">
        <f>D145*E145</f>
        <v>0</v>
      </c>
      <c r="G145" s="220">
        <v>0</v>
      </c>
      <c r="H145" s="220">
        <v>0</v>
      </c>
      <c r="I145" s="220">
        <v>0</v>
      </c>
      <c r="J145" s="220">
        <f>'Vale Verde 2'!D85</f>
        <v>107.06</v>
      </c>
      <c r="K145" s="220">
        <v>0</v>
      </c>
      <c r="L145" s="220">
        <f>I145+J145-K145</f>
        <v>107.06</v>
      </c>
      <c r="M145" s="221">
        <f>M80</f>
        <v>73.16</v>
      </c>
      <c r="N145" s="221">
        <f>M145*$Q$5</f>
        <v>94.37</v>
      </c>
      <c r="O145" s="271" t="s">
        <v>645</v>
      </c>
      <c r="P145" s="221">
        <f>L145*N145</f>
        <v>10103.25</v>
      </c>
      <c r="Q145" s="223"/>
      <c r="R145" s="224"/>
      <c r="S145" s="225"/>
      <c r="V145" s="227"/>
    </row>
    <row r="146" spans="1:22" s="226" customFormat="1" ht="38.25" x14ac:dyDescent="0.2">
      <c r="A146" s="315" t="s">
        <v>129</v>
      </c>
      <c r="B146" s="261" t="str">
        <f>B81</f>
        <v>Execução de passeio (calçada) ou piso de concreto com concreto moldado in loco, feito em obra, acabamento convencional, não armado</v>
      </c>
      <c r="C146" s="234" t="s">
        <v>128</v>
      </c>
      <c r="D146" s="220">
        <f>'Planilha CT Original'!F141</f>
        <v>0</v>
      </c>
      <c r="E146" s="220">
        <f>'Planilha CT Original'!H141</f>
        <v>0</v>
      </c>
      <c r="F146" s="220">
        <f>D146*E146</f>
        <v>0</v>
      </c>
      <c r="G146" s="220">
        <v>0</v>
      </c>
      <c r="H146" s="220">
        <f>E146*G146</f>
        <v>0</v>
      </c>
      <c r="I146" s="220">
        <f>D146-G146</f>
        <v>0</v>
      </c>
      <c r="J146" s="220">
        <f>'Vale Verde 2'!D86</f>
        <v>32.979999999999997</v>
      </c>
      <c r="K146" s="220">
        <v>0</v>
      </c>
      <c r="L146" s="220">
        <f>I146+J146-K146</f>
        <v>32.979999999999997</v>
      </c>
      <c r="M146" s="221">
        <f>M81</f>
        <v>699.25</v>
      </c>
      <c r="N146" s="221">
        <f>M146*$Q$5</f>
        <v>901.96</v>
      </c>
      <c r="O146" s="316" t="s">
        <v>646</v>
      </c>
      <c r="P146" s="221">
        <f>L146*N146</f>
        <v>29746.639999999999</v>
      </c>
      <c r="Q146" s="223"/>
      <c r="R146" s="224"/>
      <c r="S146" s="225"/>
      <c r="V146" s="227"/>
    </row>
    <row r="147" spans="1:22" s="226" customFormat="1" ht="54.75" customHeight="1" x14ac:dyDescent="0.2">
      <c r="A147" s="315" t="s">
        <v>131</v>
      </c>
      <c r="B147" s="261" t="str">
        <f>B82</f>
        <v>Piso tátil direcional e/ou alerta, de concreto, na cor natural, para deficientes visuais, dimensões 20x20cm, aplicado com argamassa industrializada ac-ii - m²</v>
      </c>
      <c r="C147" s="219" t="str">
        <f>C87</f>
        <v>m²</v>
      </c>
      <c r="D147" s="220">
        <v>0</v>
      </c>
      <c r="E147" s="220">
        <f>'Planilha Ajuste'!E87</f>
        <v>33.840000000000003</v>
      </c>
      <c r="F147" s="220">
        <f>D147*E147</f>
        <v>0</v>
      </c>
      <c r="G147" s="220">
        <v>0</v>
      </c>
      <c r="H147" s="220">
        <f>E147*G147</f>
        <v>0</v>
      </c>
      <c r="I147" s="220">
        <f>D147-G147</f>
        <v>0</v>
      </c>
      <c r="J147" s="220">
        <f>'Vale Verde 2'!D87</f>
        <v>98.05</v>
      </c>
      <c r="K147" s="220">
        <v>0</v>
      </c>
      <c r="L147" s="220">
        <f>I147+J147-K147</f>
        <v>98.05</v>
      </c>
      <c r="M147" s="221" t="e">
        <f>M82</f>
        <v>#REF!</v>
      </c>
      <c r="N147" s="221" t="e">
        <f>M147*$Q$5</f>
        <v>#REF!</v>
      </c>
      <c r="O147" s="316" t="s">
        <v>641</v>
      </c>
      <c r="P147" s="221" t="e">
        <f>L147*N147</f>
        <v>#REF!</v>
      </c>
      <c r="Q147" s="223"/>
      <c r="R147" s="224"/>
      <c r="S147" s="225"/>
      <c r="V147" s="227"/>
    </row>
    <row r="148" spans="1:22" s="202" customFormat="1" ht="5.0999999999999996" customHeight="1" x14ac:dyDescent="0.2">
      <c r="A148" s="239"/>
      <c r="B148" s="239"/>
      <c r="C148" s="219"/>
      <c r="D148" s="220"/>
      <c r="E148" s="220"/>
      <c r="F148" s="220"/>
      <c r="G148" s="220"/>
      <c r="H148" s="220"/>
      <c r="I148" s="220"/>
      <c r="J148" s="220"/>
      <c r="K148" s="220"/>
      <c r="L148" s="220"/>
      <c r="M148" s="220"/>
      <c r="N148" s="220"/>
      <c r="O148" s="236"/>
      <c r="P148" s="274"/>
      <c r="Q148" s="229"/>
      <c r="S148" s="230"/>
    </row>
    <row r="149" spans="1:22" s="216" customFormat="1" ht="12.75" customHeight="1" x14ac:dyDescent="0.2">
      <c r="A149" s="521" t="s">
        <v>157</v>
      </c>
      <c r="B149" s="240" t="s">
        <v>291</v>
      </c>
      <c r="C149" s="219"/>
      <c r="D149" s="220"/>
      <c r="E149" s="220"/>
      <c r="F149" s="231">
        <f>SUM(F150:F152)</f>
        <v>0</v>
      </c>
      <c r="G149" s="241"/>
      <c r="H149" s="233">
        <f>SUM(H150:H152)</f>
        <v>0</v>
      </c>
      <c r="I149" s="241"/>
      <c r="J149" s="241"/>
      <c r="K149" s="241"/>
      <c r="L149" s="241"/>
      <c r="M149" s="221"/>
      <c r="N149" s="221"/>
      <c r="O149" s="222"/>
      <c r="P149" s="243" t="e">
        <f>SUM(P150:P153)</f>
        <v>#REF!</v>
      </c>
      <c r="Q149" s="215"/>
      <c r="T149" s="217"/>
    </row>
    <row r="150" spans="1:22" s="226" customFormat="1" ht="38.25" x14ac:dyDescent="0.2">
      <c r="A150" s="273" t="s">
        <v>158</v>
      </c>
      <c r="B150" s="261" t="str">
        <f>B26</f>
        <v>Concreto Fck = 15mpa, traço 1:3,4:3,5 (em massa seca de cimento/ areia média/ brita 1), preparo mecânico com betoneira 400 L</v>
      </c>
      <c r="C150" s="219" t="s">
        <v>128</v>
      </c>
      <c r="D150" s="220">
        <f>'Planilha CT Original'!F129</f>
        <v>0</v>
      </c>
      <c r="E150" s="220">
        <f>'Planilha Ajuste'!E91</f>
        <v>100.49</v>
      </c>
      <c r="F150" s="220">
        <f>D150*E150</f>
        <v>0</v>
      </c>
      <c r="G150" s="220">
        <v>0</v>
      </c>
      <c r="H150" s="220">
        <f>E150*G150</f>
        <v>0</v>
      </c>
      <c r="I150" s="220">
        <f>D150-G150</f>
        <v>0</v>
      </c>
      <c r="J150" s="220">
        <f>'Vale Verde 2'!D90</f>
        <v>3.15</v>
      </c>
      <c r="K150" s="220">
        <v>0</v>
      </c>
      <c r="L150" s="220">
        <f>I150+J150-K150</f>
        <v>3.15</v>
      </c>
      <c r="M150" s="221">
        <f>M85</f>
        <v>407.9</v>
      </c>
      <c r="N150" s="221">
        <f>M150*$Q$5</f>
        <v>526.15</v>
      </c>
      <c r="O150" s="316" t="s">
        <v>647</v>
      </c>
      <c r="P150" s="221">
        <f>L150*N150</f>
        <v>1657.37</v>
      </c>
      <c r="Q150" s="223"/>
      <c r="R150" s="224"/>
      <c r="S150" s="225"/>
      <c r="V150" s="227"/>
    </row>
    <row r="151" spans="1:22" s="226" customFormat="1" ht="25.5" x14ac:dyDescent="0.2">
      <c r="A151" s="273" t="s">
        <v>170</v>
      </c>
      <c r="B151" s="261" t="str">
        <f>B27</f>
        <v>Lançamento com uso de baldes, adensamento e acabamento de concreto em estruturas</v>
      </c>
      <c r="C151" s="219" t="s">
        <v>128</v>
      </c>
      <c r="D151" s="220">
        <f>'Planilha CT Original'!F130</f>
        <v>0</v>
      </c>
      <c r="E151" s="220">
        <f>'Planilha Ajuste'!E92</f>
        <v>1.23</v>
      </c>
      <c r="F151" s="220">
        <f>D151*E151</f>
        <v>0</v>
      </c>
      <c r="G151" s="220">
        <v>0</v>
      </c>
      <c r="H151" s="220">
        <f>E151*G151</f>
        <v>0</v>
      </c>
      <c r="I151" s="220">
        <f>D151-G151</f>
        <v>0</v>
      </c>
      <c r="J151" s="220">
        <f>'Vale Verde 2'!D91</f>
        <v>3.15</v>
      </c>
      <c r="K151" s="220">
        <v>0</v>
      </c>
      <c r="L151" s="220">
        <f>I151+J151-K151</f>
        <v>3.15</v>
      </c>
      <c r="M151" s="221">
        <f>M86</f>
        <v>223.27</v>
      </c>
      <c r="N151" s="221">
        <f>M151*$Q$5</f>
        <v>288</v>
      </c>
      <c r="O151" s="316" t="s">
        <v>648</v>
      </c>
      <c r="P151" s="221">
        <f>L151*N151</f>
        <v>907.2</v>
      </c>
      <c r="Q151" s="223"/>
      <c r="R151" s="224"/>
      <c r="S151" s="225"/>
      <c r="V151" s="227"/>
    </row>
    <row r="152" spans="1:22" s="226" customFormat="1" ht="51" x14ac:dyDescent="0.2">
      <c r="A152" s="273" t="s">
        <v>203</v>
      </c>
      <c r="B152" s="261" t="str">
        <f>B28</f>
        <v>Piso tátil direcional e/ou alerta, de concreto, na cor natural, para deficientes visuais, dimensões 20x20cm, aplicado com argamassa industrializada ac-ii - m²</v>
      </c>
      <c r="C152" s="219" t="s">
        <v>13</v>
      </c>
      <c r="D152" s="220">
        <f>'Planilha CT Original'!F131</f>
        <v>0</v>
      </c>
      <c r="E152" s="220">
        <f>'Planilha Ajuste'!E93</f>
        <v>0</v>
      </c>
      <c r="F152" s="220">
        <f>D152*E152</f>
        <v>0</v>
      </c>
      <c r="G152" s="220">
        <v>0</v>
      </c>
      <c r="H152" s="220">
        <f>E152*G152</f>
        <v>0</v>
      </c>
      <c r="I152" s="220">
        <f>D152-G152</f>
        <v>0</v>
      </c>
      <c r="J152" s="220">
        <f>'Vale Verde 2'!D92</f>
        <v>4.68</v>
      </c>
      <c r="K152" s="220">
        <v>0</v>
      </c>
      <c r="L152" s="220">
        <f>I152+J152-K152</f>
        <v>4.68</v>
      </c>
      <c r="M152" s="221" t="e">
        <f>M87</f>
        <v>#REF!</v>
      </c>
      <c r="N152" s="221" t="e">
        <f>M152*$Q$5</f>
        <v>#REF!</v>
      </c>
      <c r="O152" s="316" t="s">
        <v>641</v>
      </c>
      <c r="P152" s="221" t="e">
        <f>L152*N152</f>
        <v>#REF!</v>
      </c>
      <c r="Q152" s="223"/>
      <c r="R152" s="224"/>
      <c r="S152" s="225"/>
      <c r="V152" s="227"/>
    </row>
    <row r="153" spans="1:22" s="226" customFormat="1" ht="25.5" x14ac:dyDescent="0.2">
      <c r="A153" s="315" t="s">
        <v>181</v>
      </c>
      <c r="B153" s="261" t="str">
        <f>B29</f>
        <v>Pintura de piso com tinta acrílica, aplicação manual, 2 demãos, incluso fundo preparador</v>
      </c>
      <c r="C153" s="234" t="s">
        <v>13</v>
      </c>
      <c r="D153" s="220">
        <v>0</v>
      </c>
      <c r="E153" s="220">
        <v>0</v>
      </c>
      <c r="F153" s="220">
        <v>0</v>
      </c>
      <c r="G153" s="220">
        <v>0</v>
      </c>
      <c r="H153" s="220">
        <v>0</v>
      </c>
      <c r="I153" s="220">
        <v>0</v>
      </c>
      <c r="J153" s="220">
        <f>'Vale Verde 2'!D93</f>
        <v>54</v>
      </c>
      <c r="K153" s="220">
        <v>0</v>
      </c>
      <c r="L153" s="220">
        <f>I153+J153-K153</f>
        <v>54</v>
      </c>
      <c r="M153" s="221">
        <f>M88</f>
        <v>14.87</v>
      </c>
      <c r="N153" s="221">
        <f>M153*$Q$5</f>
        <v>19.18</v>
      </c>
      <c r="O153" s="316" t="s">
        <v>649</v>
      </c>
      <c r="P153" s="221">
        <f>L153*N153</f>
        <v>1035.72</v>
      </c>
      <c r="Q153" s="223"/>
      <c r="R153" s="224"/>
      <c r="S153" s="225"/>
    </row>
    <row r="154" spans="1:22" s="202" customFormat="1" ht="5.0999999999999996" customHeight="1" x14ac:dyDescent="0.2">
      <c r="A154" s="239"/>
      <c r="B154" s="239"/>
      <c r="C154" s="219"/>
      <c r="D154" s="220"/>
      <c r="E154" s="220"/>
      <c r="F154" s="220"/>
      <c r="G154" s="220"/>
      <c r="H154" s="220"/>
      <c r="I154" s="220"/>
      <c r="J154" s="220"/>
      <c r="K154" s="220"/>
      <c r="L154" s="220"/>
      <c r="M154" s="220"/>
      <c r="N154" s="220"/>
      <c r="O154" s="236"/>
      <c r="P154" s="274"/>
      <c r="Q154" s="229"/>
      <c r="S154" s="230"/>
    </row>
    <row r="155" spans="1:22" s="216" customFormat="1" ht="12.75" customHeight="1" x14ac:dyDescent="0.2">
      <c r="A155" s="275" t="s">
        <v>174</v>
      </c>
      <c r="B155" s="240" t="s">
        <v>292</v>
      </c>
      <c r="C155" s="219"/>
      <c r="D155" s="220"/>
      <c r="E155" s="220"/>
      <c r="F155" s="233">
        <f>SUM(F157:F157)</f>
        <v>0</v>
      </c>
      <c r="G155" s="241"/>
      <c r="H155" s="242">
        <f>SUM(H157:H157)</f>
        <v>0</v>
      </c>
      <c r="I155" s="241"/>
      <c r="J155" s="241"/>
      <c r="K155" s="241"/>
      <c r="L155" s="241"/>
      <c r="M155" s="221"/>
      <c r="N155" s="221"/>
      <c r="O155" s="222"/>
      <c r="P155" s="243" t="e">
        <f>SUM(P156:P158)</f>
        <v>#REF!</v>
      </c>
      <c r="Q155" s="215"/>
      <c r="T155" s="217"/>
    </row>
    <row r="156" spans="1:22" s="226" customFormat="1" ht="25.5" x14ac:dyDescent="0.2">
      <c r="A156" s="273" t="s">
        <v>175</v>
      </c>
      <c r="B156" s="261" t="str">
        <f>B126</f>
        <v>Pintura de meio-fio com tinta branca a base de cal (caiação)</v>
      </c>
      <c r="C156" s="234" t="s">
        <v>13</v>
      </c>
      <c r="D156" s="220">
        <v>0</v>
      </c>
      <c r="E156" s="220">
        <f>'Planilha CT Original'!H155</f>
        <v>0</v>
      </c>
      <c r="F156" s="220">
        <f>D156*E156</f>
        <v>0</v>
      </c>
      <c r="G156" s="220">
        <v>0</v>
      </c>
      <c r="H156" s="220">
        <v>0</v>
      </c>
      <c r="I156" s="220">
        <f>D156-G156</f>
        <v>0</v>
      </c>
      <c r="J156" s="220">
        <f>'Vale Verde 2'!D96</f>
        <v>149.32</v>
      </c>
      <c r="K156" s="220">
        <v>0</v>
      </c>
      <c r="L156" s="220">
        <f>I156+J156-K156</f>
        <v>149.32</v>
      </c>
      <c r="M156" s="221">
        <f>M126</f>
        <v>1.25</v>
      </c>
      <c r="N156" s="221">
        <f>M156*$Q$5</f>
        <v>1.61</v>
      </c>
      <c r="O156" s="271" t="s">
        <v>658</v>
      </c>
      <c r="P156" s="221">
        <f>L156*N156</f>
        <v>240.41</v>
      </c>
      <c r="Q156" s="223"/>
      <c r="R156" s="224"/>
      <c r="S156" s="225"/>
      <c r="V156" s="227"/>
    </row>
    <row r="157" spans="1:22" s="226" customFormat="1" ht="63.75" x14ac:dyDescent="0.2">
      <c r="A157" s="273" t="s">
        <v>246</v>
      </c>
      <c r="B157" s="261" t="str">
        <f>B127</f>
        <v>Sinalização permanente, vertical, com placa octogonal de aço, padrão DNER, largura 0,60m, com tubo de aço galvanizado de 2,10m, já sendo descontado a altura que ficará contido na base, fixado com base de concreto 40 x 40 x 50</v>
      </c>
      <c r="C157" s="234" t="s">
        <v>279</v>
      </c>
      <c r="D157" s="220">
        <v>0</v>
      </c>
      <c r="E157" s="220">
        <f>'Planilha CT Original'!H154</f>
        <v>0</v>
      </c>
      <c r="F157" s="220">
        <f>D157*E157</f>
        <v>0</v>
      </c>
      <c r="G157" s="220">
        <v>0</v>
      </c>
      <c r="H157" s="220">
        <v>0</v>
      </c>
      <c r="I157" s="220">
        <f>D157-G157</f>
        <v>0</v>
      </c>
      <c r="J157" s="220">
        <f>'Vale Verde 2'!D97</f>
        <v>2</v>
      </c>
      <c r="K157" s="220">
        <v>0</v>
      </c>
      <c r="L157" s="220">
        <f>I157+J157-K157</f>
        <v>2</v>
      </c>
      <c r="M157" s="221" t="e">
        <f>M127</f>
        <v>#REF!</v>
      </c>
      <c r="N157" s="221" t="e">
        <f>M157*$Q$5</f>
        <v>#REF!</v>
      </c>
      <c r="O157" s="316" t="s">
        <v>659</v>
      </c>
      <c r="P157" s="221" t="e">
        <f>L157*N157</f>
        <v>#REF!</v>
      </c>
      <c r="Q157" s="223">
        <f>L157*ORÇAMENTO!H108</f>
        <v>0</v>
      </c>
      <c r="R157" s="224"/>
      <c r="S157" s="225"/>
      <c r="V157" s="227"/>
    </row>
    <row r="158" spans="1:22" s="226" customFormat="1" ht="38.25" x14ac:dyDescent="0.2">
      <c r="A158" s="273" t="s">
        <v>247</v>
      </c>
      <c r="B158" s="261" t="str">
        <f>B128</f>
        <v>Placa esmaltada para identificação de nome de rua, dimensões 45x20cm</v>
      </c>
      <c r="C158" s="234" t="s">
        <v>279</v>
      </c>
      <c r="D158" s="220">
        <v>0</v>
      </c>
      <c r="E158" s="220">
        <f>'Planilha CT Original'!H156</f>
        <v>0</v>
      </c>
      <c r="F158" s="220">
        <f>D158*E158</f>
        <v>0</v>
      </c>
      <c r="G158" s="220">
        <v>0</v>
      </c>
      <c r="H158" s="220">
        <v>0</v>
      </c>
      <c r="I158" s="220">
        <f>D158-G158</f>
        <v>0</v>
      </c>
      <c r="J158" s="220">
        <f>'Vale Verde 2'!D98</f>
        <v>2</v>
      </c>
      <c r="K158" s="220">
        <v>0</v>
      </c>
      <c r="L158" s="220">
        <f>I158+J158-K158</f>
        <v>2</v>
      </c>
      <c r="M158" s="221">
        <f>M128</f>
        <v>140.27000000000001</v>
      </c>
      <c r="N158" s="221">
        <f>M158*$Q$5</f>
        <v>180.93</v>
      </c>
      <c r="O158" s="271" t="s">
        <v>660</v>
      </c>
      <c r="P158" s="221">
        <f>L158*N158</f>
        <v>361.86</v>
      </c>
      <c r="Q158" s="223"/>
      <c r="R158" s="224"/>
      <c r="S158" s="225"/>
      <c r="V158" s="227"/>
    </row>
    <row r="159" spans="1:22" s="202" customFormat="1" ht="4.5" customHeight="1" thickBot="1" x14ac:dyDescent="0.25">
      <c r="A159" s="326"/>
      <c r="B159" s="327"/>
      <c r="C159" s="328"/>
      <c r="D159" s="329"/>
      <c r="E159" s="329"/>
      <c r="F159" s="329"/>
      <c r="G159" s="329"/>
      <c r="H159" s="329"/>
      <c r="I159" s="329"/>
      <c r="J159" s="329"/>
      <c r="K159" s="329"/>
      <c r="L159" s="329"/>
      <c r="M159" s="330"/>
      <c r="N159" s="330"/>
      <c r="O159" s="331"/>
      <c r="P159" s="332"/>
      <c r="Q159" s="229"/>
    </row>
    <row r="160" spans="1:22" s="254" customFormat="1" ht="20.25" customHeight="1" thickBot="1" x14ac:dyDescent="0.25">
      <c r="A160" s="743" t="s">
        <v>639</v>
      </c>
      <c r="B160" s="744"/>
      <c r="C160" s="744"/>
      <c r="D160" s="744"/>
      <c r="E160" s="744"/>
      <c r="F160" s="553">
        <f>F133+F136+F139+F155</f>
        <v>0</v>
      </c>
      <c r="G160" s="555"/>
      <c r="H160" s="553">
        <f>H133+H136+H139+H155</f>
        <v>0</v>
      </c>
      <c r="I160" s="555"/>
      <c r="J160" s="555"/>
      <c r="K160" s="555"/>
      <c r="L160" s="555"/>
      <c r="M160" s="558"/>
      <c r="N160" s="558"/>
      <c r="O160" s="559"/>
      <c r="P160" s="560" t="e">
        <f>P133+P136+P139+P144+P149+P155</f>
        <v>#REF!</v>
      </c>
      <c r="Q160" s="253"/>
      <c r="T160" s="255"/>
    </row>
    <row r="161" spans="1:22" s="202" customFormat="1" ht="5.0999999999999996" customHeight="1" thickBot="1" x14ac:dyDescent="0.25">
      <c r="A161" s="239"/>
      <c r="B161" s="228"/>
      <c r="C161" s="219"/>
      <c r="D161" s="220"/>
      <c r="E161" s="220"/>
      <c r="F161" s="220"/>
      <c r="G161" s="220"/>
      <c r="H161" s="220"/>
      <c r="I161" s="220"/>
      <c r="J161" s="220"/>
      <c r="K161" s="220"/>
      <c r="L161" s="220"/>
      <c r="M161" s="220"/>
      <c r="N161" s="220"/>
      <c r="O161" s="236"/>
      <c r="P161" s="274"/>
      <c r="Q161" s="229"/>
      <c r="S161" s="230"/>
    </row>
    <row r="162" spans="1:22" s="202" customFormat="1" ht="25.5" hidden="1" customHeight="1" thickBot="1" x14ac:dyDescent="0.3">
      <c r="A162" s="816" t="s">
        <v>124</v>
      </c>
      <c r="B162" s="817"/>
      <c r="C162" s="817"/>
      <c r="D162" s="817"/>
      <c r="E162" s="817"/>
      <c r="F162" s="817"/>
      <c r="G162" s="817"/>
      <c r="H162" s="817"/>
      <c r="I162" s="817"/>
      <c r="J162" s="817"/>
      <c r="K162" s="817"/>
      <c r="L162" s="817"/>
      <c r="M162" s="817"/>
      <c r="N162" s="817"/>
      <c r="O162" s="817"/>
      <c r="P162" s="818"/>
      <c r="Q162" s="205"/>
      <c r="R162" s="205"/>
      <c r="S162" s="205"/>
      <c r="T162" s="207"/>
      <c r="U162" s="208"/>
    </row>
    <row r="163" spans="1:22" s="216" customFormat="1" ht="12.75" hidden="1" customHeight="1" x14ac:dyDescent="0.2">
      <c r="A163" s="272" t="s">
        <v>4</v>
      </c>
      <c r="B163" s="209" t="s">
        <v>277</v>
      </c>
      <c r="C163" s="210"/>
      <c r="D163" s="211"/>
      <c r="E163" s="211"/>
      <c r="F163" s="213">
        <f>SUM(F164:F164)</f>
        <v>0</v>
      </c>
      <c r="G163" s="211"/>
      <c r="H163" s="213">
        <f>SUM(H164:H164)</f>
        <v>0</v>
      </c>
      <c r="I163" s="211"/>
      <c r="J163" s="211"/>
      <c r="K163" s="211"/>
      <c r="L163" s="213"/>
      <c r="M163" s="212"/>
      <c r="N163" s="212"/>
      <c r="O163" s="214"/>
      <c r="P163" s="212">
        <f>SUM(P164:P164)</f>
        <v>74.930000000000007</v>
      </c>
      <c r="Q163" s="215"/>
      <c r="T163" s="217"/>
    </row>
    <row r="164" spans="1:22" s="226" customFormat="1" ht="25.5" hidden="1" x14ac:dyDescent="0.2">
      <c r="A164" s="273" t="s">
        <v>86</v>
      </c>
      <c r="B164" s="218" t="str">
        <f>ORÇAMENTO!D73</f>
        <v>Locação de pavimentação</v>
      </c>
      <c r="C164" s="234" t="s">
        <v>11</v>
      </c>
      <c r="D164" s="220">
        <v>0</v>
      </c>
      <c r="E164" s="220">
        <f>'Planilha CT Original'!H127</f>
        <v>0</v>
      </c>
      <c r="F164" s="220">
        <f>D164*E164</f>
        <v>0</v>
      </c>
      <c r="G164" s="220">
        <v>0</v>
      </c>
      <c r="H164" s="220">
        <v>0</v>
      </c>
      <c r="I164" s="220">
        <f>D164-G164</f>
        <v>0</v>
      </c>
      <c r="J164" s="220">
        <f>ORÇAMENTO!F73</f>
        <v>127</v>
      </c>
      <c r="K164" s="220">
        <v>0</v>
      </c>
      <c r="L164" s="220">
        <f>I164+J164-K164</f>
        <v>127</v>
      </c>
      <c r="M164" s="221">
        <f>M104</f>
        <v>0.46</v>
      </c>
      <c r="N164" s="221">
        <f>M164*$Q$5</f>
        <v>0.59</v>
      </c>
      <c r="O164" s="271" t="str">
        <f>O104</f>
        <v>99064 SINAPI Out/23</v>
      </c>
      <c r="P164" s="221">
        <f>L164*N164</f>
        <v>74.930000000000007</v>
      </c>
      <c r="Q164" s="223" t="e">
        <f>ORÇAMENTO!H73*'Planilha Ajuste'!L164</f>
        <v>#REF!</v>
      </c>
      <c r="R164" s="224"/>
      <c r="S164" s="225"/>
      <c r="V164" s="227"/>
    </row>
    <row r="165" spans="1:22" s="202" customFormat="1" ht="5.0999999999999996" hidden="1" customHeight="1" x14ac:dyDescent="0.2">
      <c r="A165" s="239"/>
      <c r="B165" s="228"/>
      <c r="C165" s="219"/>
      <c r="D165" s="220"/>
      <c r="E165" s="220"/>
      <c r="F165" s="220"/>
      <c r="G165" s="220"/>
      <c r="H165" s="220"/>
      <c r="I165" s="220"/>
      <c r="J165" s="220"/>
      <c r="K165" s="220"/>
      <c r="L165" s="220"/>
      <c r="M165" s="221"/>
      <c r="N165" s="221"/>
      <c r="O165" s="222"/>
      <c r="P165" s="274"/>
      <c r="Q165" s="229"/>
      <c r="S165" s="230"/>
    </row>
    <row r="166" spans="1:22" s="216" customFormat="1" ht="12.75" hidden="1" customHeight="1" x14ac:dyDescent="0.2">
      <c r="A166" s="272" t="s">
        <v>6</v>
      </c>
      <c r="B166" s="209" t="s">
        <v>278</v>
      </c>
      <c r="C166" s="210"/>
      <c r="D166" s="220"/>
      <c r="E166" s="232"/>
      <c r="F166" s="233">
        <f>SUM(F167:F167)</f>
        <v>0</v>
      </c>
      <c r="G166" s="211"/>
      <c r="H166" s="213">
        <f>SUM(H167:H167)</f>
        <v>0</v>
      </c>
      <c r="I166" s="211"/>
      <c r="J166" s="211"/>
      <c r="K166" s="211"/>
      <c r="L166" s="211"/>
      <c r="M166" s="221"/>
      <c r="N166" s="221"/>
      <c r="O166" s="222"/>
      <c r="P166" s="212">
        <f>SUM(P167:P167)</f>
        <v>2270.7600000000002</v>
      </c>
      <c r="Q166" s="215"/>
      <c r="T166" s="217">
        <v>1.2097</v>
      </c>
    </row>
    <row r="167" spans="1:22" s="226" customFormat="1" ht="25.5" hidden="1" x14ac:dyDescent="0.2">
      <c r="A167" s="273" t="s">
        <v>7</v>
      </c>
      <c r="B167" s="218" t="s">
        <v>304</v>
      </c>
      <c r="C167" s="234" t="s">
        <v>13</v>
      </c>
      <c r="D167" s="220">
        <v>0</v>
      </c>
      <c r="E167" s="220">
        <f>'Planilha CT Original'!H129</f>
        <v>0</v>
      </c>
      <c r="F167" s="220">
        <f>D167*E167</f>
        <v>0</v>
      </c>
      <c r="G167" s="220">
        <v>0</v>
      </c>
      <c r="H167" s="220">
        <v>0</v>
      </c>
      <c r="I167" s="220">
        <f>D167-G167</f>
        <v>0</v>
      </c>
      <c r="J167" s="220">
        <f>ORÇAMENTO!F76</f>
        <v>762</v>
      </c>
      <c r="K167" s="220">
        <v>0</v>
      </c>
      <c r="L167" s="220">
        <f>I167+J167-K167</f>
        <v>762</v>
      </c>
      <c r="M167" s="221">
        <f>M107</f>
        <v>2.31</v>
      </c>
      <c r="N167" s="221">
        <f>M167*$Q$5</f>
        <v>2.98</v>
      </c>
      <c r="O167" s="271">
        <v>100576</v>
      </c>
      <c r="P167" s="221">
        <f>L167*N167</f>
        <v>2270.7600000000002</v>
      </c>
      <c r="Q167" s="223" t="e">
        <f>ORÇAMENTO!H76*'Planilha Ajuste'!L167</f>
        <v>#REF!</v>
      </c>
      <c r="R167" s="224"/>
      <c r="S167" s="225"/>
      <c r="V167" s="227"/>
    </row>
    <row r="168" spans="1:22" s="202" customFormat="1" ht="5.0999999999999996" hidden="1" customHeight="1" x14ac:dyDescent="0.2">
      <c r="A168" s="239"/>
      <c r="B168" s="228"/>
      <c r="C168" s="219"/>
      <c r="D168" s="220"/>
      <c r="E168" s="220"/>
      <c r="F168" s="220"/>
      <c r="G168" s="220"/>
      <c r="H168" s="220"/>
      <c r="I168" s="220"/>
      <c r="J168" s="220"/>
      <c r="K168" s="220"/>
      <c r="L168" s="220"/>
      <c r="M168" s="220"/>
      <c r="N168" s="220"/>
      <c r="O168" s="236"/>
      <c r="P168" s="274"/>
      <c r="Q168" s="229"/>
      <c r="S168" s="230"/>
    </row>
    <row r="169" spans="1:22" s="216" customFormat="1" ht="12.75" hidden="1" customHeight="1" x14ac:dyDescent="0.2">
      <c r="A169" s="272" t="s">
        <v>8</v>
      </c>
      <c r="B169" s="209" t="s">
        <v>20</v>
      </c>
      <c r="C169" s="210"/>
      <c r="D169" s="211"/>
      <c r="E169" s="211"/>
      <c r="F169" s="233">
        <f>SUM(F170:F172)</f>
        <v>0</v>
      </c>
      <c r="G169" s="211"/>
      <c r="H169" s="213">
        <f>SUM(H170:H172)</f>
        <v>0</v>
      </c>
      <c r="I169" s="211"/>
      <c r="J169" s="211"/>
      <c r="K169" s="211"/>
      <c r="L169" s="211"/>
      <c r="M169" s="237"/>
      <c r="N169" s="237"/>
      <c r="O169" s="238"/>
      <c r="P169" s="212">
        <f>SUM(P170:P172)</f>
        <v>95209.43</v>
      </c>
      <c r="Q169" s="215"/>
      <c r="T169" s="217"/>
    </row>
    <row r="170" spans="1:22" s="226" customFormat="1" ht="67.5" hidden="1" customHeight="1" x14ac:dyDescent="0.2">
      <c r="A170" s="273" t="s">
        <v>9</v>
      </c>
      <c r="B170" s="218" t="str">
        <f>B110</f>
        <v>Assentamento de guia (meio-fio) em trecho reto, confeccionada em concreto pré-fabricado, dimensões 100x15x13x30 cm (comprimento x base inferior x base superior x altura), para vias urbanas (uso viário)</v>
      </c>
      <c r="C170" s="219" t="s">
        <v>128</v>
      </c>
      <c r="D170" s="220">
        <v>0</v>
      </c>
      <c r="E170" s="220">
        <f>'Planilha CT Original'!H131</f>
        <v>0</v>
      </c>
      <c r="F170" s="220">
        <f>D170*E170</f>
        <v>0</v>
      </c>
      <c r="G170" s="220">
        <v>0</v>
      </c>
      <c r="H170" s="220">
        <v>0</v>
      </c>
      <c r="I170" s="220">
        <f>D170-G170</f>
        <v>0</v>
      </c>
      <c r="J170" s="220">
        <f>ORÇAMENTO!F78</f>
        <v>254</v>
      </c>
      <c r="K170" s="220">
        <v>0</v>
      </c>
      <c r="L170" s="220">
        <f>I170+J170-K170</f>
        <v>254</v>
      </c>
      <c r="M170" s="221">
        <f>M110</f>
        <v>45.46</v>
      </c>
      <c r="N170" s="221">
        <f>M170*$Q$5</f>
        <v>58.64</v>
      </c>
      <c r="O170" s="271">
        <v>94273</v>
      </c>
      <c r="P170" s="221">
        <f>L170*N170</f>
        <v>14894.56</v>
      </c>
      <c r="Q170" s="223" t="e">
        <f>L170*ORÇAMENTO!H78</f>
        <v>#REF!</v>
      </c>
      <c r="R170" s="224"/>
      <c r="S170" s="225"/>
      <c r="V170" s="227"/>
    </row>
    <row r="171" spans="1:22" s="226" customFormat="1" ht="41.25" hidden="1" customHeight="1" x14ac:dyDescent="0.2">
      <c r="A171" s="273" t="s">
        <v>12</v>
      </c>
      <c r="B171" s="218" t="str">
        <f>B111</f>
        <v>Execução de pavimento em paralelepípedos, rejuntamento com argamassa traço 1:3 (cimento e areia)</v>
      </c>
      <c r="C171" s="219" t="s">
        <v>13</v>
      </c>
      <c r="D171" s="220">
        <v>0</v>
      </c>
      <c r="E171" s="220">
        <f>'Planilha CT Original'!H132</f>
        <v>0</v>
      </c>
      <c r="F171" s="220">
        <f>D171*E171</f>
        <v>0</v>
      </c>
      <c r="G171" s="220">
        <v>0</v>
      </c>
      <c r="H171" s="220">
        <v>0</v>
      </c>
      <c r="I171" s="220">
        <f>D171-G171</f>
        <v>0</v>
      </c>
      <c r="J171" s="220">
        <f>ORÇAMENTO!F79</f>
        <v>762</v>
      </c>
      <c r="K171" s="220">
        <v>0</v>
      </c>
      <c r="L171" s="220">
        <f>I171+J171-K171</f>
        <v>762</v>
      </c>
      <c r="M171" s="221">
        <f>M111</f>
        <v>81.319999999999993</v>
      </c>
      <c r="N171" s="221">
        <f>M171*$Q$5</f>
        <v>104.89</v>
      </c>
      <c r="O171" s="271">
        <v>101169</v>
      </c>
      <c r="P171" s="221">
        <f>L171*N171</f>
        <v>79926.179999999993</v>
      </c>
      <c r="Q171" s="223" t="e">
        <f>L171*ORÇAMENTO!H79</f>
        <v>#REF!</v>
      </c>
      <c r="R171" s="224"/>
      <c r="S171" s="225"/>
      <c r="V171" s="227"/>
    </row>
    <row r="172" spans="1:22" s="226" customFormat="1" ht="29.25" hidden="1" customHeight="1" x14ac:dyDescent="0.2">
      <c r="A172" s="273" t="s">
        <v>108</v>
      </c>
      <c r="B172" s="218" t="str">
        <f>B112</f>
        <v>Assentamento de guia (meio-fio) para cordão de travamento do pavimento, em pedra granítica</v>
      </c>
      <c r="C172" s="219" t="s">
        <v>13</v>
      </c>
      <c r="D172" s="220">
        <v>0</v>
      </c>
      <c r="E172" s="220">
        <f>'Planilha CT Original'!H133</f>
        <v>0</v>
      </c>
      <c r="F172" s="220">
        <f>D172*E172</f>
        <v>0</v>
      </c>
      <c r="G172" s="220">
        <v>0</v>
      </c>
      <c r="H172" s="220">
        <v>0</v>
      </c>
      <c r="I172" s="220">
        <f>D172-G172</f>
        <v>0</v>
      </c>
      <c r="J172" s="220">
        <v>6.24</v>
      </c>
      <c r="K172" s="220">
        <v>0</v>
      </c>
      <c r="L172" s="220">
        <f>I172+J172-K172</f>
        <v>6.24</v>
      </c>
      <c r="M172" s="221">
        <f>M112</f>
        <v>48.29</v>
      </c>
      <c r="N172" s="221">
        <f>M172*$Q$5</f>
        <v>62.29</v>
      </c>
      <c r="O172" s="222" t="s">
        <v>345</v>
      </c>
      <c r="P172" s="221">
        <f>L172*N172</f>
        <v>388.69</v>
      </c>
      <c r="Q172" s="223"/>
      <c r="R172" s="224"/>
      <c r="S172" s="225"/>
      <c r="V172" s="227"/>
    </row>
    <row r="173" spans="1:22" s="202" customFormat="1" ht="5.0999999999999996" hidden="1" customHeight="1" x14ac:dyDescent="0.2">
      <c r="A173" s="239"/>
      <c r="B173" s="239"/>
      <c r="C173" s="219"/>
      <c r="D173" s="220"/>
      <c r="E173" s="220"/>
      <c r="F173" s="220"/>
      <c r="G173" s="220"/>
      <c r="H173" s="220"/>
      <c r="I173" s="220"/>
      <c r="J173" s="220"/>
      <c r="K173" s="220"/>
      <c r="L173" s="220"/>
      <c r="M173" s="221"/>
      <c r="N173" s="221"/>
      <c r="O173" s="222"/>
      <c r="P173" s="274"/>
      <c r="Q173" s="229"/>
      <c r="S173" s="230"/>
    </row>
    <row r="174" spans="1:22" s="216" customFormat="1" ht="12.75" hidden="1" customHeight="1" x14ac:dyDescent="0.2">
      <c r="A174" s="272" t="s">
        <v>8</v>
      </c>
      <c r="B174" s="209" t="s">
        <v>307</v>
      </c>
      <c r="C174" s="210"/>
      <c r="D174" s="211"/>
      <c r="E174" s="211"/>
      <c r="F174" s="233">
        <f>SUM(F175:F177)</f>
        <v>0</v>
      </c>
      <c r="G174" s="211"/>
      <c r="H174" s="213">
        <f>SUM(H175:H177)</f>
        <v>0</v>
      </c>
      <c r="I174" s="211"/>
      <c r="J174" s="211"/>
      <c r="K174" s="211"/>
      <c r="L174" s="211"/>
      <c r="M174" s="237"/>
      <c r="N174" s="237"/>
      <c r="O174" s="238"/>
      <c r="P174" s="212">
        <f>SUM(P175:P177)</f>
        <v>15118.96</v>
      </c>
      <c r="Q174" s="215"/>
      <c r="T174" s="217"/>
    </row>
    <row r="175" spans="1:22" s="226" customFormat="1" ht="41.25" hidden="1" customHeight="1" x14ac:dyDescent="0.2">
      <c r="A175" s="273" t="s">
        <v>9</v>
      </c>
      <c r="B175" s="218" t="str">
        <f>ORÇAMENTO!D81</f>
        <v>Execução de passeio (calçada) ou piso de concreto com concreto moldado in loco, feito em obra, acabamento convencional, não armado</v>
      </c>
      <c r="C175" s="219" t="s">
        <v>128</v>
      </c>
      <c r="D175" s="220">
        <v>0</v>
      </c>
      <c r="E175" s="220">
        <f>'Planilha CT Original'!H136</f>
        <v>0</v>
      </c>
      <c r="F175" s="220">
        <f>D175*E175</f>
        <v>0</v>
      </c>
      <c r="G175" s="220">
        <v>0</v>
      </c>
      <c r="H175" s="220">
        <v>0</v>
      </c>
      <c r="I175" s="220">
        <f>D175-G175</f>
        <v>0</v>
      </c>
      <c r="J175" s="220">
        <f>ORÇAMENTO!F81</f>
        <v>8.91</v>
      </c>
      <c r="K175" s="220">
        <v>0</v>
      </c>
      <c r="L175" s="220">
        <f>I175+J175-K175</f>
        <v>8.91</v>
      </c>
      <c r="M175" s="221">
        <v>701.13</v>
      </c>
      <c r="N175" s="221">
        <f>M175*$Q$5</f>
        <v>904.39</v>
      </c>
      <c r="O175" s="271" t="s">
        <v>323</v>
      </c>
      <c r="P175" s="221">
        <f>L175*N175</f>
        <v>8058.11</v>
      </c>
      <c r="Q175" s="223" t="e">
        <f>L175*ORÇAMENTO!H81:H81</f>
        <v>#REF!</v>
      </c>
      <c r="R175" s="224"/>
      <c r="S175" s="225"/>
      <c r="V175" s="227"/>
    </row>
    <row r="176" spans="1:22" s="226" customFormat="1" ht="40.5" hidden="1" customHeight="1" x14ac:dyDescent="0.2">
      <c r="A176" s="273" t="s">
        <v>12</v>
      </c>
      <c r="B176" s="218" t="str">
        <f>ORÇAMENTO!D82</f>
        <v>Execução de rampa de acessibilidade de concreto com concreto moldado in loco, feito em obra, acabamento convencional, não armado</v>
      </c>
      <c r="C176" s="219" t="s">
        <v>128</v>
      </c>
      <c r="D176" s="220">
        <v>0</v>
      </c>
      <c r="E176" s="220">
        <f>'Planilha CT Original'!H137</f>
        <v>0</v>
      </c>
      <c r="F176" s="220">
        <f>D176*E176</f>
        <v>0</v>
      </c>
      <c r="G176" s="220">
        <v>0</v>
      </c>
      <c r="H176" s="220">
        <v>0</v>
      </c>
      <c r="I176" s="220">
        <f>D176-G176</f>
        <v>0</v>
      </c>
      <c r="J176" s="220">
        <f>ORÇAMENTO!F82</f>
        <v>2.4700000000000002</v>
      </c>
      <c r="K176" s="220">
        <v>0</v>
      </c>
      <c r="L176" s="220">
        <f>I176+J176-K176</f>
        <v>2.4700000000000002</v>
      </c>
      <c r="M176" s="221">
        <f>M175</f>
        <v>701.13</v>
      </c>
      <c r="N176" s="221">
        <f>M176*$Q$5</f>
        <v>904.39</v>
      </c>
      <c r="O176" s="271">
        <v>94990</v>
      </c>
      <c r="P176" s="221">
        <f>L176*N176</f>
        <v>2233.84</v>
      </c>
      <c r="Q176" s="223" t="e">
        <f>L176*ORÇAMENTO!H82:H82</f>
        <v>#REF!</v>
      </c>
      <c r="R176" s="224"/>
      <c r="S176" s="225"/>
      <c r="V176" s="227"/>
    </row>
    <row r="177" spans="1:22" s="226" customFormat="1" ht="53.25" hidden="1" customHeight="1" x14ac:dyDescent="0.2">
      <c r="A177" s="273" t="s">
        <v>108</v>
      </c>
      <c r="B177" s="218" t="str">
        <f>ORÇAMENTO!D83</f>
        <v>Piso tátil direcional e/ou alerta, de concreto, colorido, p/deficientes visuais, dimensões 25x25x2,5cm, aplicado com argamassa industrializada ac-ii.</v>
      </c>
      <c r="C177" s="219" t="s">
        <v>13</v>
      </c>
      <c r="D177" s="220">
        <v>0</v>
      </c>
      <c r="E177" s="220">
        <f>'Planilha CT Original'!H138</f>
        <v>0</v>
      </c>
      <c r="F177" s="220">
        <f>D177*E177</f>
        <v>0</v>
      </c>
      <c r="G177" s="220">
        <v>0</v>
      </c>
      <c r="H177" s="220">
        <v>0</v>
      </c>
      <c r="I177" s="220">
        <f>D177-G177</f>
        <v>0</v>
      </c>
      <c r="J177" s="220">
        <f>ORÇAMENTO!F83</f>
        <v>35.65</v>
      </c>
      <c r="K177" s="220">
        <v>0</v>
      </c>
      <c r="L177" s="220">
        <f>I177+J177-K177</f>
        <v>35.65</v>
      </c>
      <c r="M177" s="221">
        <f>ORÇAMENTO!G83</f>
        <v>104.97</v>
      </c>
      <c r="N177" s="221">
        <f>M177*$Q$5</f>
        <v>135.4</v>
      </c>
      <c r="O177" s="222" t="s">
        <v>324</v>
      </c>
      <c r="P177" s="221">
        <f>L177*N177</f>
        <v>4827.01</v>
      </c>
      <c r="Q177" s="223" t="e">
        <f>L177*ORÇAMENTO!H83:H83</f>
        <v>#REF!</v>
      </c>
      <c r="R177" s="224"/>
      <c r="S177" s="225"/>
      <c r="V177" s="227"/>
    </row>
    <row r="178" spans="1:22" s="202" customFormat="1" ht="5.0999999999999996" hidden="1" customHeight="1" x14ac:dyDescent="0.2">
      <c r="A178" s="239"/>
      <c r="B178" s="239"/>
      <c r="C178" s="219"/>
      <c r="D178" s="220"/>
      <c r="E178" s="220"/>
      <c r="F178" s="220"/>
      <c r="G178" s="220"/>
      <c r="H178" s="220"/>
      <c r="I178" s="220"/>
      <c r="J178" s="220"/>
      <c r="K178" s="220"/>
      <c r="L178" s="220"/>
      <c r="M178" s="221"/>
      <c r="N178" s="221"/>
      <c r="O178" s="222"/>
      <c r="P178" s="274"/>
      <c r="Q178" s="229"/>
      <c r="S178" s="230"/>
    </row>
    <row r="179" spans="1:22" s="216" customFormat="1" ht="12.75" hidden="1" customHeight="1" x14ac:dyDescent="0.2">
      <c r="A179" s="275" t="s">
        <v>14</v>
      </c>
      <c r="B179" s="240" t="s">
        <v>168</v>
      </c>
      <c r="C179" s="219"/>
      <c r="D179" s="220"/>
      <c r="E179" s="220"/>
      <c r="F179" s="233">
        <f>SUM(F180:F181)</f>
        <v>0</v>
      </c>
      <c r="G179" s="241"/>
      <c r="H179" s="242">
        <f>SUM(H180:H181)</f>
        <v>0</v>
      </c>
      <c r="I179" s="241"/>
      <c r="J179" s="241"/>
      <c r="K179" s="241"/>
      <c r="L179" s="241"/>
      <c r="M179" s="221"/>
      <c r="N179" s="221"/>
      <c r="O179" s="222"/>
      <c r="P179" s="243" t="e">
        <f>SUM(P180:P181)</f>
        <v>#REF!</v>
      </c>
      <c r="Q179" s="215"/>
      <c r="T179" s="217"/>
    </row>
    <row r="180" spans="1:22" s="226" customFormat="1" ht="63.75" hidden="1" x14ac:dyDescent="0.2">
      <c r="A180" s="273" t="s">
        <v>15</v>
      </c>
      <c r="B180" s="261" t="s">
        <v>312</v>
      </c>
      <c r="C180" s="219" t="s">
        <v>13</v>
      </c>
      <c r="D180" s="220">
        <v>0</v>
      </c>
      <c r="E180" s="220">
        <f>'Planilha CT Original'!H135</f>
        <v>0</v>
      </c>
      <c r="F180" s="220">
        <f>D180*E180</f>
        <v>0</v>
      </c>
      <c r="G180" s="220">
        <v>0</v>
      </c>
      <c r="H180" s="220">
        <v>0</v>
      </c>
      <c r="I180" s="220">
        <f>D180-G180</f>
        <v>0</v>
      </c>
      <c r="J180" s="220">
        <f>ORÇAMENTO!F85</f>
        <v>1</v>
      </c>
      <c r="K180" s="220">
        <v>0</v>
      </c>
      <c r="L180" s="220">
        <f>I180+J180-K180</f>
        <v>1</v>
      </c>
      <c r="M180" s="221" t="e">
        <f>'Composição Custos Unit'!#REF!</f>
        <v>#REF!</v>
      </c>
      <c r="N180" s="221" t="e">
        <f>M180*$Q$5</f>
        <v>#REF!</v>
      </c>
      <c r="O180" s="222" t="e">
        <f>#REF!</f>
        <v>#REF!</v>
      </c>
      <c r="P180" s="221" t="e">
        <f>L180*N180</f>
        <v>#REF!</v>
      </c>
      <c r="Q180" s="223"/>
      <c r="R180" s="224"/>
      <c r="S180" s="225"/>
      <c r="V180" s="227"/>
    </row>
    <row r="181" spans="1:22" s="226" customFormat="1" ht="25.5" hidden="1" x14ac:dyDescent="0.2">
      <c r="A181" s="273" t="s">
        <v>129</v>
      </c>
      <c r="B181" s="261" t="s">
        <v>166</v>
      </c>
      <c r="C181" s="219" t="s">
        <v>167</v>
      </c>
      <c r="D181" s="220">
        <v>0</v>
      </c>
      <c r="E181" s="220">
        <f>'Planilha CT Original'!H136</f>
        <v>0</v>
      </c>
      <c r="F181" s="220">
        <f>D181*E181</f>
        <v>0</v>
      </c>
      <c r="G181" s="220">
        <v>0</v>
      </c>
      <c r="H181" s="220">
        <v>0</v>
      </c>
      <c r="I181" s="220">
        <f>D181-G181</f>
        <v>0</v>
      </c>
      <c r="J181" s="220">
        <v>1</v>
      </c>
      <c r="K181" s="220">
        <v>0</v>
      </c>
      <c r="L181" s="220">
        <f>I181+J181-K181</f>
        <v>1</v>
      </c>
      <c r="M181" s="221">
        <f>'Composição Custos Unit'!G35</f>
        <v>140.27000000000001</v>
      </c>
      <c r="N181" s="221">
        <f>M181*$Q$5</f>
        <v>180.93</v>
      </c>
      <c r="O181" s="222" t="e">
        <f>#REF!</f>
        <v>#REF!</v>
      </c>
      <c r="P181" s="221">
        <f>L181*N181</f>
        <v>180.93</v>
      </c>
      <c r="Q181" s="223"/>
      <c r="R181" s="224"/>
      <c r="S181" s="225"/>
      <c r="V181" s="227"/>
    </row>
    <row r="182" spans="1:22" s="202" customFormat="1" ht="5.0999999999999996" hidden="1" customHeight="1" thickBot="1" x14ac:dyDescent="0.25">
      <c r="A182" s="333"/>
      <c r="B182" s="333"/>
      <c r="C182" s="334"/>
      <c r="D182" s="335"/>
      <c r="E182" s="335"/>
      <c r="F182" s="335"/>
      <c r="G182" s="335"/>
      <c r="H182" s="335"/>
      <c r="I182" s="335"/>
      <c r="J182" s="335"/>
      <c r="K182" s="335"/>
      <c r="L182" s="335"/>
      <c r="M182" s="335"/>
      <c r="N182" s="335"/>
      <c r="O182" s="336"/>
      <c r="P182" s="337"/>
      <c r="Q182" s="229"/>
      <c r="S182" s="230"/>
    </row>
    <row r="183" spans="1:22" s="254" customFormat="1" ht="20.25" hidden="1" customHeight="1" thickBot="1" x14ac:dyDescent="0.25">
      <c r="A183" s="819" t="s">
        <v>308</v>
      </c>
      <c r="B183" s="820"/>
      <c r="C183" s="820"/>
      <c r="D183" s="820"/>
      <c r="E183" s="820"/>
      <c r="F183" s="264">
        <f>F163+F166+F169+F174+F179</f>
        <v>0</v>
      </c>
      <c r="G183" s="262"/>
      <c r="H183" s="264">
        <f>H163+H166+H169+H179</f>
        <v>0</v>
      </c>
      <c r="I183" s="263"/>
      <c r="J183" s="263"/>
      <c r="K183" s="263"/>
      <c r="L183" s="263"/>
      <c r="M183" s="278"/>
      <c r="N183" s="278"/>
      <c r="O183" s="324"/>
      <c r="P183" s="325" t="e">
        <f>P163+P166+P169+P174+P179</f>
        <v>#REF!</v>
      </c>
      <c r="Q183" s="253"/>
      <c r="R183" s="270" t="e">
        <f>P183+ORÇAMENTO!I74</f>
        <v>#REF!</v>
      </c>
      <c r="T183" s="255"/>
    </row>
    <row r="184" spans="1:22" s="202" customFormat="1" ht="5.0999999999999996" hidden="1" customHeight="1" thickBot="1" x14ac:dyDescent="0.25">
      <c r="A184" s="318"/>
      <c r="B184" s="319"/>
      <c r="C184" s="320"/>
      <c r="D184" s="321"/>
      <c r="E184" s="321"/>
      <c r="F184" s="321"/>
      <c r="G184" s="321"/>
      <c r="H184" s="321"/>
      <c r="I184" s="321"/>
      <c r="J184" s="321"/>
      <c r="K184" s="321"/>
      <c r="L184" s="321"/>
      <c r="M184" s="321"/>
      <c r="N184" s="321"/>
      <c r="O184" s="322"/>
      <c r="P184" s="323"/>
      <c r="Q184" s="229"/>
      <c r="S184" s="230"/>
    </row>
    <row r="185" spans="1:22" s="254" customFormat="1" ht="27" customHeight="1" thickBot="1" x14ac:dyDescent="0.25">
      <c r="A185" s="811" t="s">
        <v>309</v>
      </c>
      <c r="B185" s="812"/>
      <c r="C185" s="812"/>
      <c r="D185" s="812"/>
      <c r="E185" s="812"/>
      <c r="F185" s="561">
        <f>F38+F64+F98+F130</f>
        <v>278298.06</v>
      </c>
      <c r="G185" s="562"/>
      <c r="H185" s="561">
        <f>H38+H64+H98+H130</f>
        <v>187458.79</v>
      </c>
      <c r="I185" s="562"/>
      <c r="J185" s="562"/>
      <c r="K185" s="562"/>
      <c r="L185" s="562"/>
      <c r="M185" s="563"/>
      <c r="N185" s="563"/>
      <c r="O185" s="564"/>
      <c r="P185" s="565" t="e">
        <f>P38+P64+P98+P130+P160</f>
        <v>#REF!</v>
      </c>
      <c r="Q185" s="253"/>
      <c r="R185" s="270"/>
      <c r="T185" s="255"/>
    </row>
    <row r="186" spans="1:22" s="202" customFormat="1" ht="5.25" customHeight="1" x14ac:dyDescent="0.2">
      <c r="B186" s="256"/>
      <c r="C186" s="204"/>
      <c r="O186" s="204"/>
      <c r="P186" s="256"/>
    </row>
    <row r="187" spans="1:22" s="202" customFormat="1" ht="14.25" customHeight="1" x14ac:dyDescent="0.25">
      <c r="A187" s="567" t="s">
        <v>665</v>
      </c>
      <c r="B187" s="75"/>
      <c r="C187" s="568"/>
      <c r="D187" s="567"/>
      <c r="E187" s="570"/>
      <c r="F187" s="741"/>
      <c r="G187" s="741"/>
      <c r="H187" s="741"/>
      <c r="I187" s="741"/>
      <c r="J187" s="742"/>
      <c r="K187" s="742"/>
      <c r="L187" s="518"/>
      <c r="M187" s="518"/>
      <c r="N187" s="518"/>
      <c r="O187" s="518"/>
      <c r="P187" s="518"/>
    </row>
    <row r="188" spans="1:22" s="202" customFormat="1" ht="14.25" customHeight="1" x14ac:dyDescent="0.25">
      <c r="A188" s="567" t="s">
        <v>533</v>
      </c>
      <c r="B188" s="567"/>
      <c r="C188" s="568"/>
      <c r="D188" s="567"/>
      <c r="E188" s="570"/>
      <c r="F188" s="740"/>
      <c r="G188" s="740"/>
      <c r="H188" s="259"/>
      <c r="J188" s="314"/>
      <c r="K188" s="103" t="s">
        <v>667</v>
      </c>
      <c r="L188" s="518"/>
      <c r="M188" s="518"/>
      <c r="N188" s="518"/>
      <c r="O188" s="518"/>
      <c r="P188" s="518"/>
      <c r="R188" s="338"/>
    </row>
    <row r="189" spans="1:22" ht="14.25" customHeight="1" x14ac:dyDescent="0.25">
      <c r="A189" s="567" t="s">
        <v>650</v>
      </c>
      <c r="B189" s="567"/>
      <c r="C189" s="567"/>
      <c r="D189" s="570"/>
      <c r="E189" s="570"/>
      <c r="F189" s="258"/>
      <c r="G189" s="258"/>
      <c r="H189" s="259"/>
      <c r="J189" s="315"/>
      <c r="K189" s="103" t="s">
        <v>668</v>
      </c>
      <c r="L189" s="518"/>
      <c r="M189" s="518"/>
      <c r="N189" s="518"/>
      <c r="O189" s="518"/>
      <c r="P189" s="518"/>
    </row>
    <row r="190" spans="1:22" s="202" customFormat="1" ht="12.75" customHeight="1" x14ac:dyDescent="0.2">
      <c r="B190" s="256"/>
      <c r="C190" s="204"/>
      <c r="O190" s="204"/>
      <c r="P190" s="202">
        <v>887645.87</v>
      </c>
    </row>
    <row r="191" spans="1:22" s="202" customFormat="1" ht="12.75" customHeight="1" x14ac:dyDescent="0.25">
      <c r="B191" s="256"/>
      <c r="C191" s="204"/>
      <c r="M191" s="247"/>
      <c r="N191" s="247"/>
      <c r="O191" s="204"/>
      <c r="P191" s="260">
        <f>P190-H185</f>
        <v>700187.08</v>
      </c>
    </row>
    <row r="192" spans="1:22" x14ac:dyDescent="0.2">
      <c r="P192" s="27" t="e">
        <f>P191-P185</f>
        <v>#REF!</v>
      </c>
    </row>
    <row r="195" spans="12:12" x14ac:dyDescent="0.2">
      <c r="L195" s="27"/>
    </row>
  </sheetData>
  <mergeCells count="32">
    <mergeCell ref="Q6:Q8"/>
    <mergeCell ref="A7:A8"/>
    <mergeCell ref="B7:B8"/>
    <mergeCell ref="C7:C8"/>
    <mergeCell ref="L7:L8"/>
    <mergeCell ref="M7:P7"/>
    <mergeCell ref="I7:I8"/>
    <mergeCell ref="J7:J8"/>
    <mergeCell ref="K7:K8"/>
    <mergeCell ref="A4:P4"/>
    <mergeCell ref="A5:P5"/>
    <mergeCell ref="D7:D8"/>
    <mergeCell ref="E7:E8"/>
    <mergeCell ref="F7:F8"/>
    <mergeCell ref="G7:G8"/>
    <mergeCell ref="H7:H8"/>
    <mergeCell ref="F188:G188"/>
    <mergeCell ref="J187:K187"/>
    <mergeCell ref="F187:I187"/>
    <mergeCell ref="A98:E98"/>
    <mergeCell ref="A10:P10"/>
    <mergeCell ref="A101:P101"/>
    <mergeCell ref="A130:E130"/>
    <mergeCell ref="A40:P40"/>
    <mergeCell ref="A66:P66"/>
    <mergeCell ref="A38:E38"/>
    <mergeCell ref="A64:E64"/>
    <mergeCell ref="A132:P132"/>
    <mergeCell ref="A160:E160"/>
    <mergeCell ref="A162:P162"/>
    <mergeCell ref="A183:E183"/>
    <mergeCell ref="A185:E185"/>
  </mergeCells>
  <phoneticPr fontId="22" type="noConversion"/>
  <printOptions horizontalCentered="1"/>
  <pageMargins left="0.51181102362204722" right="0.51181102362204722" top="0.39370078740157483" bottom="0.39370078740157483" header="0.31496062992125984" footer="0.31496062992125984"/>
  <pageSetup paperSize="9" scale="61" orientation="landscape" horizontalDpi="360" verticalDpi="360" r:id="rId1"/>
  <colBreaks count="1" manualBreakCount="1">
    <brk id="16" max="1048575"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DC3A87-BAE7-45B5-9714-7DFF6B9CC7A7}">
  <dimension ref="A1:V144"/>
  <sheetViews>
    <sheetView view="pageBreakPreview" zoomScale="110" zoomScaleNormal="90" zoomScaleSheetLayoutView="110" workbookViewId="0">
      <selection activeCell="N14" sqref="N14"/>
    </sheetView>
  </sheetViews>
  <sheetFormatPr defaultRowHeight="12.75" x14ac:dyDescent="0.2"/>
  <cols>
    <col min="1" max="1" width="6.5703125" customWidth="1"/>
    <col min="2" max="2" width="44" customWidth="1"/>
    <col min="3" max="3" width="6.5703125" customWidth="1"/>
    <col min="4" max="5" width="11.7109375" hidden="1" customWidth="1"/>
    <col min="6" max="6" width="16.42578125" hidden="1" customWidth="1"/>
    <col min="7" max="7" width="11.7109375" hidden="1" customWidth="1"/>
    <col min="8" max="8" width="16.5703125" hidden="1" customWidth="1"/>
    <col min="9" max="11" width="11.7109375" hidden="1" customWidth="1"/>
    <col min="12" max="14" width="11.7109375" customWidth="1"/>
    <col min="15" max="15" width="14.42578125" customWidth="1"/>
    <col min="16" max="16" width="17.5703125" customWidth="1"/>
    <col min="17" max="17" width="15.140625" bestFit="1" customWidth="1"/>
    <col min="18" max="19" width="15.140625" customWidth="1"/>
    <col min="20" max="20" width="17.5703125" customWidth="1"/>
    <col min="21" max="21" width="14.5703125" bestFit="1" customWidth="1"/>
    <col min="22" max="22" width="10.42578125" bestFit="1" customWidth="1"/>
    <col min="24" max="24" width="10.42578125" bestFit="1" customWidth="1"/>
    <col min="251" max="251" width="6.5703125" customWidth="1"/>
    <col min="252" max="252" width="43.42578125" customWidth="1"/>
    <col min="253" max="253" width="6.5703125" customWidth="1"/>
    <col min="254" max="255" width="11.7109375" customWidth="1"/>
    <col min="256" max="256" width="12.7109375" customWidth="1"/>
    <col min="257" max="257" width="11.7109375" customWidth="1"/>
    <col min="258" max="258" width="12.7109375" customWidth="1"/>
    <col min="259" max="260" width="11.7109375" customWidth="1"/>
    <col min="261" max="261" width="12.7109375" customWidth="1"/>
    <col min="262" max="271" width="11.7109375" customWidth="1"/>
    <col min="272" max="272" width="13.7109375" customWidth="1"/>
    <col min="273" max="273" width="15.140625" bestFit="1" customWidth="1"/>
    <col min="274" max="275" width="15.140625" customWidth="1"/>
    <col min="276" max="276" width="17.5703125" customWidth="1"/>
    <col min="277" max="277" width="14.5703125" bestFit="1" customWidth="1"/>
    <col min="278" max="278" width="10.42578125" bestFit="1" customWidth="1"/>
    <col min="280" max="280" width="10.42578125" bestFit="1" customWidth="1"/>
    <col min="507" max="507" width="6.5703125" customWidth="1"/>
    <col min="508" max="508" width="43.42578125" customWidth="1"/>
    <col min="509" max="509" width="6.5703125" customWidth="1"/>
    <col min="510" max="511" width="11.7109375" customWidth="1"/>
    <col min="512" max="512" width="12.7109375" customWidth="1"/>
    <col min="513" max="513" width="11.7109375" customWidth="1"/>
    <col min="514" max="514" width="12.7109375" customWidth="1"/>
    <col min="515" max="516" width="11.7109375" customWidth="1"/>
    <col min="517" max="517" width="12.7109375" customWidth="1"/>
    <col min="518" max="527" width="11.7109375" customWidth="1"/>
    <col min="528" max="528" width="13.7109375" customWidth="1"/>
    <col min="529" max="529" width="15.140625" bestFit="1" customWidth="1"/>
    <col min="530" max="531" width="15.140625" customWidth="1"/>
    <col min="532" max="532" width="17.5703125" customWidth="1"/>
    <col min="533" max="533" width="14.5703125" bestFit="1" customWidth="1"/>
    <col min="534" max="534" width="10.42578125" bestFit="1" customWidth="1"/>
    <col min="536" max="536" width="10.42578125" bestFit="1" customWidth="1"/>
    <col min="763" max="763" width="6.5703125" customWidth="1"/>
    <col min="764" max="764" width="43.42578125" customWidth="1"/>
    <col min="765" max="765" width="6.5703125" customWidth="1"/>
    <col min="766" max="767" width="11.7109375" customWidth="1"/>
    <col min="768" max="768" width="12.7109375" customWidth="1"/>
    <col min="769" max="769" width="11.7109375" customWidth="1"/>
    <col min="770" max="770" width="12.7109375" customWidth="1"/>
    <col min="771" max="772" width="11.7109375" customWidth="1"/>
    <col min="773" max="773" width="12.7109375" customWidth="1"/>
    <col min="774" max="783" width="11.7109375" customWidth="1"/>
    <col min="784" max="784" width="13.7109375" customWidth="1"/>
    <col min="785" max="785" width="15.140625" bestFit="1" customWidth="1"/>
    <col min="786" max="787" width="15.140625" customWidth="1"/>
    <col min="788" max="788" width="17.5703125" customWidth="1"/>
    <col min="789" max="789" width="14.5703125" bestFit="1" customWidth="1"/>
    <col min="790" max="790" width="10.42578125" bestFit="1" customWidth="1"/>
    <col min="792" max="792" width="10.42578125" bestFit="1" customWidth="1"/>
    <col min="1019" max="1019" width="6.5703125" customWidth="1"/>
    <col min="1020" max="1020" width="43.42578125" customWidth="1"/>
    <col min="1021" max="1021" width="6.5703125" customWidth="1"/>
    <col min="1022" max="1023" width="11.7109375" customWidth="1"/>
    <col min="1024" max="1024" width="12.7109375" customWidth="1"/>
    <col min="1025" max="1025" width="11.7109375" customWidth="1"/>
    <col min="1026" max="1026" width="12.7109375" customWidth="1"/>
    <col min="1027" max="1028" width="11.7109375" customWidth="1"/>
    <col min="1029" max="1029" width="12.7109375" customWidth="1"/>
    <col min="1030" max="1039" width="11.7109375" customWidth="1"/>
    <col min="1040" max="1040" width="13.7109375" customWidth="1"/>
    <col min="1041" max="1041" width="15.140625" bestFit="1" customWidth="1"/>
    <col min="1042" max="1043" width="15.140625" customWidth="1"/>
    <col min="1044" max="1044" width="17.5703125" customWidth="1"/>
    <col min="1045" max="1045" width="14.5703125" bestFit="1" customWidth="1"/>
    <col min="1046" max="1046" width="10.42578125" bestFit="1" customWidth="1"/>
    <col min="1048" max="1048" width="10.42578125" bestFit="1" customWidth="1"/>
    <col min="1275" max="1275" width="6.5703125" customWidth="1"/>
    <col min="1276" max="1276" width="43.42578125" customWidth="1"/>
    <col min="1277" max="1277" width="6.5703125" customWidth="1"/>
    <col min="1278" max="1279" width="11.7109375" customWidth="1"/>
    <col min="1280" max="1280" width="12.7109375" customWidth="1"/>
    <col min="1281" max="1281" width="11.7109375" customWidth="1"/>
    <col min="1282" max="1282" width="12.7109375" customWidth="1"/>
    <col min="1283" max="1284" width="11.7109375" customWidth="1"/>
    <col min="1285" max="1285" width="12.7109375" customWidth="1"/>
    <col min="1286" max="1295" width="11.7109375" customWidth="1"/>
    <col min="1296" max="1296" width="13.7109375" customWidth="1"/>
    <col min="1297" max="1297" width="15.140625" bestFit="1" customWidth="1"/>
    <col min="1298" max="1299" width="15.140625" customWidth="1"/>
    <col min="1300" max="1300" width="17.5703125" customWidth="1"/>
    <col min="1301" max="1301" width="14.5703125" bestFit="1" customWidth="1"/>
    <col min="1302" max="1302" width="10.42578125" bestFit="1" customWidth="1"/>
    <col min="1304" max="1304" width="10.42578125" bestFit="1" customWidth="1"/>
    <col min="1531" max="1531" width="6.5703125" customWidth="1"/>
    <col min="1532" max="1532" width="43.42578125" customWidth="1"/>
    <col min="1533" max="1533" width="6.5703125" customWidth="1"/>
    <col min="1534" max="1535" width="11.7109375" customWidth="1"/>
    <col min="1536" max="1536" width="12.7109375" customWidth="1"/>
    <col min="1537" max="1537" width="11.7109375" customWidth="1"/>
    <col min="1538" max="1538" width="12.7109375" customWidth="1"/>
    <col min="1539" max="1540" width="11.7109375" customWidth="1"/>
    <col min="1541" max="1541" width="12.7109375" customWidth="1"/>
    <col min="1542" max="1551" width="11.7109375" customWidth="1"/>
    <col min="1552" max="1552" width="13.7109375" customWidth="1"/>
    <col min="1553" max="1553" width="15.140625" bestFit="1" customWidth="1"/>
    <col min="1554" max="1555" width="15.140625" customWidth="1"/>
    <col min="1556" max="1556" width="17.5703125" customWidth="1"/>
    <col min="1557" max="1557" width="14.5703125" bestFit="1" customWidth="1"/>
    <col min="1558" max="1558" width="10.42578125" bestFit="1" customWidth="1"/>
    <col min="1560" max="1560" width="10.42578125" bestFit="1" customWidth="1"/>
    <col min="1787" max="1787" width="6.5703125" customWidth="1"/>
    <col min="1788" max="1788" width="43.42578125" customWidth="1"/>
    <col min="1789" max="1789" width="6.5703125" customWidth="1"/>
    <col min="1790" max="1791" width="11.7109375" customWidth="1"/>
    <col min="1792" max="1792" width="12.7109375" customWidth="1"/>
    <col min="1793" max="1793" width="11.7109375" customWidth="1"/>
    <col min="1794" max="1794" width="12.7109375" customWidth="1"/>
    <col min="1795" max="1796" width="11.7109375" customWidth="1"/>
    <col min="1797" max="1797" width="12.7109375" customWidth="1"/>
    <col min="1798" max="1807" width="11.7109375" customWidth="1"/>
    <col min="1808" max="1808" width="13.7109375" customWidth="1"/>
    <col min="1809" max="1809" width="15.140625" bestFit="1" customWidth="1"/>
    <col min="1810" max="1811" width="15.140625" customWidth="1"/>
    <col min="1812" max="1812" width="17.5703125" customWidth="1"/>
    <col min="1813" max="1813" width="14.5703125" bestFit="1" customWidth="1"/>
    <col min="1814" max="1814" width="10.42578125" bestFit="1" customWidth="1"/>
    <col min="1816" max="1816" width="10.42578125" bestFit="1" customWidth="1"/>
    <col min="2043" max="2043" width="6.5703125" customWidth="1"/>
    <col min="2044" max="2044" width="43.42578125" customWidth="1"/>
    <col min="2045" max="2045" width="6.5703125" customWidth="1"/>
    <col min="2046" max="2047" width="11.7109375" customWidth="1"/>
    <col min="2048" max="2048" width="12.7109375" customWidth="1"/>
    <col min="2049" max="2049" width="11.7109375" customWidth="1"/>
    <col min="2050" max="2050" width="12.7109375" customWidth="1"/>
    <col min="2051" max="2052" width="11.7109375" customWidth="1"/>
    <col min="2053" max="2053" width="12.7109375" customWidth="1"/>
    <col min="2054" max="2063" width="11.7109375" customWidth="1"/>
    <col min="2064" max="2064" width="13.7109375" customWidth="1"/>
    <col min="2065" max="2065" width="15.140625" bestFit="1" customWidth="1"/>
    <col min="2066" max="2067" width="15.140625" customWidth="1"/>
    <col min="2068" max="2068" width="17.5703125" customWidth="1"/>
    <col min="2069" max="2069" width="14.5703125" bestFit="1" customWidth="1"/>
    <col min="2070" max="2070" width="10.42578125" bestFit="1" customWidth="1"/>
    <col min="2072" max="2072" width="10.42578125" bestFit="1" customWidth="1"/>
    <col min="2299" max="2299" width="6.5703125" customWidth="1"/>
    <col min="2300" max="2300" width="43.42578125" customWidth="1"/>
    <col min="2301" max="2301" width="6.5703125" customWidth="1"/>
    <col min="2302" max="2303" width="11.7109375" customWidth="1"/>
    <col min="2304" max="2304" width="12.7109375" customWidth="1"/>
    <col min="2305" max="2305" width="11.7109375" customWidth="1"/>
    <col min="2306" max="2306" width="12.7109375" customWidth="1"/>
    <col min="2307" max="2308" width="11.7109375" customWidth="1"/>
    <col min="2309" max="2309" width="12.7109375" customWidth="1"/>
    <col min="2310" max="2319" width="11.7109375" customWidth="1"/>
    <col min="2320" max="2320" width="13.7109375" customWidth="1"/>
    <col min="2321" max="2321" width="15.140625" bestFit="1" customWidth="1"/>
    <col min="2322" max="2323" width="15.140625" customWidth="1"/>
    <col min="2324" max="2324" width="17.5703125" customWidth="1"/>
    <col min="2325" max="2325" width="14.5703125" bestFit="1" customWidth="1"/>
    <col min="2326" max="2326" width="10.42578125" bestFit="1" customWidth="1"/>
    <col min="2328" max="2328" width="10.42578125" bestFit="1" customWidth="1"/>
    <col min="2555" max="2555" width="6.5703125" customWidth="1"/>
    <col min="2556" max="2556" width="43.42578125" customWidth="1"/>
    <col min="2557" max="2557" width="6.5703125" customWidth="1"/>
    <col min="2558" max="2559" width="11.7109375" customWidth="1"/>
    <col min="2560" max="2560" width="12.7109375" customWidth="1"/>
    <col min="2561" max="2561" width="11.7109375" customWidth="1"/>
    <col min="2562" max="2562" width="12.7109375" customWidth="1"/>
    <col min="2563" max="2564" width="11.7109375" customWidth="1"/>
    <col min="2565" max="2565" width="12.7109375" customWidth="1"/>
    <col min="2566" max="2575" width="11.7109375" customWidth="1"/>
    <col min="2576" max="2576" width="13.7109375" customWidth="1"/>
    <col min="2577" max="2577" width="15.140625" bestFit="1" customWidth="1"/>
    <col min="2578" max="2579" width="15.140625" customWidth="1"/>
    <col min="2580" max="2580" width="17.5703125" customWidth="1"/>
    <col min="2581" max="2581" width="14.5703125" bestFit="1" customWidth="1"/>
    <col min="2582" max="2582" width="10.42578125" bestFit="1" customWidth="1"/>
    <col min="2584" max="2584" width="10.42578125" bestFit="1" customWidth="1"/>
    <col min="2811" max="2811" width="6.5703125" customWidth="1"/>
    <col min="2812" max="2812" width="43.42578125" customWidth="1"/>
    <col min="2813" max="2813" width="6.5703125" customWidth="1"/>
    <col min="2814" max="2815" width="11.7109375" customWidth="1"/>
    <col min="2816" max="2816" width="12.7109375" customWidth="1"/>
    <col min="2817" max="2817" width="11.7109375" customWidth="1"/>
    <col min="2818" max="2818" width="12.7109375" customWidth="1"/>
    <col min="2819" max="2820" width="11.7109375" customWidth="1"/>
    <col min="2821" max="2821" width="12.7109375" customWidth="1"/>
    <col min="2822" max="2831" width="11.7109375" customWidth="1"/>
    <col min="2832" max="2832" width="13.7109375" customWidth="1"/>
    <col min="2833" max="2833" width="15.140625" bestFit="1" customWidth="1"/>
    <col min="2834" max="2835" width="15.140625" customWidth="1"/>
    <col min="2836" max="2836" width="17.5703125" customWidth="1"/>
    <col min="2837" max="2837" width="14.5703125" bestFit="1" customWidth="1"/>
    <col min="2838" max="2838" width="10.42578125" bestFit="1" customWidth="1"/>
    <col min="2840" max="2840" width="10.42578125" bestFit="1" customWidth="1"/>
    <col min="3067" max="3067" width="6.5703125" customWidth="1"/>
    <col min="3068" max="3068" width="43.42578125" customWidth="1"/>
    <col min="3069" max="3069" width="6.5703125" customWidth="1"/>
    <col min="3070" max="3071" width="11.7109375" customWidth="1"/>
    <col min="3072" max="3072" width="12.7109375" customWidth="1"/>
    <col min="3073" max="3073" width="11.7109375" customWidth="1"/>
    <col min="3074" max="3074" width="12.7109375" customWidth="1"/>
    <col min="3075" max="3076" width="11.7109375" customWidth="1"/>
    <col min="3077" max="3077" width="12.7109375" customWidth="1"/>
    <col min="3078" max="3087" width="11.7109375" customWidth="1"/>
    <col min="3088" max="3088" width="13.7109375" customWidth="1"/>
    <col min="3089" max="3089" width="15.140625" bestFit="1" customWidth="1"/>
    <col min="3090" max="3091" width="15.140625" customWidth="1"/>
    <col min="3092" max="3092" width="17.5703125" customWidth="1"/>
    <col min="3093" max="3093" width="14.5703125" bestFit="1" customWidth="1"/>
    <col min="3094" max="3094" width="10.42578125" bestFit="1" customWidth="1"/>
    <col min="3096" max="3096" width="10.42578125" bestFit="1" customWidth="1"/>
    <col min="3323" max="3323" width="6.5703125" customWidth="1"/>
    <col min="3324" max="3324" width="43.42578125" customWidth="1"/>
    <col min="3325" max="3325" width="6.5703125" customWidth="1"/>
    <col min="3326" max="3327" width="11.7109375" customWidth="1"/>
    <col min="3328" max="3328" width="12.7109375" customWidth="1"/>
    <col min="3329" max="3329" width="11.7109375" customWidth="1"/>
    <col min="3330" max="3330" width="12.7109375" customWidth="1"/>
    <col min="3331" max="3332" width="11.7109375" customWidth="1"/>
    <col min="3333" max="3333" width="12.7109375" customWidth="1"/>
    <col min="3334" max="3343" width="11.7109375" customWidth="1"/>
    <col min="3344" max="3344" width="13.7109375" customWidth="1"/>
    <col min="3345" max="3345" width="15.140625" bestFit="1" customWidth="1"/>
    <col min="3346" max="3347" width="15.140625" customWidth="1"/>
    <col min="3348" max="3348" width="17.5703125" customWidth="1"/>
    <col min="3349" max="3349" width="14.5703125" bestFit="1" customWidth="1"/>
    <col min="3350" max="3350" width="10.42578125" bestFit="1" customWidth="1"/>
    <col min="3352" max="3352" width="10.42578125" bestFit="1" customWidth="1"/>
    <col min="3579" max="3579" width="6.5703125" customWidth="1"/>
    <col min="3580" max="3580" width="43.42578125" customWidth="1"/>
    <col min="3581" max="3581" width="6.5703125" customWidth="1"/>
    <col min="3582" max="3583" width="11.7109375" customWidth="1"/>
    <col min="3584" max="3584" width="12.7109375" customWidth="1"/>
    <col min="3585" max="3585" width="11.7109375" customWidth="1"/>
    <col min="3586" max="3586" width="12.7109375" customWidth="1"/>
    <col min="3587" max="3588" width="11.7109375" customWidth="1"/>
    <col min="3589" max="3589" width="12.7109375" customWidth="1"/>
    <col min="3590" max="3599" width="11.7109375" customWidth="1"/>
    <col min="3600" max="3600" width="13.7109375" customWidth="1"/>
    <col min="3601" max="3601" width="15.140625" bestFit="1" customWidth="1"/>
    <col min="3602" max="3603" width="15.140625" customWidth="1"/>
    <col min="3604" max="3604" width="17.5703125" customWidth="1"/>
    <col min="3605" max="3605" width="14.5703125" bestFit="1" customWidth="1"/>
    <col min="3606" max="3606" width="10.42578125" bestFit="1" customWidth="1"/>
    <col min="3608" max="3608" width="10.42578125" bestFit="1" customWidth="1"/>
    <col min="3835" max="3835" width="6.5703125" customWidth="1"/>
    <col min="3836" max="3836" width="43.42578125" customWidth="1"/>
    <col min="3837" max="3837" width="6.5703125" customWidth="1"/>
    <col min="3838" max="3839" width="11.7109375" customWidth="1"/>
    <col min="3840" max="3840" width="12.7109375" customWidth="1"/>
    <col min="3841" max="3841" width="11.7109375" customWidth="1"/>
    <col min="3842" max="3842" width="12.7109375" customWidth="1"/>
    <col min="3843" max="3844" width="11.7109375" customWidth="1"/>
    <col min="3845" max="3845" width="12.7109375" customWidth="1"/>
    <col min="3846" max="3855" width="11.7109375" customWidth="1"/>
    <col min="3856" max="3856" width="13.7109375" customWidth="1"/>
    <col min="3857" max="3857" width="15.140625" bestFit="1" customWidth="1"/>
    <col min="3858" max="3859" width="15.140625" customWidth="1"/>
    <col min="3860" max="3860" width="17.5703125" customWidth="1"/>
    <col min="3861" max="3861" width="14.5703125" bestFit="1" customWidth="1"/>
    <col min="3862" max="3862" width="10.42578125" bestFit="1" customWidth="1"/>
    <col min="3864" max="3864" width="10.42578125" bestFit="1" customWidth="1"/>
    <col min="4091" max="4091" width="6.5703125" customWidth="1"/>
    <col min="4092" max="4092" width="43.42578125" customWidth="1"/>
    <col min="4093" max="4093" width="6.5703125" customWidth="1"/>
    <col min="4094" max="4095" width="11.7109375" customWidth="1"/>
    <col min="4096" max="4096" width="12.7109375" customWidth="1"/>
    <col min="4097" max="4097" width="11.7109375" customWidth="1"/>
    <col min="4098" max="4098" width="12.7109375" customWidth="1"/>
    <col min="4099" max="4100" width="11.7109375" customWidth="1"/>
    <col min="4101" max="4101" width="12.7109375" customWidth="1"/>
    <col min="4102" max="4111" width="11.7109375" customWidth="1"/>
    <col min="4112" max="4112" width="13.7109375" customWidth="1"/>
    <col min="4113" max="4113" width="15.140625" bestFit="1" customWidth="1"/>
    <col min="4114" max="4115" width="15.140625" customWidth="1"/>
    <col min="4116" max="4116" width="17.5703125" customWidth="1"/>
    <col min="4117" max="4117" width="14.5703125" bestFit="1" customWidth="1"/>
    <col min="4118" max="4118" width="10.42578125" bestFit="1" customWidth="1"/>
    <col min="4120" max="4120" width="10.42578125" bestFit="1" customWidth="1"/>
    <col min="4347" max="4347" width="6.5703125" customWidth="1"/>
    <col min="4348" max="4348" width="43.42578125" customWidth="1"/>
    <col min="4349" max="4349" width="6.5703125" customWidth="1"/>
    <col min="4350" max="4351" width="11.7109375" customWidth="1"/>
    <col min="4352" max="4352" width="12.7109375" customWidth="1"/>
    <col min="4353" max="4353" width="11.7109375" customWidth="1"/>
    <col min="4354" max="4354" width="12.7109375" customWidth="1"/>
    <col min="4355" max="4356" width="11.7109375" customWidth="1"/>
    <col min="4357" max="4357" width="12.7109375" customWidth="1"/>
    <col min="4358" max="4367" width="11.7109375" customWidth="1"/>
    <col min="4368" max="4368" width="13.7109375" customWidth="1"/>
    <col min="4369" max="4369" width="15.140625" bestFit="1" customWidth="1"/>
    <col min="4370" max="4371" width="15.140625" customWidth="1"/>
    <col min="4372" max="4372" width="17.5703125" customWidth="1"/>
    <col min="4373" max="4373" width="14.5703125" bestFit="1" customWidth="1"/>
    <col min="4374" max="4374" width="10.42578125" bestFit="1" customWidth="1"/>
    <col min="4376" max="4376" width="10.42578125" bestFit="1" customWidth="1"/>
    <col min="4603" max="4603" width="6.5703125" customWidth="1"/>
    <col min="4604" max="4604" width="43.42578125" customWidth="1"/>
    <col min="4605" max="4605" width="6.5703125" customWidth="1"/>
    <col min="4606" max="4607" width="11.7109375" customWidth="1"/>
    <col min="4608" max="4608" width="12.7109375" customWidth="1"/>
    <col min="4609" max="4609" width="11.7109375" customWidth="1"/>
    <col min="4610" max="4610" width="12.7109375" customWidth="1"/>
    <col min="4611" max="4612" width="11.7109375" customWidth="1"/>
    <col min="4613" max="4613" width="12.7109375" customWidth="1"/>
    <col min="4614" max="4623" width="11.7109375" customWidth="1"/>
    <col min="4624" max="4624" width="13.7109375" customWidth="1"/>
    <col min="4625" max="4625" width="15.140625" bestFit="1" customWidth="1"/>
    <col min="4626" max="4627" width="15.140625" customWidth="1"/>
    <col min="4628" max="4628" width="17.5703125" customWidth="1"/>
    <col min="4629" max="4629" width="14.5703125" bestFit="1" customWidth="1"/>
    <col min="4630" max="4630" width="10.42578125" bestFit="1" customWidth="1"/>
    <col min="4632" max="4632" width="10.42578125" bestFit="1" customWidth="1"/>
    <col min="4859" max="4859" width="6.5703125" customWidth="1"/>
    <col min="4860" max="4860" width="43.42578125" customWidth="1"/>
    <col min="4861" max="4861" width="6.5703125" customWidth="1"/>
    <col min="4862" max="4863" width="11.7109375" customWidth="1"/>
    <col min="4864" max="4864" width="12.7109375" customWidth="1"/>
    <col min="4865" max="4865" width="11.7109375" customWidth="1"/>
    <col min="4866" max="4866" width="12.7109375" customWidth="1"/>
    <col min="4867" max="4868" width="11.7109375" customWidth="1"/>
    <col min="4869" max="4869" width="12.7109375" customWidth="1"/>
    <col min="4870" max="4879" width="11.7109375" customWidth="1"/>
    <col min="4880" max="4880" width="13.7109375" customWidth="1"/>
    <col min="4881" max="4881" width="15.140625" bestFit="1" customWidth="1"/>
    <col min="4882" max="4883" width="15.140625" customWidth="1"/>
    <col min="4884" max="4884" width="17.5703125" customWidth="1"/>
    <col min="4885" max="4885" width="14.5703125" bestFit="1" customWidth="1"/>
    <col min="4886" max="4886" width="10.42578125" bestFit="1" customWidth="1"/>
    <col min="4888" max="4888" width="10.42578125" bestFit="1" customWidth="1"/>
    <col min="5115" max="5115" width="6.5703125" customWidth="1"/>
    <col min="5116" max="5116" width="43.42578125" customWidth="1"/>
    <col min="5117" max="5117" width="6.5703125" customWidth="1"/>
    <col min="5118" max="5119" width="11.7109375" customWidth="1"/>
    <col min="5120" max="5120" width="12.7109375" customWidth="1"/>
    <col min="5121" max="5121" width="11.7109375" customWidth="1"/>
    <col min="5122" max="5122" width="12.7109375" customWidth="1"/>
    <col min="5123" max="5124" width="11.7109375" customWidth="1"/>
    <col min="5125" max="5125" width="12.7109375" customWidth="1"/>
    <col min="5126" max="5135" width="11.7109375" customWidth="1"/>
    <col min="5136" max="5136" width="13.7109375" customWidth="1"/>
    <col min="5137" max="5137" width="15.140625" bestFit="1" customWidth="1"/>
    <col min="5138" max="5139" width="15.140625" customWidth="1"/>
    <col min="5140" max="5140" width="17.5703125" customWidth="1"/>
    <col min="5141" max="5141" width="14.5703125" bestFit="1" customWidth="1"/>
    <col min="5142" max="5142" width="10.42578125" bestFit="1" customWidth="1"/>
    <col min="5144" max="5144" width="10.42578125" bestFit="1" customWidth="1"/>
    <col min="5371" max="5371" width="6.5703125" customWidth="1"/>
    <col min="5372" max="5372" width="43.42578125" customWidth="1"/>
    <col min="5373" max="5373" width="6.5703125" customWidth="1"/>
    <col min="5374" max="5375" width="11.7109375" customWidth="1"/>
    <col min="5376" max="5376" width="12.7109375" customWidth="1"/>
    <col min="5377" max="5377" width="11.7109375" customWidth="1"/>
    <col min="5378" max="5378" width="12.7109375" customWidth="1"/>
    <col min="5379" max="5380" width="11.7109375" customWidth="1"/>
    <col min="5381" max="5381" width="12.7109375" customWidth="1"/>
    <col min="5382" max="5391" width="11.7109375" customWidth="1"/>
    <col min="5392" max="5392" width="13.7109375" customWidth="1"/>
    <col min="5393" max="5393" width="15.140625" bestFit="1" customWidth="1"/>
    <col min="5394" max="5395" width="15.140625" customWidth="1"/>
    <col min="5396" max="5396" width="17.5703125" customWidth="1"/>
    <col min="5397" max="5397" width="14.5703125" bestFit="1" customWidth="1"/>
    <col min="5398" max="5398" width="10.42578125" bestFit="1" customWidth="1"/>
    <col min="5400" max="5400" width="10.42578125" bestFit="1" customWidth="1"/>
    <col min="5627" max="5627" width="6.5703125" customWidth="1"/>
    <col min="5628" max="5628" width="43.42578125" customWidth="1"/>
    <col min="5629" max="5629" width="6.5703125" customWidth="1"/>
    <col min="5630" max="5631" width="11.7109375" customWidth="1"/>
    <col min="5632" max="5632" width="12.7109375" customWidth="1"/>
    <col min="5633" max="5633" width="11.7109375" customWidth="1"/>
    <col min="5634" max="5634" width="12.7109375" customWidth="1"/>
    <col min="5635" max="5636" width="11.7109375" customWidth="1"/>
    <col min="5637" max="5637" width="12.7109375" customWidth="1"/>
    <col min="5638" max="5647" width="11.7109375" customWidth="1"/>
    <col min="5648" max="5648" width="13.7109375" customWidth="1"/>
    <col min="5649" max="5649" width="15.140625" bestFit="1" customWidth="1"/>
    <col min="5650" max="5651" width="15.140625" customWidth="1"/>
    <col min="5652" max="5652" width="17.5703125" customWidth="1"/>
    <col min="5653" max="5653" width="14.5703125" bestFit="1" customWidth="1"/>
    <col min="5654" max="5654" width="10.42578125" bestFit="1" customWidth="1"/>
    <col min="5656" max="5656" width="10.42578125" bestFit="1" customWidth="1"/>
    <col min="5883" max="5883" width="6.5703125" customWidth="1"/>
    <col min="5884" max="5884" width="43.42578125" customWidth="1"/>
    <col min="5885" max="5885" width="6.5703125" customWidth="1"/>
    <col min="5886" max="5887" width="11.7109375" customWidth="1"/>
    <col min="5888" max="5888" width="12.7109375" customWidth="1"/>
    <col min="5889" max="5889" width="11.7109375" customWidth="1"/>
    <col min="5890" max="5890" width="12.7109375" customWidth="1"/>
    <col min="5891" max="5892" width="11.7109375" customWidth="1"/>
    <col min="5893" max="5893" width="12.7109375" customWidth="1"/>
    <col min="5894" max="5903" width="11.7109375" customWidth="1"/>
    <col min="5904" max="5904" width="13.7109375" customWidth="1"/>
    <col min="5905" max="5905" width="15.140625" bestFit="1" customWidth="1"/>
    <col min="5906" max="5907" width="15.140625" customWidth="1"/>
    <col min="5908" max="5908" width="17.5703125" customWidth="1"/>
    <col min="5909" max="5909" width="14.5703125" bestFit="1" customWidth="1"/>
    <col min="5910" max="5910" width="10.42578125" bestFit="1" customWidth="1"/>
    <col min="5912" max="5912" width="10.42578125" bestFit="1" customWidth="1"/>
    <col min="6139" max="6139" width="6.5703125" customWidth="1"/>
    <col min="6140" max="6140" width="43.42578125" customWidth="1"/>
    <col min="6141" max="6141" width="6.5703125" customWidth="1"/>
    <col min="6142" max="6143" width="11.7109375" customWidth="1"/>
    <col min="6144" max="6144" width="12.7109375" customWidth="1"/>
    <col min="6145" max="6145" width="11.7109375" customWidth="1"/>
    <col min="6146" max="6146" width="12.7109375" customWidth="1"/>
    <col min="6147" max="6148" width="11.7109375" customWidth="1"/>
    <col min="6149" max="6149" width="12.7109375" customWidth="1"/>
    <col min="6150" max="6159" width="11.7109375" customWidth="1"/>
    <col min="6160" max="6160" width="13.7109375" customWidth="1"/>
    <col min="6161" max="6161" width="15.140625" bestFit="1" customWidth="1"/>
    <col min="6162" max="6163" width="15.140625" customWidth="1"/>
    <col min="6164" max="6164" width="17.5703125" customWidth="1"/>
    <col min="6165" max="6165" width="14.5703125" bestFit="1" customWidth="1"/>
    <col min="6166" max="6166" width="10.42578125" bestFit="1" customWidth="1"/>
    <col min="6168" max="6168" width="10.42578125" bestFit="1" customWidth="1"/>
    <col min="6395" max="6395" width="6.5703125" customWidth="1"/>
    <col min="6396" max="6396" width="43.42578125" customWidth="1"/>
    <col min="6397" max="6397" width="6.5703125" customWidth="1"/>
    <col min="6398" max="6399" width="11.7109375" customWidth="1"/>
    <col min="6400" max="6400" width="12.7109375" customWidth="1"/>
    <col min="6401" max="6401" width="11.7109375" customWidth="1"/>
    <col min="6402" max="6402" width="12.7109375" customWidth="1"/>
    <col min="6403" max="6404" width="11.7109375" customWidth="1"/>
    <col min="6405" max="6405" width="12.7109375" customWidth="1"/>
    <col min="6406" max="6415" width="11.7109375" customWidth="1"/>
    <col min="6416" max="6416" width="13.7109375" customWidth="1"/>
    <col min="6417" max="6417" width="15.140625" bestFit="1" customWidth="1"/>
    <col min="6418" max="6419" width="15.140625" customWidth="1"/>
    <col min="6420" max="6420" width="17.5703125" customWidth="1"/>
    <col min="6421" max="6421" width="14.5703125" bestFit="1" customWidth="1"/>
    <col min="6422" max="6422" width="10.42578125" bestFit="1" customWidth="1"/>
    <col min="6424" max="6424" width="10.42578125" bestFit="1" customWidth="1"/>
    <col min="6651" max="6651" width="6.5703125" customWidth="1"/>
    <col min="6652" max="6652" width="43.42578125" customWidth="1"/>
    <col min="6653" max="6653" width="6.5703125" customWidth="1"/>
    <col min="6654" max="6655" width="11.7109375" customWidth="1"/>
    <col min="6656" max="6656" width="12.7109375" customWidth="1"/>
    <col min="6657" max="6657" width="11.7109375" customWidth="1"/>
    <col min="6658" max="6658" width="12.7109375" customWidth="1"/>
    <col min="6659" max="6660" width="11.7109375" customWidth="1"/>
    <col min="6661" max="6661" width="12.7109375" customWidth="1"/>
    <col min="6662" max="6671" width="11.7109375" customWidth="1"/>
    <col min="6672" max="6672" width="13.7109375" customWidth="1"/>
    <col min="6673" max="6673" width="15.140625" bestFit="1" customWidth="1"/>
    <col min="6674" max="6675" width="15.140625" customWidth="1"/>
    <col min="6676" max="6676" width="17.5703125" customWidth="1"/>
    <col min="6677" max="6677" width="14.5703125" bestFit="1" customWidth="1"/>
    <col min="6678" max="6678" width="10.42578125" bestFit="1" customWidth="1"/>
    <col min="6680" max="6680" width="10.42578125" bestFit="1" customWidth="1"/>
    <col min="6907" max="6907" width="6.5703125" customWidth="1"/>
    <col min="6908" max="6908" width="43.42578125" customWidth="1"/>
    <col min="6909" max="6909" width="6.5703125" customWidth="1"/>
    <col min="6910" max="6911" width="11.7109375" customWidth="1"/>
    <col min="6912" max="6912" width="12.7109375" customWidth="1"/>
    <col min="6913" max="6913" width="11.7109375" customWidth="1"/>
    <col min="6914" max="6914" width="12.7109375" customWidth="1"/>
    <col min="6915" max="6916" width="11.7109375" customWidth="1"/>
    <col min="6917" max="6917" width="12.7109375" customWidth="1"/>
    <col min="6918" max="6927" width="11.7109375" customWidth="1"/>
    <col min="6928" max="6928" width="13.7109375" customWidth="1"/>
    <col min="6929" max="6929" width="15.140625" bestFit="1" customWidth="1"/>
    <col min="6930" max="6931" width="15.140625" customWidth="1"/>
    <col min="6932" max="6932" width="17.5703125" customWidth="1"/>
    <col min="6933" max="6933" width="14.5703125" bestFit="1" customWidth="1"/>
    <col min="6934" max="6934" width="10.42578125" bestFit="1" customWidth="1"/>
    <col min="6936" max="6936" width="10.42578125" bestFit="1" customWidth="1"/>
    <col min="7163" max="7163" width="6.5703125" customWidth="1"/>
    <col min="7164" max="7164" width="43.42578125" customWidth="1"/>
    <col min="7165" max="7165" width="6.5703125" customWidth="1"/>
    <col min="7166" max="7167" width="11.7109375" customWidth="1"/>
    <col min="7168" max="7168" width="12.7109375" customWidth="1"/>
    <col min="7169" max="7169" width="11.7109375" customWidth="1"/>
    <col min="7170" max="7170" width="12.7109375" customWidth="1"/>
    <col min="7171" max="7172" width="11.7109375" customWidth="1"/>
    <col min="7173" max="7173" width="12.7109375" customWidth="1"/>
    <col min="7174" max="7183" width="11.7109375" customWidth="1"/>
    <col min="7184" max="7184" width="13.7109375" customWidth="1"/>
    <col min="7185" max="7185" width="15.140625" bestFit="1" customWidth="1"/>
    <col min="7186" max="7187" width="15.140625" customWidth="1"/>
    <col min="7188" max="7188" width="17.5703125" customWidth="1"/>
    <col min="7189" max="7189" width="14.5703125" bestFit="1" customWidth="1"/>
    <col min="7190" max="7190" width="10.42578125" bestFit="1" customWidth="1"/>
    <col min="7192" max="7192" width="10.42578125" bestFit="1" customWidth="1"/>
    <col min="7419" max="7419" width="6.5703125" customWidth="1"/>
    <col min="7420" max="7420" width="43.42578125" customWidth="1"/>
    <col min="7421" max="7421" width="6.5703125" customWidth="1"/>
    <col min="7422" max="7423" width="11.7109375" customWidth="1"/>
    <col min="7424" max="7424" width="12.7109375" customWidth="1"/>
    <col min="7425" max="7425" width="11.7109375" customWidth="1"/>
    <col min="7426" max="7426" width="12.7109375" customWidth="1"/>
    <col min="7427" max="7428" width="11.7109375" customWidth="1"/>
    <col min="7429" max="7429" width="12.7109375" customWidth="1"/>
    <col min="7430" max="7439" width="11.7109375" customWidth="1"/>
    <col min="7440" max="7440" width="13.7109375" customWidth="1"/>
    <col min="7441" max="7441" width="15.140625" bestFit="1" customWidth="1"/>
    <col min="7442" max="7443" width="15.140625" customWidth="1"/>
    <col min="7444" max="7444" width="17.5703125" customWidth="1"/>
    <col min="7445" max="7445" width="14.5703125" bestFit="1" customWidth="1"/>
    <col min="7446" max="7446" width="10.42578125" bestFit="1" customWidth="1"/>
    <col min="7448" max="7448" width="10.42578125" bestFit="1" customWidth="1"/>
    <col min="7675" max="7675" width="6.5703125" customWidth="1"/>
    <col min="7676" max="7676" width="43.42578125" customWidth="1"/>
    <col min="7677" max="7677" width="6.5703125" customWidth="1"/>
    <col min="7678" max="7679" width="11.7109375" customWidth="1"/>
    <col min="7680" max="7680" width="12.7109375" customWidth="1"/>
    <col min="7681" max="7681" width="11.7109375" customWidth="1"/>
    <col min="7682" max="7682" width="12.7109375" customWidth="1"/>
    <col min="7683" max="7684" width="11.7109375" customWidth="1"/>
    <col min="7685" max="7685" width="12.7109375" customWidth="1"/>
    <col min="7686" max="7695" width="11.7109375" customWidth="1"/>
    <col min="7696" max="7696" width="13.7109375" customWidth="1"/>
    <col min="7697" max="7697" width="15.140625" bestFit="1" customWidth="1"/>
    <col min="7698" max="7699" width="15.140625" customWidth="1"/>
    <col min="7700" max="7700" width="17.5703125" customWidth="1"/>
    <col min="7701" max="7701" width="14.5703125" bestFit="1" customWidth="1"/>
    <col min="7702" max="7702" width="10.42578125" bestFit="1" customWidth="1"/>
    <col min="7704" max="7704" width="10.42578125" bestFit="1" customWidth="1"/>
    <col min="7931" max="7931" width="6.5703125" customWidth="1"/>
    <col min="7932" max="7932" width="43.42578125" customWidth="1"/>
    <col min="7933" max="7933" width="6.5703125" customWidth="1"/>
    <col min="7934" max="7935" width="11.7109375" customWidth="1"/>
    <col min="7936" max="7936" width="12.7109375" customWidth="1"/>
    <col min="7937" max="7937" width="11.7109375" customWidth="1"/>
    <col min="7938" max="7938" width="12.7109375" customWidth="1"/>
    <col min="7939" max="7940" width="11.7109375" customWidth="1"/>
    <col min="7941" max="7941" width="12.7109375" customWidth="1"/>
    <col min="7942" max="7951" width="11.7109375" customWidth="1"/>
    <col min="7952" max="7952" width="13.7109375" customWidth="1"/>
    <col min="7953" max="7953" width="15.140625" bestFit="1" customWidth="1"/>
    <col min="7954" max="7955" width="15.140625" customWidth="1"/>
    <col min="7956" max="7956" width="17.5703125" customWidth="1"/>
    <col min="7957" max="7957" width="14.5703125" bestFit="1" customWidth="1"/>
    <col min="7958" max="7958" width="10.42578125" bestFit="1" customWidth="1"/>
    <col min="7960" max="7960" width="10.42578125" bestFit="1" customWidth="1"/>
    <col min="8187" max="8187" width="6.5703125" customWidth="1"/>
    <col min="8188" max="8188" width="43.42578125" customWidth="1"/>
    <col min="8189" max="8189" width="6.5703125" customWidth="1"/>
    <col min="8190" max="8191" width="11.7109375" customWidth="1"/>
    <col min="8192" max="8192" width="12.7109375" customWidth="1"/>
    <col min="8193" max="8193" width="11.7109375" customWidth="1"/>
    <col min="8194" max="8194" width="12.7109375" customWidth="1"/>
    <col min="8195" max="8196" width="11.7109375" customWidth="1"/>
    <col min="8197" max="8197" width="12.7109375" customWidth="1"/>
    <col min="8198" max="8207" width="11.7109375" customWidth="1"/>
    <col min="8208" max="8208" width="13.7109375" customWidth="1"/>
    <col min="8209" max="8209" width="15.140625" bestFit="1" customWidth="1"/>
    <col min="8210" max="8211" width="15.140625" customWidth="1"/>
    <col min="8212" max="8212" width="17.5703125" customWidth="1"/>
    <col min="8213" max="8213" width="14.5703125" bestFit="1" customWidth="1"/>
    <col min="8214" max="8214" width="10.42578125" bestFit="1" customWidth="1"/>
    <col min="8216" max="8216" width="10.42578125" bestFit="1" customWidth="1"/>
    <col min="8443" max="8443" width="6.5703125" customWidth="1"/>
    <col min="8444" max="8444" width="43.42578125" customWidth="1"/>
    <col min="8445" max="8445" width="6.5703125" customWidth="1"/>
    <col min="8446" max="8447" width="11.7109375" customWidth="1"/>
    <col min="8448" max="8448" width="12.7109375" customWidth="1"/>
    <col min="8449" max="8449" width="11.7109375" customWidth="1"/>
    <col min="8450" max="8450" width="12.7109375" customWidth="1"/>
    <col min="8451" max="8452" width="11.7109375" customWidth="1"/>
    <col min="8453" max="8453" width="12.7109375" customWidth="1"/>
    <col min="8454" max="8463" width="11.7109375" customWidth="1"/>
    <col min="8464" max="8464" width="13.7109375" customWidth="1"/>
    <col min="8465" max="8465" width="15.140625" bestFit="1" customWidth="1"/>
    <col min="8466" max="8467" width="15.140625" customWidth="1"/>
    <col min="8468" max="8468" width="17.5703125" customWidth="1"/>
    <col min="8469" max="8469" width="14.5703125" bestFit="1" customWidth="1"/>
    <col min="8470" max="8470" width="10.42578125" bestFit="1" customWidth="1"/>
    <col min="8472" max="8472" width="10.42578125" bestFit="1" customWidth="1"/>
    <col min="8699" max="8699" width="6.5703125" customWidth="1"/>
    <col min="8700" max="8700" width="43.42578125" customWidth="1"/>
    <col min="8701" max="8701" width="6.5703125" customWidth="1"/>
    <col min="8702" max="8703" width="11.7109375" customWidth="1"/>
    <col min="8704" max="8704" width="12.7109375" customWidth="1"/>
    <col min="8705" max="8705" width="11.7109375" customWidth="1"/>
    <col min="8706" max="8706" width="12.7109375" customWidth="1"/>
    <col min="8707" max="8708" width="11.7109375" customWidth="1"/>
    <col min="8709" max="8709" width="12.7109375" customWidth="1"/>
    <col min="8710" max="8719" width="11.7109375" customWidth="1"/>
    <col min="8720" max="8720" width="13.7109375" customWidth="1"/>
    <col min="8721" max="8721" width="15.140625" bestFit="1" customWidth="1"/>
    <col min="8722" max="8723" width="15.140625" customWidth="1"/>
    <col min="8724" max="8724" width="17.5703125" customWidth="1"/>
    <col min="8725" max="8725" width="14.5703125" bestFit="1" customWidth="1"/>
    <col min="8726" max="8726" width="10.42578125" bestFit="1" customWidth="1"/>
    <col min="8728" max="8728" width="10.42578125" bestFit="1" customWidth="1"/>
    <col min="8955" max="8955" width="6.5703125" customWidth="1"/>
    <col min="8956" max="8956" width="43.42578125" customWidth="1"/>
    <col min="8957" max="8957" width="6.5703125" customWidth="1"/>
    <col min="8958" max="8959" width="11.7109375" customWidth="1"/>
    <col min="8960" max="8960" width="12.7109375" customWidth="1"/>
    <col min="8961" max="8961" width="11.7109375" customWidth="1"/>
    <col min="8962" max="8962" width="12.7109375" customWidth="1"/>
    <col min="8963" max="8964" width="11.7109375" customWidth="1"/>
    <col min="8965" max="8965" width="12.7109375" customWidth="1"/>
    <col min="8966" max="8975" width="11.7109375" customWidth="1"/>
    <col min="8976" max="8976" width="13.7109375" customWidth="1"/>
    <col min="8977" max="8977" width="15.140625" bestFit="1" customWidth="1"/>
    <col min="8978" max="8979" width="15.140625" customWidth="1"/>
    <col min="8980" max="8980" width="17.5703125" customWidth="1"/>
    <col min="8981" max="8981" width="14.5703125" bestFit="1" customWidth="1"/>
    <col min="8982" max="8982" width="10.42578125" bestFit="1" customWidth="1"/>
    <col min="8984" max="8984" width="10.42578125" bestFit="1" customWidth="1"/>
    <col min="9211" max="9211" width="6.5703125" customWidth="1"/>
    <col min="9212" max="9212" width="43.42578125" customWidth="1"/>
    <col min="9213" max="9213" width="6.5703125" customWidth="1"/>
    <col min="9214" max="9215" width="11.7109375" customWidth="1"/>
    <col min="9216" max="9216" width="12.7109375" customWidth="1"/>
    <col min="9217" max="9217" width="11.7109375" customWidth="1"/>
    <col min="9218" max="9218" width="12.7109375" customWidth="1"/>
    <col min="9219" max="9220" width="11.7109375" customWidth="1"/>
    <col min="9221" max="9221" width="12.7109375" customWidth="1"/>
    <col min="9222" max="9231" width="11.7109375" customWidth="1"/>
    <col min="9232" max="9232" width="13.7109375" customWidth="1"/>
    <col min="9233" max="9233" width="15.140625" bestFit="1" customWidth="1"/>
    <col min="9234" max="9235" width="15.140625" customWidth="1"/>
    <col min="9236" max="9236" width="17.5703125" customWidth="1"/>
    <col min="9237" max="9237" width="14.5703125" bestFit="1" customWidth="1"/>
    <col min="9238" max="9238" width="10.42578125" bestFit="1" customWidth="1"/>
    <col min="9240" max="9240" width="10.42578125" bestFit="1" customWidth="1"/>
    <col min="9467" max="9467" width="6.5703125" customWidth="1"/>
    <col min="9468" max="9468" width="43.42578125" customWidth="1"/>
    <col min="9469" max="9469" width="6.5703125" customWidth="1"/>
    <col min="9470" max="9471" width="11.7109375" customWidth="1"/>
    <col min="9472" max="9472" width="12.7109375" customWidth="1"/>
    <col min="9473" max="9473" width="11.7109375" customWidth="1"/>
    <col min="9474" max="9474" width="12.7109375" customWidth="1"/>
    <col min="9475" max="9476" width="11.7109375" customWidth="1"/>
    <col min="9477" max="9477" width="12.7109375" customWidth="1"/>
    <col min="9478" max="9487" width="11.7109375" customWidth="1"/>
    <col min="9488" max="9488" width="13.7109375" customWidth="1"/>
    <col min="9489" max="9489" width="15.140625" bestFit="1" customWidth="1"/>
    <col min="9490" max="9491" width="15.140625" customWidth="1"/>
    <col min="9492" max="9492" width="17.5703125" customWidth="1"/>
    <col min="9493" max="9493" width="14.5703125" bestFit="1" customWidth="1"/>
    <col min="9494" max="9494" width="10.42578125" bestFit="1" customWidth="1"/>
    <col min="9496" max="9496" width="10.42578125" bestFit="1" customWidth="1"/>
    <col min="9723" max="9723" width="6.5703125" customWidth="1"/>
    <col min="9724" max="9724" width="43.42578125" customWidth="1"/>
    <col min="9725" max="9725" width="6.5703125" customWidth="1"/>
    <col min="9726" max="9727" width="11.7109375" customWidth="1"/>
    <col min="9728" max="9728" width="12.7109375" customWidth="1"/>
    <col min="9729" max="9729" width="11.7109375" customWidth="1"/>
    <col min="9730" max="9730" width="12.7109375" customWidth="1"/>
    <col min="9731" max="9732" width="11.7109375" customWidth="1"/>
    <col min="9733" max="9733" width="12.7109375" customWidth="1"/>
    <col min="9734" max="9743" width="11.7109375" customWidth="1"/>
    <col min="9744" max="9744" width="13.7109375" customWidth="1"/>
    <col min="9745" max="9745" width="15.140625" bestFit="1" customWidth="1"/>
    <col min="9746" max="9747" width="15.140625" customWidth="1"/>
    <col min="9748" max="9748" width="17.5703125" customWidth="1"/>
    <col min="9749" max="9749" width="14.5703125" bestFit="1" customWidth="1"/>
    <col min="9750" max="9750" width="10.42578125" bestFit="1" customWidth="1"/>
    <col min="9752" max="9752" width="10.42578125" bestFit="1" customWidth="1"/>
    <col min="9979" max="9979" width="6.5703125" customWidth="1"/>
    <col min="9980" max="9980" width="43.42578125" customWidth="1"/>
    <col min="9981" max="9981" width="6.5703125" customWidth="1"/>
    <col min="9982" max="9983" width="11.7109375" customWidth="1"/>
    <col min="9984" max="9984" width="12.7109375" customWidth="1"/>
    <col min="9985" max="9985" width="11.7109375" customWidth="1"/>
    <col min="9986" max="9986" width="12.7109375" customWidth="1"/>
    <col min="9987" max="9988" width="11.7109375" customWidth="1"/>
    <col min="9989" max="9989" width="12.7109375" customWidth="1"/>
    <col min="9990" max="9999" width="11.7109375" customWidth="1"/>
    <col min="10000" max="10000" width="13.7109375" customWidth="1"/>
    <col min="10001" max="10001" width="15.140625" bestFit="1" customWidth="1"/>
    <col min="10002" max="10003" width="15.140625" customWidth="1"/>
    <col min="10004" max="10004" width="17.5703125" customWidth="1"/>
    <col min="10005" max="10005" width="14.5703125" bestFit="1" customWidth="1"/>
    <col min="10006" max="10006" width="10.42578125" bestFit="1" customWidth="1"/>
    <col min="10008" max="10008" width="10.42578125" bestFit="1" customWidth="1"/>
    <col min="10235" max="10235" width="6.5703125" customWidth="1"/>
    <col min="10236" max="10236" width="43.42578125" customWidth="1"/>
    <col min="10237" max="10237" width="6.5703125" customWidth="1"/>
    <col min="10238" max="10239" width="11.7109375" customWidth="1"/>
    <col min="10240" max="10240" width="12.7109375" customWidth="1"/>
    <col min="10241" max="10241" width="11.7109375" customWidth="1"/>
    <col min="10242" max="10242" width="12.7109375" customWidth="1"/>
    <col min="10243" max="10244" width="11.7109375" customWidth="1"/>
    <col min="10245" max="10245" width="12.7109375" customWidth="1"/>
    <col min="10246" max="10255" width="11.7109375" customWidth="1"/>
    <col min="10256" max="10256" width="13.7109375" customWidth="1"/>
    <col min="10257" max="10257" width="15.140625" bestFit="1" customWidth="1"/>
    <col min="10258" max="10259" width="15.140625" customWidth="1"/>
    <col min="10260" max="10260" width="17.5703125" customWidth="1"/>
    <col min="10261" max="10261" width="14.5703125" bestFit="1" customWidth="1"/>
    <col min="10262" max="10262" width="10.42578125" bestFit="1" customWidth="1"/>
    <col min="10264" max="10264" width="10.42578125" bestFit="1" customWidth="1"/>
    <col min="10491" max="10491" width="6.5703125" customWidth="1"/>
    <col min="10492" max="10492" width="43.42578125" customWidth="1"/>
    <col min="10493" max="10493" width="6.5703125" customWidth="1"/>
    <col min="10494" max="10495" width="11.7109375" customWidth="1"/>
    <col min="10496" max="10496" width="12.7109375" customWidth="1"/>
    <col min="10497" max="10497" width="11.7109375" customWidth="1"/>
    <col min="10498" max="10498" width="12.7109375" customWidth="1"/>
    <col min="10499" max="10500" width="11.7109375" customWidth="1"/>
    <col min="10501" max="10501" width="12.7109375" customWidth="1"/>
    <col min="10502" max="10511" width="11.7109375" customWidth="1"/>
    <col min="10512" max="10512" width="13.7109375" customWidth="1"/>
    <col min="10513" max="10513" width="15.140625" bestFit="1" customWidth="1"/>
    <col min="10514" max="10515" width="15.140625" customWidth="1"/>
    <col min="10516" max="10516" width="17.5703125" customWidth="1"/>
    <col min="10517" max="10517" width="14.5703125" bestFit="1" customWidth="1"/>
    <col min="10518" max="10518" width="10.42578125" bestFit="1" customWidth="1"/>
    <col min="10520" max="10520" width="10.42578125" bestFit="1" customWidth="1"/>
    <col min="10747" max="10747" width="6.5703125" customWidth="1"/>
    <col min="10748" max="10748" width="43.42578125" customWidth="1"/>
    <col min="10749" max="10749" width="6.5703125" customWidth="1"/>
    <col min="10750" max="10751" width="11.7109375" customWidth="1"/>
    <col min="10752" max="10752" width="12.7109375" customWidth="1"/>
    <col min="10753" max="10753" width="11.7109375" customWidth="1"/>
    <col min="10754" max="10754" width="12.7109375" customWidth="1"/>
    <col min="10755" max="10756" width="11.7109375" customWidth="1"/>
    <col min="10757" max="10757" width="12.7109375" customWidth="1"/>
    <col min="10758" max="10767" width="11.7109375" customWidth="1"/>
    <col min="10768" max="10768" width="13.7109375" customWidth="1"/>
    <col min="10769" max="10769" width="15.140625" bestFit="1" customWidth="1"/>
    <col min="10770" max="10771" width="15.140625" customWidth="1"/>
    <col min="10772" max="10772" width="17.5703125" customWidth="1"/>
    <col min="10773" max="10773" width="14.5703125" bestFit="1" customWidth="1"/>
    <col min="10774" max="10774" width="10.42578125" bestFit="1" customWidth="1"/>
    <col min="10776" max="10776" width="10.42578125" bestFit="1" customWidth="1"/>
    <col min="11003" max="11003" width="6.5703125" customWidth="1"/>
    <col min="11004" max="11004" width="43.42578125" customWidth="1"/>
    <col min="11005" max="11005" width="6.5703125" customWidth="1"/>
    <col min="11006" max="11007" width="11.7109375" customWidth="1"/>
    <col min="11008" max="11008" width="12.7109375" customWidth="1"/>
    <col min="11009" max="11009" width="11.7109375" customWidth="1"/>
    <col min="11010" max="11010" width="12.7109375" customWidth="1"/>
    <col min="11011" max="11012" width="11.7109375" customWidth="1"/>
    <col min="11013" max="11013" width="12.7109375" customWidth="1"/>
    <col min="11014" max="11023" width="11.7109375" customWidth="1"/>
    <col min="11024" max="11024" width="13.7109375" customWidth="1"/>
    <col min="11025" max="11025" width="15.140625" bestFit="1" customWidth="1"/>
    <col min="11026" max="11027" width="15.140625" customWidth="1"/>
    <col min="11028" max="11028" width="17.5703125" customWidth="1"/>
    <col min="11029" max="11029" width="14.5703125" bestFit="1" customWidth="1"/>
    <col min="11030" max="11030" width="10.42578125" bestFit="1" customWidth="1"/>
    <col min="11032" max="11032" width="10.42578125" bestFit="1" customWidth="1"/>
    <col min="11259" max="11259" width="6.5703125" customWidth="1"/>
    <col min="11260" max="11260" width="43.42578125" customWidth="1"/>
    <col min="11261" max="11261" width="6.5703125" customWidth="1"/>
    <col min="11262" max="11263" width="11.7109375" customWidth="1"/>
    <col min="11264" max="11264" width="12.7109375" customWidth="1"/>
    <col min="11265" max="11265" width="11.7109375" customWidth="1"/>
    <col min="11266" max="11266" width="12.7109375" customWidth="1"/>
    <col min="11267" max="11268" width="11.7109375" customWidth="1"/>
    <col min="11269" max="11269" width="12.7109375" customWidth="1"/>
    <col min="11270" max="11279" width="11.7109375" customWidth="1"/>
    <col min="11280" max="11280" width="13.7109375" customWidth="1"/>
    <col min="11281" max="11281" width="15.140625" bestFit="1" customWidth="1"/>
    <col min="11282" max="11283" width="15.140625" customWidth="1"/>
    <col min="11284" max="11284" width="17.5703125" customWidth="1"/>
    <col min="11285" max="11285" width="14.5703125" bestFit="1" customWidth="1"/>
    <col min="11286" max="11286" width="10.42578125" bestFit="1" customWidth="1"/>
    <col min="11288" max="11288" width="10.42578125" bestFit="1" customWidth="1"/>
    <col min="11515" max="11515" width="6.5703125" customWidth="1"/>
    <col min="11516" max="11516" width="43.42578125" customWidth="1"/>
    <col min="11517" max="11517" width="6.5703125" customWidth="1"/>
    <col min="11518" max="11519" width="11.7109375" customWidth="1"/>
    <col min="11520" max="11520" width="12.7109375" customWidth="1"/>
    <col min="11521" max="11521" width="11.7109375" customWidth="1"/>
    <col min="11522" max="11522" width="12.7109375" customWidth="1"/>
    <col min="11523" max="11524" width="11.7109375" customWidth="1"/>
    <col min="11525" max="11525" width="12.7109375" customWidth="1"/>
    <col min="11526" max="11535" width="11.7109375" customWidth="1"/>
    <col min="11536" max="11536" width="13.7109375" customWidth="1"/>
    <col min="11537" max="11537" width="15.140625" bestFit="1" customWidth="1"/>
    <col min="11538" max="11539" width="15.140625" customWidth="1"/>
    <col min="11540" max="11540" width="17.5703125" customWidth="1"/>
    <col min="11541" max="11541" width="14.5703125" bestFit="1" customWidth="1"/>
    <col min="11542" max="11542" width="10.42578125" bestFit="1" customWidth="1"/>
    <col min="11544" max="11544" width="10.42578125" bestFit="1" customWidth="1"/>
    <col min="11771" max="11771" width="6.5703125" customWidth="1"/>
    <col min="11772" max="11772" width="43.42578125" customWidth="1"/>
    <col min="11773" max="11773" width="6.5703125" customWidth="1"/>
    <col min="11774" max="11775" width="11.7109375" customWidth="1"/>
    <col min="11776" max="11776" width="12.7109375" customWidth="1"/>
    <col min="11777" max="11777" width="11.7109375" customWidth="1"/>
    <col min="11778" max="11778" width="12.7109375" customWidth="1"/>
    <col min="11779" max="11780" width="11.7109375" customWidth="1"/>
    <col min="11781" max="11781" width="12.7109375" customWidth="1"/>
    <col min="11782" max="11791" width="11.7109375" customWidth="1"/>
    <col min="11792" max="11792" width="13.7109375" customWidth="1"/>
    <col min="11793" max="11793" width="15.140625" bestFit="1" customWidth="1"/>
    <col min="11794" max="11795" width="15.140625" customWidth="1"/>
    <col min="11796" max="11796" width="17.5703125" customWidth="1"/>
    <col min="11797" max="11797" width="14.5703125" bestFit="1" customWidth="1"/>
    <col min="11798" max="11798" width="10.42578125" bestFit="1" customWidth="1"/>
    <col min="11800" max="11800" width="10.42578125" bestFit="1" customWidth="1"/>
    <col min="12027" max="12027" width="6.5703125" customWidth="1"/>
    <col min="12028" max="12028" width="43.42578125" customWidth="1"/>
    <col min="12029" max="12029" width="6.5703125" customWidth="1"/>
    <col min="12030" max="12031" width="11.7109375" customWidth="1"/>
    <col min="12032" max="12032" width="12.7109375" customWidth="1"/>
    <col min="12033" max="12033" width="11.7109375" customWidth="1"/>
    <col min="12034" max="12034" width="12.7109375" customWidth="1"/>
    <col min="12035" max="12036" width="11.7109375" customWidth="1"/>
    <col min="12037" max="12037" width="12.7109375" customWidth="1"/>
    <col min="12038" max="12047" width="11.7109375" customWidth="1"/>
    <col min="12048" max="12048" width="13.7109375" customWidth="1"/>
    <col min="12049" max="12049" width="15.140625" bestFit="1" customWidth="1"/>
    <col min="12050" max="12051" width="15.140625" customWidth="1"/>
    <col min="12052" max="12052" width="17.5703125" customWidth="1"/>
    <col min="12053" max="12053" width="14.5703125" bestFit="1" customWidth="1"/>
    <col min="12054" max="12054" width="10.42578125" bestFit="1" customWidth="1"/>
    <col min="12056" max="12056" width="10.42578125" bestFit="1" customWidth="1"/>
    <col min="12283" max="12283" width="6.5703125" customWidth="1"/>
    <col min="12284" max="12284" width="43.42578125" customWidth="1"/>
    <col min="12285" max="12285" width="6.5703125" customWidth="1"/>
    <col min="12286" max="12287" width="11.7109375" customWidth="1"/>
    <col min="12288" max="12288" width="12.7109375" customWidth="1"/>
    <col min="12289" max="12289" width="11.7109375" customWidth="1"/>
    <col min="12290" max="12290" width="12.7109375" customWidth="1"/>
    <col min="12291" max="12292" width="11.7109375" customWidth="1"/>
    <col min="12293" max="12293" width="12.7109375" customWidth="1"/>
    <col min="12294" max="12303" width="11.7109375" customWidth="1"/>
    <col min="12304" max="12304" width="13.7109375" customWidth="1"/>
    <col min="12305" max="12305" width="15.140625" bestFit="1" customWidth="1"/>
    <col min="12306" max="12307" width="15.140625" customWidth="1"/>
    <col min="12308" max="12308" width="17.5703125" customWidth="1"/>
    <col min="12309" max="12309" width="14.5703125" bestFit="1" customWidth="1"/>
    <col min="12310" max="12310" width="10.42578125" bestFit="1" customWidth="1"/>
    <col min="12312" max="12312" width="10.42578125" bestFit="1" customWidth="1"/>
    <col min="12539" max="12539" width="6.5703125" customWidth="1"/>
    <col min="12540" max="12540" width="43.42578125" customWidth="1"/>
    <col min="12541" max="12541" width="6.5703125" customWidth="1"/>
    <col min="12542" max="12543" width="11.7109375" customWidth="1"/>
    <col min="12544" max="12544" width="12.7109375" customWidth="1"/>
    <col min="12545" max="12545" width="11.7109375" customWidth="1"/>
    <col min="12546" max="12546" width="12.7109375" customWidth="1"/>
    <col min="12547" max="12548" width="11.7109375" customWidth="1"/>
    <col min="12549" max="12549" width="12.7109375" customWidth="1"/>
    <col min="12550" max="12559" width="11.7109375" customWidth="1"/>
    <col min="12560" max="12560" width="13.7109375" customWidth="1"/>
    <col min="12561" max="12561" width="15.140625" bestFit="1" customWidth="1"/>
    <col min="12562" max="12563" width="15.140625" customWidth="1"/>
    <col min="12564" max="12564" width="17.5703125" customWidth="1"/>
    <col min="12565" max="12565" width="14.5703125" bestFit="1" customWidth="1"/>
    <col min="12566" max="12566" width="10.42578125" bestFit="1" customWidth="1"/>
    <col min="12568" max="12568" width="10.42578125" bestFit="1" customWidth="1"/>
    <col min="12795" max="12795" width="6.5703125" customWidth="1"/>
    <col min="12796" max="12796" width="43.42578125" customWidth="1"/>
    <col min="12797" max="12797" width="6.5703125" customWidth="1"/>
    <col min="12798" max="12799" width="11.7109375" customWidth="1"/>
    <col min="12800" max="12800" width="12.7109375" customWidth="1"/>
    <col min="12801" max="12801" width="11.7109375" customWidth="1"/>
    <col min="12802" max="12802" width="12.7109375" customWidth="1"/>
    <col min="12803" max="12804" width="11.7109375" customWidth="1"/>
    <col min="12805" max="12805" width="12.7109375" customWidth="1"/>
    <col min="12806" max="12815" width="11.7109375" customWidth="1"/>
    <col min="12816" max="12816" width="13.7109375" customWidth="1"/>
    <col min="12817" max="12817" width="15.140625" bestFit="1" customWidth="1"/>
    <col min="12818" max="12819" width="15.140625" customWidth="1"/>
    <col min="12820" max="12820" width="17.5703125" customWidth="1"/>
    <col min="12821" max="12821" width="14.5703125" bestFit="1" customWidth="1"/>
    <col min="12822" max="12822" width="10.42578125" bestFit="1" customWidth="1"/>
    <col min="12824" max="12824" width="10.42578125" bestFit="1" customWidth="1"/>
    <col min="13051" max="13051" width="6.5703125" customWidth="1"/>
    <col min="13052" max="13052" width="43.42578125" customWidth="1"/>
    <col min="13053" max="13053" width="6.5703125" customWidth="1"/>
    <col min="13054" max="13055" width="11.7109375" customWidth="1"/>
    <col min="13056" max="13056" width="12.7109375" customWidth="1"/>
    <col min="13057" max="13057" width="11.7109375" customWidth="1"/>
    <col min="13058" max="13058" width="12.7109375" customWidth="1"/>
    <col min="13059" max="13060" width="11.7109375" customWidth="1"/>
    <col min="13061" max="13061" width="12.7109375" customWidth="1"/>
    <col min="13062" max="13071" width="11.7109375" customWidth="1"/>
    <col min="13072" max="13072" width="13.7109375" customWidth="1"/>
    <col min="13073" max="13073" width="15.140625" bestFit="1" customWidth="1"/>
    <col min="13074" max="13075" width="15.140625" customWidth="1"/>
    <col min="13076" max="13076" width="17.5703125" customWidth="1"/>
    <col min="13077" max="13077" width="14.5703125" bestFit="1" customWidth="1"/>
    <col min="13078" max="13078" width="10.42578125" bestFit="1" customWidth="1"/>
    <col min="13080" max="13080" width="10.42578125" bestFit="1" customWidth="1"/>
    <col min="13307" max="13307" width="6.5703125" customWidth="1"/>
    <col min="13308" max="13308" width="43.42578125" customWidth="1"/>
    <col min="13309" max="13309" width="6.5703125" customWidth="1"/>
    <col min="13310" max="13311" width="11.7109375" customWidth="1"/>
    <col min="13312" max="13312" width="12.7109375" customWidth="1"/>
    <col min="13313" max="13313" width="11.7109375" customWidth="1"/>
    <col min="13314" max="13314" width="12.7109375" customWidth="1"/>
    <col min="13315" max="13316" width="11.7109375" customWidth="1"/>
    <col min="13317" max="13317" width="12.7109375" customWidth="1"/>
    <col min="13318" max="13327" width="11.7109375" customWidth="1"/>
    <col min="13328" max="13328" width="13.7109375" customWidth="1"/>
    <col min="13329" max="13329" width="15.140625" bestFit="1" customWidth="1"/>
    <col min="13330" max="13331" width="15.140625" customWidth="1"/>
    <col min="13332" max="13332" width="17.5703125" customWidth="1"/>
    <col min="13333" max="13333" width="14.5703125" bestFit="1" customWidth="1"/>
    <col min="13334" max="13334" width="10.42578125" bestFit="1" customWidth="1"/>
    <col min="13336" max="13336" width="10.42578125" bestFit="1" customWidth="1"/>
    <col min="13563" max="13563" width="6.5703125" customWidth="1"/>
    <col min="13564" max="13564" width="43.42578125" customWidth="1"/>
    <col min="13565" max="13565" width="6.5703125" customWidth="1"/>
    <col min="13566" max="13567" width="11.7109375" customWidth="1"/>
    <col min="13568" max="13568" width="12.7109375" customWidth="1"/>
    <col min="13569" max="13569" width="11.7109375" customWidth="1"/>
    <col min="13570" max="13570" width="12.7109375" customWidth="1"/>
    <col min="13571" max="13572" width="11.7109375" customWidth="1"/>
    <col min="13573" max="13573" width="12.7109375" customWidth="1"/>
    <col min="13574" max="13583" width="11.7109375" customWidth="1"/>
    <col min="13584" max="13584" width="13.7109375" customWidth="1"/>
    <col min="13585" max="13585" width="15.140625" bestFit="1" customWidth="1"/>
    <col min="13586" max="13587" width="15.140625" customWidth="1"/>
    <col min="13588" max="13588" width="17.5703125" customWidth="1"/>
    <col min="13589" max="13589" width="14.5703125" bestFit="1" customWidth="1"/>
    <col min="13590" max="13590" width="10.42578125" bestFit="1" customWidth="1"/>
    <col min="13592" max="13592" width="10.42578125" bestFit="1" customWidth="1"/>
    <col min="13819" max="13819" width="6.5703125" customWidth="1"/>
    <col min="13820" max="13820" width="43.42578125" customWidth="1"/>
    <col min="13821" max="13821" width="6.5703125" customWidth="1"/>
    <col min="13822" max="13823" width="11.7109375" customWidth="1"/>
    <col min="13824" max="13824" width="12.7109375" customWidth="1"/>
    <col min="13825" max="13825" width="11.7109375" customWidth="1"/>
    <col min="13826" max="13826" width="12.7109375" customWidth="1"/>
    <col min="13827" max="13828" width="11.7109375" customWidth="1"/>
    <col min="13829" max="13829" width="12.7109375" customWidth="1"/>
    <col min="13830" max="13839" width="11.7109375" customWidth="1"/>
    <col min="13840" max="13840" width="13.7109375" customWidth="1"/>
    <col min="13841" max="13841" width="15.140625" bestFit="1" customWidth="1"/>
    <col min="13842" max="13843" width="15.140625" customWidth="1"/>
    <col min="13844" max="13844" width="17.5703125" customWidth="1"/>
    <col min="13845" max="13845" width="14.5703125" bestFit="1" customWidth="1"/>
    <col min="13846" max="13846" width="10.42578125" bestFit="1" customWidth="1"/>
    <col min="13848" max="13848" width="10.42578125" bestFit="1" customWidth="1"/>
    <col min="14075" max="14075" width="6.5703125" customWidth="1"/>
    <col min="14076" max="14076" width="43.42578125" customWidth="1"/>
    <col min="14077" max="14077" width="6.5703125" customWidth="1"/>
    <col min="14078" max="14079" width="11.7109375" customWidth="1"/>
    <col min="14080" max="14080" width="12.7109375" customWidth="1"/>
    <col min="14081" max="14081" width="11.7109375" customWidth="1"/>
    <col min="14082" max="14082" width="12.7109375" customWidth="1"/>
    <col min="14083" max="14084" width="11.7109375" customWidth="1"/>
    <col min="14085" max="14085" width="12.7109375" customWidth="1"/>
    <col min="14086" max="14095" width="11.7109375" customWidth="1"/>
    <col min="14096" max="14096" width="13.7109375" customWidth="1"/>
    <col min="14097" max="14097" width="15.140625" bestFit="1" customWidth="1"/>
    <col min="14098" max="14099" width="15.140625" customWidth="1"/>
    <col min="14100" max="14100" width="17.5703125" customWidth="1"/>
    <col min="14101" max="14101" width="14.5703125" bestFit="1" customWidth="1"/>
    <col min="14102" max="14102" width="10.42578125" bestFit="1" customWidth="1"/>
    <col min="14104" max="14104" width="10.42578125" bestFit="1" customWidth="1"/>
    <col min="14331" max="14331" width="6.5703125" customWidth="1"/>
    <col min="14332" max="14332" width="43.42578125" customWidth="1"/>
    <col min="14333" max="14333" width="6.5703125" customWidth="1"/>
    <col min="14334" max="14335" width="11.7109375" customWidth="1"/>
    <col min="14336" max="14336" width="12.7109375" customWidth="1"/>
    <col min="14337" max="14337" width="11.7109375" customWidth="1"/>
    <col min="14338" max="14338" width="12.7109375" customWidth="1"/>
    <col min="14339" max="14340" width="11.7109375" customWidth="1"/>
    <col min="14341" max="14341" width="12.7109375" customWidth="1"/>
    <col min="14342" max="14351" width="11.7109375" customWidth="1"/>
    <col min="14352" max="14352" width="13.7109375" customWidth="1"/>
    <col min="14353" max="14353" width="15.140625" bestFit="1" customWidth="1"/>
    <col min="14354" max="14355" width="15.140625" customWidth="1"/>
    <col min="14356" max="14356" width="17.5703125" customWidth="1"/>
    <col min="14357" max="14357" width="14.5703125" bestFit="1" customWidth="1"/>
    <col min="14358" max="14358" width="10.42578125" bestFit="1" customWidth="1"/>
    <col min="14360" max="14360" width="10.42578125" bestFit="1" customWidth="1"/>
    <col min="14587" max="14587" width="6.5703125" customWidth="1"/>
    <col min="14588" max="14588" width="43.42578125" customWidth="1"/>
    <col min="14589" max="14589" width="6.5703125" customWidth="1"/>
    <col min="14590" max="14591" width="11.7109375" customWidth="1"/>
    <col min="14592" max="14592" width="12.7109375" customWidth="1"/>
    <col min="14593" max="14593" width="11.7109375" customWidth="1"/>
    <col min="14594" max="14594" width="12.7109375" customWidth="1"/>
    <col min="14595" max="14596" width="11.7109375" customWidth="1"/>
    <col min="14597" max="14597" width="12.7109375" customWidth="1"/>
    <col min="14598" max="14607" width="11.7109375" customWidth="1"/>
    <col min="14608" max="14608" width="13.7109375" customWidth="1"/>
    <col min="14609" max="14609" width="15.140625" bestFit="1" customWidth="1"/>
    <col min="14610" max="14611" width="15.140625" customWidth="1"/>
    <col min="14612" max="14612" width="17.5703125" customWidth="1"/>
    <col min="14613" max="14613" width="14.5703125" bestFit="1" customWidth="1"/>
    <col min="14614" max="14614" width="10.42578125" bestFit="1" customWidth="1"/>
    <col min="14616" max="14616" width="10.42578125" bestFit="1" customWidth="1"/>
    <col min="14843" max="14843" width="6.5703125" customWidth="1"/>
    <col min="14844" max="14844" width="43.42578125" customWidth="1"/>
    <col min="14845" max="14845" width="6.5703125" customWidth="1"/>
    <col min="14846" max="14847" width="11.7109375" customWidth="1"/>
    <col min="14848" max="14848" width="12.7109375" customWidth="1"/>
    <col min="14849" max="14849" width="11.7109375" customWidth="1"/>
    <col min="14850" max="14850" width="12.7109375" customWidth="1"/>
    <col min="14851" max="14852" width="11.7109375" customWidth="1"/>
    <col min="14853" max="14853" width="12.7109375" customWidth="1"/>
    <col min="14854" max="14863" width="11.7109375" customWidth="1"/>
    <col min="14864" max="14864" width="13.7109375" customWidth="1"/>
    <col min="14865" max="14865" width="15.140625" bestFit="1" customWidth="1"/>
    <col min="14866" max="14867" width="15.140625" customWidth="1"/>
    <col min="14868" max="14868" width="17.5703125" customWidth="1"/>
    <col min="14869" max="14869" width="14.5703125" bestFit="1" customWidth="1"/>
    <col min="14870" max="14870" width="10.42578125" bestFit="1" customWidth="1"/>
    <col min="14872" max="14872" width="10.42578125" bestFit="1" customWidth="1"/>
    <col min="15099" max="15099" width="6.5703125" customWidth="1"/>
    <col min="15100" max="15100" width="43.42578125" customWidth="1"/>
    <col min="15101" max="15101" width="6.5703125" customWidth="1"/>
    <col min="15102" max="15103" width="11.7109375" customWidth="1"/>
    <col min="15104" max="15104" width="12.7109375" customWidth="1"/>
    <col min="15105" max="15105" width="11.7109375" customWidth="1"/>
    <col min="15106" max="15106" width="12.7109375" customWidth="1"/>
    <col min="15107" max="15108" width="11.7109375" customWidth="1"/>
    <col min="15109" max="15109" width="12.7109375" customWidth="1"/>
    <col min="15110" max="15119" width="11.7109375" customWidth="1"/>
    <col min="15120" max="15120" width="13.7109375" customWidth="1"/>
    <col min="15121" max="15121" width="15.140625" bestFit="1" customWidth="1"/>
    <col min="15122" max="15123" width="15.140625" customWidth="1"/>
    <col min="15124" max="15124" width="17.5703125" customWidth="1"/>
    <col min="15125" max="15125" width="14.5703125" bestFit="1" customWidth="1"/>
    <col min="15126" max="15126" width="10.42578125" bestFit="1" customWidth="1"/>
    <col min="15128" max="15128" width="10.42578125" bestFit="1" customWidth="1"/>
    <col min="15355" max="15355" width="6.5703125" customWidth="1"/>
    <col min="15356" max="15356" width="43.42578125" customWidth="1"/>
    <col min="15357" max="15357" width="6.5703125" customWidth="1"/>
    <col min="15358" max="15359" width="11.7109375" customWidth="1"/>
    <col min="15360" max="15360" width="12.7109375" customWidth="1"/>
    <col min="15361" max="15361" width="11.7109375" customWidth="1"/>
    <col min="15362" max="15362" width="12.7109375" customWidth="1"/>
    <col min="15363" max="15364" width="11.7109375" customWidth="1"/>
    <col min="15365" max="15365" width="12.7109375" customWidth="1"/>
    <col min="15366" max="15375" width="11.7109375" customWidth="1"/>
    <col min="15376" max="15376" width="13.7109375" customWidth="1"/>
    <col min="15377" max="15377" width="15.140625" bestFit="1" customWidth="1"/>
    <col min="15378" max="15379" width="15.140625" customWidth="1"/>
    <col min="15380" max="15380" width="17.5703125" customWidth="1"/>
    <col min="15381" max="15381" width="14.5703125" bestFit="1" customWidth="1"/>
    <col min="15382" max="15382" width="10.42578125" bestFit="1" customWidth="1"/>
    <col min="15384" max="15384" width="10.42578125" bestFit="1" customWidth="1"/>
    <col min="15611" max="15611" width="6.5703125" customWidth="1"/>
    <col min="15612" max="15612" width="43.42578125" customWidth="1"/>
    <col min="15613" max="15613" width="6.5703125" customWidth="1"/>
    <col min="15614" max="15615" width="11.7109375" customWidth="1"/>
    <col min="15616" max="15616" width="12.7109375" customWidth="1"/>
    <col min="15617" max="15617" width="11.7109375" customWidth="1"/>
    <col min="15618" max="15618" width="12.7109375" customWidth="1"/>
    <col min="15619" max="15620" width="11.7109375" customWidth="1"/>
    <col min="15621" max="15621" width="12.7109375" customWidth="1"/>
    <col min="15622" max="15631" width="11.7109375" customWidth="1"/>
    <col min="15632" max="15632" width="13.7109375" customWidth="1"/>
    <col min="15633" max="15633" width="15.140625" bestFit="1" customWidth="1"/>
    <col min="15634" max="15635" width="15.140625" customWidth="1"/>
    <col min="15636" max="15636" width="17.5703125" customWidth="1"/>
    <col min="15637" max="15637" width="14.5703125" bestFit="1" customWidth="1"/>
    <col min="15638" max="15638" width="10.42578125" bestFit="1" customWidth="1"/>
    <col min="15640" max="15640" width="10.42578125" bestFit="1" customWidth="1"/>
    <col min="15867" max="15867" width="6.5703125" customWidth="1"/>
    <col min="15868" max="15868" width="43.42578125" customWidth="1"/>
    <col min="15869" max="15869" width="6.5703125" customWidth="1"/>
    <col min="15870" max="15871" width="11.7109375" customWidth="1"/>
    <col min="15872" max="15872" width="12.7109375" customWidth="1"/>
    <col min="15873" max="15873" width="11.7109375" customWidth="1"/>
    <col min="15874" max="15874" width="12.7109375" customWidth="1"/>
    <col min="15875" max="15876" width="11.7109375" customWidth="1"/>
    <col min="15877" max="15877" width="12.7109375" customWidth="1"/>
    <col min="15878" max="15887" width="11.7109375" customWidth="1"/>
    <col min="15888" max="15888" width="13.7109375" customWidth="1"/>
    <col min="15889" max="15889" width="15.140625" bestFit="1" customWidth="1"/>
    <col min="15890" max="15891" width="15.140625" customWidth="1"/>
    <col min="15892" max="15892" width="17.5703125" customWidth="1"/>
    <col min="15893" max="15893" width="14.5703125" bestFit="1" customWidth="1"/>
    <col min="15894" max="15894" width="10.42578125" bestFit="1" customWidth="1"/>
    <col min="15896" max="15896" width="10.42578125" bestFit="1" customWidth="1"/>
    <col min="16123" max="16123" width="6.5703125" customWidth="1"/>
    <col min="16124" max="16124" width="43.42578125" customWidth="1"/>
    <col min="16125" max="16125" width="6.5703125" customWidth="1"/>
    <col min="16126" max="16127" width="11.7109375" customWidth="1"/>
    <col min="16128" max="16128" width="12.7109375" customWidth="1"/>
    <col min="16129" max="16129" width="11.7109375" customWidth="1"/>
    <col min="16130" max="16130" width="12.7109375" customWidth="1"/>
    <col min="16131" max="16132" width="11.7109375" customWidth="1"/>
    <col min="16133" max="16133" width="12.7109375" customWidth="1"/>
    <col min="16134" max="16143" width="11.7109375" customWidth="1"/>
    <col min="16144" max="16144" width="13.7109375" customWidth="1"/>
    <col min="16145" max="16145" width="15.140625" bestFit="1" customWidth="1"/>
    <col min="16146" max="16147" width="15.140625" customWidth="1"/>
    <col min="16148" max="16148" width="17.5703125" customWidth="1"/>
    <col min="16149" max="16149" width="14.5703125" bestFit="1" customWidth="1"/>
    <col min="16150" max="16150" width="10.42578125" bestFit="1" customWidth="1"/>
    <col min="16152" max="16152" width="10.42578125" bestFit="1" customWidth="1"/>
  </cols>
  <sheetData>
    <row r="1" spans="1:22" x14ac:dyDescent="0.2">
      <c r="A1" s="53" t="s">
        <v>265</v>
      </c>
    </row>
    <row r="2" spans="1:22" x14ac:dyDescent="0.2">
      <c r="A2" s="53" t="s">
        <v>114</v>
      </c>
    </row>
    <row r="3" spans="1:22" ht="5.0999999999999996" customHeight="1" x14ac:dyDescent="0.2"/>
    <row r="4" spans="1:22" s="103" customFormat="1" ht="16.5" customHeight="1" x14ac:dyDescent="0.2">
      <c r="A4" s="750" t="s">
        <v>572</v>
      </c>
      <c r="B4" s="750"/>
      <c r="C4" s="750"/>
      <c r="D4" s="750"/>
      <c r="E4" s="750"/>
      <c r="F4" s="750"/>
      <c r="G4" s="750"/>
      <c r="H4" s="750"/>
      <c r="I4" s="750"/>
      <c r="J4" s="750"/>
      <c r="K4" s="750"/>
      <c r="L4" s="750"/>
      <c r="M4" s="750"/>
      <c r="N4" s="750"/>
      <c r="O4" s="750"/>
      <c r="P4" s="750"/>
    </row>
    <row r="5" spans="1:22" s="103" customFormat="1" ht="15.75" customHeight="1" x14ac:dyDescent="0.2">
      <c r="A5" s="750" t="s">
        <v>294</v>
      </c>
      <c r="B5" s="750"/>
      <c r="C5" s="750"/>
      <c r="D5" s="750"/>
      <c r="E5" s="750"/>
      <c r="F5" s="750"/>
      <c r="G5" s="750"/>
      <c r="H5" s="750"/>
      <c r="I5" s="750"/>
      <c r="J5" s="750"/>
      <c r="K5" s="750"/>
      <c r="L5" s="750"/>
      <c r="M5" s="750"/>
      <c r="N5" s="750"/>
      <c r="O5" s="750"/>
      <c r="P5" s="750"/>
      <c r="Q5" s="634">
        <f>BDI!B16+1</f>
        <v>1.2899</v>
      </c>
    </row>
    <row r="6" spans="1:22" s="202" customFormat="1" ht="4.5" customHeight="1" thickBot="1" x14ac:dyDescent="0.3">
      <c r="M6" s="571"/>
      <c r="N6" s="571"/>
      <c r="O6" s="572"/>
      <c r="P6" s="571"/>
      <c r="Q6" s="751" t="s">
        <v>266</v>
      </c>
      <c r="R6" s="205"/>
      <c r="S6" s="205"/>
      <c r="T6" s="206"/>
    </row>
    <row r="7" spans="1:22" s="202" customFormat="1" ht="12.75" customHeight="1" x14ac:dyDescent="0.2">
      <c r="A7" s="832" t="s">
        <v>53</v>
      </c>
      <c r="B7" s="834" t="s">
        <v>267</v>
      </c>
      <c r="C7" s="834" t="s">
        <v>268</v>
      </c>
      <c r="D7" s="829" t="s">
        <v>293</v>
      </c>
      <c r="E7" s="829" t="s">
        <v>296</v>
      </c>
      <c r="F7" s="829" t="s">
        <v>297</v>
      </c>
      <c r="G7" s="829" t="s">
        <v>298</v>
      </c>
      <c r="H7" s="829" t="s">
        <v>299</v>
      </c>
      <c r="I7" s="829" t="s">
        <v>269</v>
      </c>
      <c r="J7" s="829" t="s">
        <v>270</v>
      </c>
      <c r="K7" s="829" t="s">
        <v>271</v>
      </c>
      <c r="L7" s="829" t="s">
        <v>328</v>
      </c>
      <c r="M7" s="830" t="s">
        <v>273</v>
      </c>
      <c r="N7" s="830"/>
      <c r="O7" s="830"/>
      <c r="P7" s="831"/>
      <c r="Q7" s="751"/>
      <c r="R7" s="205"/>
      <c r="S7" s="205"/>
    </row>
    <row r="8" spans="1:22" s="202" customFormat="1" ht="54" customHeight="1" thickBot="1" x14ac:dyDescent="0.3">
      <c r="A8" s="833"/>
      <c r="B8" s="753"/>
      <c r="C8" s="753"/>
      <c r="D8" s="754"/>
      <c r="E8" s="747"/>
      <c r="F8" s="747"/>
      <c r="G8" s="747"/>
      <c r="H8" s="747"/>
      <c r="I8" s="747"/>
      <c r="J8" s="747"/>
      <c r="K8" s="747"/>
      <c r="L8" s="747"/>
      <c r="M8" s="546" t="s">
        <v>436</v>
      </c>
      <c r="N8" s="546" t="s">
        <v>666</v>
      </c>
      <c r="O8" s="546" t="s">
        <v>322</v>
      </c>
      <c r="P8" s="566" t="s">
        <v>437</v>
      </c>
      <c r="Q8" s="751"/>
      <c r="R8" s="205"/>
      <c r="S8" s="205"/>
      <c r="T8" s="207" t="s">
        <v>276</v>
      </c>
      <c r="U8" s="208">
        <v>0.2097</v>
      </c>
    </row>
    <row r="9" spans="1:22" s="202" customFormat="1" ht="18" customHeight="1" thickBot="1" x14ac:dyDescent="0.3">
      <c r="A9" s="825" t="s">
        <v>261</v>
      </c>
      <c r="B9" s="822"/>
      <c r="C9" s="822"/>
      <c r="D9" s="822"/>
      <c r="E9" s="822"/>
      <c r="F9" s="822"/>
      <c r="G9" s="822"/>
      <c r="H9" s="822"/>
      <c r="I9" s="822"/>
      <c r="J9" s="822"/>
      <c r="K9" s="822"/>
      <c r="L9" s="822"/>
      <c r="M9" s="822"/>
      <c r="N9" s="822"/>
      <c r="O9" s="822"/>
      <c r="P9" s="826"/>
      <c r="Q9" s="205"/>
      <c r="R9" s="205"/>
      <c r="S9" s="205"/>
      <c r="T9" s="207"/>
      <c r="U9" s="208"/>
    </row>
    <row r="10" spans="1:22" s="216" customFormat="1" ht="12.75" customHeight="1" x14ac:dyDescent="0.2">
      <c r="A10" s="588" t="s">
        <v>14</v>
      </c>
      <c r="B10" s="240" t="s">
        <v>610</v>
      </c>
      <c r="C10" s="219"/>
      <c r="D10" s="220"/>
      <c r="E10" s="220"/>
      <c r="F10" s="233">
        <f>SUM(F11:F11)</f>
        <v>0</v>
      </c>
      <c r="G10" s="241"/>
      <c r="H10" s="242">
        <f>SUM(H11:H11)</f>
        <v>0</v>
      </c>
      <c r="I10" s="241"/>
      <c r="J10" s="241"/>
      <c r="K10" s="241"/>
      <c r="L10" s="241"/>
      <c r="M10" s="221"/>
      <c r="N10" s="221"/>
      <c r="O10" s="222"/>
      <c r="P10" s="589">
        <f>SUM(P11:P11)</f>
        <v>4320.3900000000003</v>
      </c>
      <c r="Q10" s="215"/>
      <c r="T10" s="217"/>
    </row>
    <row r="11" spans="1:22" s="226" customFormat="1" ht="38.25" x14ac:dyDescent="0.2">
      <c r="A11" s="585" t="s">
        <v>15</v>
      </c>
      <c r="B11" s="261" t="s">
        <v>127</v>
      </c>
      <c r="C11" s="234" t="s">
        <v>128</v>
      </c>
      <c r="D11" s="220">
        <f>'Planilha CT Original'!F19</f>
        <v>0</v>
      </c>
      <c r="E11" s="220">
        <f>'Planilha CT Original'!H19</f>
        <v>0</v>
      </c>
      <c r="F11" s="220">
        <f>D11*E11</f>
        <v>0</v>
      </c>
      <c r="G11" s="220">
        <v>0</v>
      </c>
      <c r="H11" s="220">
        <f>E11*G11</f>
        <v>0</v>
      </c>
      <c r="I11" s="220">
        <f>D11-G11</f>
        <v>0</v>
      </c>
      <c r="J11" s="220" t="e">
        <f>#REF!</f>
        <v>#REF!</v>
      </c>
      <c r="K11" s="220">
        <v>0</v>
      </c>
      <c r="L11" s="220">
        <v>4.79</v>
      </c>
      <c r="M11" s="221">
        <v>699.25</v>
      </c>
      <c r="N11" s="221">
        <f>M11*$Q$5</f>
        <v>901.96</v>
      </c>
      <c r="O11" s="316" t="s">
        <v>646</v>
      </c>
      <c r="P11" s="584">
        <f>L11*N11</f>
        <v>4320.3900000000003</v>
      </c>
      <c r="Q11" s="223"/>
      <c r="R11" s="224"/>
      <c r="S11" s="225"/>
      <c r="V11" s="227"/>
    </row>
    <row r="12" spans="1:22" s="202" customFormat="1" ht="5.0999999999999996" customHeight="1" x14ac:dyDescent="0.2">
      <c r="A12" s="586"/>
      <c r="B12" s="239"/>
      <c r="C12" s="219"/>
      <c r="D12" s="220"/>
      <c r="E12" s="220"/>
      <c r="F12" s="220"/>
      <c r="G12" s="220"/>
      <c r="H12" s="220"/>
      <c r="I12" s="220"/>
      <c r="J12" s="220"/>
      <c r="K12" s="220"/>
      <c r="L12" s="220"/>
      <c r="M12" s="220"/>
      <c r="N12" s="220"/>
      <c r="O12" s="236"/>
      <c r="P12" s="587"/>
      <c r="Q12" s="229"/>
      <c r="S12" s="230"/>
    </row>
    <row r="13" spans="1:22" s="216" customFormat="1" ht="12.75" customHeight="1" x14ac:dyDescent="0.2">
      <c r="A13" s="588" t="s">
        <v>157</v>
      </c>
      <c r="B13" s="240" t="s">
        <v>291</v>
      </c>
      <c r="C13" s="219"/>
      <c r="D13" s="220"/>
      <c r="E13" s="220"/>
      <c r="F13" s="233">
        <f>SUM(F14:F16)</f>
        <v>0</v>
      </c>
      <c r="G13" s="241"/>
      <c r="H13" s="242">
        <f>SUM(H14:H16)</f>
        <v>0</v>
      </c>
      <c r="I13" s="241"/>
      <c r="J13" s="241"/>
      <c r="K13" s="241"/>
      <c r="L13" s="241"/>
      <c r="M13" s="221"/>
      <c r="N13" s="221"/>
      <c r="O13" s="222"/>
      <c r="P13" s="589" t="e">
        <f>SUM(P14:P17)</f>
        <v>#REF!</v>
      </c>
      <c r="Q13" s="215"/>
      <c r="T13" s="217"/>
    </row>
    <row r="14" spans="1:22" s="226" customFormat="1" ht="38.25" x14ac:dyDescent="0.2">
      <c r="A14" s="585" t="s">
        <v>158</v>
      </c>
      <c r="B14" s="261" t="s">
        <v>642</v>
      </c>
      <c r="C14" s="234" t="s">
        <v>128</v>
      </c>
      <c r="D14" s="220">
        <f>'Planilha CT Original'!F24</f>
        <v>0</v>
      </c>
      <c r="E14" s="220">
        <f>'Planilha CT Original'!H24</f>
        <v>302.23</v>
      </c>
      <c r="F14" s="220">
        <f>D14*E14</f>
        <v>0</v>
      </c>
      <c r="G14" s="220">
        <v>0</v>
      </c>
      <c r="H14" s="220">
        <f>E14*G14</f>
        <v>0</v>
      </c>
      <c r="I14" s="220">
        <f>D14-G14</f>
        <v>0</v>
      </c>
      <c r="J14" s="220" t="e">
        <f>#REF!</f>
        <v>#REF!</v>
      </c>
      <c r="K14" s="220">
        <v>0</v>
      </c>
      <c r="L14" s="220">
        <v>1.44</v>
      </c>
      <c r="M14" s="221">
        <v>407.9</v>
      </c>
      <c r="N14" s="221">
        <f>M14*$Q$5</f>
        <v>526.15</v>
      </c>
      <c r="O14" s="316" t="s">
        <v>647</v>
      </c>
      <c r="P14" s="584">
        <f>L14*N14</f>
        <v>757.66</v>
      </c>
      <c r="Q14" s="223"/>
      <c r="R14" s="224"/>
      <c r="S14" s="225"/>
      <c r="V14" s="227"/>
    </row>
    <row r="15" spans="1:22" s="226" customFormat="1" ht="38.25" customHeight="1" x14ac:dyDescent="0.2">
      <c r="A15" s="585" t="s">
        <v>170</v>
      </c>
      <c r="B15" s="261" t="s">
        <v>608</v>
      </c>
      <c r="C15" s="219" t="s">
        <v>128</v>
      </c>
      <c r="D15" s="220">
        <f>'Planilha CT Original'!F25</f>
        <v>0</v>
      </c>
      <c r="E15" s="220">
        <f>'Planilha CT Original'!H25</f>
        <v>102.63</v>
      </c>
      <c r="F15" s="220">
        <f>D15*E15</f>
        <v>0</v>
      </c>
      <c r="G15" s="220">
        <v>0</v>
      </c>
      <c r="H15" s="220">
        <f>E15*G15</f>
        <v>0</v>
      </c>
      <c r="I15" s="220">
        <f>D15-G15</f>
        <v>0</v>
      </c>
      <c r="J15" s="220" t="e">
        <f>#REF!</f>
        <v>#REF!</v>
      </c>
      <c r="K15" s="220">
        <v>0</v>
      </c>
      <c r="L15" s="220">
        <v>1.44</v>
      </c>
      <c r="M15" s="221">
        <v>223.27</v>
      </c>
      <c r="N15" s="221">
        <f>M15*$Q$5</f>
        <v>288</v>
      </c>
      <c r="O15" s="316" t="s">
        <v>648</v>
      </c>
      <c r="P15" s="584">
        <f>L15*N15</f>
        <v>414.72</v>
      </c>
      <c r="Q15" s="223"/>
      <c r="R15" s="224"/>
      <c r="S15" s="225"/>
      <c r="V15" s="227"/>
    </row>
    <row r="16" spans="1:22" s="226" customFormat="1" ht="54" customHeight="1" x14ac:dyDescent="0.2">
      <c r="A16" s="585" t="s">
        <v>203</v>
      </c>
      <c r="B16" s="261" t="s">
        <v>640</v>
      </c>
      <c r="C16" s="234" t="s">
        <v>13</v>
      </c>
      <c r="D16" s="220">
        <f>'Planilha CT Original'!F26</f>
        <v>0</v>
      </c>
      <c r="E16" s="220">
        <f>'Planilha CT Original'!H26</f>
        <v>33.840000000000003</v>
      </c>
      <c r="F16" s="220">
        <f>D16*E16</f>
        <v>0</v>
      </c>
      <c r="G16" s="220">
        <v>0</v>
      </c>
      <c r="H16" s="220">
        <f>E16*G16</f>
        <v>0</v>
      </c>
      <c r="I16" s="220">
        <f>D16-G16</f>
        <v>0</v>
      </c>
      <c r="J16" s="220" t="e">
        <f>#REF!</f>
        <v>#REF!</v>
      </c>
      <c r="K16" s="220">
        <v>0</v>
      </c>
      <c r="L16" s="220">
        <v>1.99</v>
      </c>
      <c r="M16" s="221" t="e">
        <f>'Composição Custos Unit'!#REF!</f>
        <v>#REF!</v>
      </c>
      <c r="N16" s="221" t="e">
        <f>M16*$Q$5</f>
        <v>#REF!</v>
      </c>
      <c r="O16" s="316" t="s">
        <v>657</v>
      </c>
      <c r="P16" s="584" t="e">
        <f>L16*N16</f>
        <v>#REF!</v>
      </c>
      <c r="Q16" s="223"/>
      <c r="R16" s="224"/>
      <c r="S16" s="225"/>
      <c r="V16" s="227"/>
    </row>
    <row r="17" spans="1:22" s="226" customFormat="1" ht="38.25" customHeight="1" x14ac:dyDescent="0.2">
      <c r="A17" s="585" t="s">
        <v>181</v>
      </c>
      <c r="B17" s="261" t="s">
        <v>609</v>
      </c>
      <c r="C17" s="234" t="s">
        <v>13</v>
      </c>
      <c r="D17" s="220">
        <v>0</v>
      </c>
      <c r="E17" s="220">
        <v>0</v>
      </c>
      <c r="F17" s="220">
        <v>0</v>
      </c>
      <c r="G17" s="220">
        <v>0</v>
      </c>
      <c r="H17" s="220">
        <v>0</v>
      </c>
      <c r="I17" s="220">
        <v>0</v>
      </c>
      <c r="J17" s="220" t="e">
        <f>#REF!</f>
        <v>#REF!</v>
      </c>
      <c r="K17" s="220">
        <v>0</v>
      </c>
      <c r="L17" s="220">
        <v>26.03</v>
      </c>
      <c r="M17" s="221">
        <v>14.87</v>
      </c>
      <c r="N17" s="221">
        <f>M17*$Q$5</f>
        <v>19.18</v>
      </c>
      <c r="O17" s="316" t="s">
        <v>649</v>
      </c>
      <c r="P17" s="584">
        <f>L17*N17</f>
        <v>499.26</v>
      </c>
      <c r="Q17" s="223"/>
      <c r="R17" s="224"/>
      <c r="S17" s="225"/>
    </row>
    <row r="18" spans="1:22" s="202" customFormat="1" ht="5.0999999999999996" customHeight="1" thickBot="1" x14ac:dyDescent="0.25">
      <c r="A18" s="650"/>
      <c r="B18" s="333"/>
      <c r="C18" s="334"/>
      <c r="D18" s="335"/>
      <c r="E18" s="335"/>
      <c r="F18" s="335"/>
      <c r="G18" s="335"/>
      <c r="H18" s="335"/>
      <c r="I18" s="335"/>
      <c r="J18" s="335"/>
      <c r="K18" s="335"/>
      <c r="L18" s="335"/>
      <c r="M18" s="335"/>
      <c r="N18" s="335"/>
      <c r="O18" s="336"/>
      <c r="P18" s="651"/>
      <c r="Q18" s="229"/>
      <c r="S18" s="230"/>
    </row>
    <row r="19" spans="1:22" s="254" customFormat="1" ht="20.25" customHeight="1" thickBot="1" x14ac:dyDescent="0.25">
      <c r="A19" s="743" t="s">
        <v>295</v>
      </c>
      <c r="B19" s="744"/>
      <c r="C19" s="744"/>
      <c r="D19" s="744"/>
      <c r="E19" s="744"/>
      <c r="F19" s="744"/>
      <c r="G19" s="744"/>
      <c r="H19" s="744"/>
      <c r="I19" s="744"/>
      <c r="J19" s="744"/>
      <c r="K19" s="744"/>
      <c r="L19" s="744"/>
      <c r="M19" s="744"/>
      <c r="N19" s="744"/>
      <c r="O19" s="745"/>
      <c r="P19" s="560" t="e">
        <f>P10+P13</f>
        <v>#REF!</v>
      </c>
      <c r="Q19" s="253"/>
      <c r="R19" s="270">
        <f>F19-H19</f>
        <v>0</v>
      </c>
      <c r="T19" s="255"/>
    </row>
    <row r="20" spans="1:22" s="202" customFormat="1" ht="5.0999999999999996" customHeight="1" thickBot="1" x14ac:dyDescent="0.25">
      <c r="A20" s="586"/>
      <c r="B20" s="228"/>
      <c r="C20" s="219"/>
      <c r="D20" s="220"/>
      <c r="E20" s="220"/>
      <c r="F20" s="220"/>
      <c r="G20" s="220"/>
      <c r="H20" s="220"/>
      <c r="I20" s="220"/>
      <c r="J20" s="220"/>
      <c r="K20" s="220"/>
      <c r="L20" s="220"/>
      <c r="M20" s="220"/>
      <c r="N20" s="220"/>
      <c r="O20" s="236"/>
      <c r="P20" s="587"/>
      <c r="Q20" s="229"/>
      <c r="S20" s="230"/>
    </row>
    <row r="21" spans="1:22" s="202" customFormat="1" ht="18" customHeight="1" thickBot="1" x14ac:dyDescent="0.3">
      <c r="A21" s="825" t="str">
        <f>'Maria Livramento - T1'!A6</f>
        <v>Rua Maria Livramento P. Lima (Trecho 01)</v>
      </c>
      <c r="B21" s="822"/>
      <c r="C21" s="822"/>
      <c r="D21" s="822"/>
      <c r="E21" s="822"/>
      <c r="F21" s="822"/>
      <c r="G21" s="822"/>
      <c r="H21" s="822"/>
      <c r="I21" s="822"/>
      <c r="J21" s="822"/>
      <c r="K21" s="822"/>
      <c r="L21" s="822"/>
      <c r="M21" s="822"/>
      <c r="N21" s="822"/>
      <c r="O21" s="822"/>
      <c r="P21" s="826"/>
      <c r="Q21" s="205"/>
      <c r="R21" s="205"/>
      <c r="S21" s="205"/>
      <c r="T21" s="207"/>
      <c r="U21" s="208"/>
    </row>
    <row r="22" spans="1:22" s="216" customFormat="1" ht="12.75" customHeight="1" x14ac:dyDescent="0.2">
      <c r="A22" s="652" t="s">
        <v>4</v>
      </c>
      <c r="B22" s="209" t="s">
        <v>277</v>
      </c>
      <c r="C22" s="210"/>
      <c r="D22" s="211"/>
      <c r="E22" s="211"/>
      <c r="F22" s="213" t="e">
        <f>SUM(#REF!)</f>
        <v>#REF!</v>
      </c>
      <c r="G22" s="211"/>
      <c r="H22" s="213" t="e">
        <f>SUM(#REF!)</f>
        <v>#REF!</v>
      </c>
      <c r="I22" s="211"/>
      <c r="J22" s="211"/>
      <c r="K22" s="211"/>
      <c r="L22" s="213"/>
      <c r="M22" s="212"/>
      <c r="N22" s="212"/>
      <c r="O22" s="214"/>
      <c r="P22" s="582">
        <f>SUM(P23:P23)</f>
        <v>77.42</v>
      </c>
      <c r="Q22" s="215"/>
      <c r="T22" s="217"/>
    </row>
    <row r="23" spans="1:22" s="226" customFormat="1" ht="25.5" x14ac:dyDescent="0.2">
      <c r="A23" s="585" t="s">
        <v>86</v>
      </c>
      <c r="B23" s="218" t="s">
        <v>303</v>
      </c>
      <c r="C23" s="234" t="s">
        <v>11</v>
      </c>
      <c r="D23" s="220">
        <v>0</v>
      </c>
      <c r="E23" s="220">
        <f>'Planilha CT Original'!H66</f>
        <v>33.840000000000003</v>
      </c>
      <c r="F23" s="220">
        <f>D23*E23</f>
        <v>0</v>
      </c>
      <c r="G23" s="220">
        <v>0</v>
      </c>
      <c r="H23" s="220">
        <v>0</v>
      </c>
      <c r="I23" s="220">
        <f>D23-G23</f>
        <v>0</v>
      </c>
      <c r="J23" s="220">
        <f>'Maria Livramento - T1'!D76</f>
        <v>131.22</v>
      </c>
      <c r="K23" s="220">
        <v>0</v>
      </c>
      <c r="L23" s="220">
        <f>I23+J23-K23</f>
        <v>131.22</v>
      </c>
      <c r="M23" s="221">
        <v>0.46</v>
      </c>
      <c r="N23" s="221">
        <f>M23*$Q$5</f>
        <v>0.59</v>
      </c>
      <c r="O23" s="246" t="s">
        <v>652</v>
      </c>
      <c r="P23" s="584">
        <f>L23*N23</f>
        <v>77.42</v>
      </c>
      <c r="Q23" s="310" t="e">
        <f>J23*ORÇAMENTO!H20</f>
        <v>#REF!</v>
      </c>
      <c r="R23" s="224"/>
      <c r="S23" s="225"/>
      <c r="V23" s="227"/>
    </row>
    <row r="24" spans="1:22" s="202" customFormat="1" ht="5.0999999999999996" customHeight="1" x14ac:dyDescent="0.2">
      <c r="A24" s="586"/>
      <c r="B24" s="228"/>
      <c r="C24" s="219"/>
      <c r="D24" s="220"/>
      <c r="E24" s="220"/>
      <c r="F24" s="220"/>
      <c r="G24" s="220"/>
      <c r="H24" s="220"/>
      <c r="I24" s="220"/>
      <c r="J24" s="220"/>
      <c r="K24" s="220"/>
      <c r="L24" s="220"/>
      <c r="M24" s="221"/>
      <c r="N24" s="221"/>
      <c r="O24" s="316"/>
      <c r="P24" s="587"/>
      <c r="Q24" s="229"/>
      <c r="S24" s="230"/>
    </row>
    <row r="25" spans="1:22" s="216" customFormat="1" ht="12.75" customHeight="1" x14ac:dyDescent="0.2">
      <c r="A25" s="652" t="s">
        <v>6</v>
      </c>
      <c r="B25" s="209" t="s">
        <v>278</v>
      </c>
      <c r="C25" s="210"/>
      <c r="D25" s="220"/>
      <c r="E25" s="232"/>
      <c r="F25" s="233" t="e">
        <f>SUM(F26:F26)</f>
        <v>#REF!</v>
      </c>
      <c r="G25" s="211"/>
      <c r="H25" s="233" t="e">
        <f>SUM(H26:H26)</f>
        <v>#REF!</v>
      </c>
      <c r="I25" s="211"/>
      <c r="J25" s="211"/>
      <c r="K25" s="211"/>
      <c r="L25" s="211"/>
      <c r="M25" s="221"/>
      <c r="N25" s="221"/>
      <c r="O25" s="316"/>
      <c r="P25" s="582">
        <f>SUM(P26)</f>
        <v>2362.25</v>
      </c>
      <c r="Q25" s="215"/>
      <c r="T25" s="217">
        <v>1.2097</v>
      </c>
    </row>
    <row r="26" spans="1:22" s="226" customFormat="1" ht="25.5" x14ac:dyDescent="0.2">
      <c r="A26" s="585" t="s">
        <v>7</v>
      </c>
      <c r="B26" s="218" t="s">
        <v>280</v>
      </c>
      <c r="C26" s="234" t="str">
        <f>'Maria Livramento - T1'!C79</f>
        <v>m²</v>
      </c>
      <c r="D26" s="220">
        <f>'Planilha CT Original'!F58</f>
        <v>1696.75</v>
      </c>
      <c r="E26" s="220" t="e">
        <f>'Planilha Consolidada'!#REF!</f>
        <v>#REF!</v>
      </c>
      <c r="F26" s="220" t="e">
        <f>D26*E26</f>
        <v>#REF!</v>
      </c>
      <c r="G26" s="220">
        <v>1696.75</v>
      </c>
      <c r="H26" s="220" t="e">
        <f>E26*G26</f>
        <v>#REF!</v>
      </c>
      <c r="I26" s="220">
        <f>D26-G26</f>
        <v>0</v>
      </c>
      <c r="J26" s="220">
        <f>'Maria Livramento - T1'!D79</f>
        <v>792.7</v>
      </c>
      <c r="K26" s="220">
        <v>0</v>
      </c>
      <c r="L26" s="220">
        <f>I26+J26-K26</f>
        <v>792.7</v>
      </c>
      <c r="M26" s="221">
        <v>2.31</v>
      </c>
      <c r="N26" s="221">
        <f>M26*$Q$5</f>
        <v>2.98</v>
      </c>
      <c r="O26" s="317" t="s">
        <v>651</v>
      </c>
      <c r="P26" s="584">
        <f>L26*N26</f>
        <v>2362.25</v>
      </c>
      <c r="Q26" s="223"/>
      <c r="R26" s="224"/>
      <c r="S26" s="225"/>
      <c r="V26" s="227"/>
    </row>
    <row r="27" spans="1:22" s="202" customFormat="1" ht="5.0999999999999996" customHeight="1" x14ac:dyDescent="0.2">
      <c r="A27" s="586"/>
      <c r="B27" s="228"/>
      <c r="C27" s="219"/>
      <c r="D27" s="220"/>
      <c r="E27" s="220"/>
      <c r="F27" s="220"/>
      <c r="G27" s="220"/>
      <c r="H27" s="220"/>
      <c r="I27" s="220"/>
      <c r="J27" s="220"/>
      <c r="K27" s="220"/>
      <c r="L27" s="220"/>
      <c r="M27" s="220"/>
      <c r="N27" s="220"/>
      <c r="O27" s="236"/>
      <c r="P27" s="587"/>
      <c r="Q27" s="229"/>
      <c r="S27" s="230"/>
    </row>
    <row r="28" spans="1:22" s="216" customFormat="1" ht="12.75" customHeight="1" x14ac:dyDescent="0.2">
      <c r="A28" s="652" t="s">
        <v>8</v>
      </c>
      <c r="B28" s="209" t="s">
        <v>20</v>
      </c>
      <c r="C28" s="210"/>
      <c r="D28" s="211"/>
      <c r="E28" s="211"/>
      <c r="F28" s="233" t="e">
        <f>SUM(F29:F31)</f>
        <v>#REF!</v>
      </c>
      <c r="G28" s="211"/>
      <c r="H28" s="233" t="e">
        <f>SUM(H29:H31)</f>
        <v>#REF!</v>
      </c>
      <c r="I28" s="211"/>
      <c r="J28" s="211"/>
      <c r="K28" s="211"/>
      <c r="L28" s="211"/>
      <c r="M28" s="237"/>
      <c r="N28" s="237"/>
      <c r="O28" s="544"/>
      <c r="P28" s="582">
        <f>SUM(P29:P31)</f>
        <v>99440.09</v>
      </c>
      <c r="Q28" s="215"/>
      <c r="T28" s="217"/>
    </row>
    <row r="29" spans="1:22" s="226" customFormat="1" ht="66" customHeight="1" x14ac:dyDescent="0.2">
      <c r="A29" s="585" t="s">
        <v>9</v>
      </c>
      <c r="B29" s="218" t="s">
        <v>260</v>
      </c>
      <c r="C29" s="219" t="str">
        <f>'Maria Livramento - T1'!C82</f>
        <v>m</v>
      </c>
      <c r="D29" s="220">
        <f>'Planilha CT Original'!F60</f>
        <v>391.75</v>
      </c>
      <c r="E29" s="220" t="e">
        <f>'Planilha Consolidada'!#REF!</f>
        <v>#REF!</v>
      </c>
      <c r="F29" s="220" t="e">
        <f>D29*E29</f>
        <v>#REF!</v>
      </c>
      <c r="G29" s="220">
        <v>0</v>
      </c>
      <c r="H29" s="220" t="e">
        <f>E29*G29</f>
        <v>#REF!</v>
      </c>
      <c r="I29" s="220">
        <f>D29-G29</f>
        <v>391.75</v>
      </c>
      <c r="J29" s="220">
        <f>'Maria Livramento - T1'!D82</f>
        <v>262.48</v>
      </c>
      <c r="K29" s="220">
        <v>391.75</v>
      </c>
      <c r="L29" s="220">
        <f>I29+J29-K29</f>
        <v>262.48</v>
      </c>
      <c r="M29" s="221">
        <v>45.46</v>
      </c>
      <c r="N29" s="221">
        <f>M29*$Q$5</f>
        <v>58.64</v>
      </c>
      <c r="O29" s="316" t="s">
        <v>654</v>
      </c>
      <c r="P29" s="584">
        <f>L29*N29</f>
        <v>15391.83</v>
      </c>
      <c r="Q29" s="223"/>
      <c r="R29" s="224"/>
      <c r="S29" s="225"/>
      <c r="V29" s="227"/>
    </row>
    <row r="30" spans="1:22" s="226" customFormat="1" ht="40.5" customHeight="1" x14ac:dyDescent="0.2">
      <c r="A30" s="585" t="s">
        <v>12</v>
      </c>
      <c r="B30" s="218" t="s">
        <v>643</v>
      </c>
      <c r="C30" s="219" t="str">
        <f>'Maria Livramento - T1'!C83</f>
        <v>m²</v>
      </c>
      <c r="D30" s="220">
        <f>'Planilha CT Original'!F61</f>
        <v>1696.75</v>
      </c>
      <c r="E30" s="220" t="e">
        <f>'Planilha Consolidada'!#REF!</f>
        <v>#REF!</v>
      </c>
      <c r="F30" s="220" t="e">
        <f>D30*E30</f>
        <v>#REF!</v>
      </c>
      <c r="G30" s="220">
        <v>480</v>
      </c>
      <c r="H30" s="220" t="e">
        <f>E30*G30</f>
        <v>#REF!</v>
      </c>
      <c r="I30" s="220">
        <f>D30-G30</f>
        <v>1216.75</v>
      </c>
      <c r="J30" s="220">
        <f>'Maria Livramento - T1'!D83</f>
        <v>792.7</v>
      </c>
      <c r="K30" s="220">
        <v>1216.75</v>
      </c>
      <c r="L30" s="220">
        <f>I30+J30-K30</f>
        <v>792.7</v>
      </c>
      <c r="M30" s="221">
        <v>81.319999999999993</v>
      </c>
      <c r="N30" s="221">
        <f>M30*$Q$5</f>
        <v>104.89</v>
      </c>
      <c r="O30" s="317" t="s">
        <v>655</v>
      </c>
      <c r="P30" s="584">
        <f>L30*N30</f>
        <v>83146.3</v>
      </c>
      <c r="Q30" s="223"/>
      <c r="R30" s="224"/>
      <c r="S30" s="225"/>
      <c r="V30" s="227"/>
    </row>
    <row r="31" spans="1:22" s="226" customFormat="1" ht="39.75" customHeight="1" x14ac:dyDescent="0.2">
      <c r="A31" s="585" t="s">
        <v>108</v>
      </c>
      <c r="B31" s="218" t="s">
        <v>306</v>
      </c>
      <c r="C31" s="219" t="str">
        <f>'Maria Livramento - T1'!C84</f>
        <v>m</v>
      </c>
      <c r="D31" s="220">
        <f>'Planilha CT Original'!F62</f>
        <v>40.049999999999997</v>
      </c>
      <c r="E31" s="220" t="e">
        <f>'Planilha Consolidada'!#REF!</f>
        <v>#REF!</v>
      </c>
      <c r="F31" s="220" t="e">
        <f>D31*E31</f>
        <v>#REF!</v>
      </c>
      <c r="G31" s="220">
        <v>0</v>
      </c>
      <c r="H31" s="220" t="e">
        <f>E31*G31</f>
        <v>#REF!</v>
      </c>
      <c r="I31" s="220">
        <f>D31-G31</f>
        <v>40.049999999999997</v>
      </c>
      <c r="J31" s="220">
        <f>'Maria Livramento - T1'!D84</f>
        <v>14.48</v>
      </c>
      <c r="K31" s="220">
        <v>40.049999999999997</v>
      </c>
      <c r="L31" s="220">
        <f>I31+J31-K31</f>
        <v>14.48</v>
      </c>
      <c r="M31" s="221">
        <f>'Composição Custos Unit'!G20</f>
        <v>48.29</v>
      </c>
      <c r="N31" s="221">
        <f>M31*$Q$5</f>
        <v>62.29</v>
      </c>
      <c r="O31" s="316" t="s">
        <v>656</v>
      </c>
      <c r="P31" s="584">
        <f>L31*N31</f>
        <v>901.96</v>
      </c>
      <c r="Q31" s="223"/>
      <c r="R31" s="224"/>
      <c r="S31" s="225"/>
      <c r="V31" s="227"/>
    </row>
    <row r="32" spans="1:22" s="202" customFormat="1" ht="5.0999999999999996" customHeight="1" x14ac:dyDescent="0.2">
      <c r="A32" s="586"/>
      <c r="B32" s="239"/>
      <c r="C32" s="219"/>
      <c r="D32" s="220"/>
      <c r="E32" s="220"/>
      <c r="F32" s="220"/>
      <c r="G32" s="220"/>
      <c r="H32" s="220"/>
      <c r="I32" s="220"/>
      <c r="J32" s="220"/>
      <c r="K32" s="220"/>
      <c r="L32" s="220"/>
      <c r="M32" s="221"/>
      <c r="N32" s="221"/>
      <c r="O32" s="222"/>
      <c r="P32" s="587"/>
      <c r="Q32" s="229"/>
      <c r="S32" s="230"/>
    </row>
    <row r="33" spans="1:22" s="216" customFormat="1" ht="12.75" customHeight="1" x14ac:dyDescent="0.2">
      <c r="A33" s="588" t="s">
        <v>14</v>
      </c>
      <c r="B33" s="240" t="s">
        <v>610</v>
      </c>
      <c r="C33" s="219"/>
      <c r="D33" s="220"/>
      <c r="E33" s="220"/>
      <c r="F33" s="233">
        <f>SUM(F35:F35)</f>
        <v>0</v>
      </c>
      <c r="G33" s="241"/>
      <c r="H33" s="242">
        <f>SUM(H35:H35)</f>
        <v>0</v>
      </c>
      <c r="I33" s="241"/>
      <c r="J33" s="241"/>
      <c r="K33" s="241"/>
      <c r="L33" s="241"/>
      <c r="M33" s="221"/>
      <c r="N33" s="221"/>
      <c r="O33" s="222"/>
      <c r="P33" s="589" t="e">
        <f>SUM(P34:P36)</f>
        <v>#REF!</v>
      </c>
      <c r="Q33" s="215"/>
      <c r="T33" s="217"/>
    </row>
    <row r="34" spans="1:22" s="226" customFormat="1" ht="54" customHeight="1" x14ac:dyDescent="0.2">
      <c r="A34" s="585" t="s">
        <v>15</v>
      </c>
      <c r="B34" s="261" t="s">
        <v>644</v>
      </c>
      <c r="C34" s="234" t="str">
        <f>'Maria Livramento - T1'!C87</f>
        <v>m²</v>
      </c>
      <c r="D34" s="220">
        <v>0</v>
      </c>
      <c r="E34" s="220">
        <v>0</v>
      </c>
      <c r="F34" s="220">
        <f>D34*E34</f>
        <v>0</v>
      </c>
      <c r="G34" s="220">
        <v>0</v>
      </c>
      <c r="H34" s="220">
        <v>0</v>
      </c>
      <c r="I34" s="220">
        <v>0</v>
      </c>
      <c r="J34" s="220">
        <f>'Maria Livramento - T1'!D87</f>
        <v>30.79</v>
      </c>
      <c r="K34" s="220">
        <v>0</v>
      </c>
      <c r="L34" s="220">
        <f>I34+J34-K34</f>
        <v>30.79</v>
      </c>
      <c r="M34" s="221">
        <v>73.16</v>
      </c>
      <c r="N34" s="221">
        <f>M34*$Q$5</f>
        <v>94.37</v>
      </c>
      <c r="O34" s="271" t="s">
        <v>645</v>
      </c>
      <c r="P34" s="584">
        <f>L34*N34</f>
        <v>2905.65</v>
      </c>
      <c r="Q34" s="223"/>
      <c r="R34" s="224"/>
      <c r="S34" s="225"/>
      <c r="V34" s="227"/>
    </row>
    <row r="35" spans="1:22" s="226" customFormat="1" ht="42.75" customHeight="1" x14ac:dyDescent="0.2">
      <c r="A35" s="585" t="s">
        <v>129</v>
      </c>
      <c r="B35" s="261" t="s">
        <v>127</v>
      </c>
      <c r="C35" s="234" t="str">
        <f>'Maria Livramento - T1'!C88</f>
        <v>m³</v>
      </c>
      <c r="D35" s="220">
        <f>'Planilha CT Original'!F76</f>
        <v>0</v>
      </c>
      <c r="E35" s="220">
        <f>'Planilha CT Original'!H76</f>
        <v>0</v>
      </c>
      <c r="F35" s="220">
        <f>D35*E35</f>
        <v>0</v>
      </c>
      <c r="G35" s="220">
        <v>0</v>
      </c>
      <c r="H35" s="220">
        <f>E35*G35</f>
        <v>0</v>
      </c>
      <c r="I35" s="220">
        <f>D35-G35</f>
        <v>0</v>
      </c>
      <c r="J35" s="220">
        <f>'Maria Livramento - T1'!D88</f>
        <v>15.81</v>
      </c>
      <c r="K35" s="220">
        <v>0</v>
      </c>
      <c r="L35" s="220">
        <f>I35+J35-K35</f>
        <v>15.81</v>
      </c>
      <c r="M35" s="221">
        <f>M11</f>
        <v>699.25</v>
      </c>
      <c r="N35" s="221">
        <f>M35*$Q$5</f>
        <v>901.96</v>
      </c>
      <c r="O35" s="316" t="str">
        <f>O11</f>
        <v>94990 SINAPI
Out/23</v>
      </c>
      <c r="P35" s="584">
        <f>L35*N35</f>
        <v>14259.99</v>
      </c>
      <c r="Q35" s="223"/>
      <c r="R35" s="224"/>
      <c r="S35" s="225"/>
      <c r="V35" s="227"/>
    </row>
    <row r="36" spans="1:22" s="226" customFormat="1" ht="54.75" customHeight="1" x14ac:dyDescent="0.2">
      <c r="A36" s="585" t="s">
        <v>131</v>
      </c>
      <c r="B36" s="261" t="s">
        <v>640</v>
      </c>
      <c r="C36" s="234" t="str">
        <f>'Maria Livramento - T1'!C89</f>
        <v>m²</v>
      </c>
      <c r="D36" s="220">
        <v>0</v>
      </c>
      <c r="E36" s="220">
        <f>'Planilha Consolidada'!E10</f>
        <v>0</v>
      </c>
      <c r="F36" s="220">
        <f>D36*E36</f>
        <v>0</v>
      </c>
      <c r="G36" s="220">
        <v>0</v>
      </c>
      <c r="H36" s="220">
        <f>E36*G36</f>
        <v>0</v>
      </c>
      <c r="I36" s="220">
        <f>D36-G36</f>
        <v>0</v>
      </c>
      <c r="J36" s="220">
        <f>'Maria Livramento - T1'!D89</f>
        <v>46.49</v>
      </c>
      <c r="K36" s="220">
        <v>0</v>
      </c>
      <c r="L36" s="220">
        <f>I36+J36-K36</f>
        <v>46.49</v>
      </c>
      <c r="M36" s="221" t="e">
        <f>'Composição Custos Unit'!#REF!</f>
        <v>#REF!</v>
      </c>
      <c r="N36" s="221" t="e">
        <f>M36*$Q$5</f>
        <v>#REF!</v>
      </c>
      <c r="O36" s="316" t="str">
        <f>O16</f>
        <v>Composição 03 (Base 09417/ORSE)</v>
      </c>
      <c r="P36" s="584" t="e">
        <f>L36*N36</f>
        <v>#REF!</v>
      </c>
      <c r="Q36" s="223"/>
      <c r="R36" s="224"/>
      <c r="S36" s="225"/>
      <c r="V36" s="227"/>
    </row>
    <row r="37" spans="1:22" s="202" customFormat="1" ht="5.0999999999999996" customHeight="1" x14ac:dyDescent="0.2">
      <c r="A37" s="586"/>
      <c r="B37" s="239"/>
      <c r="C37" s="219"/>
      <c r="D37" s="220"/>
      <c r="E37" s="220"/>
      <c r="F37" s="220"/>
      <c r="G37" s="220"/>
      <c r="H37" s="220"/>
      <c r="I37" s="220"/>
      <c r="J37" s="220"/>
      <c r="K37" s="220"/>
      <c r="L37" s="220"/>
      <c r="M37" s="220"/>
      <c r="N37" s="220"/>
      <c r="O37" s="236"/>
      <c r="P37" s="587"/>
      <c r="Q37" s="229"/>
      <c r="S37" s="230"/>
    </row>
    <row r="38" spans="1:22" s="216" customFormat="1" ht="12.75" customHeight="1" x14ac:dyDescent="0.2">
      <c r="A38" s="588" t="s">
        <v>157</v>
      </c>
      <c r="B38" s="240" t="s">
        <v>291</v>
      </c>
      <c r="C38" s="219"/>
      <c r="D38" s="220"/>
      <c r="E38" s="220"/>
      <c r="F38" s="231">
        <f>SUM(F39:F41)</f>
        <v>0</v>
      </c>
      <c r="G38" s="241"/>
      <c r="H38" s="233">
        <f>SUM(H39:H41)</f>
        <v>0</v>
      </c>
      <c r="I38" s="241"/>
      <c r="J38" s="241"/>
      <c r="K38" s="241"/>
      <c r="L38" s="241"/>
      <c r="M38" s="221"/>
      <c r="N38" s="221"/>
      <c r="O38" s="222"/>
      <c r="P38" s="589" t="e">
        <f>SUM(P39:P42)</f>
        <v>#REF!</v>
      </c>
      <c r="Q38" s="215"/>
      <c r="T38" s="217"/>
    </row>
    <row r="39" spans="1:22" s="226" customFormat="1" ht="38.25" x14ac:dyDescent="0.2">
      <c r="A39" s="585" t="s">
        <v>158</v>
      </c>
      <c r="B39" s="261" t="s">
        <v>642</v>
      </c>
      <c r="C39" s="219" t="str">
        <f>'Maria Livramento - T1'!C92</f>
        <v>m³</v>
      </c>
      <c r="D39" s="220">
        <f>'Planilha CT Original'!F64</f>
        <v>0</v>
      </c>
      <c r="E39" s="220">
        <f>'Planilha Consolidada'!E14</f>
        <v>302.23</v>
      </c>
      <c r="F39" s="220">
        <f>D39*E39</f>
        <v>0</v>
      </c>
      <c r="G39" s="220">
        <v>0</v>
      </c>
      <c r="H39" s="220">
        <f>E39*G39</f>
        <v>0</v>
      </c>
      <c r="I39" s="220">
        <f>D39-G39</f>
        <v>0</v>
      </c>
      <c r="J39" s="220">
        <f>'Maria Livramento - T1'!D92</f>
        <v>2.1</v>
      </c>
      <c r="K39" s="220">
        <v>0</v>
      </c>
      <c r="L39" s="220">
        <f>I39+J39-K39</f>
        <v>2.1</v>
      </c>
      <c r="M39" s="221">
        <f>M14</f>
        <v>407.9</v>
      </c>
      <c r="N39" s="221">
        <f>M39*$Q$5</f>
        <v>526.15</v>
      </c>
      <c r="O39" s="316" t="str">
        <f>O14</f>
        <v>94963 SINAPI
Out/23</v>
      </c>
      <c r="P39" s="584">
        <f>L39*N39</f>
        <v>1104.92</v>
      </c>
      <c r="Q39" s="223"/>
      <c r="R39" s="224"/>
      <c r="S39" s="225"/>
      <c r="V39" s="227"/>
    </row>
    <row r="40" spans="1:22" s="226" customFormat="1" ht="28.5" customHeight="1" x14ac:dyDescent="0.2">
      <c r="A40" s="585" t="s">
        <v>170</v>
      </c>
      <c r="B40" s="261" t="s">
        <v>608</v>
      </c>
      <c r="C40" s="219" t="str">
        <f>'Maria Livramento - T1'!C93</f>
        <v>m³</v>
      </c>
      <c r="D40" s="220">
        <f>'Planilha CT Original'!F65</f>
        <v>0</v>
      </c>
      <c r="E40" s="220">
        <f>'Planilha Consolidada'!E15</f>
        <v>102.63</v>
      </c>
      <c r="F40" s="220">
        <f>D40*E40</f>
        <v>0</v>
      </c>
      <c r="G40" s="220">
        <v>0</v>
      </c>
      <c r="H40" s="220">
        <f>E40*G40</f>
        <v>0</v>
      </c>
      <c r="I40" s="220">
        <f>D40-G40</f>
        <v>0</v>
      </c>
      <c r="J40" s="220">
        <f>'Maria Livramento - T1'!D93</f>
        <v>2.1</v>
      </c>
      <c r="K40" s="220">
        <v>0</v>
      </c>
      <c r="L40" s="220">
        <f>I40+J40-K40</f>
        <v>2.1</v>
      </c>
      <c r="M40" s="221">
        <f>M15</f>
        <v>223.27</v>
      </c>
      <c r="N40" s="221">
        <f>M40*$Q$5</f>
        <v>288</v>
      </c>
      <c r="O40" s="316" t="str">
        <f>O15</f>
        <v>103670 SINAPI
Out/23</v>
      </c>
      <c r="P40" s="584">
        <f>L40*N40</f>
        <v>604.79999999999995</v>
      </c>
      <c r="Q40" s="223"/>
      <c r="R40" s="224"/>
      <c r="S40" s="225"/>
      <c r="V40" s="227"/>
    </row>
    <row r="41" spans="1:22" s="226" customFormat="1" ht="51" x14ac:dyDescent="0.2">
      <c r="A41" s="585" t="s">
        <v>203</v>
      </c>
      <c r="B41" s="261" t="s">
        <v>640</v>
      </c>
      <c r="C41" s="219" t="str">
        <f>'Maria Livramento - T1'!C94</f>
        <v>m²</v>
      </c>
      <c r="D41" s="220">
        <f>'Planilha CT Original'!F66</f>
        <v>0</v>
      </c>
      <c r="E41" s="220">
        <f>'Planilha Consolidada'!E16</f>
        <v>33.840000000000003</v>
      </c>
      <c r="F41" s="220">
        <f>D41*E41</f>
        <v>0</v>
      </c>
      <c r="G41" s="220">
        <v>0</v>
      </c>
      <c r="H41" s="220">
        <f>E41*G41</f>
        <v>0</v>
      </c>
      <c r="I41" s="220">
        <f>D41-G41</f>
        <v>0</v>
      </c>
      <c r="J41" s="220">
        <f>'Maria Livramento - T1'!D94</f>
        <v>3.12</v>
      </c>
      <c r="K41" s="220">
        <v>0</v>
      </c>
      <c r="L41" s="220">
        <f>I41+J41-K41</f>
        <v>3.12</v>
      </c>
      <c r="M41" s="221" t="e">
        <f>M16</f>
        <v>#REF!</v>
      </c>
      <c r="N41" s="221" t="e">
        <f>M41*$Q$5</f>
        <v>#REF!</v>
      </c>
      <c r="O41" s="316" t="str">
        <f>O16</f>
        <v>Composição 03 (Base 09417/ORSE)</v>
      </c>
      <c r="P41" s="584" t="e">
        <f>L41*N41</f>
        <v>#REF!</v>
      </c>
      <c r="Q41" s="223"/>
      <c r="R41" s="224"/>
      <c r="S41" s="225"/>
      <c r="V41" s="227"/>
    </row>
    <row r="42" spans="1:22" s="226" customFormat="1" ht="25.5" x14ac:dyDescent="0.2">
      <c r="A42" s="585" t="s">
        <v>181</v>
      </c>
      <c r="B42" s="261" t="s">
        <v>609</v>
      </c>
      <c r="C42" s="219" t="str">
        <f>'Maria Livramento - T1'!C95</f>
        <v>m²</v>
      </c>
      <c r="D42" s="220">
        <v>0</v>
      </c>
      <c r="E42" s="220">
        <v>0</v>
      </c>
      <c r="F42" s="220">
        <v>0</v>
      </c>
      <c r="G42" s="220">
        <v>0</v>
      </c>
      <c r="H42" s="220">
        <v>0</v>
      </c>
      <c r="I42" s="220">
        <v>0</v>
      </c>
      <c r="J42" s="220">
        <f>'Maria Livramento - T1'!D95</f>
        <v>36</v>
      </c>
      <c r="K42" s="220">
        <v>0</v>
      </c>
      <c r="L42" s="220">
        <f>I42+J42-K42</f>
        <v>36</v>
      </c>
      <c r="M42" s="221">
        <f>M17</f>
        <v>14.87</v>
      </c>
      <c r="N42" s="221">
        <f>M42*$Q$5</f>
        <v>19.18</v>
      </c>
      <c r="O42" s="316" t="str">
        <f>O17</f>
        <v>102491 SINAPI
Out/23</v>
      </c>
      <c r="P42" s="584">
        <f>L42*N42</f>
        <v>690.48</v>
      </c>
      <c r="Q42" s="223"/>
      <c r="R42" s="224"/>
      <c r="S42" s="225"/>
    </row>
    <row r="43" spans="1:22" s="202" customFormat="1" ht="5.0999999999999996" customHeight="1" x14ac:dyDescent="0.2">
      <c r="A43" s="586"/>
      <c r="B43" s="239"/>
      <c r="C43" s="219"/>
      <c r="D43" s="220"/>
      <c r="E43" s="220"/>
      <c r="F43" s="220"/>
      <c r="G43" s="220"/>
      <c r="H43" s="220"/>
      <c r="I43" s="220"/>
      <c r="J43" s="220"/>
      <c r="K43" s="220"/>
      <c r="L43" s="220"/>
      <c r="M43" s="220"/>
      <c r="N43" s="220"/>
      <c r="O43" s="236"/>
      <c r="P43" s="587"/>
      <c r="Q43" s="229"/>
      <c r="S43" s="230"/>
    </row>
    <row r="44" spans="1:22" s="216" customFormat="1" ht="12.75" customHeight="1" x14ac:dyDescent="0.2">
      <c r="A44" s="588" t="s">
        <v>174</v>
      </c>
      <c r="B44" s="248" t="s">
        <v>292</v>
      </c>
      <c r="C44" s="219"/>
      <c r="D44" s="220"/>
      <c r="E44" s="220"/>
      <c r="F44" s="233" t="e">
        <f>SUM(F45:F46)</f>
        <v>#REF!</v>
      </c>
      <c r="G44" s="241"/>
      <c r="H44" s="233" t="e">
        <f>SUM(H45:H46)</f>
        <v>#REF!</v>
      </c>
      <c r="I44" s="241"/>
      <c r="J44" s="241"/>
      <c r="K44" s="241"/>
      <c r="L44" s="241"/>
      <c r="M44" s="243"/>
      <c r="N44" s="243"/>
      <c r="O44" s="244"/>
      <c r="P44" s="589" t="e">
        <f>SUM(P45:P46)</f>
        <v>#REF!</v>
      </c>
      <c r="Q44" s="215"/>
      <c r="T44" s="217"/>
    </row>
    <row r="45" spans="1:22" s="202" customFormat="1" ht="25.5" x14ac:dyDescent="0.2">
      <c r="A45" s="585" t="s">
        <v>175</v>
      </c>
      <c r="B45" s="261" t="s">
        <v>633</v>
      </c>
      <c r="C45" s="219" t="str">
        <f>'Maria Livramento - T1'!C102</f>
        <v>m²</v>
      </c>
      <c r="D45" s="220">
        <f>'Planilha CT Original'!F69</f>
        <v>97.94</v>
      </c>
      <c r="E45" s="220" t="e">
        <f>'Planilha Consolidada'!#REF!</f>
        <v>#REF!</v>
      </c>
      <c r="F45" s="220" t="e">
        <f>D45*E45</f>
        <v>#REF!</v>
      </c>
      <c r="G45" s="220">
        <v>0</v>
      </c>
      <c r="H45" s="220" t="e">
        <f>E45*G45</f>
        <v>#REF!</v>
      </c>
      <c r="I45" s="220">
        <f>D45-G45</f>
        <v>97.94</v>
      </c>
      <c r="J45" s="220">
        <f>'Maria Livramento - T1'!D102</f>
        <v>73.489999999999995</v>
      </c>
      <c r="K45" s="220">
        <v>97.94</v>
      </c>
      <c r="L45" s="220">
        <f>I45+J45-K45</f>
        <v>73.489999999999995</v>
      </c>
      <c r="M45" s="221">
        <v>1.25</v>
      </c>
      <c r="N45" s="221">
        <f>M45*$Q$5</f>
        <v>1.61</v>
      </c>
      <c r="O45" s="271" t="s">
        <v>658</v>
      </c>
      <c r="P45" s="584">
        <f>L45*N45</f>
        <v>118.32</v>
      </c>
      <c r="Q45" s="229"/>
      <c r="R45" s="230"/>
      <c r="S45" s="230"/>
      <c r="T45" s="247"/>
    </row>
    <row r="46" spans="1:22" s="226" customFormat="1" ht="66" customHeight="1" x14ac:dyDescent="0.2">
      <c r="A46" s="585" t="s">
        <v>246</v>
      </c>
      <c r="B46" s="261" t="s">
        <v>312</v>
      </c>
      <c r="C46" s="234" t="e">
        <f>'Maria Livramento - T1'!#REF!</f>
        <v>#REF!</v>
      </c>
      <c r="D46" s="220">
        <v>0</v>
      </c>
      <c r="E46" s="220">
        <f>'Planilha CT Original'!H78</f>
        <v>0</v>
      </c>
      <c r="F46" s="220">
        <f>D46*E46</f>
        <v>0</v>
      </c>
      <c r="G46" s="220">
        <v>0</v>
      </c>
      <c r="H46" s="220">
        <v>0</v>
      </c>
      <c r="I46" s="220">
        <f>D46-G46</f>
        <v>0</v>
      </c>
      <c r="J46" s="220" t="e">
        <f>'Maria Livramento - T1'!#REF!</f>
        <v>#REF!</v>
      </c>
      <c r="K46" s="220">
        <v>0</v>
      </c>
      <c r="L46" s="220" t="e">
        <f>I46+J46-K46</f>
        <v>#REF!</v>
      </c>
      <c r="M46" s="221" t="e">
        <f>'Composição Custos Unit'!#REF!</f>
        <v>#REF!</v>
      </c>
      <c r="N46" s="221" t="e">
        <f>M46*$Q$5</f>
        <v>#REF!</v>
      </c>
      <c r="O46" s="316" t="s">
        <v>659</v>
      </c>
      <c r="P46" s="584" t="e">
        <f>L46*N46</f>
        <v>#REF!</v>
      </c>
      <c r="Q46" s="223" t="e">
        <f>L46*ORÇAMENTO!H32</f>
        <v>#REF!</v>
      </c>
      <c r="R46" s="224"/>
      <c r="S46" s="225"/>
      <c r="V46" s="227"/>
    </row>
    <row r="47" spans="1:22" s="202" customFormat="1" ht="6.75" customHeight="1" thickBot="1" x14ac:dyDescent="0.25">
      <c r="A47" s="590"/>
      <c r="B47" s="249"/>
      <c r="C47" s="250"/>
      <c r="D47" s="251"/>
      <c r="E47" s="251"/>
      <c r="F47" s="251"/>
      <c r="G47" s="251"/>
      <c r="H47" s="251"/>
      <c r="I47" s="251"/>
      <c r="J47" s="251"/>
      <c r="K47" s="251"/>
      <c r="L47" s="251"/>
      <c r="M47" s="252"/>
      <c r="N47" s="252"/>
      <c r="O47" s="252"/>
      <c r="P47" s="591"/>
      <c r="Q47" s="229"/>
    </row>
    <row r="48" spans="1:22" s="254" customFormat="1" ht="20.25" customHeight="1" thickBot="1" x14ac:dyDescent="0.25">
      <c r="A48" s="743" t="s">
        <v>301</v>
      </c>
      <c r="B48" s="744"/>
      <c r="C48" s="744"/>
      <c r="D48" s="744"/>
      <c r="E48" s="744"/>
      <c r="F48" s="744"/>
      <c r="G48" s="744"/>
      <c r="H48" s="744"/>
      <c r="I48" s="744"/>
      <c r="J48" s="744"/>
      <c r="K48" s="744"/>
      <c r="L48" s="744"/>
      <c r="M48" s="744"/>
      <c r="N48" s="744"/>
      <c r="O48" s="745"/>
      <c r="P48" s="560" t="e">
        <f>P22+P25+P28+P33+P38+P44</f>
        <v>#REF!</v>
      </c>
      <c r="Q48" s="253"/>
      <c r="R48" s="270">
        <f>F48-H48</f>
        <v>0</v>
      </c>
      <c r="T48" s="255"/>
    </row>
    <row r="49" spans="1:22" s="202" customFormat="1" ht="6.75" customHeight="1" thickBot="1" x14ac:dyDescent="0.25">
      <c r="A49" s="590"/>
      <c r="B49" s="249"/>
      <c r="C49" s="250"/>
      <c r="D49" s="251"/>
      <c r="E49" s="251"/>
      <c r="F49" s="251"/>
      <c r="G49" s="251"/>
      <c r="H49" s="251"/>
      <c r="I49" s="251"/>
      <c r="J49" s="251"/>
      <c r="K49" s="251"/>
      <c r="L49" s="251"/>
      <c r="M49" s="252"/>
      <c r="N49" s="252"/>
      <c r="O49" s="252"/>
      <c r="P49" s="591"/>
      <c r="Q49" s="229"/>
    </row>
    <row r="50" spans="1:22" s="202" customFormat="1" ht="18" customHeight="1" thickBot="1" x14ac:dyDescent="0.3">
      <c r="A50" s="825" t="str">
        <f>'Vale Verde 1'!A6:B6</f>
        <v>RUA PROJETADA 1 (Vale Verde)</v>
      </c>
      <c r="B50" s="822"/>
      <c r="C50" s="822"/>
      <c r="D50" s="822"/>
      <c r="E50" s="822"/>
      <c r="F50" s="822"/>
      <c r="G50" s="822"/>
      <c r="H50" s="822"/>
      <c r="I50" s="822"/>
      <c r="J50" s="822"/>
      <c r="K50" s="822"/>
      <c r="L50" s="822"/>
      <c r="M50" s="822"/>
      <c r="N50" s="822"/>
      <c r="O50" s="822"/>
      <c r="P50" s="826"/>
      <c r="Q50" s="205"/>
      <c r="R50" s="205"/>
      <c r="S50" s="205"/>
      <c r="T50" s="207"/>
      <c r="U50" s="208"/>
    </row>
    <row r="51" spans="1:22" s="216" customFormat="1" ht="12.75" customHeight="1" x14ac:dyDescent="0.2">
      <c r="A51" s="652" t="s">
        <v>4</v>
      </c>
      <c r="B51" s="209" t="s">
        <v>277</v>
      </c>
      <c r="C51" s="210"/>
      <c r="D51" s="211"/>
      <c r="E51" s="211"/>
      <c r="F51" s="213">
        <f>SUM(F53:F53)</f>
        <v>0</v>
      </c>
      <c r="G51" s="211"/>
      <c r="H51" s="213">
        <f>SUM(H53:H53)</f>
        <v>0</v>
      </c>
      <c r="I51" s="211"/>
      <c r="J51" s="211"/>
      <c r="K51" s="211"/>
      <c r="L51" s="213"/>
      <c r="M51" s="212"/>
      <c r="N51" s="212"/>
      <c r="O51" s="214"/>
      <c r="P51" s="582" t="e">
        <f>SUM(P52:P53)</f>
        <v>#REF!</v>
      </c>
      <c r="Q51" s="215"/>
      <c r="T51" s="217"/>
    </row>
    <row r="52" spans="1:22" s="216" customFormat="1" ht="51" x14ac:dyDescent="0.2">
      <c r="A52" s="653" t="s">
        <v>5</v>
      </c>
      <c r="B52" s="235" t="s">
        <v>420</v>
      </c>
      <c r="C52" s="265" t="s">
        <v>13</v>
      </c>
      <c r="D52" s="220">
        <v>0</v>
      </c>
      <c r="E52" s="220">
        <v>0</v>
      </c>
      <c r="F52" s="267">
        <v>0</v>
      </c>
      <c r="G52" s="220">
        <v>0</v>
      </c>
      <c r="H52" s="220">
        <v>0</v>
      </c>
      <c r="I52" s="220">
        <f>D52-G52</f>
        <v>0</v>
      </c>
      <c r="J52" s="266">
        <f>'Vale Verde 1'!D71</f>
        <v>8</v>
      </c>
      <c r="K52" s="220">
        <v>0</v>
      </c>
      <c r="L52" s="267">
        <f>I52+J52-K52</f>
        <v>8</v>
      </c>
      <c r="M52" s="268" t="e">
        <f>'Composição Custos Unit'!#REF!</f>
        <v>#REF!</v>
      </c>
      <c r="N52" s="268" t="e">
        <f>M52*$Q$5</f>
        <v>#REF!</v>
      </c>
      <c r="O52" s="545" t="s">
        <v>653</v>
      </c>
      <c r="P52" s="654" t="e">
        <f>L52*N52</f>
        <v>#REF!</v>
      </c>
      <c r="Q52" s="310" t="e">
        <f>J52*ORÇAMENTO!H47</f>
        <v>#REF!</v>
      </c>
      <c r="T52" s="217"/>
    </row>
    <row r="53" spans="1:22" s="226" customFormat="1" ht="25.5" x14ac:dyDescent="0.2">
      <c r="A53" s="585" t="s">
        <v>86</v>
      </c>
      <c r="B53" s="218" t="s">
        <v>303</v>
      </c>
      <c r="C53" s="234" t="s">
        <v>11</v>
      </c>
      <c r="D53" s="220">
        <v>0</v>
      </c>
      <c r="E53" s="220">
        <v>0</v>
      </c>
      <c r="F53" s="220">
        <f>D53*E53</f>
        <v>0</v>
      </c>
      <c r="G53" s="220">
        <v>0</v>
      </c>
      <c r="H53" s="220">
        <v>0</v>
      </c>
      <c r="I53" s="220">
        <f>D53-G53</f>
        <v>0</v>
      </c>
      <c r="J53" s="220">
        <f>'Vale Verde 1'!D72</f>
        <v>300</v>
      </c>
      <c r="K53" s="220">
        <v>0</v>
      </c>
      <c r="L53" s="220">
        <f>I53+J53-K53</f>
        <v>300</v>
      </c>
      <c r="M53" s="221">
        <f>M23</f>
        <v>0.46</v>
      </c>
      <c r="N53" s="221">
        <f>M53*$Q$5</f>
        <v>0.59</v>
      </c>
      <c r="O53" s="246" t="s">
        <v>652</v>
      </c>
      <c r="P53" s="584">
        <f>L53*N53</f>
        <v>177</v>
      </c>
      <c r="Q53" s="310" t="e">
        <f>J53*ORÇAMENTO!H48</f>
        <v>#REF!</v>
      </c>
      <c r="R53" s="224"/>
      <c r="S53" s="225"/>
      <c r="V53" s="227"/>
    </row>
    <row r="54" spans="1:22" s="202" customFormat="1" ht="5.0999999999999996" customHeight="1" x14ac:dyDescent="0.2">
      <c r="A54" s="586"/>
      <c r="B54" s="228"/>
      <c r="C54" s="219"/>
      <c r="D54" s="220"/>
      <c r="E54" s="220"/>
      <c r="F54" s="220"/>
      <c r="G54" s="220"/>
      <c r="H54" s="220"/>
      <c r="I54" s="220"/>
      <c r="J54" s="220"/>
      <c r="K54" s="220"/>
      <c r="L54" s="220"/>
      <c r="M54" s="221"/>
      <c r="N54" s="221"/>
      <c r="O54" s="222"/>
      <c r="P54" s="587"/>
      <c r="Q54" s="229"/>
      <c r="S54" s="230"/>
    </row>
    <row r="55" spans="1:22" s="216" customFormat="1" ht="12.75" customHeight="1" x14ac:dyDescent="0.2">
      <c r="A55" s="652" t="s">
        <v>6</v>
      </c>
      <c r="B55" s="209" t="s">
        <v>278</v>
      </c>
      <c r="C55" s="210"/>
      <c r="D55" s="220"/>
      <c r="E55" s="232"/>
      <c r="F55" s="233">
        <f>SUM(F56:F56)</f>
        <v>0</v>
      </c>
      <c r="G55" s="211"/>
      <c r="H55" s="213">
        <f>SUM(H56:H56)</f>
        <v>0</v>
      </c>
      <c r="I55" s="211"/>
      <c r="J55" s="211"/>
      <c r="K55" s="211"/>
      <c r="L55" s="211"/>
      <c r="M55" s="221"/>
      <c r="N55" s="221"/>
      <c r="O55" s="222"/>
      <c r="P55" s="582">
        <f>SUM(P56:P56)</f>
        <v>5182.8500000000004</v>
      </c>
      <c r="Q55" s="215"/>
      <c r="T55" s="217">
        <v>1.2097</v>
      </c>
    </row>
    <row r="56" spans="1:22" s="226" customFormat="1" ht="26.25" customHeight="1" x14ac:dyDescent="0.2">
      <c r="A56" s="585" t="s">
        <v>7</v>
      </c>
      <c r="B56" s="218" t="s">
        <v>280</v>
      </c>
      <c r="C56" s="234" t="s">
        <v>13</v>
      </c>
      <c r="D56" s="220">
        <v>0</v>
      </c>
      <c r="E56" s="220">
        <v>0</v>
      </c>
      <c r="F56" s="220">
        <f>D56*E56</f>
        <v>0</v>
      </c>
      <c r="G56" s="220">
        <v>0</v>
      </c>
      <c r="H56" s="220">
        <v>0</v>
      </c>
      <c r="I56" s="220">
        <f>D56-G56</f>
        <v>0</v>
      </c>
      <c r="J56" s="220">
        <f>'Vale Verde 1'!D75</f>
        <v>1739.21</v>
      </c>
      <c r="K56" s="220">
        <v>0</v>
      </c>
      <c r="L56" s="220">
        <f>I56+J56-K56</f>
        <v>1739.21</v>
      </c>
      <c r="M56" s="221">
        <f>M26</f>
        <v>2.31</v>
      </c>
      <c r="N56" s="221">
        <f>M56*$Q$5</f>
        <v>2.98</v>
      </c>
      <c r="O56" s="246" t="s">
        <v>651</v>
      </c>
      <c r="P56" s="584">
        <f>L56*N56</f>
        <v>5182.8500000000004</v>
      </c>
      <c r="Q56" s="311" t="e">
        <f>L56*ORÇAMENTO!H50</f>
        <v>#REF!</v>
      </c>
      <c r="R56" s="224"/>
      <c r="S56" s="225"/>
      <c r="V56" s="227"/>
    </row>
    <row r="57" spans="1:22" s="202" customFormat="1" ht="5.0999999999999996" customHeight="1" x14ac:dyDescent="0.2">
      <c r="A57" s="586"/>
      <c r="B57" s="228"/>
      <c r="C57" s="219"/>
      <c r="D57" s="220"/>
      <c r="E57" s="220"/>
      <c r="F57" s="220"/>
      <c r="G57" s="220"/>
      <c r="H57" s="220"/>
      <c r="I57" s="220"/>
      <c r="J57" s="220"/>
      <c r="K57" s="220"/>
      <c r="L57" s="220"/>
      <c r="M57" s="220"/>
      <c r="N57" s="220"/>
      <c r="O57" s="236"/>
      <c r="P57" s="587"/>
      <c r="Q57" s="312"/>
      <c r="S57" s="230"/>
    </row>
    <row r="58" spans="1:22" s="216" customFormat="1" ht="12.75" customHeight="1" x14ac:dyDescent="0.2">
      <c r="A58" s="652" t="s">
        <v>8</v>
      </c>
      <c r="B58" s="209" t="s">
        <v>20</v>
      </c>
      <c r="C58" s="210"/>
      <c r="D58" s="211"/>
      <c r="E58" s="211"/>
      <c r="F58" s="233">
        <f>SUM(F59:F61)</f>
        <v>0</v>
      </c>
      <c r="G58" s="211"/>
      <c r="H58" s="213">
        <f>SUM(H59:H61)</f>
        <v>0</v>
      </c>
      <c r="I58" s="211"/>
      <c r="J58" s="211"/>
      <c r="K58" s="211"/>
      <c r="L58" s="211"/>
      <c r="M58" s="237"/>
      <c r="N58" s="237"/>
      <c r="O58" s="238"/>
      <c r="P58" s="582">
        <f>SUM(P59:P61)</f>
        <v>219938.91</v>
      </c>
      <c r="Q58" s="313"/>
      <c r="T58" s="217"/>
    </row>
    <row r="59" spans="1:22" s="226" customFormat="1" ht="67.5" customHeight="1" x14ac:dyDescent="0.2">
      <c r="A59" s="585" t="s">
        <v>9</v>
      </c>
      <c r="B59" s="218" t="s">
        <v>260</v>
      </c>
      <c r="C59" s="219" t="s">
        <v>11</v>
      </c>
      <c r="D59" s="220">
        <v>0</v>
      </c>
      <c r="E59" s="220">
        <v>0</v>
      </c>
      <c r="F59" s="220">
        <f>D59*E59</f>
        <v>0</v>
      </c>
      <c r="G59" s="220">
        <v>0</v>
      </c>
      <c r="H59" s="220">
        <v>0</v>
      </c>
      <c r="I59" s="220">
        <f>D59-G59</f>
        <v>0</v>
      </c>
      <c r="J59" s="220">
        <f>'Vale Verde 1'!D78</f>
        <v>589.72</v>
      </c>
      <c r="K59" s="220">
        <v>0</v>
      </c>
      <c r="L59" s="220">
        <f>I59+J59-K59</f>
        <v>589.72</v>
      </c>
      <c r="M59" s="221">
        <f>M29</f>
        <v>45.46</v>
      </c>
      <c r="N59" s="221">
        <f>M59*$Q$5</f>
        <v>58.64</v>
      </c>
      <c r="O59" s="246" t="s">
        <v>654</v>
      </c>
      <c r="P59" s="584">
        <f>L59*N59</f>
        <v>34581.18</v>
      </c>
      <c r="Q59" s="311" t="e">
        <f>L59*ORÇAMENTO!H52</f>
        <v>#REF!</v>
      </c>
      <c r="R59" s="224"/>
      <c r="S59" s="225"/>
      <c r="V59" s="227"/>
    </row>
    <row r="60" spans="1:22" s="226" customFormat="1" ht="41.25" customHeight="1" x14ac:dyDescent="0.2">
      <c r="A60" s="585" t="s">
        <v>12</v>
      </c>
      <c r="B60" s="218" t="s">
        <v>643</v>
      </c>
      <c r="C60" s="219" t="s">
        <v>13</v>
      </c>
      <c r="D60" s="220">
        <v>0</v>
      </c>
      <c r="E60" s="220">
        <v>0</v>
      </c>
      <c r="F60" s="220">
        <f>D60*E60</f>
        <v>0</v>
      </c>
      <c r="G60" s="220">
        <v>0</v>
      </c>
      <c r="H60" s="220">
        <v>0</v>
      </c>
      <c r="I60" s="220">
        <f>D60-G60</f>
        <v>0</v>
      </c>
      <c r="J60" s="220">
        <f>'Vale Verde 1'!D79</f>
        <v>1739.21</v>
      </c>
      <c r="K60" s="220">
        <v>0</v>
      </c>
      <c r="L60" s="220">
        <f>I60+J60-K60</f>
        <v>1739.21</v>
      </c>
      <c r="M60" s="221">
        <f>M30</f>
        <v>81.319999999999993</v>
      </c>
      <c r="N60" s="221">
        <f>M60*$Q$5</f>
        <v>104.89</v>
      </c>
      <c r="O60" s="246" t="s">
        <v>655</v>
      </c>
      <c r="P60" s="584">
        <f>L60*N60</f>
        <v>182425.74</v>
      </c>
      <c r="Q60" s="311" t="e">
        <f>L60*ORÇAMENTO!H53</f>
        <v>#REF!</v>
      </c>
      <c r="R60" s="224"/>
      <c r="S60" s="225"/>
      <c r="V60" s="227"/>
    </row>
    <row r="61" spans="1:22" s="226" customFormat="1" ht="25.5" x14ac:dyDescent="0.2">
      <c r="A61" s="585" t="s">
        <v>108</v>
      </c>
      <c r="B61" s="218" t="s">
        <v>306</v>
      </c>
      <c r="C61" s="219" t="s">
        <v>11</v>
      </c>
      <c r="D61" s="220">
        <v>0</v>
      </c>
      <c r="E61" s="220">
        <v>0</v>
      </c>
      <c r="F61" s="220">
        <f>D61*E61</f>
        <v>0</v>
      </c>
      <c r="G61" s="220">
        <v>0</v>
      </c>
      <c r="H61" s="220">
        <v>0</v>
      </c>
      <c r="I61" s="220">
        <f>D61-G61</f>
        <v>0</v>
      </c>
      <c r="J61" s="220">
        <f>'Vale Verde 1'!D80</f>
        <v>47.07</v>
      </c>
      <c r="K61" s="220">
        <v>0</v>
      </c>
      <c r="L61" s="220">
        <f>I61+J61-K61</f>
        <v>47.07</v>
      </c>
      <c r="M61" s="221">
        <f>'Composição Custos Unit'!G20</f>
        <v>48.29</v>
      </c>
      <c r="N61" s="221">
        <f>M61*$Q$5</f>
        <v>62.29</v>
      </c>
      <c r="O61" s="316" t="s">
        <v>656</v>
      </c>
      <c r="P61" s="584">
        <f>L61*N61</f>
        <v>2931.99</v>
      </c>
      <c r="Q61" s="311" t="e">
        <f>L61*ORÇAMENTO!H54</f>
        <v>#REF!</v>
      </c>
      <c r="R61" s="224"/>
      <c r="S61" s="225"/>
      <c r="V61" s="227"/>
    </row>
    <row r="62" spans="1:22" s="202" customFormat="1" ht="5.0999999999999996" customHeight="1" x14ac:dyDescent="0.2">
      <c r="A62" s="586"/>
      <c r="B62" s="239"/>
      <c r="C62" s="219"/>
      <c r="D62" s="220"/>
      <c r="E62" s="220"/>
      <c r="F62" s="220"/>
      <c r="G62" s="220"/>
      <c r="H62" s="220"/>
      <c r="I62" s="220"/>
      <c r="J62" s="220"/>
      <c r="K62" s="220"/>
      <c r="L62" s="220"/>
      <c r="M62" s="221"/>
      <c r="N62" s="221"/>
      <c r="O62" s="222"/>
      <c r="P62" s="587"/>
      <c r="Q62" s="229"/>
      <c r="S62" s="230"/>
    </row>
    <row r="63" spans="1:22" s="216" customFormat="1" ht="12.75" customHeight="1" x14ac:dyDescent="0.2">
      <c r="A63" s="588" t="s">
        <v>14</v>
      </c>
      <c r="B63" s="240" t="s">
        <v>610</v>
      </c>
      <c r="C63" s="219"/>
      <c r="D63" s="220"/>
      <c r="E63" s="220"/>
      <c r="F63" s="233">
        <f>SUM(F65:F65)</f>
        <v>0</v>
      </c>
      <c r="G63" s="241"/>
      <c r="H63" s="242">
        <f>SUM(H65:H65)</f>
        <v>0</v>
      </c>
      <c r="I63" s="241"/>
      <c r="J63" s="241"/>
      <c r="K63" s="241"/>
      <c r="L63" s="241"/>
      <c r="M63" s="221"/>
      <c r="N63" s="221"/>
      <c r="O63" s="222"/>
      <c r="P63" s="589" t="e">
        <f>SUM(P64:P66)</f>
        <v>#REF!</v>
      </c>
      <c r="Q63" s="215"/>
      <c r="T63" s="217"/>
    </row>
    <row r="64" spans="1:22" s="226" customFormat="1" ht="51" x14ac:dyDescent="0.2">
      <c r="A64" s="585" t="s">
        <v>15</v>
      </c>
      <c r="B64" s="261" t="s">
        <v>644</v>
      </c>
      <c r="C64" s="234" t="s">
        <v>13</v>
      </c>
      <c r="D64" s="220">
        <v>0</v>
      </c>
      <c r="E64" s="220">
        <v>0</v>
      </c>
      <c r="F64" s="220">
        <f>D64*E64</f>
        <v>0</v>
      </c>
      <c r="G64" s="220">
        <v>0</v>
      </c>
      <c r="H64" s="220">
        <v>0</v>
      </c>
      <c r="I64" s="220">
        <v>0</v>
      </c>
      <c r="J64" s="220">
        <f>'Vale Verde 1'!D83</f>
        <v>108.16</v>
      </c>
      <c r="K64" s="220">
        <v>0</v>
      </c>
      <c r="L64" s="220">
        <f>I64+J64-K64</f>
        <v>108.16</v>
      </c>
      <c r="M64" s="221">
        <v>73.16</v>
      </c>
      <c r="N64" s="221">
        <f>M64*$Q$5</f>
        <v>94.37</v>
      </c>
      <c r="O64" s="271" t="s">
        <v>645</v>
      </c>
      <c r="P64" s="584">
        <f>L64*N64</f>
        <v>10207.06</v>
      </c>
      <c r="Q64" s="223"/>
      <c r="R64" s="224"/>
      <c r="S64" s="225"/>
      <c r="V64" s="227"/>
    </row>
    <row r="65" spans="1:22" s="226" customFormat="1" ht="38.25" x14ac:dyDescent="0.2">
      <c r="A65" s="585" t="s">
        <v>129</v>
      </c>
      <c r="B65" s="261" t="s">
        <v>127</v>
      </c>
      <c r="C65" s="234" t="s">
        <v>128</v>
      </c>
      <c r="D65" s="220">
        <f>'Planilha CT Original'!F111</f>
        <v>0</v>
      </c>
      <c r="E65" s="220">
        <f>'Planilha CT Original'!H111</f>
        <v>0</v>
      </c>
      <c r="F65" s="220">
        <f>D65*E65</f>
        <v>0</v>
      </c>
      <c r="G65" s="220">
        <v>0</v>
      </c>
      <c r="H65" s="220">
        <f>E65*G65</f>
        <v>0</v>
      </c>
      <c r="I65" s="220">
        <f>D65-G65</f>
        <v>0</v>
      </c>
      <c r="J65" s="220">
        <f>'Vale Verde 1'!D84</f>
        <v>34.92</v>
      </c>
      <c r="K65" s="220">
        <v>0</v>
      </c>
      <c r="L65" s="220">
        <f>I65+J65-K65</f>
        <v>34.92</v>
      </c>
      <c r="M65" s="221">
        <f>M11</f>
        <v>699.25</v>
      </c>
      <c r="N65" s="221">
        <f>M65*$Q$5</f>
        <v>901.96</v>
      </c>
      <c r="O65" s="316" t="str">
        <f>O11</f>
        <v>94990 SINAPI
Out/23</v>
      </c>
      <c r="P65" s="584">
        <f>L65*N65</f>
        <v>31496.44</v>
      </c>
      <c r="Q65" s="223"/>
      <c r="R65" s="224"/>
      <c r="S65" s="225"/>
      <c r="V65" s="227"/>
    </row>
    <row r="66" spans="1:22" s="226" customFormat="1" ht="53.25" customHeight="1" x14ac:dyDescent="0.2">
      <c r="A66" s="585" t="s">
        <v>131</v>
      </c>
      <c r="B66" s="261" t="s">
        <v>640</v>
      </c>
      <c r="C66" s="219" t="s">
        <v>13</v>
      </c>
      <c r="D66" s="220">
        <v>0</v>
      </c>
      <c r="E66" s="220" t="e">
        <f>'Planilha Consolidada'!#REF!</f>
        <v>#REF!</v>
      </c>
      <c r="F66" s="220" t="e">
        <f>D66*E66</f>
        <v>#REF!</v>
      </c>
      <c r="G66" s="220">
        <v>0</v>
      </c>
      <c r="H66" s="220" t="e">
        <f>E66*G66</f>
        <v>#REF!</v>
      </c>
      <c r="I66" s="220">
        <f>D66-G66</f>
        <v>0</v>
      </c>
      <c r="J66" s="220">
        <f>'Vale Verde 1'!D85</f>
        <v>105.48</v>
      </c>
      <c r="K66" s="220">
        <v>0</v>
      </c>
      <c r="L66" s="220">
        <f>I66+J66-K66</f>
        <v>105.48</v>
      </c>
      <c r="M66" s="221" t="e">
        <f>M16</f>
        <v>#REF!</v>
      </c>
      <c r="N66" s="221" t="e">
        <f>M66*$Q$5</f>
        <v>#REF!</v>
      </c>
      <c r="O66" s="316" t="str">
        <f>O16</f>
        <v>Composição 03 (Base 09417/ORSE)</v>
      </c>
      <c r="P66" s="584" t="e">
        <f>L66*N66</f>
        <v>#REF!</v>
      </c>
      <c r="Q66" s="223"/>
      <c r="R66" s="224"/>
      <c r="S66" s="225"/>
      <c r="V66" s="227"/>
    </row>
    <row r="67" spans="1:22" s="202" customFormat="1" ht="5.0999999999999996" customHeight="1" x14ac:dyDescent="0.2">
      <c r="A67" s="586"/>
      <c r="B67" s="239"/>
      <c r="C67" s="219"/>
      <c r="D67" s="220"/>
      <c r="E67" s="220"/>
      <c r="F67" s="220"/>
      <c r="G67" s="220"/>
      <c r="H67" s="220"/>
      <c r="I67" s="220"/>
      <c r="J67" s="220"/>
      <c r="K67" s="220"/>
      <c r="L67" s="220"/>
      <c r="M67" s="220"/>
      <c r="N67" s="220"/>
      <c r="O67" s="236"/>
      <c r="P67" s="587"/>
      <c r="Q67" s="229"/>
      <c r="S67" s="230"/>
    </row>
    <row r="68" spans="1:22" s="216" customFormat="1" ht="12.75" customHeight="1" x14ac:dyDescent="0.2">
      <c r="A68" s="588" t="s">
        <v>157</v>
      </c>
      <c r="B68" s="240" t="s">
        <v>291</v>
      </c>
      <c r="C68" s="219"/>
      <c r="D68" s="220"/>
      <c r="E68" s="220"/>
      <c r="F68" s="231" t="e">
        <f>SUM(F69:F71)</f>
        <v>#REF!</v>
      </c>
      <c r="G68" s="241"/>
      <c r="H68" s="233" t="e">
        <f>SUM(H69:H71)</f>
        <v>#REF!</v>
      </c>
      <c r="I68" s="241"/>
      <c r="J68" s="241"/>
      <c r="K68" s="241"/>
      <c r="L68" s="241"/>
      <c r="M68" s="221"/>
      <c r="N68" s="221"/>
      <c r="O68" s="222"/>
      <c r="P68" s="589" t="e">
        <f>SUM(P69:P72)</f>
        <v>#REF!</v>
      </c>
      <c r="Q68" s="215"/>
      <c r="T68" s="217"/>
    </row>
    <row r="69" spans="1:22" s="226" customFormat="1" ht="38.25" x14ac:dyDescent="0.2">
      <c r="A69" s="585" t="s">
        <v>158</v>
      </c>
      <c r="B69" s="261" t="s">
        <v>642</v>
      </c>
      <c r="C69" s="219" t="str">
        <f>C39</f>
        <v>m³</v>
      </c>
      <c r="D69" s="220">
        <f>'Planilha CT Original'!F99</f>
        <v>0</v>
      </c>
      <c r="E69" s="220" t="e">
        <f>'Planilha Consolidada'!#REF!</f>
        <v>#REF!</v>
      </c>
      <c r="F69" s="220" t="e">
        <f>D69*E69</f>
        <v>#REF!</v>
      </c>
      <c r="G69" s="220">
        <v>0</v>
      </c>
      <c r="H69" s="220" t="e">
        <f>E69*G69</f>
        <v>#REF!</v>
      </c>
      <c r="I69" s="220">
        <f>D69-G69</f>
        <v>0</v>
      </c>
      <c r="J69" s="220">
        <f>'Vale Verde 1'!D88</f>
        <v>5.24</v>
      </c>
      <c r="K69" s="220">
        <v>0</v>
      </c>
      <c r="L69" s="220">
        <f>I69+J69-K69</f>
        <v>5.24</v>
      </c>
      <c r="M69" s="221">
        <f>M39</f>
        <v>407.9</v>
      </c>
      <c r="N69" s="221">
        <f>M69*$Q$5</f>
        <v>526.15</v>
      </c>
      <c r="O69" s="316" t="str">
        <f>O39</f>
        <v>94963 SINAPI
Out/23</v>
      </c>
      <c r="P69" s="584">
        <f>L69*N69</f>
        <v>2757.03</v>
      </c>
      <c r="Q69" s="223"/>
      <c r="R69" s="224"/>
      <c r="S69" s="225"/>
      <c r="V69" s="227"/>
    </row>
    <row r="70" spans="1:22" s="226" customFormat="1" ht="40.5" customHeight="1" x14ac:dyDescent="0.2">
      <c r="A70" s="585" t="s">
        <v>170</v>
      </c>
      <c r="B70" s="261" t="s">
        <v>608</v>
      </c>
      <c r="C70" s="219" t="str">
        <f>C40</f>
        <v>m³</v>
      </c>
      <c r="D70" s="220">
        <f>'Planilha CT Original'!F100</f>
        <v>0</v>
      </c>
      <c r="E70" s="220" t="e">
        <f>'Planilha Consolidada'!#REF!</f>
        <v>#REF!</v>
      </c>
      <c r="F70" s="220" t="e">
        <f>D70*E70</f>
        <v>#REF!</v>
      </c>
      <c r="G70" s="220">
        <v>0</v>
      </c>
      <c r="H70" s="220" t="e">
        <f>E70*G70</f>
        <v>#REF!</v>
      </c>
      <c r="I70" s="220">
        <f>D70-G70</f>
        <v>0</v>
      </c>
      <c r="J70" s="220">
        <f>'Vale Verde 1'!D89</f>
        <v>5.24</v>
      </c>
      <c r="K70" s="220">
        <v>0</v>
      </c>
      <c r="L70" s="220">
        <f>I70+J70-K70</f>
        <v>5.24</v>
      </c>
      <c r="M70" s="221">
        <f>M40</f>
        <v>223.27</v>
      </c>
      <c r="N70" s="221">
        <f>M70*$Q$5</f>
        <v>288</v>
      </c>
      <c r="O70" s="316" t="str">
        <f>O40</f>
        <v>103670 SINAPI
Out/23</v>
      </c>
      <c r="P70" s="584">
        <f>L70*N70</f>
        <v>1509.12</v>
      </c>
      <c r="Q70" s="223"/>
      <c r="R70" s="224"/>
      <c r="S70" s="225"/>
      <c r="V70" s="227"/>
    </row>
    <row r="71" spans="1:22" s="226" customFormat="1" ht="51" x14ac:dyDescent="0.2">
      <c r="A71" s="585" t="s">
        <v>203</v>
      </c>
      <c r="B71" s="261" t="s">
        <v>640</v>
      </c>
      <c r="C71" s="219" t="str">
        <f>C41</f>
        <v>m²</v>
      </c>
      <c r="D71" s="220">
        <f>'Planilha CT Original'!F101</f>
        <v>0</v>
      </c>
      <c r="E71" s="220" t="e">
        <f>'Planilha Consolidada'!#REF!</f>
        <v>#REF!</v>
      </c>
      <c r="F71" s="220" t="e">
        <f>D71*E71</f>
        <v>#REF!</v>
      </c>
      <c r="G71" s="220">
        <v>0</v>
      </c>
      <c r="H71" s="220" t="e">
        <f>E71*G71</f>
        <v>#REF!</v>
      </c>
      <c r="I71" s="220">
        <f>D71-G71</f>
        <v>0</v>
      </c>
      <c r="J71" s="220">
        <f>'Vale Verde 1'!D90</f>
        <v>7.8</v>
      </c>
      <c r="K71" s="220">
        <v>0</v>
      </c>
      <c r="L71" s="220">
        <f>I71+J71-K71</f>
        <v>7.8</v>
      </c>
      <c r="M71" s="221" t="e">
        <f>M41</f>
        <v>#REF!</v>
      </c>
      <c r="N71" s="221" t="e">
        <f>M71*$Q$5</f>
        <v>#REF!</v>
      </c>
      <c r="O71" s="316" t="str">
        <f>O41</f>
        <v>Composição 03 (Base 09417/ORSE)</v>
      </c>
      <c r="P71" s="584" t="e">
        <f>L71*N71</f>
        <v>#REF!</v>
      </c>
      <c r="Q71" s="223"/>
      <c r="R71" s="224"/>
      <c r="S71" s="225"/>
      <c r="V71" s="227"/>
    </row>
    <row r="72" spans="1:22" s="226" customFormat="1" ht="25.5" x14ac:dyDescent="0.2">
      <c r="A72" s="585" t="s">
        <v>181</v>
      </c>
      <c r="B72" s="261" t="s">
        <v>609</v>
      </c>
      <c r="C72" s="219" t="str">
        <f>C42</f>
        <v>m²</v>
      </c>
      <c r="D72" s="220">
        <v>0</v>
      </c>
      <c r="E72" s="220">
        <v>0</v>
      </c>
      <c r="F72" s="220">
        <v>0</v>
      </c>
      <c r="G72" s="220">
        <v>0</v>
      </c>
      <c r="H72" s="220">
        <v>0</v>
      </c>
      <c r="I72" s="220">
        <v>0</v>
      </c>
      <c r="J72" s="220">
        <f>'Vale Verde 1'!D91</f>
        <v>90</v>
      </c>
      <c r="K72" s="220">
        <v>0</v>
      </c>
      <c r="L72" s="220">
        <f>I72+J72-K72</f>
        <v>90</v>
      </c>
      <c r="M72" s="221">
        <f>M42</f>
        <v>14.87</v>
      </c>
      <c r="N72" s="221">
        <f>M72*$Q$5</f>
        <v>19.18</v>
      </c>
      <c r="O72" s="316" t="str">
        <f>O42</f>
        <v>102491 SINAPI
Out/23</v>
      </c>
      <c r="P72" s="584">
        <f>L72*N72</f>
        <v>1726.2</v>
      </c>
      <c r="Q72" s="223"/>
      <c r="R72" s="224"/>
      <c r="S72" s="225"/>
    </row>
    <row r="73" spans="1:22" s="202" customFormat="1" ht="5.0999999999999996" customHeight="1" x14ac:dyDescent="0.2">
      <c r="A73" s="586"/>
      <c r="B73" s="239"/>
      <c r="C73" s="219"/>
      <c r="D73" s="220"/>
      <c r="E73" s="220"/>
      <c r="F73" s="220"/>
      <c r="G73" s="220"/>
      <c r="H73" s="220"/>
      <c r="I73" s="220"/>
      <c r="J73" s="220"/>
      <c r="K73" s="220"/>
      <c r="L73" s="220"/>
      <c r="M73" s="220"/>
      <c r="N73" s="220"/>
      <c r="O73" s="236"/>
      <c r="P73" s="587"/>
      <c r="Q73" s="229"/>
      <c r="S73" s="230"/>
    </row>
    <row r="74" spans="1:22" s="216" customFormat="1" ht="12.75" customHeight="1" x14ac:dyDescent="0.2">
      <c r="A74" s="655" t="s">
        <v>174</v>
      </c>
      <c r="B74" s="240" t="s">
        <v>292</v>
      </c>
      <c r="C74" s="219"/>
      <c r="D74" s="220"/>
      <c r="E74" s="220"/>
      <c r="F74" s="233">
        <f>SUM(F76:F76)</f>
        <v>0</v>
      </c>
      <c r="G74" s="241"/>
      <c r="H74" s="242">
        <f>SUM(H76:H76)</f>
        <v>0</v>
      </c>
      <c r="I74" s="241"/>
      <c r="J74" s="241"/>
      <c r="K74" s="241"/>
      <c r="L74" s="241"/>
      <c r="M74" s="221"/>
      <c r="N74" s="221"/>
      <c r="O74" s="222"/>
      <c r="P74" s="589" t="e">
        <f>SUM(P75:P77)</f>
        <v>#REF!</v>
      </c>
      <c r="Q74" s="215"/>
      <c r="T74" s="217"/>
    </row>
    <row r="75" spans="1:22" s="226" customFormat="1" ht="25.5" x14ac:dyDescent="0.2">
      <c r="A75" s="585" t="s">
        <v>175</v>
      </c>
      <c r="B75" s="261" t="s">
        <v>633</v>
      </c>
      <c r="C75" s="234" t="s">
        <v>13</v>
      </c>
      <c r="D75" s="220">
        <v>0</v>
      </c>
      <c r="E75" s="220">
        <f>'Planilha CT Original'!H119</f>
        <v>0</v>
      </c>
      <c r="F75" s="220">
        <f>D75*E75</f>
        <v>0</v>
      </c>
      <c r="G75" s="220">
        <v>0</v>
      </c>
      <c r="H75" s="220">
        <v>0</v>
      </c>
      <c r="I75" s="220">
        <f>D75-G75</f>
        <v>0</v>
      </c>
      <c r="J75" s="220">
        <f>'Vale Verde 1'!D94</f>
        <v>165.12</v>
      </c>
      <c r="K75" s="220">
        <v>0</v>
      </c>
      <c r="L75" s="220">
        <f>I75+J75-K75</f>
        <v>165.12</v>
      </c>
      <c r="M75" s="221">
        <f>M45</f>
        <v>1.25</v>
      </c>
      <c r="N75" s="221">
        <f>M75*$Q$5</f>
        <v>1.61</v>
      </c>
      <c r="O75" s="271" t="s">
        <v>658</v>
      </c>
      <c r="P75" s="584">
        <f>L75*N75</f>
        <v>265.83999999999997</v>
      </c>
      <c r="Q75" s="223"/>
      <c r="R75" s="224"/>
      <c r="S75" s="225"/>
      <c r="V75" s="227"/>
    </row>
    <row r="76" spans="1:22" s="226" customFormat="1" ht="67.5" customHeight="1" x14ac:dyDescent="0.2">
      <c r="A76" s="585" t="s">
        <v>246</v>
      </c>
      <c r="B76" s="261" t="s">
        <v>312</v>
      </c>
      <c r="C76" s="234" t="s">
        <v>279</v>
      </c>
      <c r="D76" s="220">
        <v>0</v>
      </c>
      <c r="E76" s="220">
        <f>'Planilha CT Original'!H118</f>
        <v>0</v>
      </c>
      <c r="F76" s="220">
        <f>D76*E76</f>
        <v>0</v>
      </c>
      <c r="G76" s="220">
        <v>0</v>
      </c>
      <c r="H76" s="220">
        <v>0</v>
      </c>
      <c r="I76" s="220">
        <f>D76-G76</f>
        <v>0</v>
      </c>
      <c r="J76" s="220">
        <f>'Vale Verde 1'!D95</f>
        <v>2</v>
      </c>
      <c r="K76" s="220">
        <v>0</v>
      </c>
      <c r="L76" s="220">
        <f>I76+J76-K76</f>
        <v>2</v>
      </c>
      <c r="M76" s="221" t="e">
        <f>'Composição Custos Unit'!#REF!</f>
        <v>#REF!</v>
      </c>
      <c r="N76" s="221" t="e">
        <f>M76*$Q$5</f>
        <v>#REF!</v>
      </c>
      <c r="O76" s="316" t="s">
        <v>659</v>
      </c>
      <c r="P76" s="584" t="e">
        <f>L76*N76</f>
        <v>#REF!</v>
      </c>
      <c r="Q76" s="223">
        <f>L76*ORÇAMENTO!H72</f>
        <v>0</v>
      </c>
      <c r="R76" s="224"/>
      <c r="S76" s="225"/>
      <c r="V76" s="227"/>
    </row>
    <row r="77" spans="1:22" s="226" customFormat="1" ht="51.75" customHeight="1" x14ac:dyDescent="0.2">
      <c r="A77" s="585" t="s">
        <v>247</v>
      </c>
      <c r="B77" s="261" t="s">
        <v>499</v>
      </c>
      <c r="C77" s="234" t="s">
        <v>279</v>
      </c>
      <c r="D77" s="220">
        <v>0</v>
      </c>
      <c r="E77" s="220">
        <f>'Planilha CT Original'!H120</f>
        <v>0</v>
      </c>
      <c r="F77" s="220">
        <f>D77*E77</f>
        <v>0</v>
      </c>
      <c r="G77" s="220">
        <v>0</v>
      </c>
      <c r="H77" s="220">
        <v>0</v>
      </c>
      <c r="I77" s="220">
        <f>D77-G77</f>
        <v>0</v>
      </c>
      <c r="J77" s="220">
        <f>'Vale Verde 1'!D96</f>
        <v>2</v>
      </c>
      <c r="K77" s="220">
        <v>0</v>
      </c>
      <c r="L77" s="220">
        <f>I77+J77-K77</f>
        <v>2</v>
      </c>
      <c r="M77" s="221">
        <f>'Composição Custos Unit'!G35</f>
        <v>140.27000000000001</v>
      </c>
      <c r="N77" s="221">
        <f>M77*$Q$5</f>
        <v>180.93</v>
      </c>
      <c r="O77" s="271" t="s">
        <v>660</v>
      </c>
      <c r="P77" s="584">
        <f>L77*N77</f>
        <v>361.86</v>
      </c>
      <c r="Q77" s="223"/>
      <c r="R77" s="224"/>
      <c r="S77" s="225"/>
      <c r="V77" s="227"/>
    </row>
    <row r="78" spans="1:22" s="202" customFormat="1" ht="4.5" customHeight="1" thickBot="1" x14ac:dyDescent="0.25">
      <c r="A78" s="656"/>
      <c r="B78" s="327"/>
      <c r="C78" s="328"/>
      <c r="D78" s="329"/>
      <c r="E78" s="329"/>
      <c r="F78" s="329"/>
      <c r="G78" s="329"/>
      <c r="H78" s="329"/>
      <c r="I78" s="329"/>
      <c r="J78" s="329"/>
      <c r="K78" s="329"/>
      <c r="L78" s="329"/>
      <c r="M78" s="330"/>
      <c r="N78" s="330"/>
      <c r="O78" s="331"/>
      <c r="P78" s="657"/>
      <c r="Q78" s="229"/>
    </row>
    <row r="79" spans="1:22" s="254" customFormat="1" ht="20.25" customHeight="1" thickBot="1" x14ac:dyDescent="0.25">
      <c r="A79" s="743" t="s">
        <v>638</v>
      </c>
      <c r="B79" s="744"/>
      <c r="C79" s="744"/>
      <c r="D79" s="744"/>
      <c r="E79" s="744"/>
      <c r="F79" s="744"/>
      <c r="G79" s="744"/>
      <c r="H79" s="744"/>
      <c r="I79" s="744"/>
      <c r="J79" s="744"/>
      <c r="K79" s="744"/>
      <c r="L79" s="744"/>
      <c r="M79" s="744"/>
      <c r="N79" s="744"/>
      <c r="O79" s="745"/>
      <c r="P79" s="560" t="e">
        <f>P51+P55+P58+P63+P68+P74</f>
        <v>#REF!</v>
      </c>
      <c r="Q79" s="253"/>
      <c r="T79" s="255"/>
    </row>
    <row r="80" spans="1:22" s="202" customFormat="1" ht="5.0999999999999996" customHeight="1" thickBot="1" x14ac:dyDescent="0.25">
      <c r="A80" s="586"/>
      <c r="B80" s="228"/>
      <c r="C80" s="219"/>
      <c r="D80" s="220"/>
      <c r="E80" s="220"/>
      <c r="F80" s="220"/>
      <c r="G80" s="220"/>
      <c r="H80" s="220"/>
      <c r="I80" s="220"/>
      <c r="J80" s="220"/>
      <c r="K80" s="220"/>
      <c r="L80" s="220"/>
      <c r="M80" s="220"/>
      <c r="N80" s="220"/>
      <c r="O80" s="236"/>
      <c r="P80" s="587"/>
      <c r="Q80" s="229"/>
      <c r="S80" s="230"/>
    </row>
    <row r="81" spans="1:22" s="202" customFormat="1" ht="18" customHeight="1" thickBot="1" x14ac:dyDescent="0.3">
      <c r="A81" s="825" t="str">
        <f>'Vale Verde 2'!A6:B6</f>
        <v>RUA PROJETADA 2 (Vale Verde)</v>
      </c>
      <c r="B81" s="822"/>
      <c r="C81" s="822"/>
      <c r="D81" s="822"/>
      <c r="E81" s="822"/>
      <c r="F81" s="822"/>
      <c r="G81" s="822"/>
      <c r="H81" s="822"/>
      <c r="I81" s="822"/>
      <c r="J81" s="822"/>
      <c r="K81" s="822"/>
      <c r="L81" s="822"/>
      <c r="M81" s="822"/>
      <c r="N81" s="822"/>
      <c r="O81" s="822"/>
      <c r="P81" s="826"/>
      <c r="Q81" s="205"/>
      <c r="R81" s="205"/>
      <c r="S81" s="205"/>
      <c r="T81" s="207"/>
      <c r="U81" s="208"/>
    </row>
    <row r="82" spans="1:22" s="216" customFormat="1" ht="12.75" customHeight="1" x14ac:dyDescent="0.2">
      <c r="A82" s="652" t="s">
        <v>4</v>
      </c>
      <c r="B82" s="209" t="s">
        <v>277</v>
      </c>
      <c r="C82" s="210"/>
      <c r="D82" s="211"/>
      <c r="E82" s="211"/>
      <c r="F82" s="213">
        <f>SUM(F83:F83)</f>
        <v>0</v>
      </c>
      <c r="G82" s="211"/>
      <c r="H82" s="213">
        <f>SUM(H83:H83)</f>
        <v>0</v>
      </c>
      <c r="I82" s="211"/>
      <c r="J82" s="211"/>
      <c r="K82" s="211"/>
      <c r="L82" s="213"/>
      <c r="M82" s="212"/>
      <c r="N82" s="212"/>
      <c r="O82" s="214"/>
      <c r="P82" s="582">
        <f>SUM(P83:P83)</f>
        <v>157.77000000000001</v>
      </c>
      <c r="Q82" s="215"/>
      <c r="T82" s="217"/>
    </row>
    <row r="83" spans="1:22" s="226" customFormat="1" ht="25.5" x14ac:dyDescent="0.2">
      <c r="A83" s="585" t="s">
        <v>86</v>
      </c>
      <c r="B83" s="218" t="s">
        <v>303</v>
      </c>
      <c r="C83" s="234" t="s">
        <v>11</v>
      </c>
      <c r="D83" s="220">
        <v>0</v>
      </c>
      <c r="E83" s="220">
        <v>0</v>
      </c>
      <c r="F83" s="220">
        <f>D83*E83</f>
        <v>0</v>
      </c>
      <c r="G83" s="220">
        <v>0</v>
      </c>
      <c r="H83" s="220">
        <v>0</v>
      </c>
      <c r="I83" s="220">
        <f>D83-G83</f>
        <v>0</v>
      </c>
      <c r="J83" s="220">
        <f>'Vale Verde 2'!D74</f>
        <v>267.39999999999998</v>
      </c>
      <c r="K83" s="220">
        <v>0</v>
      </c>
      <c r="L83" s="220">
        <f>I83+J83-K83</f>
        <v>267.39999999999998</v>
      </c>
      <c r="M83" s="221">
        <f>M53</f>
        <v>0.46</v>
      </c>
      <c r="N83" s="221">
        <f>M83*$Q$5</f>
        <v>0.59</v>
      </c>
      <c r="O83" s="246" t="s">
        <v>652</v>
      </c>
      <c r="P83" s="584">
        <f>L83*N83</f>
        <v>157.77000000000001</v>
      </c>
      <c r="Q83" s="310">
        <f>J83*ORÇAMENTO!H84</f>
        <v>0</v>
      </c>
      <c r="R83" s="224"/>
      <c r="S83" s="225"/>
      <c r="V83" s="227"/>
    </row>
    <row r="84" spans="1:22" s="202" customFormat="1" ht="5.0999999999999996" customHeight="1" x14ac:dyDescent="0.2">
      <c r="A84" s="586"/>
      <c r="B84" s="228"/>
      <c r="C84" s="219"/>
      <c r="D84" s="220"/>
      <c r="E84" s="220"/>
      <c r="F84" s="220"/>
      <c r="G84" s="220"/>
      <c r="H84" s="220"/>
      <c r="I84" s="220"/>
      <c r="J84" s="220"/>
      <c r="K84" s="220"/>
      <c r="L84" s="220"/>
      <c r="M84" s="221"/>
      <c r="N84" s="221"/>
      <c r="O84" s="222"/>
      <c r="P84" s="587"/>
      <c r="Q84" s="229"/>
      <c r="S84" s="230"/>
    </row>
    <row r="85" spans="1:22" s="216" customFormat="1" ht="12.75" customHeight="1" x14ac:dyDescent="0.2">
      <c r="A85" s="652" t="s">
        <v>6</v>
      </c>
      <c r="B85" s="209" t="s">
        <v>278</v>
      </c>
      <c r="C85" s="210"/>
      <c r="D85" s="220"/>
      <c r="E85" s="232"/>
      <c r="F85" s="233">
        <f>SUM(F86:F86)</f>
        <v>0</v>
      </c>
      <c r="G85" s="211"/>
      <c r="H85" s="213">
        <f>SUM(H86:H86)</f>
        <v>0</v>
      </c>
      <c r="I85" s="211"/>
      <c r="J85" s="211"/>
      <c r="K85" s="211"/>
      <c r="L85" s="211"/>
      <c r="M85" s="221"/>
      <c r="N85" s="221"/>
      <c r="O85" s="222"/>
      <c r="P85" s="582">
        <f>SUM(P86:P86)</f>
        <v>4257.47</v>
      </c>
      <c r="Q85" s="215"/>
      <c r="T85" s="217">
        <v>1.2097</v>
      </c>
    </row>
    <row r="86" spans="1:22" s="226" customFormat="1" ht="26.25" customHeight="1" x14ac:dyDescent="0.2">
      <c r="A86" s="585" t="s">
        <v>7</v>
      </c>
      <c r="B86" s="218" t="s">
        <v>280</v>
      </c>
      <c r="C86" s="234" t="s">
        <v>13</v>
      </c>
      <c r="D86" s="220">
        <v>0</v>
      </c>
      <c r="E86" s="220">
        <v>0</v>
      </c>
      <c r="F86" s="220">
        <f>D86*E86</f>
        <v>0</v>
      </c>
      <c r="G86" s="220">
        <v>0</v>
      </c>
      <c r="H86" s="220">
        <v>0</v>
      </c>
      <c r="I86" s="220">
        <f>D86-G86</f>
        <v>0</v>
      </c>
      <c r="J86" s="220">
        <f>'Vale Verde 2'!D77</f>
        <v>1428.68</v>
      </c>
      <c r="K86" s="220">
        <v>0</v>
      </c>
      <c r="L86" s="220">
        <f>I86+J86-K86</f>
        <v>1428.68</v>
      </c>
      <c r="M86" s="221">
        <f>M56</f>
        <v>2.31</v>
      </c>
      <c r="N86" s="221">
        <f>M86*$Q$5</f>
        <v>2.98</v>
      </c>
      <c r="O86" s="246" t="s">
        <v>651</v>
      </c>
      <c r="P86" s="584">
        <f>L86*N86</f>
        <v>4257.47</v>
      </c>
      <c r="Q86" s="311" t="e">
        <f>L86*ORÇAMENTO!H86</f>
        <v>#REF!</v>
      </c>
      <c r="R86" s="224"/>
      <c r="S86" s="225"/>
      <c r="V86" s="227"/>
    </row>
    <row r="87" spans="1:22" s="202" customFormat="1" ht="5.0999999999999996" customHeight="1" x14ac:dyDescent="0.2">
      <c r="A87" s="586"/>
      <c r="B87" s="228"/>
      <c r="C87" s="219"/>
      <c r="D87" s="220"/>
      <c r="E87" s="220"/>
      <c r="F87" s="220"/>
      <c r="G87" s="220"/>
      <c r="H87" s="220"/>
      <c r="I87" s="220"/>
      <c r="J87" s="220"/>
      <c r="K87" s="220"/>
      <c r="L87" s="220"/>
      <c r="M87" s="220"/>
      <c r="N87" s="220"/>
      <c r="O87" s="236"/>
      <c r="P87" s="587"/>
      <c r="Q87" s="312"/>
      <c r="S87" s="230"/>
    </row>
    <row r="88" spans="1:22" s="216" customFormat="1" ht="12.75" customHeight="1" x14ac:dyDescent="0.2">
      <c r="A88" s="652" t="s">
        <v>8</v>
      </c>
      <c r="B88" s="209" t="s">
        <v>20</v>
      </c>
      <c r="C88" s="210"/>
      <c r="D88" s="211"/>
      <c r="E88" s="211"/>
      <c r="F88" s="233">
        <f>SUM(F89:F91)</f>
        <v>0</v>
      </c>
      <c r="G88" s="211"/>
      <c r="H88" s="213">
        <f>SUM(H89:H91)</f>
        <v>0</v>
      </c>
      <c r="I88" s="211"/>
      <c r="J88" s="211"/>
      <c r="K88" s="211"/>
      <c r="L88" s="211"/>
      <c r="M88" s="237"/>
      <c r="N88" s="237"/>
      <c r="O88" s="238"/>
      <c r="P88" s="582">
        <f>SUM(P89:P91)</f>
        <v>183802.94</v>
      </c>
      <c r="Q88" s="313"/>
      <c r="T88" s="217"/>
    </row>
    <row r="89" spans="1:22" s="226" customFormat="1" ht="67.5" customHeight="1" x14ac:dyDescent="0.2">
      <c r="A89" s="585" t="s">
        <v>9</v>
      </c>
      <c r="B89" s="218" t="s">
        <v>260</v>
      </c>
      <c r="C89" s="219" t="s">
        <v>11</v>
      </c>
      <c r="D89" s="220">
        <v>0</v>
      </c>
      <c r="E89" s="220">
        <v>0</v>
      </c>
      <c r="F89" s="220">
        <f>D89*E89</f>
        <v>0</v>
      </c>
      <c r="G89" s="220">
        <v>0</v>
      </c>
      <c r="H89" s="220">
        <v>0</v>
      </c>
      <c r="I89" s="220">
        <f>D89-G89</f>
        <v>0</v>
      </c>
      <c r="J89" s="220">
        <f>'Vale Verde 2'!D80</f>
        <v>533.29999999999995</v>
      </c>
      <c r="K89" s="220">
        <v>0</v>
      </c>
      <c r="L89" s="220">
        <f>I89+J89-K89</f>
        <v>533.29999999999995</v>
      </c>
      <c r="M89" s="221">
        <f>M59</f>
        <v>45.46</v>
      </c>
      <c r="N89" s="221">
        <f>M89*$Q$5</f>
        <v>58.64</v>
      </c>
      <c r="O89" s="246" t="s">
        <v>654</v>
      </c>
      <c r="P89" s="584">
        <f>L89*N89</f>
        <v>31272.71</v>
      </c>
      <c r="Q89" s="311" t="e">
        <f>L89*ORÇAMENTO!H88</f>
        <v>#REF!</v>
      </c>
      <c r="R89" s="224"/>
      <c r="S89" s="225"/>
      <c r="V89" s="227"/>
    </row>
    <row r="90" spans="1:22" s="226" customFormat="1" ht="41.25" customHeight="1" x14ac:dyDescent="0.2">
      <c r="A90" s="585" t="s">
        <v>12</v>
      </c>
      <c r="B90" s="218" t="s">
        <v>643</v>
      </c>
      <c r="C90" s="219" t="s">
        <v>13</v>
      </c>
      <c r="D90" s="220">
        <v>0</v>
      </c>
      <c r="E90" s="220">
        <v>0</v>
      </c>
      <c r="F90" s="220">
        <f>D90*E90</f>
        <v>0</v>
      </c>
      <c r="G90" s="220">
        <v>0</v>
      </c>
      <c r="H90" s="220">
        <v>0</v>
      </c>
      <c r="I90" s="220">
        <f>D90-G90</f>
        <v>0</v>
      </c>
      <c r="J90" s="220">
        <f>'Vale Verde 2'!D81</f>
        <v>1428.68</v>
      </c>
      <c r="K90" s="220">
        <v>0</v>
      </c>
      <c r="L90" s="220">
        <f>I90+J90-K90</f>
        <v>1428.68</v>
      </c>
      <c r="M90" s="221">
        <f>M60</f>
        <v>81.319999999999993</v>
      </c>
      <c r="N90" s="221">
        <f>M90*$Q$5</f>
        <v>104.89</v>
      </c>
      <c r="O90" s="246" t="s">
        <v>655</v>
      </c>
      <c r="P90" s="584">
        <f>L90*N90</f>
        <v>149854.25</v>
      </c>
      <c r="Q90" s="311">
        <f>L90*ORÇAMENTO!H89</f>
        <v>0</v>
      </c>
      <c r="R90" s="224"/>
      <c r="S90" s="225"/>
      <c r="V90" s="227"/>
    </row>
    <row r="91" spans="1:22" s="226" customFormat="1" ht="39.75" customHeight="1" x14ac:dyDescent="0.2">
      <c r="A91" s="585" t="s">
        <v>108</v>
      </c>
      <c r="B91" s="218" t="s">
        <v>306</v>
      </c>
      <c r="C91" s="219" t="s">
        <v>11</v>
      </c>
      <c r="D91" s="220">
        <v>0</v>
      </c>
      <c r="E91" s="220">
        <v>0</v>
      </c>
      <c r="F91" s="220">
        <f>D91*E91</f>
        <v>0</v>
      </c>
      <c r="G91" s="220">
        <v>0</v>
      </c>
      <c r="H91" s="220">
        <v>0</v>
      </c>
      <c r="I91" s="220">
        <f>D91-G91</f>
        <v>0</v>
      </c>
      <c r="J91" s="220">
        <f>'Vale Verde 2'!D82</f>
        <v>42.96</v>
      </c>
      <c r="K91" s="220">
        <v>0</v>
      </c>
      <c r="L91" s="220">
        <f>I91+J91-K91</f>
        <v>42.96</v>
      </c>
      <c r="M91" s="221">
        <f>M61</f>
        <v>48.29</v>
      </c>
      <c r="N91" s="221">
        <f>M91*$Q$5</f>
        <v>62.29</v>
      </c>
      <c r="O91" s="316" t="s">
        <v>656</v>
      </c>
      <c r="P91" s="584">
        <f>L91*N91</f>
        <v>2675.98</v>
      </c>
      <c r="Q91" s="311">
        <f>L91*ORÇAMENTO!H90</f>
        <v>0</v>
      </c>
      <c r="R91" s="224"/>
      <c r="S91" s="225"/>
      <c r="V91" s="227"/>
    </row>
    <row r="92" spans="1:22" s="202" customFormat="1" ht="5.0999999999999996" customHeight="1" x14ac:dyDescent="0.2">
      <c r="A92" s="586"/>
      <c r="B92" s="239"/>
      <c r="C92" s="219"/>
      <c r="D92" s="220"/>
      <c r="E92" s="220"/>
      <c r="F92" s="220"/>
      <c r="G92" s="220"/>
      <c r="H92" s="220"/>
      <c r="I92" s="220"/>
      <c r="J92" s="220"/>
      <c r="K92" s="220"/>
      <c r="L92" s="220"/>
      <c r="M92" s="221"/>
      <c r="N92" s="221"/>
      <c r="O92" s="222"/>
      <c r="P92" s="587"/>
      <c r="Q92" s="229"/>
      <c r="S92" s="230"/>
    </row>
    <row r="93" spans="1:22" s="216" customFormat="1" ht="12.75" customHeight="1" x14ac:dyDescent="0.2">
      <c r="A93" s="588" t="s">
        <v>14</v>
      </c>
      <c r="B93" s="240" t="s">
        <v>610</v>
      </c>
      <c r="C93" s="219"/>
      <c r="D93" s="220"/>
      <c r="E93" s="220"/>
      <c r="F93" s="233">
        <f>SUM(F95:F95)</f>
        <v>0</v>
      </c>
      <c r="G93" s="241"/>
      <c r="H93" s="242">
        <f>SUM(H95:H95)</f>
        <v>0</v>
      </c>
      <c r="I93" s="241"/>
      <c r="J93" s="241"/>
      <c r="K93" s="241"/>
      <c r="L93" s="241"/>
      <c r="M93" s="221"/>
      <c r="N93" s="221"/>
      <c r="O93" s="222"/>
      <c r="P93" s="589" t="e">
        <f>SUM(P94:P96)</f>
        <v>#REF!</v>
      </c>
      <c r="Q93" s="215"/>
      <c r="T93" s="217"/>
    </row>
    <row r="94" spans="1:22" s="226" customFormat="1" ht="54.75" customHeight="1" x14ac:dyDescent="0.2">
      <c r="A94" s="585" t="s">
        <v>15</v>
      </c>
      <c r="B94" s="261" t="s">
        <v>644</v>
      </c>
      <c r="C94" s="234" t="s">
        <v>13</v>
      </c>
      <c r="D94" s="220">
        <v>0</v>
      </c>
      <c r="E94" s="220">
        <v>0</v>
      </c>
      <c r="F94" s="220">
        <f>D94*E94</f>
        <v>0</v>
      </c>
      <c r="G94" s="220">
        <v>0</v>
      </c>
      <c r="H94" s="220">
        <v>0</v>
      </c>
      <c r="I94" s="220">
        <v>0</v>
      </c>
      <c r="J94" s="220">
        <f>'Vale Verde 2'!D85</f>
        <v>107.06</v>
      </c>
      <c r="K94" s="220">
        <v>0</v>
      </c>
      <c r="L94" s="220">
        <f>I94+J94-K94</f>
        <v>107.06</v>
      </c>
      <c r="M94" s="221">
        <f>M34</f>
        <v>73.16</v>
      </c>
      <c r="N94" s="221">
        <f>M94*$Q$5</f>
        <v>94.37</v>
      </c>
      <c r="O94" s="271" t="s">
        <v>645</v>
      </c>
      <c r="P94" s="584">
        <f>L94*N94</f>
        <v>10103.25</v>
      </c>
      <c r="Q94" s="223"/>
      <c r="R94" s="224"/>
      <c r="S94" s="225"/>
      <c r="V94" s="227"/>
    </row>
    <row r="95" spans="1:22" s="226" customFormat="1" ht="38.25" x14ac:dyDescent="0.2">
      <c r="A95" s="585" t="s">
        <v>129</v>
      </c>
      <c r="B95" s="261" t="s">
        <v>127</v>
      </c>
      <c r="C95" s="234" t="s">
        <v>128</v>
      </c>
      <c r="D95" s="220">
        <f>'Planilha CT Original'!F141</f>
        <v>0</v>
      </c>
      <c r="E95" s="220">
        <f>'Planilha CT Original'!H141</f>
        <v>0</v>
      </c>
      <c r="F95" s="220">
        <f>D95*E95</f>
        <v>0</v>
      </c>
      <c r="G95" s="220">
        <v>0</v>
      </c>
      <c r="H95" s="220">
        <f>E95*G95</f>
        <v>0</v>
      </c>
      <c r="I95" s="220">
        <f>D95-G95</f>
        <v>0</v>
      </c>
      <c r="J95" s="220">
        <f>'Vale Verde 2'!D86</f>
        <v>32.979999999999997</v>
      </c>
      <c r="K95" s="220">
        <v>0</v>
      </c>
      <c r="L95" s="220">
        <f>I95+J95-K95</f>
        <v>32.979999999999997</v>
      </c>
      <c r="M95" s="221">
        <f>M35</f>
        <v>699.25</v>
      </c>
      <c r="N95" s="221">
        <f>M95*$Q$5</f>
        <v>901.96</v>
      </c>
      <c r="O95" s="316" t="s">
        <v>646</v>
      </c>
      <c r="P95" s="584">
        <f>L95*N95</f>
        <v>29746.639999999999</v>
      </c>
      <c r="Q95" s="223"/>
      <c r="R95" s="224"/>
      <c r="S95" s="225"/>
      <c r="V95" s="227"/>
    </row>
    <row r="96" spans="1:22" s="226" customFormat="1" ht="54.75" customHeight="1" x14ac:dyDescent="0.2">
      <c r="A96" s="585" t="s">
        <v>131</v>
      </c>
      <c r="B96" s="261" t="s">
        <v>640</v>
      </c>
      <c r="C96" s="219" t="str">
        <f>C41</f>
        <v>m²</v>
      </c>
      <c r="D96" s="220">
        <v>0</v>
      </c>
      <c r="E96" s="220">
        <f>'Planilha Consolidada'!E41</f>
        <v>33.840000000000003</v>
      </c>
      <c r="F96" s="220">
        <f>D96*E96</f>
        <v>0</v>
      </c>
      <c r="G96" s="220">
        <v>0</v>
      </c>
      <c r="H96" s="220">
        <f>E96*G96</f>
        <v>0</v>
      </c>
      <c r="I96" s="220">
        <f>D96-G96</f>
        <v>0</v>
      </c>
      <c r="J96" s="220">
        <f>'Vale Verde 2'!D87</f>
        <v>98.05</v>
      </c>
      <c r="K96" s="220">
        <v>0</v>
      </c>
      <c r="L96" s="220">
        <f>I96+J96-K96</f>
        <v>98.05</v>
      </c>
      <c r="M96" s="221" t="e">
        <f>M36</f>
        <v>#REF!</v>
      </c>
      <c r="N96" s="221" t="e">
        <f>M96*$Q$5</f>
        <v>#REF!</v>
      </c>
      <c r="O96" s="316" t="s">
        <v>641</v>
      </c>
      <c r="P96" s="584" t="e">
        <f>L96*N96</f>
        <v>#REF!</v>
      </c>
      <c r="Q96" s="223"/>
      <c r="R96" s="224"/>
      <c r="S96" s="225"/>
      <c r="V96" s="227"/>
    </row>
    <row r="97" spans="1:22" s="202" customFormat="1" ht="5.0999999999999996" customHeight="1" x14ac:dyDescent="0.2">
      <c r="A97" s="586"/>
      <c r="B97" s="239"/>
      <c r="C97" s="219"/>
      <c r="D97" s="220"/>
      <c r="E97" s="220"/>
      <c r="F97" s="220"/>
      <c r="G97" s="220"/>
      <c r="H97" s="220"/>
      <c r="I97" s="220"/>
      <c r="J97" s="220"/>
      <c r="K97" s="220"/>
      <c r="L97" s="220"/>
      <c r="M97" s="220"/>
      <c r="N97" s="220"/>
      <c r="O97" s="236"/>
      <c r="P97" s="587"/>
      <c r="Q97" s="229"/>
      <c r="S97" s="230"/>
    </row>
    <row r="98" spans="1:22" s="216" customFormat="1" ht="12.75" customHeight="1" x14ac:dyDescent="0.2">
      <c r="A98" s="588" t="s">
        <v>157</v>
      </c>
      <c r="B98" s="240" t="s">
        <v>291</v>
      </c>
      <c r="C98" s="219"/>
      <c r="D98" s="220"/>
      <c r="E98" s="220"/>
      <c r="F98" s="231" t="e">
        <f>SUM(F99:F101)</f>
        <v>#REF!</v>
      </c>
      <c r="G98" s="241"/>
      <c r="H98" s="233" t="e">
        <f>SUM(H99:H101)</f>
        <v>#REF!</v>
      </c>
      <c r="I98" s="241"/>
      <c r="J98" s="241"/>
      <c r="K98" s="241"/>
      <c r="L98" s="241"/>
      <c r="M98" s="221"/>
      <c r="N98" s="221"/>
      <c r="O98" s="222"/>
      <c r="P98" s="589" t="e">
        <f>SUM(P99:P102)</f>
        <v>#REF!</v>
      </c>
      <c r="Q98" s="215"/>
      <c r="T98" s="217"/>
    </row>
    <row r="99" spans="1:22" s="226" customFormat="1" ht="38.25" x14ac:dyDescent="0.2">
      <c r="A99" s="585" t="s">
        <v>158</v>
      </c>
      <c r="B99" s="261" t="s">
        <v>642</v>
      </c>
      <c r="C99" s="219" t="s">
        <v>128</v>
      </c>
      <c r="D99" s="220">
        <f>'Planilha CT Original'!F129</f>
        <v>0</v>
      </c>
      <c r="E99" s="220" t="e">
        <f>'Planilha Consolidada'!#REF!</f>
        <v>#REF!</v>
      </c>
      <c r="F99" s="220" t="e">
        <f>D99*E99</f>
        <v>#REF!</v>
      </c>
      <c r="G99" s="220">
        <v>0</v>
      </c>
      <c r="H99" s="220" t="e">
        <f>E99*G99</f>
        <v>#REF!</v>
      </c>
      <c r="I99" s="220">
        <f>D99-G99</f>
        <v>0</v>
      </c>
      <c r="J99" s="220">
        <f>'Vale Verde 2'!D90</f>
        <v>3.15</v>
      </c>
      <c r="K99" s="220">
        <v>0</v>
      </c>
      <c r="L99" s="220">
        <f>I99+J99-K99</f>
        <v>3.15</v>
      </c>
      <c r="M99" s="221">
        <f>M39</f>
        <v>407.9</v>
      </c>
      <c r="N99" s="221">
        <f>M99*$Q$5</f>
        <v>526.15</v>
      </c>
      <c r="O99" s="316" t="s">
        <v>647</v>
      </c>
      <c r="P99" s="584">
        <f>L99*N99</f>
        <v>1657.37</v>
      </c>
      <c r="Q99" s="223"/>
      <c r="R99" s="224"/>
      <c r="S99" s="225"/>
      <c r="V99" s="227"/>
    </row>
    <row r="100" spans="1:22" s="226" customFormat="1" ht="25.5" x14ac:dyDescent="0.2">
      <c r="A100" s="585" t="s">
        <v>170</v>
      </c>
      <c r="B100" s="261" t="s">
        <v>608</v>
      </c>
      <c r="C100" s="219" t="s">
        <v>128</v>
      </c>
      <c r="D100" s="220">
        <f>'Planilha CT Original'!F130</f>
        <v>0</v>
      </c>
      <c r="E100" s="220" t="e">
        <f>'Planilha Consolidada'!E45</f>
        <v>#REF!</v>
      </c>
      <c r="F100" s="220" t="e">
        <f>D100*E100</f>
        <v>#REF!</v>
      </c>
      <c r="G100" s="220">
        <v>0</v>
      </c>
      <c r="H100" s="220" t="e">
        <f>E100*G100</f>
        <v>#REF!</v>
      </c>
      <c r="I100" s="220">
        <f>D100-G100</f>
        <v>0</v>
      </c>
      <c r="J100" s="220">
        <f>'Vale Verde 2'!D91</f>
        <v>3.15</v>
      </c>
      <c r="K100" s="220">
        <v>0</v>
      </c>
      <c r="L100" s="220">
        <f>I100+J100-K100</f>
        <v>3.15</v>
      </c>
      <c r="M100" s="221">
        <f>M40</f>
        <v>223.27</v>
      </c>
      <c r="N100" s="221">
        <f>M100*$Q$5</f>
        <v>288</v>
      </c>
      <c r="O100" s="316" t="s">
        <v>648</v>
      </c>
      <c r="P100" s="584">
        <f>L100*N100</f>
        <v>907.2</v>
      </c>
      <c r="Q100" s="223"/>
      <c r="R100" s="224"/>
      <c r="S100" s="225"/>
      <c r="V100" s="227"/>
    </row>
    <row r="101" spans="1:22" s="226" customFormat="1" ht="51" x14ac:dyDescent="0.2">
      <c r="A101" s="585" t="s">
        <v>203</v>
      </c>
      <c r="B101" s="261" t="s">
        <v>640</v>
      </c>
      <c r="C101" s="219" t="s">
        <v>13</v>
      </c>
      <c r="D101" s="220">
        <f>'Planilha CT Original'!F131</f>
        <v>0</v>
      </c>
      <c r="E101" s="220">
        <f>'Planilha Consolidada'!E46</f>
        <v>0</v>
      </c>
      <c r="F101" s="220">
        <f>D101*E101</f>
        <v>0</v>
      </c>
      <c r="G101" s="220">
        <v>0</v>
      </c>
      <c r="H101" s="220">
        <f>E101*G101</f>
        <v>0</v>
      </c>
      <c r="I101" s="220">
        <f>D101-G101</f>
        <v>0</v>
      </c>
      <c r="J101" s="220">
        <f>'Vale Verde 2'!D92</f>
        <v>4.68</v>
      </c>
      <c r="K101" s="220">
        <v>0</v>
      </c>
      <c r="L101" s="220">
        <f>I101+J101-K101</f>
        <v>4.68</v>
      </c>
      <c r="M101" s="221" t="e">
        <f>M41</f>
        <v>#REF!</v>
      </c>
      <c r="N101" s="221" t="e">
        <f>M101*$Q$5</f>
        <v>#REF!</v>
      </c>
      <c r="O101" s="316" t="s">
        <v>641</v>
      </c>
      <c r="P101" s="584" t="e">
        <f>L101*N101</f>
        <v>#REF!</v>
      </c>
      <c r="Q101" s="223"/>
      <c r="R101" s="224"/>
      <c r="S101" s="225"/>
      <c r="V101" s="227"/>
    </row>
    <row r="102" spans="1:22" s="226" customFormat="1" ht="25.5" x14ac:dyDescent="0.2">
      <c r="A102" s="585" t="s">
        <v>181</v>
      </c>
      <c r="B102" s="261" t="s">
        <v>609</v>
      </c>
      <c r="C102" s="234" t="s">
        <v>13</v>
      </c>
      <c r="D102" s="220">
        <v>0</v>
      </c>
      <c r="E102" s="220">
        <v>0</v>
      </c>
      <c r="F102" s="220">
        <v>0</v>
      </c>
      <c r="G102" s="220">
        <v>0</v>
      </c>
      <c r="H102" s="220">
        <v>0</v>
      </c>
      <c r="I102" s="220">
        <v>0</v>
      </c>
      <c r="J102" s="220">
        <f>'Vale Verde 2'!D93</f>
        <v>54</v>
      </c>
      <c r="K102" s="220">
        <v>0</v>
      </c>
      <c r="L102" s="220">
        <f>I102+J102-K102</f>
        <v>54</v>
      </c>
      <c r="M102" s="221">
        <f>M42</f>
        <v>14.87</v>
      </c>
      <c r="N102" s="221">
        <f>M102*$Q$5</f>
        <v>19.18</v>
      </c>
      <c r="O102" s="316" t="s">
        <v>649</v>
      </c>
      <c r="P102" s="584">
        <f>L102*N102</f>
        <v>1035.72</v>
      </c>
      <c r="Q102" s="223"/>
      <c r="R102" s="224"/>
      <c r="S102" s="225"/>
    </row>
    <row r="103" spans="1:22" s="202" customFormat="1" ht="5.0999999999999996" customHeight="1" x14ac:dyDescent="0.2">
      <c r="A103" s="586"/>
      <c r="B103" s="239"/>
      <c r="C103" s="219"/>
      <c r="D103" s="220"/>
      <c r="E103" s="220"/>
      <c r="F103" s="220"/>
      <c r="G103" s="220"/>
      <c r="H103" s="220"/>
      <c r="I103" s="220"/>
      <c r="J103" s="220"/>
      <c r="K103" s="220"/>
      <c r="L103" s="220"/>
      <c r="M103" s="220"/>
      <c r="N103" s="220"/>
      <c r="O103" s="236"/>
      <c r="P103" s="587"/>
      <c r="Q103" s="229"/>
      <c r="S103" s="230"/>
    </row>
    <row r="104" spans="1:22" s="216" customFormat="1" ht="12.75" customHeight="1" x14ac:dyDescent="0.2">
      <c r="A104" s="655" t="s">
        <v>174</v>
      </c>
      <c r="B104" s="240" t="s">
        <v>292</v>
      </c>
      <c r="C104" s="219"/>
      <c r="D104" s="220"/>
      <c r="E104" s="220"/>
      <c r="F104" s="233">
        <f>SUM(F106:F106)</f>
        <v>0</v>
      </c>
      <c r="G104" s="241"/>
      <c r="H104" s="242">
        <f>SUM(H106:H106)</f>
        <v>0</v>
      </c>
      <c r="I104" s="241"/>
      <c r="J104" s="241"/>
      <c r="K104" s="241"/>
      <c r="L104" s="241"/>
      <c r="M104" s="221"/>
      <c r="N104" s="221"/>
      <c r="O104" s="222"/>
      <c r="P104" s="589" t="e">
        <f>SUM(P105:P107)</f>
        <v>#REF!</v>
      </c>
      <c r="Q104" s="215"/>
      <c r="T104" s="217"/>
    </row>
    <row r="105" spans="1:22" s="226" customFormat="1" ht="25.5" x14ac:dyDescent="0.2">
      <c r="A105" s="585" t="s">
        <v>175</v>
      </c>
      <c r="B105" s="261" t="s">
        <v>633</v>
      </c>
      <c r="C105" s="234" t="s">
        <v>13</v>
      </c>
      <c r="D105" s="220">
        <v>0</v>
      </c>
      <c r="E105" s="220">
        <f>'Planilha CT Original'!H155</f>
        <v>0</v>
      </c>
      <c r="F105" s="220">
        <f>D105*E105</f>
        <v>0</v>
      </c>
      <c r="G105" s="220">
        <v>0</v>
      </c>
      <c r="H105" s="220">
        <v>0</v>
      </c>
      <c r="I105" s="220">
        <f>D105-G105</f>
        <v>0</v>
      </c>
      <c r="J105" s="220">
        <f>'Vale Verde 2'!D96</f>
        <v>149.32</v>
      </c>
      <c r="K105" s="220">
        <v>0</v>
      </c>
      <c r="L105" s="220">
        <f>I105+J105-K105</f>
        <v>149.32</v>
      </c>
      <c r="M105" s="221">
        <f>M75</f>
        <v>1.25</v>
      </c>
      <c r="N105" s="221">
        <f>M105*$Q$5</f>
        <v>1.61</v>
      </c>
      <c r="O105" s="271" t="s">
        <v>658</v>
      </c>
      <c r="P105" s="584">
        <f>L105*N105</f>
        <v>240.41</v>
      </c>
      <c r="Q105" s="223"/>
      <c r="R105" s="224"/>
      <c r="S105" s="225"/>
      <c r="V105" s="227"/>
    </row>
    <row r="106" spans="1:22" s="226" customFormat="1" ht="63.75" x14ac:dyDescent="0.2">
      <c r="A106" s="585" t="s">
        <v>246</v>
      </c>
      <c r="B106" s="261" t="s">
        <v>312</v>
      </c>
      <c r="C106" s="234" t="s">
        <v>279</v>
      </c>
      <c r="D106" s="220">
        <v>0</v>
      </c>
      <c r="E106" s="220">
        <f>'Planilha CT Original'!H154</f>
        <v>0</v>
      </c>
      <c r="F106" s="220">
        <f>D106*E106</f>
        <v>0</v>
      </c>
      <c r="G106" s="220">
        <v>0</v>
      </c>
      <c r="H106" s="220">
        <v>0</v>
      </c>
      <c r="I106" s="220">
        <f>D106-G106</f>
        <v>0</v>
      </c>
      <c r="J106" s="220">
        <f>'Vale Verde 2'!D97</f>
        <v>2</v>
      </c>
      <c r="K106" s="220">
        <v>0</v>
      </c>
      <c r="L106" s="220">
        <f>I106+J106-K106</f>
        <v>2</v>
      </c>
      <c r="M106" s="221" t="e">
        <f>M76</f>
        <v>#REF!</v>
      </c>
      <c r="N106" s="221" t="e">
        <f>M106*$Q$5</f>
        <v>#REF!</v>
      </c>
      <c r="O106" s="316" t="s">
        <v>659</v>
      </c>
      <c r="P106" s="584" t="e">
        <f>L106*N106</f>
        <v>#REF!</v>
      </c>
      <c r="Q106" s="223">
        <f>L106*ORÇAMENTO!H108</f>
        <v>0</v>
      </c>
      <c r="R106" s="224"/>
      <c r="S106" s="225"/>
      <c r="V106" s="227"/>
    </row>
    <row r="107" spans="1:22" s="226" customFormat="1" ht="38.25" x14ac:dyDescent="0.2">
      <c r="A107" s="585" t="s">
        <v>247</v>
      </c>
      <c r="B107" s="261" t="s">
        <v>499</v>
      </c>
      <c r="C107" s="234" t="s">
        <v>279</v>
      </c>
      <c r="D107" s="220">
        <v>0</v>
      </c>
      <c r="E107" s="220">
        <f>'Planilha CT Original'!H156</f>
        <v>0</v>
      </c>
      <c r="F107" s="220">
        <f>D107*E107</f>
        <v>0</v>
      </c>
      <c r="G107" s="220">
        <v>0</v>
      </c>
      <c r="H107" s="220">
        <v>0</v>
      </c>
      <c r="I107" s="220">
        <f>D107-G107</f>
        <v>0</v>
      </c>
      <c r="J107" s="220">
        <f>'Vale Verde 2'!D98</f>
        <v>2</v>
      </c>
      <c r="K107" s="220">
        <v>0</v>
      </c>
      <c r="L107" s="220">
        <f>I107+J107-K107</f>
        <v>2</v>
      </c>
      <c r="M107" s="221">
        <f>M77</f>
        <v>140.27000000000001</v>
      </c>
      <c r="N107" s="221">
        <f>M107*$Q$5</f>
        <v>180.93</v>
      </c>
      <c r="O107" s="271" t="s">
        <v>660</v>
      </c>
      <c r="P107" s="584">
        <f>L107*N107</f>
        <v>361.86</v>
      </c>
      <c r="Q107" s="223"/>
      <c r="R107" s="224"/>
      <c r="S107" s="225"/>
      <c r="V107" s="227"/>
    </row>
    <row r="108" spans="1:22" s="202" customFormat="1" ht="4.5" customHeight="1" thickBot="1" x14ac:dyDescent="0.25">
      <c r="A108" s="656"/>
      <c r="B108" s="327"/>
      <c r="C108" s="328"/>
      <c r="D108" s="329"/>
      <c r="E108" s="329"/>
      <c r="F108" s="329"/>
      <c r="G108" s="329"/>
      <c r="H108" s="329"/>
      <c r="I108" s="329"/>
      <c r="J108" s="329"/>
      <c r="K108" s="329"/>
      <c r="L108" s="329"/>
      <c r="M108" s="330"/>
      <c r="N108" s="330"/>
      <c r="O108" s="331"/>
      <c r="P108" s="657"/>
      <c r="Q108" s="229"/>
    </row>
    <row r="109" spans="1:22" s="254" customFormat="1" ht="20.25" customHeight="1" thickBot="1" x14ac:dyDescent="0.25">
      <c r="A109" s="743" t="s">
        <v>639</v>
      </c>
      <c r="B109" s="744"/>
      <c r="C109" s="744"/>
      <c r="D109" s="744"/>
      <c r="E109" s="744"/>
      <c r="F109" s="744"/>
      <c r="G109" s="744"/>
      <c r="H109" s="744"/>
      <c r="I109" s="744"/>
      <c r="J109" s="744"/>
      <c r="K109" s="744"/>
      <c r="L109" s="744"/>
      <c r="M109" s="744"/>
      <c r="N109" s="744"/>
      <c r="O109" s="745"/>
      <c r="P109" s="560" t="e">
        <f>P82+P85+P88+P93+P98+P104</f>
        <v>#REF!</v>
      </c>
      <c r="Q109" s="253"/>
      <c r="T109" s="255"/>
    </row>
    <row r="110" spans="1:22" s="202" customFormat="1" ht="5.0999999999999996" customHeight="1" thickBot="1" x14ac:dyDescent="0.25">
      <c r="A110" s="586"/>
      <c r="B110" s="228"/>
      <c r="C110" s="219"/>
      <c r="D110" s="220"/>
      <c r="E110" s="220"/>
      <c r="F110" s="220"/>
      <c r="G110" s="220"/>
      <c r="H110" s="220"/>
      <c r="I110" s="220"/>
      <c r="J110" s="220"/>
      <c r="K110" s="220"/>
      <c r="L110" s="220"/>
      <c r="M110" s="220"/>
      <c r="N110" s="220"/>
      <c r="O110" s="236"/>
      <c r="P110" s="587"/>
      <c r="Q110" s="229"/>
      <c r="S110" s="230"/>
    </row>
    <row r="111" spans="1:22" s="202" customFormat="1" ht="25.5" hidden="1" customHeight="1" thickBot="1" x14ac:dyDescent="0.3">
      <c r="A111" s="827" t="s">
        <v>124</v>
      </c>
      <c r="B111" s="817"/>
      <c r="C111" s="817"/>
      <c r="D111" s="817"/>
      <c r="E111" s="817"/>
      <c r="F111" s="817"/>
      <c r="G111" s="817"/>
      <c r="H111" s="817"/>
      <c r="I111" s="817"/>
      <c r="J111" s="817"/>
      <c r="K111" s="817"/>
      <c r="L111" s="817"/>
      <c r="M111" s="817"/>
      <c r="N111" s="817"/>
      <c r="O111" s="817"/>
      <c r="P111" s="828"/>
      <c r="Q111" s="205"/>
      <c r="R111" s="205"/>
      <c r="S111" s="205"/>
      <c r="T111" s="207"/>
      <c r="U111" s="208"/>
    </row>
    <row r="112" spans="1:22" s="216" customFormat="1" ht="12.75" hidden="1" customHeight="1" x14ac:dyDescent="0.2">
      <c r="A112" s="652" t="s">
        <v>4</v>
      </c>
      <c r="B112" s="209" t="s">
        <v>277</v>
      </c>
      <c r="C112" s="210"/>
      <c r="D112" s="211"/>
      <c r="E112" s="211"/>
      <c r="F112" s="213">
        <f>SUM(F113:F113)</f>
        <v>0</v>
      </c>
      <c r="G112" s="211"/>
      <c r="H112" s="213">
        <f>SUM(H113:H113)</f>
        <v>0</v>
      </c>
      <c r="I112" s="211"/>
      <c r="J112" s="211"/>
      <c r="K112" s="211"/>
      <c r="L112" s="213"/>
      <c r="M112" s="212"/>
      <c r="N112" s="212"/>
      <c r="O112" s="214"/>
      <c r="P112" s="582">
        <f>SUM(P113:P113)</f>
        <v>74.930000000000007</v>
      </c>
      <c r="Q112" s="215"/>
      <c r="T112" s="217"/>
    </row>
    <row r="113" spans="1:22" s="226" customFormat="1" ht="26.25" hidden="1" thickBot="1" x14ac:dyDescent="0.25">
      <c r="A113" s="585" t="s">
        <v>86</v>
      </c>
      <c r="B113" s="218" t="str">
        <f>ORÇAMENTO!D73</f>
        <v>Locação de pavimentação</v>
      </c>
      <c r="C113" s="234" t="s">
        <v>11</v>
      </c>
      <c r="D113" s="220">
        <v>0</v>
      </c>
      <c r="E113" s="220">
        <f>'Planilha CT Original'!H127</f>
        <v>0</v>
      </c>
      <c r="F113" s="220">
        <f>D113*E113</f>
        <v>0</v>
      </c>
      <c r="G113" s="220">
        <v>0</v>
      </c>
      <c r="H113" s="220">
        <v>0</v>
      </c>
      <c r="I113" s="220">
        <f>D113-G113</f>
        <v>0</v>
      </c>
      <c r="J113" s="220">
        <f>ORÇAMENTO!F73</f>
        <v>127</v>
      </c>
      <c r="K113" s="220">
        <v>0</v>
      </c>
      <c r="L113" s="220">
        <f>I113+J113-K113</f>
        <v>127</v>
      </c>
      <c r="M113" s="221">
        <f>M53</f>
        <v>0.46</v>
      </c>
      <c r="N113" s="221">
        <f>M113*$Q$5</f>
        <v>0.59</v>
      </c>
      <c r="O113" s="271" t="str">
        <f>O53</f>
        <v>99064 SINAPI Out/23</v>
      </c>
      <c r="P113" s="584">
        <f>L113*N113</f>
        <v>74.930000000000007</v>
      </c>
      <c r="Q113" s="223" t="e">
        <f>ORÇAMENTO!H73*'Planilha Consolidada'!L113</f>
        <v>#REF!</v>
      </c>
      <c r="R113" s="224"/>
      <c r="S113" s="225"/>
      <c r="V113" s="227"/>
    </row>
    <row r="114" spans="1:22" s="202" customFormat="1" ht="5.0999999999999996" hidden="1" customHeight="1" x14ac:dyDescent="0.2">
      <c r="A114" s="586"/>
      <c r="B114" s="228"/>
      <c r="C114" s="219"/>
      <c r="D114" s="220"/>
      <c r="E114" s="220"/>
      <c r="F114" s="220"/>
      <c r="G114" s="220"/>
      <c r="H114" s="220"/>
      <c r="I114" s="220"/>
      <c r="J114" s="220"/>
      <c r="K114" s="220"/>
      <c r="L114" s="220"/>
      <c r="M114" s="221"/>
      <c r="N114" s="221"/>
      <c r="O114" s="222"/>
      <c r="P114" s="587"/>
      <c r="Q114" s="229"/>
      <c r="S114" s="230"/>
    </row>
    <row r="115" spans="1:22" s="216" customFormat="1" ht="12.75" hidden="1" customHeight="1" x14ac:dyDescent="0.2">
      <c r="A115" s="652" t="s">
        <v>6</v>
      </c>
      <c r="B115" s="209" t="s">
        <v>278</v>
      </c>
      <c r="C115" s="210"/>
      <c r="D115" s="220"/>
      <c r="E115" s="232"/>
      <c r="F115" s="233">
        <f>SUM(F116:F116)</f>
        <v>0</v>
      </c>
      <c r="G115" s="211"/>
      <c r="H115" s="213">
        <f>SUM(H116:H116)</f>
        <v>0</v>
      </c>
      <c r="I115" s="211"/>
      <c r="J115" s="211"/>
      <c r="K115" s="211"/>
      <c r="L115" s="211"/>
      <c r="M115" s="221"/>
      <c r="N115" s="221"/>
      <c r="O115" s="222"/>
      <c r="P115" s="582">
        <f>SUM(P116:P116)</f>
        <v>2270.7600000000002</v>
      </c>
      <c r="Q115" s="215"/>
      <c r="T115" s="217">
        <v>1.2097</v>
      </c>
    </row>
    <row r="116" spans="1:22" s="226" customFormat="1" ht="26.25" hidden="1" thickBot="1" x14ac:dyDescent="0.25">
      <c r="A116" s="585" t="s">
        <v>7</v>
      </c>
      <c r="B116" s="218" t="s">
        <v>304</v>
      </c>
      <c r="C116" s="234" t="s">
        <v>13</v>
      </c>
      <c r="D116" s="220">
        <v>0</v>
      </c>
      <c r="E116" s="220">
        <f>'Planilha CT Original'!H129</f>
        <v>0</v>
      </c>
      <c r="F116" s="220">
        <f>D116*E116</f>
        <v>0</v>
      </c>
      <c r="G116" s="220">
        <v>0</v>
      </c>
      <c r="H116" s="220">
        <v>0</v>
      </c>
      <c r="I116" s="220">
        <f>D116-G116</f>
        <v>0</v>
      </c>
      <c r="J116" s="220">
        <f>ORÇAMENTO!F76</f>
        <v>762</v>
      </c>
      <c r="K116" s="220">
        <v>0</v>
      </c>
      <c r="L116" s="220">
        <f>I116+J116-K116</f>
        <v>762</v>
      </c>
      <c r="M116" s="221">
        <f>M56</f>
        <v>2.31</v>
      </c>
      <c r="N116" s="221">
        <f>M116*$Q$5</f>
        <v>2.98</v>
      </c>
      <c r="O116" s="271">
        <v>100576</v>
      </c>
      <c r="P116" s="584">
        <f>L116*N116</f>
        <v>2270.7600000000002</v>
      </c>
      <c r="Q116" s="223" t="e">
        <f>ORÇAMENTO!H76*'Planilha Consolidada'!L116</f>
        <v>#REF!</v>
      </c>
      <c r="R116" s="224"/>
      <c r="S116" s="225"/>
      <c r="V116" s="227"/>
    </row>
    <row r="117" spans="1:22" s="202" customFormat="1" ht="5.0999999999999996" hidden="1" customHeight="1" x14ac:dyDescent="0.2">
      <c r="A117" s="586"/>
      <c r="B117" s="228"/>
      <c r="C117" s="219"/>
      <c r="D117" s="220"/>
      <c r="E117" s="220"/>
      <c r="F117" s="220"/>
      <c r="G117" s="220"/>
      <c r="H117" s="220"/>
      <c r="I117" s="220"/>
      <c r="J117" s="220"/>
      <c r="K117" s="220"/>
      <c r="L117" s="220"/>
      <c r="M117" s="220"/>
      <c r="N117" s="220"/>
      <c r="O117" s="236"/>
      <c r="P117" s="587"/>
      <c r="Q117" s="229"/>
      <c r="S117" s="230"/>
    </row>
    <row r="118" spans="1:22" s="216" customFormat="1" ht="12.75" hidden="1" customHeight="1" x14ac:dyDescent="0.2">
      <c r="A118" s="652" t="s">
        <v>8</v>
      </c>
      <c r="B118" s="209" t="s">
        <v>20</v>
      </c>
      <c r="C118" s="210"/>
      <c r="D118" s="211"/>
      <c r="E118" s="211"/>
      <c r="F118" s="233">
        <f>SUM(F119:F121)</f>
        <v>0</v>
      </c>
      <c r="G118" s="211"/>
      <c r="H118" s="213">
        <f>SUM(H119:H121)</f>
        <v>0</v>
      </c>
      <c r="I118" s="211"/>
      <c r="J118" s="211"/>
      <c r="K118" s="211"/>
      <c r="L118" s="211"/>
      <c r="M118" s="237"/>
      <c r="N118" s="237"/>
      <c r="O118" s="238"/>
      <c r="P118" s="582">
        <f>SUM(P119:P121)</f>
        <v>95209.43</v>
      </c>
      <c r="Q118" s="215"/>
      <c r="T118" s="217"/>
    </row>
    <row r="119" spans="1:22" s="226" customFormat="1" ht="67.5" hidden="1" customHeight="1" x14ac:dyDescent="0.2">
      <c r="A119" s="585" t="s">
        <v>9</v>
      </c>
      <c r="B119" s="218" t="str">
        <f>B59</f>
        <v>Assentamento de guia (meio-fio) em trecho reto, confeccionada em concreto pré-fabricado, dimensões 100x15x13x30 cm (comprimento x base inferior x base superior x altura), para vias urbanas (uso viário)</v>
      </c>
      <c r="C119" s="219" t="s">
        <v>128</v>
      </c>
      <c r="D119" s="220">
        <v>0</v>
      </c>
      <c r="E119" s="220">
        <f>'Planilha CT Original'!H131</f>
        <v>0</v>
      </c>
      <c r="F119" s="220">
        <f>D119*E119</f>
        <v>0</v>
      </c>
      <c r="G119" s="220">
        <v>0</v>
      </c>
      <c r="H119" s="220">
        <v>0</v>
      </c>
      <c r="I119" s="220">
        <f>D119-G119</f>
        <v>0</v>
      </c>
      <c r="J119" s="220">
        <f>ORÇAMENTO!F78</f>
        <v>254</v>
      </c>
      <c r="K119" s="220">
        <v>0</v>
      </c>
      <c r="L119" s="220">
        <f>I119+J119-K119</f>
        <v>254</v>
      </c>
      <c r="M119" s="221">
        <f>M59</f>
        <v>45.46</v>
      </c>
      <c r="N119" s="221">
        <f>M119*$Q$5</f>
        <v>58.64</v>
      </c>
      <c r="O119" s="271">
        <v>94273</v>
      </c>
      <c r="P119" s="584">
        <f>L119*N119</f>
        <v>14894.56</v>
      </c>
      <c r="Q119" s="223" t="e">
        <f>L119*ORÇAMENTO!H78</f>
        <v>#REF!</v>
      </c>
      <c r="R119" s="224"/>
      <c r="S119" s="225"/>
      <c r="V119" s="227"/>
    </row>
    <row r="120" spans="1:22" s="226" customFormat="1" ht="41.25" hidden="1" customHeight="1" x14ac:dyDescent="0.2">
      <c r="A120" s="585" t="s">
        <v>12</v>
      </c>
      <c r="B120" s="218" t="str">
        <f>B60</f>
        <v>Execução de pavimento em paralelepípedos, rejuntamento com argamassa traço 1:3 (cimento e areia)</v>
      </c>
      <c r="C120" s="219" t="s">
        <v>13</v>
      </c>
      <c r="D120" s="220">
        <v>0</v>
      </c>
      <c r="E120" s="220">
        <f>'Planilha CT Original'!H132</f>
        <v>0</v>
      </c>
      <c r="F120" s="220">
        <f>D120*E120</f>
        <v>0</v>
      </c>
      <c r="G120" s="220">
        <v>0</v>
      </c>
      <c r="H120" s="220">
        <v>0</v>
      </c>
      <c r="I120" s="220">
        <f>D120-G120</f>
        <v>0</v>
      </c>
      <c r="J120" s="220">
        <f>ORÇAMENTO!F79</f>
        <v>762</v>
      </c>
      <c r="K120" s="220">
        <v>0</v>
      </c>
      <c r="L120" s="220">
        <f>I120+J120-K120</f>
        <v>762</v>
      </c>
      <c r="M120" s="221">
        <f>M60</f>
        <v>81.319999999999993</v>
      </c>
      <c r="N120" s="221">
        <f>M120*$Q$5</f>
        <v>104.89</v>
      </c>
      <c r="O120" s="271">
        <v>101169</v>
      </c>
      <c r="P120" s="584">
        <f>L120*N120</f>
        <v>79926.179999999993</v>
      </c>
      <c r="Q120" s="223" t="e">
        <f>L120*ORÇAMENTO!H79</f>
        <v>#REF!</v>
      </c>
      <c r="R120" s="224"/>
      <c r="S120" s="225"/>
      <c r="V120" s="227"/>
    </row>
    <row r="121" spans="1:22" s="226" customFormat="1" ht="29.25" hidden="1" customHeight="1" x14ac:dyDescent="0.2">
      <c r="A121" s="585" t="s">
        <v>108</v>
      </c>
      <c r="B121" s="218" t="str">
        <f>B61</f>
        <v>Assentamento de guia (meio-fio) para cordão de travamento do pavimento, em pedra granítica</v>
      </c>
      <c r="C121" s="219" t="s">
        <v>13</v>
      </c>
      <c r="D121" s="220">
        <v>0</v>
      </c>
      <c r="E121" s="220">
        <f>'Planilha CT Original'!H133</f>
        <v>0</v>
      </c>
      <c r="F121" s="220">
        <f>D121*E121</f>
        <v>0</v>
      </c>
      <c r="G121" s="220">
        <v>0</v>
      </c>
      <c r="H121" s="220">
        <v>0</v>
      </c>
      <c r="I121" s="220">
        <f>D121-G121</f>
        <v>0</v>
      </c>
      <c r="J121" s="220">
        <v>6.24</v>
      </c>
      <c r="K121" s="220">
        <v>0</v>
      </c>
      <c r="L121" s="220">
        <f>I121+J121-K121</f>
        <v>6.24</v>
      </c>
      <c r="M121" s="221">
        <f>M61</f>
        <v>48.29</v>
      </c>
      <c r="N121" s="221">
        <f>M121*$Q$5</f>
        <v>62.29</v>
      </c>
      <c r="O121" s="222" t="s">
        <v>345</v>
      </c>
      <c r="P121" s="584">
        <f>L121*N121</f>
        <v>388.69</v>
      </c>
      <c r="Q121" s="223"/>
      <c r="R121" s="224"/>
      <c r="S121" s="225"/>
      <c r="V121" s="227"/>
    </row>
    <row r="122" spans="1:22" s="202" customFormat="1" ht="5.0999999999999996" hidden="1" customHeight="1" x14ac:dyDescent="0.2">
      <c r="A122" s="586"/>
      <c r="B122" s="239"/>
      <c r="C122" s="219"/>
      <c r="D122" s="220"/>
      <c r="E122" s="220"/>
      <c r="F122" s="220"/>
      <c r="G122" s="220"/>
      <c r="H122" s="220"/>
      <c r="I122" s="220"/>
      <c r="J122" s="220"/>
      <c r="K122" s="220"/>
      <c r="L122" s="220"/>
      <c r="M122" s="221"/>
      <c r="N122" s="221"/>
      <c r="O122" s="222"/>
      <c r="P122" s="587"/>
      <c r="Q122" s="229"/>
      <c r="S122" s="230"/>
    </row>
    <row r="123" spans="1:22" s="216" customFormat="1" ht="12.75" hidden="1" customHeight="1" x14ac:dyDescent="0.2">
      <c r="A123" s="652" t="s">
        <v>8</v>
      </c>
      <c r="B123" s="209" t="s">
        <v>307</v>
      </c>
      <c r="C123" s="210"/>
      <c r="D123" s="211"/>
      <c r="E123" s="211"/>
      <c r="F123" s="233">
        <f>SUM(F124:F126)</f>
        <v>0</v>
      </c>
      <c r="G123" s="211"/>
      <c r="H123" s="213">
        <f>SUM(H124:H126)</f>
        <v>0</v>
      </c>
      <c r="I123" s="211"/>
      <c r="J123" s="211"/>
      <c r="K123" s="211"/>
      <c r="L123" s="211"/>
      <c r="M123" s="237"/>
      <c r="N123" s="237"/>
      <c r="O123" s="238"/>
      <c r="P123" s="582">
        <f>SUM(P124:P126)</f>
        <v>15118.96</v>
      </c>
      <c r="Q123" s="215"/>
      <c r="T123" s="217"/>
    </row>
    <row r="124" spans="1:22" s="226" customFormat="1" ht="41.25" hidden="1" customHeight="1" x14ac:dyDescent="0.2">
      <c r="A124" s="585" t="s">
        <v>9</v>
      </c>
      <c r="B124" s="218" t="str">
        <f>ORÇAMENTO!D81</f>
        <v>Execução de passeio (calçada) ou piso de concreto com concreto moldado in loco, feito em obra, acabamento convencional, não armado</v>
      </c>
      <c r="C124" s="219" t="s">
        <v>128</v>
      </c>
      <c r="D124" s="220">
        <v>0</v>
      </c>
      <c r="E124" s="220">
        <f>'Planilha CT Original'!H136</f>
        <v>0</v>
      </c>
      <c r="F124" s="220">
        <f>D124*E124</f>
        <v>0</v>
      </c>
      <c r="G124" s="220">
        <v>0</v>
      </c>
      <c r="H124" s="220">
        <v>0</v>
      </c>
      <c r="I124" s="220">
        <f>D124-G124</f>
        <v>0</v>
      </c>
      <c r="J124" s="220">
        <f>ORÇAMENTO!F81</f>
        <v>8.91</v>
      </c>
      <c r="K124" s="220">
        <v>0</v>
      </c>
      <c r="L124" s="220">
        <f>I124+J124-K124</f>
        <v>8.91</v>
      </c>
      <c r="M124" s="221">
        <v>701.13</v>
      </c>
      <c r="N124" s="221">
        <f>M124*$Q$5</f>
        <v>904.39</v>
      </c>
      <c r="O124" s="271" t="s">
        <v>323</v>
      </c>
      <c r="P124" s="584">
        <f>L124*N124</f>
        <v>8058.11</v>
      </c>
      <c r="Q124" s="223" t="e">
        <f>L124*ORÇAMENTO!H81:H81</f>
        <v>#REF!</v>
      </c>
      <c r="R124" s="224"/>
      <c r="S124" s="225"/>
      <c r="V124" s="227"/>
    </row>
    <row r="125" spans="1:22" s="226" customFormat="1" ht="40.5" hidden="1" customHeight="1" x14ac:dyDescent="0.2">
      <c r="A125" s="585" t="s">
        <v>12</v>
      </c>
      <c r="B125" s="218" t="str">
        <f>ORÇAMENTO!D82</f>
        <v>Execução de rampa de acessibilidade de concreto com concreto moldado in loco, feito em obra, acabamento convencional, não armado</v>
      </c>
      <c r="C125" s="219" t="s">
        <v>128</v>
      </c>
      <c r="D125" s="220">
        <v>0</v>
      </c>
      <c r="E125" s="220">
        <f>'Planilha CT Original'!H137</f>
        <v>0</v>
      </c>
      <c r="F125" s="220">
        <f>D125*E125</f>
        <v>0</v>
      </c>
      <c r="G125" s="220">
        <v>0</v>
      </c>
      <c r="H125" s="220">
        <v>0</v>
      </c>
      <c r="I125" s="220">
        <f>D125-G125</f>
        <v>0</v>
      </c>
      <c r="J125" s="220">
        <f>ORÇAMENTO!F82</f>
        <v>2.4700000000000002</v>
      </c>
      <c r="K125" s="220">
        <v>0</v>
      </c>
      <c r="L125" s="220">
        <f>I125+J125-K125</f>
        <v>2.4700000000000002</v>
      </c>
      <c r="M125" s="221">
        <f>M124</f>
        <v>701.13</v>
      </c>
      <c r="N125" s="221">
        <f>M125*$Q$5</f>
        <v>904.39</v>
      </c>
      <c r="O125" s="271">
        <v>94990</v>
      </c>
      <c r="P125" s="584">
        <f>L125*N125</f>
        <v>2233.84</v>
      </c>
      <c r="Q125" s="223" t="e">
        <f>L125*ORÇAMENTO!H82:H82</f>
        <v>#REF!</v>
      </c>
      <c r="R125" s="224"/>
      <c r="S125" s="225"/>
      <c r="V125" s="227"/>
    </row>
    <row r="126" spans="1:22" s="226" customFormat="1" ht="53.25" hidden="1" customHeight="1" x14ac:dyDescent="0.2">
      <c r="A126" s="585" t="s">
        <v>108</v>
      </c>
      <c r="B126" s="218" t="str">
        <f>ORÇAMENTO!D83</f>
        <v>Piso tátil direcional e/ou alerta, de concreto, colorido, p/deficientes visuais, dimensões 25x25x2,5cm, aplicado com argamassa industrializada ac-ii.</v>
      </c>
      <c r="C126" s="219" t="s">
        <v>13</v>
      </c>
      <c r="D126" s="220">
        <v>0</v>
      </c>
      <c r="E126" s="220">
        <f>'Planilha CT Original'!H138</f>
        <v>0</v>
      </c>
      <c r="F126" s="220">
        <f>D126*E126</f>
        <v>0</v>
      </c>
      <c r="G126" s="220">
        <v>0</v>
      </c>
      <c r="H126" s="220">
        <v>0</v>
      </c>
      <c r="I126" s="220">
        <f>D126-G126</f>
        <v>0</v>
      </c>
      <c r="J126" s="220">
        <f>ORÇAMENTO!F83</f>
        <v>35.65</v>
      </c>
      <c r="K126" s="220">
        <v>0</v>
      </c>
      <c r="L126" s="220">
        <f>I126+J126-K126</f>
        <v>35.65</v>
      </c>
      <c r="M126" s="221">
        <f>ORÇAMENTO!G83</f>
        <v>104.97</v>
      </c>
      <c r="N126" s="221">
        <f>M126*$Q$5</f>
        <v>135.4</v>
      </c>
      <c r="O126" s="222" t="s">
        <v>324</v>
      </c>
      <c r="P126" s="584">
        <f>L126*N126</f>
        <v>4827.01</v>
      </c>
      <c r="Q126" s="223" t="e">
        <f>L126*ORÇAMENTO!H83:H83</f>
        <v>#REF!</v>
      </c>
      <c r="R126" s="224"/>
      <c r="S126" s="225"/>
      <c r="V126" s="227"/>
    </row>
    <row r="127" spans="1:22" s="202" customFormat="1" ht="5.0999999999999996" hidden="1" customHeight="1" x14ac:dyDescent="0.2">
      <c r="A127" s="586"/>
      <c r="B127" s="239"/>
      <c r="C127" s="219"/>
      <c r="D127" s="220"/>
      <c r="E127" s="220"/>
      <c r="F127" s="220"/>
      <c r="G127" s="220"/>
      <c r="H127" s="220"/>
      <c r="I127" s="220"/>
      <c r="J127" s="220"/>
      <c r="K127" s="220"/>
      <c r="L127" s="220"/>
      <c r="M127" s="221"/>
      <c r="N127" s="221"/>
      <c r="O127" s="222"/>
      <c r="P127" s="587"/>
      <c r="Q127" s="229"/>
      <c r="S127" s="230"/>
    </row>
    <row r="128" spans="1:22" s="216" customFormat="1" ht="12.75" hidden="1" customHeight="1" x14ac:dyDescent="0.2">
      <c r="A128" s="655" t="s">
        <v>14</v>
      </c>
      <c r="B128" s="240" t="s">
        <v>168</v>
      </c>
      <c r="C128" s="219"/>
      <c r="D128" s="220"/>
      <c r="E128" s="220"/>
      <c r="F128" s="233">
        <f>SUM(F129:F130)</f>
        <v>0</v>
      </c>
      <c r="G128" s="241"/>
      <c r="H128" s="242">
        <f>SUM(H129:H130)</f>
        <v>0</v>
      </c>
      <c r="I128" s="241"/>
      <c r="J128" s="241"/>
      <c r="K128" s="241"/>
      <c r="L128" s="241"/>
      <c r="M128" s="221"/>
      <c r="N128" s="221"/>
      <c r="O128" s="222"/>
      <c r="P128" s="589" t="e">
        <f>SUM(P129:P130)</f>
        <v>#REF!</v>
      </c>
      <c r="Q128" s="215"/>
      <c r="T128" s="217"/>
    </row>
    <row r="129" spans="1:22" s="226" customFormat="1" ht="64.5" hidden="1" thickBot="1" x14ac:dyDescent="0.25">
      <c r="A129" s="585" t="s">
        <v>15</v>
      </c>
      <c r="B129" s="261" t="s">
        <v>312</v>
      </c>
      <c r="C129" s="219" t="s">
        <v>13</v>
      </c>
      <c r="D129" s="220">
        <v>0</v>
      </c>
      <c r="E129" s="220">
        <f>'Planilha CT Original'!H135</f>
        <v>0</v>
      </c>
      <c r="F129" s="220">
        <f>D129*E129</f>
        <v>0</v>
      </c>
      <c r="G129" s="220">
        <v>0</v>
      </c>
      <c r="H129" s="220">
        <v>0</v>
      </c>
      <c r="I129" s="220">
        <f>D129-G129</f>
        <v>0</v>
      </c>
      <c r="J129" s="220">
        <f>ORÇAMENTO!F85</f>
        <v>1</v>
      </c>
      <c r="K129" s="220">
        <v>0</v>
      </c>
      <c r="L129" s="220">
        <f>I129+J129-K129</f>
        <v>1</v>
      </c>
      <c r="M129" s="221" t="e">
        <f>'Composição Custos Unit'!#REF!</f>
        <v>#REF!</v>
      </c>
      <c r="N129" s="221" t="e">
        <f>M129*$Q$5</f>
        <v>#REF!</v>
      </c>
      <c r="O129" s="222" t="e">
        <f>#REF!</f>
        <v>#REF!</v>
      </c>
      <c r="P129" s="584" t="e">
        <f>L129*N129</f>
        <v>#REF!</v>
      </c>
      <c r="Q129" s="223"/>
      <c r="R129" s="224"/>
      <c r="S129" s="225"/>
      <c r="V129" s="227"/>
    </row>
    <row r="130" spans="1:22" s="226" customFormat="1" ht="26.25" hidden="1" thickBot="1" x14ac:dyDescent="0.25">
      <c r="A130" s="585" t="s">
        <v>129</v>
      </c>
      <c r="B130" s="261" t="s">
        <v>166</v>
      </c>
      <c r="C130" s="219" t="s">
        <v>167</v>
      </c>
      <c r="D130" s="220">
        <v>0</v>
      </c>
      <c r="E130" s="220">
        <f>'Planilha CT Original'!H136</f>
        <v>0</v>
      </c>
      <c r="F130" s="220">
        <f>D130*E130</f>
        <v>0</v>
      </c>
      <c r="G130" s="220">
        <v>0</v>
      </c>
      <c r="H130" s="220">
        <v>0</v>
      </c>
      <c r="I130" s="220">
        <f>D130-G130</f>
        <v>0</v>
      </c>
      <c r="J130" s="220">
        <v>1</v>
      </c>
      <c r="K130" s="220">
        <v>0</v>
      </c>
      <c r="L130" s="220">
        <f>I130+J130-K130</f>
        <v>1</v>
      </c>
      <c r="M130" s="221">
        <f>'Composição Custos Unit'!G35</f>
        <v>140.27000000000001</v>
      </c>
      <c r="N130" s="221">
        <f>M130*$Q$5</f>
        <v>180.93</v>
      </c>
      <c r="O130" s="222" t="e">
        <f>#REF!</f>
        <v>#REF!</v>
      </c>
      <c r="P130" s="584">
        <f>L130*N130</f>
        <v>180.93</v>
      </c>
      <c r="Q130" s="223"/>
      <c r="R130" s="224"/>
      <c r="S130" s="225"/>
      <c r="V130" s="227"/>
    </row>
    <row r="131" spans="1:22" s="202" customFormat="1" ht="5.0999999999999996" hidden="1" customHeight="1" thickBot="1" x14ac:dyDescent="0.25">
      <c r="A131" s="650"/>
      <c r="B131" s="333"/>
      <c r="C131" s="334"/>
      <c r="D131" s="335"/>
      <c r="E131" s="335"/>
      <c r="F131" s="335"/>
      <c r="G131" s="335"/>
      <c r="H131" s="335"/>
      <c r="I131" s="335"/>
      <c r="J131" s="335"/>
      <c r="K131" s="335"/>
      <c r="L131" s="335"/>
      <c r="M131" s="335"/>
      <c r="N131" s="335"/>
      <c r="O131" s="336"/>
      <c r="P131" s="651"/>
      <c r="Q131" s="229"/>
      <c r="S131" s="230"/>
    </row>
    <row r="132" spans="1:22" s="254" customFormat="1" ht="20.25" hidden="1" customHeight="1" thickBot="1" x14ac:dyDescent="0.25">
      <c r="A132" s="819" t="s">
        <v>308</v>
      </c>
      <c r="B132" s="820"/>
      <c r="C132" s="820"/>
      <c r="D132" s="820"/>
      <c r="E132" s="820"/>
      <c r="F132" s="264">
        <f>F112+F115+F118+F123+F128</f>
        <v>0</v>
      </c>
      <c r="G132" s="262"/>
      <c r="H132" s="264">
        <f>H112+H115+H118+H128</f>
        <v>0</v>
      </c>
      <c r="I132" s="263"/>
      <c r="J132" s="263"/>
      <c r="K132" s="263"/>
      <c r="L132" s="263"/>
      <c r="M132" s="278"/>
      <c r="N132" s="278"/>
      <c r="O132" s="324"/>
      <c r="P132" s="325" t="e">
        <f>P112+P115+P118+P123+P128</f>
        <v>#REF!</v>
      </c>
      <c r="Q132" s="253"/>
      <c r="R132" s="270" t="e">
        <f>P132+ORÇAMENTO!I74</f>
        <v>#REF!</v>
      </c>
      <c r="T132" s="255"/>
    </row>
    <row r="133" spans="1:22" s="202" customFormat="1" ht="5.0999999999999996" hidden="1" customHeight="1" thickBot="1" x14ac:dyDescent="0.25">
      <c r="A133" s="658"/>
      <c r="B133" s="319"/>
      <c r="C133" s="320"/>
      <c r="D133" s="321"/>
      <c r="E133" s="321"/>
      <c r="F133" s="321"/>
      <c r="G133" s="321"/>
      <c r="H133" s="321"/>
      <c r="I133" s="321"/>
      <c r="J133" s="321"/>
      <c r="K133" s="321"/>
      <c r="L133" s="321"/>
      <c r="M133" s="321"/>
      <c r="N133" s="321"/>
      <c r="O133" s="322"/>
      <c r="P133" s="659"/>
      <c r="Q133" s="229"/>
      <c r="S133" s="230"/>
    </row>
    <row r="134" spans="1:22" s="254" customFormat="1" ht="27" customHeight="1" thickBot="1" x14ac:dyDescent="0.25">
      <c r="A134" s="811" t="s">
        <v>309</v>
      </c>
      <c r="B134" s="812"/>
      <c r="C134" s="812"/>
      <c r="D134" s="812"/>
      <c r="E134" s="812"/>
      <c r="F134" s="812"/>
      <c r="G134" s="812"/>
      <c r="H134" s="812"/>
      <c r="I134" s="812"/>
      <c r="J134" s="812"/>
      <c r="K134" s="812"/>
      <c r="L134" s="812"/>
      <c r="M134" s="812"/>
      <c r="N134" s="812"/>
      <c r="O134" s="824"/>
      <c r="P134" s="565" t="e">
        <f>P19+P48+P79+P109</f>
        <v>#REF!</v>
      </c>
      <c r="Q134" s="253"/>
      <c r="R134" s="270"/>
      <c r="T134" s="255"/>
    </row>
    <row r="135" spans="1:22" s="202" customFormat="1" ht="5.25" customHeight="1" x14ac:dyDescent="0.2">
      <c r="B135" s="256"/>
      <c r="C135" s="204"/>
      <c r="O135" s="204"/>
      <c r="P135" s="256"/>
    </row>
    <row r="136" spans="1:22" s="202" customFormat="1" ht="14.25" customHeight="1" x14ac:dyDescent="0.25">
      <c r="A136" s="567" t="s">
        <v>665</v>
      </c>
      <c r="B136" s="75"/>
      <c r="C136" s="568"/>
      <c r="D136" s="567"/>
      <c r="E136" s="570"/>
      <c r="F136" s="741"/>
      <c r="G136" s="741"/>
      <c r="H136" s="741"/>
      <c r="I136" s="741"/>
      <c r="J136" s="742"/>
      <c r="K136" s="742"/>
      <c r="L136" s="518"/>
      <c r="M136" s="518"/>
      <c r="N136" s="518"/>
      <c r="O136" s="518"/>
      <c r="P136" s="518"/>
    </row>
    <row r="137" spans="1:22" s="202" customFormat="1" ht="14.25" customHeight="1" x14ac:dyDescent="0.25">
      <c r="A137" s="567" t="s">
        <v>533</v>
      </c>
      <c r="B137" s="567"/>
      <c r="C137" s="568"/>
      <c r="D137" s="567"/>
      <c r="E137" s="570"/>
      <c r="F137" s="740"/>
      <c r="G137" s="740"/>
      <c r="H137" s="259"/>
      <c r="L137" s="518"/>
      <c r="M137" s="518"/>
      <c r="N137" s="518"/>
      <c r="O137" s="518"/>
      <c r="P137" s="518"/>
      <c r="R137" s="338"/>
    </row>
    <row r="138" spans="1:22" ht="14.25" customHeight="1" x14ac:dyDescent="0.25">
      <c r="A138" s="567" t="s">
        <v>650</v>
      </c>
      <c r="B138" s="567"/>
      <c r="C138" s="567"/>
      <c r="D138" s="570"/>
      <c r="E138" s="570"/>
      <c r="F138" s="258"/>
      <c r="G138" s="258"/>
      <c r="H138" s="259"/>
      <c r="L138" s="518"/>
      <c r="M138" s="518"/>
      <c r="N138" s="518"/>
      <c r="O138" s="518"/>
      <c r="P138" s="518"/>
    </row>
    <row r="139" spans="1:22" s="202" customFormat="1" ht="12.75" customHeight="1" x14ac:dyDescent="0.2">
      <c r="B139" s="256"/>
      <c r="C139" s="204"/>
      <c r="O139" s="204"/>
      <c r="P139" s="202">
        <v>887645.87</v>
      </c>
    </row>
    <row r="140" spans="1:22" s="202" customFormat="1" ht="12.75" customHeight="1" x14ac:dyDescent="0.25">
      <c r="B140" s="256"/>
      <c r="C140" s="204"/>
      <c r="M140" s="247"/>
      <c r="N140" s="247"/>
      <c r="O140" s="204"/>
      <c r="P140" s="260">
        <f>P139-H134</f>
        <v>887645.87</v>
      </c>
    </row>
    <row r="141" spans="1:22" x14ac:dyDescent="0.2">
      <c r="I141">
        <v>7977.41</v>
      </c>
      <c r="P141" s="27" t="e">
        <f>P140-P134</f>
        <v>#REF!</v>
      </c>
    </row>
    <row r="143" spans="1:22" x14ac:dyDescent="0.2">
      <c r="I143">
        <v>2825.2</v>
      </c>
    </row>
    <row r="144" spans="1:22" x14ac:dyDescent="0.2">
      <c r="L144" s="27">
        <v>102.9</v>
      </c>
    </row>
  </sheetData>
  <mergeCells count="30">
    <mergeCell ref="A4:P4"/>
    <mergeCell ref="A5:P5"/>
    <mergeCell ref="Q6:Q8"/>
    <mergeCell ref="A7:A8"/>
    <mergeCell ref="B7:B8"/>
    <mergeCell ref="C7:C8"/>
    <mergeCell ref="D7:D8"/>
    <mergeCell ref="E7:E8"/>
    <mergeCell ref="F7:F8"/>
    <mergeCell ref="G7:G8"/>
    <mergeCell ref="A9:P9"/>
    <mergeCell ref="A21:P21"/>
    <mergeCell ref="H7:H8"/>
    <mergeCell ref="I7:I8"/>
    <mergeCell ref="J7:J8"/>
    <mergeCell ref="K7:K8"/>
    <mergeCell ref="L7:L8"/>
    <mergeCell ref="M7:P7"/>
    <mergeCell ref="F136:I136"/>
    <mergeCell ref="J136:K136"/>
    <mergeCell ref="F137:G137"/>
    <mergeCell ref="A134:O134"/>
    <mergeCell ref="A19:O19"/>
    <mergeCell ref="A48:O48"/>
    <mergeCell ref="A79:O79"/>
    <mergeCell ref="A109:O109"/>
    <mergeCell ref="A50:P50"/>
    <mergeCell ref="A81:P81"/>
    <mergeCell ref="A111:P111"/>
    <mergeCell ref="A132:E132"/>
  </mergeCells>
  <printOptions horizontalCentered="1"/>
  <pageMargins left="0.31496062992125984" right="0.31496062992125984" top="0.39370078740157483" bottom="0.39370078740157483" header="0.31496062992125984" footer="0.31496062992125984"/>
  <pageSetup paperSize="9" scale="75" orientation="portrait" horizontalDpi="360" verticalDpi="360" r:id="rId1"/>
  <colBreaks count="1" manualBreakCount="1">
    <brk id="16" max="1048575"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D96300-F609-4382-9872-B1935B05A9A4}">
  <dimension ref="A1:N41"/>
  <sheetViews>
    <sheetView view="pageBreakPreview" topLeftCell="A13" zoomScaleNormal="90" zoomScaleSheetLayoutView="100" workbookViewId="0">
      <selection activeCell="C25" sqref="C25"/>
    </sheetView>
  </sheetViews>
  <sheetFormatPr defaultRowHeight="12.75" x14ac:dyDescent="0.2"/>
  <cols>
    <col min="1" max="1" width="6.5703125" customWidth="1"/>
    <col min="2" max="2" width="43.42578125" customWidth="1"/>
    <col min="3" max="3" width="6.5703125" customWidth="1"/>
    <col min="4" max="6" width="11.7109375" customWidth="1"/>
    <col min="7" max="7" width="15.7109375" customWidth="1"/>
    <col min="8" max="8" width="15.140625" customWidth="1"/>
    <col min="9" max="9" width="15.140625" bestFit="1" customWidth="1"/>
    <col min="10" max="11" width="15.140625" customWidth="1"/>
    <col min="12" max="12" width="17.5703125" customWidth="1"/>
    <col min="13" max="13" width="14.5703125" bestFit="1" customWidth="1"/>
    <col min="14" max="14" width="10.42578125" bestFit="1" customWidth="1"/>
    <col min="16" max="16" width="10.42578125" bestFit="1" customWidth="1"/>
    <col min="243" max="243" width="6.5703125" customWidth="1"/>
    <col min="244" max="244" width="43.42578125" customWidth="1"/>
    <col min="245" max="245" width="6.5703125" customWidth="1"/>
    <col min="246" max="247" width="11.7109375" customWidth="1"/>
    <col min="248" max="248" width="12.7109375" customWidth="1"/>
    <col min="249" max="249" width="11.7109375" customWidth="1"/>
    <col min="250" max="250" width="12.7109375" customWidth="1"/>
    <col min="251" max="252" width="11.7109375" customWidth="1"/>
    <col min="253" max="253" width="12.7109375" customWidth="1"/>
    <col min="254" max="263" width="11.7109375" customWidth="1"/>
    <col min="264" max="264" width="13.7109375" customWidth="1"/>
    <col min="265" max="265" width="15.140625" bestFit="1" customWidth="1"/>
    <col min="266" max="267" width="15.140625" customWidth="1"/>
    <col min="268" max="268" width="17.5703125" customWidth="1"/>
    <col min="269" max="269" width="14.5703125" bestFit="1" customWidth="1"/>
    <col min="270" max="270" width="10.42578125" bestFit="1" customWidth="1"/>
    <col min="272" max="272" width="10.42578125" bestFit="1" customWidth="1"/>
    <col min="499" max="499" width="6.5703125" customWidth="1"/>
    <col min="500" max="500" width="43.42578125" customWidth="1"/>
    <col min="501" max="501" width="6.5703125" customWidth="1"/>
    <col min="502" max="503" width="11.7109375" customWidth="1"/>
    <col min="504" max="504" width="12.7109375" customWidth="1"/>
    <col min="505" max="505" width="11.7109375" customWidth="1"/>
    <col min="506" max="506" width="12.7109375" customWidth="1"/>
    <col min="507" max="508" width="11.7109375" customWidth="1"/>
    <col min="509" max="509" width="12.7109375" customWidth="1"/>
    <col min="510" max="519" width="11.7109375" customWidth="1"/>
    <col min="520" max="520" width="13.7109375" customWidth="1"/>
    <col min="521" max="521" width="15.140625" bestFit="1" customWidth="1"/>
    <col min="522" max="523" width="15.140625" customWidth="1"/>
    <col min="524" max="524" width="17.5703125" customWidth="1"/>
    <col min="525" max="525" width="14.5703125" bestFit="1" customWidth="1"/>
    <col min="526" max="526" width="10.42578125" bestFit="1" customWidth="1"/>
    <col min="528" max="528" width="10.42578125" bestFit="1" customWidth="1"/>
    <col min="755" max="755" width="6.5703125" customWidth="1"/>
    <col min="756" max="756" width="43.42578125" customWidth="1"/>
    <col min="757" max="757" width="6.5703125" customWidth="1"/>
    <col min="758" max="759" width="11.7109375" customWidth="1"/>
    <col min="760" max="760" width="12.7109375" customWidth="1"/>
    <col min="761" max="761" width="11.7109375" customWidth="1"/>
    <col min="762" max="762" width="12.7109375" customWidth="1"/>
    <col min="763" max="764" width="11.7109375" customWidth="1"/>
    <col min="765" max="765" width="12.7109375" customWidth="1"/>
    <col min="766" max="775" width="11.7109375" customWidth="1"/>
    <col min="776" max="776" width="13.7109375" customWidth="1"/>
    <col min="777" max="777" width="15.140625" bestFit="1" customWidth="1"/>
    <col min="778" max="779" width="15.140625" customWidth="1"/>
    <col min="780" max="780" width="17.5703125" customWidth="1"/>
    <col min="781" max="781" width="14.5703125" bestFit="1" customWidth="1"/>
    <col min="782" max="782" width="10.42578125" bestFit="1" customWidth="1"/>
    <col min="784" max="784" width="10.42578125" bestFit="1" customWidth="1"/>
    <col min="1011" max="1011" width="6.5703125" customWidth="1"/>
    <col min="1012" max="1012" width="43.42578125" customWidth="1"/>
    <col min="1013" max="1013" width="6.5703125" customWidth="1"/>
    <col min="1014" max="1015" width="11.7109375" customWidth="1"/>
    <col min="1016" max="1016" width="12.7109375" customWidth="1"/>
    <col min="1017" max="1017" width="11.7109375" customWidth="1"/>
    <col min="1018" max="1018" width="12.7109375" customWidth="1"/>
    <col min="1019" max="1020" width="11.7109375" customWidth="1"/>
    <col min="1021" max="1021" width="12.7109375" customWidth="1"/>
    <col min="1022" max="1031" width="11.7109375" customWidth="1"/>
    <col min="1032" max="1032" width="13.7109375" customWidth="1"/>
    <col min="1033" max="1033" width="15.140625" bestFit="1" customWidth="1"/>
    <col min="1034" max="1035" width="15.140625" customWidth="1"/>
    <col min="1036" max="1036" width="17.5703125" customWidth="1"/>
    <col min="1037" max="1037" width="14.5703125" bestFit="1" customWidth="1"/>
    <col min="1038" max="1038" width="10.42578125" bestFit="1" customWidth="1"/>
    <col min="1040" max="1040" width="10.42578125" bestFit="1" customWidth="1"/>
    <col min="1267" max="1267" width="6.5703125" customWidth="1"/>
    <col min="1268" max="1268" width="43.42578125" customWidth="1"/>
    <col min="1269" max="1269" width="6.5703125" customWidth="1"/>
    <col min="1270" max="1271" width="11.7109375" customWidth="1"/>
    <col min="1272" max="1272" width="12.7109375" customWidth="1"/>
    <col min="1273" max="1273" width="11.7109375" customWidth="1"/>
    <col min="1274" max="1274" width="12.7109375" customWidth="1"/>
    <col min="1275" max="1276" width="11.7109375" customWidth="1"/>
    <col min="1277" max="1277" width="12.7109375" customWidth="1"/>
    <col min="1278" max="1287" width="11.7109375" customWidth="1"/>
    <col min="1288" max="1288" width="13.7109375" customWidth="1"/>
    <col min="1289" max="1289" width="15.140625" bestFit="1" customWidth="1"/>
    <col min="1290" max="1291" width="15.140625" customWidth="1"/>
    <col min="1292" max="1292" width="17.5703125" customWidth="1"/>
    <col min="1293" max="1293" width="14.5703125" bestFit="1" customWidth="1"/>
    <col min="1294" max="1294" width="10.42578125" bestFit="1" customWidth="1"/>
    <col min="1296" max="1296" width="10.42578125" bestFit="1" customWidth="1"/>
    <col min="1523" max="1523" width="6.5703125" customWidth="1"/>
    <col min="1524" max="1524" width="43.42578125" customWidth="1"/>
    <col min="1525" max="1525" width="6.5703125" customWidth="1"/>
    <col min="1526" max="1527" width="11.7109375" customWidth="1"/>
    <col min="1528" max="1528" width="12.7109375" customWidth="1"/>
    <col min="1529" max="1529" width="11.7109375" customWidth="1"/>
    <col min="1530" max="1530" width="12.7109375" customWidth="1"/>
    <col min="1531" max="1532" width="11.7109375" customWidth="1"/>
    <col min="1533" max="1533" width="12.7109375" customWidth="1"/>
    <col min="1534" max="1543" width="11.7109375" customWidth="1"/>
    <col min="1544" max="1544" width="13.7109375" customWidth="1"/>
    <col min="1545" max="1545" width="15.140625" bestFit="1" customWidth="1"/>
    <col min="1546" max="1547" width="15.140625" customWidth="1"/>
    <col min="1548" max="1548" width="17.5703125" customWidth="1"/>
    <col min="1549" max="1549" width="14.5703125" bestFit="1" customWidth="1"/>
    <col min="1550" max="1550" width="10.42578125" bestFit="1" customWidth="1"/>
    <col min="1552" max="1552" width="10.42578125" bestFit="1" customWidth="1"/>
    <col min="1779" max="1779" width="6.5703125" customWidth="1"/>
    <col min="1780" max="1780" width="43.42578125" customWidth="1"/>
    <col min="1781" max="1781" width="6.5703125" customWidth="1"/>
    <col min="1782" max="1783" width="11.7109375" customWidth="1"/>
    <col min="1784" max="1784" width="12.7109375" customWidth="1"/>
    <col min="1785" max="1785" width="11.7109375" customWidth="1"/>
    <col min="1786" max="1786" width="12.7109375" customWidth="1"/>
    <col min="1787" max="1788" width="11.7109375" customWidth="1"/>
    <col min="1789" max="1789" width="12.7109375" customWidth="1"/>
    <col min="1790" max="1799" width="11.7109375" customWidth="1"/>
    <col min="1800" max="1800" width="13.7109375" customWidth="1"/>
    <col min="1801" max="1801" width="15.140625" bestFit="1" customWidth="1"/>
    <col min="1802" max="1803" width="15.140625" customWidth="1"/>
    <col min="1804" max="1804" width="17.5703125" customWidth="1"/>
    <col min="1805" max="1805" width="14.5703125" bestFit="1" customWidth="1"/>
    <col min="1806" max="1806" width="10.42578125" bestFit="1" customWidth="1"/>
    <col min="1808" max="1808" width="10.42578125" bestFit="1" customWidth="1"/>
    <col min="2035" max="2035" width="6.5703125" customWidth="1"/>
    <col min="2036" max="2036" width="43.42578125" customWidth="1"/>
    <col min="2037" max="2037" width="6.5703125" customWidth="1"/>
    <col min="2038" max="2039" width="11.7109375" customWidth="1"/>
    <col min="2040" max="2040" width="12.7109375" customWidth="1"/>
    <col min="2041" max="2041" width="11.7109375" customWidth="1"/>
    <col min="2042" max="2042" width="12.7109375" customWidth="1"/>
    <col min="2043" max="2044" width="11.7109375" customWidth="1"/>
    <col min="2045" max="2045" width="12.7109375" customWidth="1"/>
    <col min="2046" max="2055" width="11.7109375" customWidth="1"/>
    <col min="2056" max="2056" width="13.7109375" customWidth="1"/>
    <col min="2057" max="2057" width="15.140625" bestFit="1" customWidth="1"/>
    <col min="2058" max="2059" width="15.140625" customWidth="1"/>
    <col min="2060" max="2060" width="17.5703125" customWidth="1"/>
    <col min="2061" max="2061" width="14.5703125" bestFit="1" customWidth="1"/>
    <col min="2062" max="2062" width="10.42578125" bestFit="1" customWidth="1"/>
    <col min="2064" max="2064" width="10.42578125" bestFit="1" customWidth="1"/>
    <col min="2291" max="2291" width="6.5703125" customWidth="1"/>
    <col min="2292" max="2292" width="43.42578125" customWidth="1"/>
    <col min="2293" max="2293" width="6.5703125" customWidth="1"/>
    <col min="2294" max="2295" width="11.7109375" customWidth="1"/>
    <col min="2296" max="2296" width="12.7109375" customWidth="1"/>
    <col min="2297" max="2297" width="11.7109375" customWidth="1"/>
    <col min="2298" max="2298" width="12.7109375" customWidth="1"/>
    <col min="2299" max="2300" width="11.7109375" customWidth="1"/>
    <col min="2301" max="2301" width="12.7109375" customWidth="1"/>
    <col min="2302" max="2311" width="11.7109375" customWidth="1"/>
    <col min="2312" max="2312" width="13.7109375" customWidth="1"/>
    <col min="2313" max="2313" width="15.140625" bestFit="1" customWidth="1"/>
    <col min="2314" max="2315" width="15.140625" customWidth="1"/>
    <col min="2316" max="2316" width="17.5703125" customWidth="1"/>
    <col min="2317" max="2317" width="14.5703125" bestFit="1" customWidth="1"/>
    <col min="2318" max="2318" width="10.42578125" bestFit="1" customWidth="1"/>
    <col min="2320" max="2320" width="10.42578125" bestFit="1" customWidth="1"/>
    <col min="2547" max="2547" width="6.5703125" customWidth="1"/>
    <col min="2548" max="2548" width="43.42578125" customWidth="1"/>
    <col min="2549" max="2549" width="6.5703125" customWidth="1"/>
    <col min="2550" max="2551" width="11.7109375" customWidth="1"/>
    <col min="2552" max="2552" width="12.7109375" customWidth="1"/>
    <col min="2553" max="2553" width="11.7109375" customWidth="1"/>
    <col min="2554" max="2554" width="12.7109375" customWidth="1"/>
    <col min="2555" max="2556" width="11.7109375" customWidth="1"/>
    <col min="2557" max="2557" width="12.7109375" customWidth="1"/>
    <col min="2558" max="2567" width="11.7109375" customWidth="1"/>
    <col min="2568" max="2568" width="13.7109375" customWidth="1"/>
    <col min="2569" max="2569" width="15.140625" bestFit="1" customWidth="1"/>
    <col min="2570" max="2571" width="15.140625" customWidth="1"/>
    <col min="2572" max="2572" width="17.5703125" customWidth="1"/>
    <col min="2573" max="2573" width="14.5703125" bestFit="1" customWidth="1"/>
    <col min="2574" max="2574" width="10.42578125" bestFit="1" customWidth="1"/>
    <col min="2576" max="2576" width="10.42578125" bestFit="1" customWidth="1"/>
    <col min="2803" max="2803" width="6.5703125" customWidth="1"/>
    <col min="2804" max="2804" width="43.42578125" customWidth="1"/>
    <col min="2805" max="2805" width="6.5703125" customWidth="1"/>
    <col min="2806" max="2807" width="11.7109375" customWidth="1"/>
    <col min="2808" max="2808" width="12.7109375" customWidth="1"/>
    <col min="2809" max="2809" width="11.7109375" customWidth="1"/>
    <col min="2810" max="2810" width="12.7109375" customWidth="1"/>
    <col min="2811" max="2812" width="11.7109375" customWidth="1"/>
    <col min="2813" max="2813" width="12.7109375" customWidth="1"/>
    <col min="2814" max="2823" width="11.7109375" customWidth="1"/>
    <col min="2824" max="2824" width="13.7109375" customWidth="1"/>
    <col min="2825" max="2825" width="15.140625" bestFit="1" customWidth="1"/>
    <col min="2826" max="2827" width="15.140625" customWidth="1"/>
    <col min="2828" max="2828" width="17.5703125" customWidth="1"/>
    <col min="2829" max="2829" width="14.5703125" bestFit="1" customWidth="1"/>
    <col min="2830" max="2830" width="10.42578125" bestFit="1" customWidth="1"/>
    <col min="2832" max="2832" width="10.42578125" bestFit="1" customWidth="1"/>
    <col min="3059" max="3059" width="6.5703125" customWidth="1"/>
    <col min="3060" max="3060" width="43.42578125" customWidth="1"/>
    <col min="3061" max="3061" width="6.5703125" customWidth="1"/>
    <col min="3062" max="3063" width="11.7109375" customWidth="1"/>
    <col min="3064" max="3064" width="12.7109375" customWidth="1"/>
    <col min="3065" max="3065" width="11.7109375" customWidth="1"/>
    <col min="3066" max="3066" width="12.7109375" customWidth="1"/>
    <col min="3067" max="3068" width="11.7109375" customWidth="1"/>
    <col min="3069" max="3069" width="12.7109375" customWidth="1"/>
    <col min="3070" max="3079" width="11.7109375" customWidth="1"/>
    <col min="3080" max="3080" width="13.7109375" customWidth="1"/>
    <col min="3081" max="3081" width="15.140625" bestFit="1" customWidth="1"/>
    <col min="3082" max="3083" width="15.140625" customWidth="1"/>
    <col min="3084" max="3084" width="17.5703125" customWidth="1"/>
    <col min="3085" max="3085" width="14.5703125" bestFit="1" customWidth="1"/>
    <col min="3086" max="3086" width="10.42578125" bestFit="1" customWidth="1"/>
    <col min="3088" max="3088" width="10.42578125" bestFit="1" customWidth="1"/>
    <col min="3315" max="3315" width="6.5703125" customWidth="1"/>
    <col min="3316" max="3316" width="43.42578125" customWidth="1"/>
    <col min="3317" max="3317" width="6.5703125" customWidth="1"/>
    <col min="3318" max="3319" width="11.7109375" customWidth="1"/>
    <col min="3320" max="3320" width="12.7109375" customWidth="1"/>
    <col min="3321" max="3321" width="11.7109375" customWidth="1"/>
    <col min="3322" max="3322" width="12.7109375" customWidth="1"/>
    <col min="3323" max="3324" width="11.7109375" customWidth="1"/>
    <col min="3325" max="3325" width="12.7109375" customWidth="1"/>
    <col min="3326" max="3335" width="11.7109375" customWidth="1"/>
    <col min="3336" max="3336" width="13.7109375" customWidth="1"/>
    <col min="3337" max="3337" width="15.140625" bestFit="1" customWidth="1"/>
    <col min="3338" max="3339" width="15.140625" customWidth="1"/>
    <col min="3340" max="3340" width="17.5703125" customWidth="1"/>
    <col min="3341" max="3341" width="14.5703125" bestFit="1" customWidth="1"/>
    <col min="3342" max="3342" width="10.42578125" bestFit="1" customWidth="1"/>
    <col min="3344" max="3344" width="10.42578125" bestFit="1" customWidth="1"/>
    <col min="3571" max="3571" width="6.5703125" customWidth="1"/>
    <col min="3572" max="3572" width="43.42578125" customWidth="1"/>
    <col min="3573" max="3573" width="6.5703125" customWidth="1"/>
    <col min="3574" max="3575" width="11.7109375" customWidth="1"/>
    <col min="3576" max="3576" width="12.7109375" customWidth="1"/>
    <col min="3577" max="3577" width="11.7109375" customWidth="1"/>
    <col min="3578" max="3578" width="12.7109375" customWidth="1"/>
    <col min="3579" max="3580" width="11.7109375" customWidth="1"/>
    <col min="3581" max="3581" width="12.7109375" customWidth="1"/>
    <col min="3582" max="3591" width="11.7109375" customWidth="1"/>
    <col min="3592" max="3592" width="13.7109375" customWidth="1"/>
    <col min="3593" max="3593" width="15.140625" bestFit="1" customWidth="1"/>
    <col min="3594" max="3595" width="15.140625" customWidth="1"/>
    <col min="3596" max="3596" width="17.5703125" customWidth="1"/>
    <col min="3597" max="3597" width="14.5703125" bestFit="1" customWidth="1"/>
    <col min="3598" max="3598" width="10.42578125" bestFit="1" customWidth="1"/>
    <col min="3600" max="3600" width="10.42578125" bestFit="1" customWidth="1"/>
    <col min="3827" max="3827" width="6.5703125" customWidth="1"/>
    <col min="3828" max="3828" width="43.42578125" customWidth="1"/>
    <col min="3829" max="3829" width="6.5703125" customWidth="1"/>
    <col min="3830" max="3831" width="11.7109375" customWidth="1"/>
    <col min="3832" max="3832" width="12.7109375" customWidth="1"/>
    <col min="3833" max="3833" width="11.7109375" customWidth="1"/>
    <col min="3834" max="3834" width="12.7109375" customWidth="1"/>
    <col min="3835" max="3836" width="11.7109375" customWidth="1"/>
    <col min="3837" max="3837" width="12.7109375" customWidth="1"/>
    <col min="3838" max="3847" width="11.7109375" customWidth="1"/>
    <col min="3848" max="3848" width="13.7109375" customWidth="1"/>
    <col min="3849" max="3849" width="15.140625" bestFit="1" customWidth="1"/>
    <col min="3850" max="3851" width="15.140625" customWidth="1"/>
    <col min="3852" max="3852" width="17.5703125" customWidth="1"/>
    <col min="3853" max="3853" width="14.5703125" bestFit="1" customWidth="1"/>
    <col min="3854" max="3854" width="10.42578125" bestFit="1" customWidth="1"/>
    <col min="3856" max="3856" width="10.42578125" bestFit="1" customWidth="1"/>
    <col min="4083" max="4083" width="6.5703125" customWidth="1"/>
    <col min="4084" max="4084" width="43.42578125" customWidth="1"/>
    <col min="4085" max="4085" width="6.5703125" customWidth="1"/>
    <col min="4086" max="4087" width="11.7109375" customWidth="1"/>
    <col min="4088" max="4088" width="12.7109375" customWidth="1"/>
    <col min="4089" max="4089" width="11.7109375" customWidth="1"/>
    <col min="4090" max="4090" width="12.7109375" customWidth="1"/>
    <col min="4091" max="4092" width="11.7109375" customWidth="1"/>
    <col min="4093" max="4093" width="12.7109375" customWidth="1"/>
    <col min="4094" max="4103" width="11.7109375" customWidth="1"/>
    <col min="4104" max="4104" width="13.7109375" customWidth="1"/>
    <col min="4105" max="4105" width="15.140625" bestFit="1" customWidth="1"/>
    <col min="4106" max="4107" width="15.140625" customWidth="1"/>
    <col min="4108" max="4108" width="17.5703125" customWidth="1"/>
    <col min="4109" max="4109" width="14.5703125" bestFit="1" customWidth="1"/>
    <col min="4110" max="4110" width="10.42578125" bestFit="1" customWidth="1"/>
    <col min="4112" max="4112" width="10.42578125" bestFit="1" customWidth="1"/>
    <col min="4339" max="4339" width="6.5703125" customWidth="1"/>
    <col min="4340" max="4340" width="43.42578125" customWidth="1"/>
    <col min="4341" max="4341" width="6.5703125" customWidth="1"/>
    <col min="4342" max="4343" width="11.7109375" customWidth="1"/>
    <col min="4344" max="4344" width="12.7109375" customWidth="1"/>
    <col min="4345" max="4345" width="11.7109375" customWidth="1"/>
    <col min="4346" max="4346" width="12.7109375" customWidth="1"/>
    <col min="4347" max="4348" width="11.7109375" customWidth="1"/>
    <col min="4349" max="4349" width="12.7109375" customWidth="1"/>
    <col min="4350" max="4359" width="11.7109375" customWidth="1"/>
    <col min="4360" max="4360" width="13.7109375" customWidth="1"/>
    <col min="4361" max="4361" width="15.140625" bestFit="1" customWidth="1"/>
    <col min="4362" max="4363" width="15.140625" customWidth="1"/>
    <col min="4364" max="4364" width="17.5703125" customWidth="1"/>
    <col min="4365" max="4365" width="14.5703125" bestFit="1" customWidth="1"/>
    <col min="4366" max="4366" width="10.42578125" bestFit="1" customWidth="1"/>
    <col min="4368" max="4368" width="10.42578125" bestFit="1" customWidth="1"/>
    <col min="4595" max="4595" width="6.5703125" customWidth="1"/>
    <col min="4596" max="4596" width="43.42578125" customWidth="1"/>
    <col min="4597" max="4597" width="6.5703125" customWidth="1"/>
    <col min="4598" max="4599" width="11.7109375" customWidth="1"/>
    <col min="4600" max="4600" width="12.7109375" customWidth="1"/>
    <col min="4601" max="4601" width="11.7109375" customWidth="1"/>
    <col min="4602" max="4602" width="12.7109375" customWidth="1"/>
    <col min="4603" max="4604" width="11.7109375" customWidth="1"/>
    <col min="4605" max="4605" width="12.7109375" customWidth="1"/>
    <col min="4606" max="4615" width="11.7109375" customWidth="1"/>
    <col min="4616" max="4616" width="13.7109375" customWidth="1"/>
    <col min="4617" max="4617" width="15.140625" bestFit="1" customWidth="1"/>
    <col min="4618" max="4619" width="15.140625" customWidth="1"/>
    <col min="4620" max="4620" width="17.5703125" customWidth="1"/>
    <col min="4621" max="4621" width="14.5703125" bestFit="1" customWidth="1"/>
    <col min="4622" max="4622" width="10.42578125" bestFit="1" customWidth="1"/>
    <col min="4624" max="4624" width="10.42578125" bestFit="1" customWidth="1"/>
    <col min="4851" max="4851" width="6.5703125" customWidth="1"/>
    <col min="4852" max="4852" width="43.42578125" customWidth="1"/>
    <col min="4853" max="4853" width="6.5703125" customWidth="1"/>
    <col min="4854" max="4855" width="11.7109375" customWidth="1"/>
    <col min="4856" max="4856" width="12.7109375" customWidth="1"/>
    <col min="4857" max="4857" width="11.7109375" customWidth="1"/>
    <col min="4858" max="4858" width="12.7109375" customWidth="1"/>
    <col min="4859" max="4860" width="11.7109375" customWidth="1"/>
    <col min="4861" max="4861" width="12.7109375" customWidth="1"/>
    <col min="4862" max="4871" width="11.7109375" customWidth="1"/>
    <col min="4872" max="4872" width="13.7109375" customWidth="1"/>
    <col min="4873" max="4873" width="15.140625" bestFit="1" customWidth="1"/>
    <col min="4874" max="4875" width="15.140625" customWidth="1"/>
    <col min="4876" max="4876" width="17.5703125" customWidth="1"/>
    <col min="4877" max="4877" width="14.5703125" bestFit="1" customWidth="1"/>
    <col min="4878" max="4878" width="10.42578125" bestFit="1" customWidth="1"/>
    <col min="4880" max="4880" width="10.42578125" bestFit="1" customWidth="1"/>
    <col min="5107" max="5107" width="6.5703125" customWidth="1"/>
    <col min="5108" max="5108" width="43.42578125" customWidth="1"/>
    <col min="5109" max="5109" width="6.5703125" customWidth="1"/>
    <col min="5110" max="5111" width="11.7109375" customWidth="1"/>
    <col min="5112" max="5112" width="12.7109375" customWidth="1"/>
    <col min="5113" max="5113" width="11.7109375" customWidth="1"/>
    <col min="5114" max="5114" width="12.7109375" customWidth="1"/>
    <col min="5115" max="5116" width="11.7109375" customWidth="1"/>
    <col min="5117" max="5117" width="12.7109375" customWidth="1"/>
    <col min="5118" max="5127" width="11.7109375" customWidth="1"/>
    <col min="5128" max="5128" width="13.7109375" customWidth="1"/>
    <col min="5129" max="5129" width="15.140625" bestFit="1" customWidth="1"/>
    <col min="5130" max="5131" width="15.140625" customWidth="1"/>
    <col min="5132" max="5132" width="17.5703125" customWidth="1"/>
    <col min="5133" max="5133" width="14.5703125" bestFit="1" customWidth="1"/>
    <col min="5134" max="5134" width="10.42578125" bestFit="1" customWidth="1"/>
    <col min="5136" max="5136" width="10.42578125" bestFit="1" customWidth="1"/>
    <col min="5363" max="5363" width="6.5703125" customWidth="1"/>
    <col min="5364" max="5364" width="43.42578125" customWidth="1"/>
    <col min="5365" max="5365" width="6.5703125" customWidth="1"/>
    <col min="5366" max="5367" width="11.7109375" customWidth="1"/>
    <col min="5368" max="5368" width="12.7109375" customWidth="1"/>
    <col min="5369" max="5369" width="11.7109375" customWidth="1"/>
    <col min="5370" max="5370" width="12.7109375" customWidth="1"/>
    <col min="5371" max="5372" width="11.7109375" customWidth="1"/>
    <col min="5373" max="5373" width="12.7109375" customWidth="1"/>
    <col min="5374" max="5383" width="11.7109375" customWidth="1"/>
    <col min="5384" max="5384" width="13.7109375" customWidth="1"/>
    <col min="5385" max="5385" width="15.140625" bestFit="1" customWidth="1"/>
    <col min="5386" max="5387" width="15.140625" customWidth="1"/>
    <col min="5388" max="5388" width="17.5703125" customWidth="1"/>
    <col min="5389" max="5389" width="14.5703125" bestFit="1" customWidth="1"/>
    <col min="5390" max="5390" width="10.42578125" bestFit="1" customWidth="1"/>
    <col min="5392" max="5392" width="10.42578125" bestFit="1" customWidth="1"/>
    <col min="5619" max="5619" width="6.5703125" customWidth="1"/>
    <col min="5620" max="5620" width="43.42578125" customWidth="1"/>
    <col min="5621" max="5621" width="6.5703125" customWidth="1"/>
    <col min="5622" max="5623" width="11.7109375" customWidth="1"/>
    <col min="5624" max="5624" width="12.7109375" customWidth="1"/>
    <col min="5625" max="5625" width="11.7109375" customWidth="1"/>
    <col min="5626" max="5626" width="12.7109375" customWidth="1"/>
    <col min="5627" max="5628" width="11.7109375" customWidth="1"/>
    <col min="5629" max="5629" width="12.7109375" customWidth="1"/>
    <col min="5630" max="5639" width="11.7109375" customWidth="1"/>
    <col min="5640" max="5640" width="13.7109375" customWidth="1"/>
    <col min="5641" max="5641" width="15.140625" bestFit="1" customWidth="1"/>
    <col min="5642" max="5643" width="15.140625" customWidth="1"/>
    <col min="5644" max="5644" width="17.5703125" customWidth="1"/>
    <col min="5645" max="5645" width="14.5703125" bestFit="1" customWidth="1"/>
    <col min="5646" max="5646" width="10.42578125" bestFit="1" customWidth="1"/>
    <col min="5648" max="5648" width="10.42578125" bestFit="1" customWidth="1"/>
    <col min="5875" max="5875" width="6.5703125" customWidth="1"/>
    <col min="5876" max="5876" width="43.42578125" customWidth="1"/>
    <col min="5877" max="5877" width="6.5703125" customWidth="1"/>
    <col min="5878" max="5879" width="11.7109375" customWidth="1"/>
    <col min="5880" max="5880" width="12.7109375" customWidth="1"/>
    <col min="5881" max="5881" width="11.7109375" customWidth="1"/>
    <col min="5882" max="5882" width="12.7109375" customWidth="1"/>
    <col min="5883" max="5884" width="11.7109375" customWidth="1"/>
    <col min="5885" max="5885" width="12.7109375" customWidth="1"/>
    <col min="5886" max="5895" width="11.7109375" customWidth="1"/>
    <col min="5896" max="5896" width="13.7109375" customWidth="1"/>
    <col min="5897" max="5897" width="15.140625" bestFit="1" customWidth="1"/>
    <col min="5898" max="5899" width="15.140625" customWidth="1"/>
    <col min="5900" max="5900" width="17.5703125" customWidth="1"/>
    <col min="5901" max="5901" width="14.5703125" bestFit="1" customWidth="1"/>
    <col min="5902" max="5902" width="10.42578125" bestFit="1" customWidth="1"/>
    <col min="5904" max="5904" width="10.42578125" bestFit="1" customWidth="1"/>
    <col min="6131" max="6131" width="6.5703125" customWidth="1"/>
    <col min="6132" max="6132" width="43.42578125" customWidth="1"/>
    <col min="6133" max="6133" width="6.5703125" customWidth="1"/>
    <col min="6134" max="6135" width="11.7109375" customWidth="1"/>
    <col min="6136" max="6136" width="12.7109375" customWidth="1"/>
    <col min="6137" max="6137" width="11.7109375" customWidth="1"/>
    <col min="6138" max="6138" width="12.7109375" customWidth="1"/>
    <col min="6139" max="6140" width="11.7109375" customWidth="1"/>
    <col min="6141" max="6141" width="12.7109375" customWidth="1"/>
    <col min="6142" max="6151" width="11.7109375" customWidth="1"/>
    <col min="6152" max="6152" width="13.7109375" customWidth="1"/>
    <col min="6153" max="6153" width="15.140625" bestFit="1" customWidth="1"/>
    <col min="6154" max="6155" width="15.140625" customWidth="1"/>
    <col min="6156" max="6156" width="17.5703125" customWidth="1"/>
    <col min="6157" max="6157" width="14.5703125" bestFit="1" customWidth="1"/>
    <col min="6158" max="6158" width="10.42578125" bestFit="1" customWidth="1"/>
    <col min="6160" max="6160" width="10.42578125" bestFit="1" customWidth="1"/>
    <col min="6387" max="6387" width="6.5703125" customWidth="1"/>
    <col min="6388" max="6388" width="43.42578125" customWidth="1"/>
    <col min="6389" max="6389" width="6.5703125" customWidth="1"/>
    <col min="6390" max="6391" width="11.7109375" customWidth="1"/>
    <col min="6392" max="6392" width="12.7109375" customWidth="1"/>
    <col min="6393" max="6393" width="11.7109375" customWidth="1"/>
    <col min="6394" max="6394" width="12.7109375" customWidth="1"/>
    <col min="6395" max="6396" width="11.7109375" customWidth="1"/>
    <col min="6397" max="6397" width="12.7109375" customWidth="1"/>
    <col min="6398" max="6407" width="11.7109375" customWidth="1"/>
    <col min="6408" max="6408" width="13.7109375" customWidth="1"/>
    <col min="6409" max="6409" width="15.140625" bestFit="1" customWidth="1"/>
    <col min="6410" max="6411" width="15.140625" customWidth="1"/>
    <col min="6412" max="6412" width="17.5703125" customWidth="1"/>
    <col min="6413" max="6413" width="14.5703125" bestFit="1" customWidth="1"/>
    <col min="6414" max="6414" width="10.42578125" bestFit="1" customWidth="1"/>
    <col min="6416" max="6416" width="10.42578125" bestFit="1" customWidth="1"/>
    <col min="6643" max="6643" width="6.5703125" customWidth="1"/>
    <col min="6644" max="6644" width="43.42578125" customWidth="1"/>
    <col min="6645" max="6645" width="6.5703125" customWidth="1"/>
    <col min="6646" max="6647" width="11.7109375" customWidth="1"/>
    <col min="6648" max="6648" width="12.7109375" customWidth="1"/>
    <col min="6649" max="6649" width="11.7109375" customWidth="1"/>
    <col min="6650" max="6650" width="12.7109375" customWidth="1"/>
    <col min="6651" max="6652" width="11.7109375" customWidth="1"/>
    <col min="6653" max="6653" width="12.7109375" customWidth="1"/>
    <col min="6654" max="6663" width="11.7109375" customWidth="1"/>
    <col min="6664" max="6664" width="13.7109375" customWidth="1"/>
    <col min="6665" max="6665" width="15.140625" bestFit="1" customWidth="1"/>
    <col min="6666" max="6667" width="15.140625" customWidth="1"/>
    <col min="6668" max="6668" width="17.5703125" customWidth="1"/>
    <col min="6669" max="6669" width="14.5703125" bestFit="1" customWidth="1"/>
    <col min="6670" max="6670" width="10.42578125" bestFit="1" customWidth="1"/>
    <col min="6672" max="6672" width="10.42578125" bestFit="1" customWidth="1"/>
    <col min="6899" max="6899" width="6.5703125" customWidth="1"/>
    <col min="6900" max="6900" width="43.42578125" customWidth="1"/>
    <col min="6901" max="6901" width="6.5703125" customWidth="1"/>
    <col min="6902" max="6903" width="11.7109375" customWidth="1"/>
    <col min="6904" max="6904" width="12.7109375" customWidth="1"/>
    <col min="6905" max="6905" width="11.7109375" customWidth="1"/>
    <col min="6906" max="6906" width="12.7109375" customWidth="1"/>
    <col min="6907" max="6908" width="11.7109375" customWidth="1"/>
    <col min="6909" max="6909" width="12.7109375" customWidth="1"/>
    <col min="6910" max="6919" width="11.7109375" customWidth="1"/>
    <col min="6920" max="6920" width="13.7109375" customWidth="1"/>
    <col min="6921" max="6921" width="15.140625" bestFit="1" customWidth="1"/>
    <col min="6922" max="6923" width="15.140625" customWidth="1"/>
    <col min="6924" max="6924" width="17.5703125" customWidth="1"/>
    <col min="6925" max="6925" width="14.5703125" bestFit="1" customWidth="1"/>
    <col min="6926" max="6926" width="10.42578125" bestFit="1" customWidth="1"/>
    <col min="6928" max="6928" width="10.42578125" bestFit="1" customWidth="1"/>
    <col min="7155" max="7155" width="6.5703125" customWidth="1"/>
    <col min="7156" max="7156" width="43.42578125" customWidth="1"/>
    <col min="7157" max="7157" width="6.5703125" customWidth="1"/>
    <col min="7158" max="7159" width="11.7109375" customWidth="1"/>
    <col min="7160" max="7160" width="12.7109375" customWidth="1"/>
    <col min="7161" max="7161" width="11.7109375" customWidth="1"/>
    <col min="7162" max="7162" width="12.7109375" customWidth="1"/>
    <col min="7163" max="7164" width="11.7109375" customWidth="1"/>
    <col min="7165" max="7165" width="12.7109375" customWidth="1"/>
    <col min="7166" max="7175" width="11.7109375" customWidth="1"/>
    <col min="7176" max="7176" width="13.7109375" customWidth="1"/>
    <col min="7177" max="7177" width="15.140625" bestFit="1" customWidth="1"/>
    <col min="7178" max="7179" width="15.140625" customWidth="1"/>
    <col min="7180" max="7180" width="17.5703125" customWidth="1"/>
    <col min="7181" max="7181" width="14.5703125" bestFit="1" customWidth="1"/>
    <col min="7182" max="7182" width="10.42578125" bestFit="1" customWidth="1"/>
    <col min="7184" max="7184" width="10.42578125" bestFit="1" customWidth="1"/>
    <col min="7411" max="7411" width="6.5703125" customWidth="1"/>
    <col min="7412" max="7412" width="43.42578125" customWidth="1"/>
    <col min="7413" max="7413" width="6.5703125" customWidth="1"/>
    <col min="7414" max="7415" width="11.7109375" customWidth="1"/>
    <col min="7416" max="7416" width="12.7109375" customWidth="1"/>
    <col min="7417" max="7417" width="11.7109375" customWidth="1"/>
    <col min="7418" max="7418" width="12.7109375" customWidth="1"/>
    <col min="7419" max="7420" width="11.7109375" customWidth="1"/>
    <col min="7421" max="7421" width="12.7109375" customWidth="1"/>
    <col min="7422" max="7431" width="11.7109375" customWidth="1"/>
    <col min="7432" max="7432" width="13.7109375" customWidth="1"/>
    <col min="7433" max="7433" width="15.140625" bestFit="1" customWidth="1"/>
    <col min="7434" max="7435" width="15.140625" customWidth="1"/>
    <col min="7436" max="7436" width="17.5703125" customWidth="1"/>
    <col min="7437" max="7437" width="14.5703125" bestFit="1" customWidth="1"/>
    <col min="7438" max="7438" width="10.42578125" bestFit="1" customWidth="1"/>
    <col min="7440" max="7440" width="10.42578125" bestFit="1" customWidth="1"/>
    <col min="7667" max="7667" width="6.5703125" customWidth="1"/>
    <col min="7668" max="7668" width="43.42578125" customWidth="1"/>
    <col min="7669" max="7669" width="6.5703125" customWidth="1"/>
    <col min="7670" max="7671" width="11.7109375" customWidth="1"/>
    <col min="7672" max="7672" width="12.7109375" customWidth="1"/>
    <col min="7673" max="7673" width="11.7109375" customWidth="1"/>
    <col min="7674" max="7674" width="12.7109375" customWidth="1"/>
    <col min="7675" max="7676" width="11.7109375" customWidth="1"/>
    <col min="7677" max="7677" width="12.7109375" customWidth="1"/>
    <col min="7678" max="7687" width="11.7109375" customWidth="1"/>
    <col min="7688" max="7688" width="13.7109375" customWidth="1"/>
    <col min="7689" max="7689" width="15.140625" bestFit="1" customWidth="1"/>
    <col min="7690" max="7691" width="15.140625" customWidth="1"/>
    <col min="7692" max="7692" width="17.5703125" customWidth="1"/>
    <col min="7693" max="7693" width="14.5703125" bestFit="1" customWidth="1"/>
    <col min="7694" max="7694" width="10.42578125" bestFit="1" customWidth="1"/>
    <col min="7696" max="7696" width="10.42578125" bestFit="1" customWidth="1"/>
    <col min="7923" max="7923" width="6.5703125" customWidth="1"/>
    <col min="7924" max="7924" width="43.42578125" customWidth="1"/>
    <col min="7925" max="7925" width="6.5703125" customWidth="1"/>
    <col min="7926" max="7927" width="11.7109375" customWidth="1"/>
    <col min="7928" max="7928" width="12.7109375" customWidth="1"/>
    <col min="7929" max="7929" width="11.7109375" customWidth="1"/>
    <col min="7930" max="7930" width="12.7109375" customWidth="1"/>
    <col min="7931" max="7932" width="11.7109375" customWidth="1"/>
    <col min="7933" max="7933" width="12.7109375" customWidth="1"/>
    <col min="7934" max="7943" width="11.7109375" customWidth="1"/>
    <col min="7944" max="7944" width="13.7109375" customWidth="1"/>
    <col min="7945" max="7945" width="15.140625" bestFit="1" customWidth="1"/>
    <col min="7946" max="7947" width="15.140625" customWidth="1"/>
    <col min="7948" max="7948" width="17.5703125" customWidth="1"/>
    <col min="7949" max="7949" width="14.5703125" bestFit="1" customWidth="1"/>
    <col min="7950" max="7950" width="10.42578125" bestFit="1" customWidth="1"/>
    <col min="7952" max="7952" width="10.42578125" bestFit="1" customWidth="1"/>
    <col min="8179" max="8179" width="6.5703125" customWidth="1"/>
    <col min="8180" max="8180" width="43.42578125" customWidth="1"/>
    <col min="8181" max="8181" width="6.5703125" customWidth="1"/>
    <col min="8182" max="8183" width="11.7109375" customWidth="1"/>
    <col min="8184" max="8184" width="12.7109375" customWidth="1"/>
    <col min="8185" max="8185" width="11.7109375" customWidth="1"/>
    <col min="8186" max="8186" width="12.7109375" customWidth="1"/>
    <col min="8187" max="8188" width="11.7109375" customWidth="1"/>
    <col min="8189" max="8189" width="12.7109375" customWidth="1"/>
    <col min="8190" max="8199" width="11.7109375" customWidth="1"/>
    <col min="8200" max="8200" width="13.7109375" customWidth="1"/>
    <col min="8201" max="8201" width="15.140625" bestFit="1" customWidth="1"/>
    <col min="8202" max="8203" width="15.140625" customWidth="1"/>
    <col min="8204" max="8204" width="17.5703125" customWidth="1"/>
    <col min="8205" max="8205" width="14.5703125" bestFit="1" customWidth="1"/>
    <col min="8206" max="8206" width="10.42578125" bestFit="1" customWidth="1"/>
    <col min="8208" max="8208" width="10.42578125" bestFit="1" customWidth="1"/>
    <col min="8435" max="8435" width="6.5703125" customWidth="1"/>
    <col min="8436" max="8436" width="43.42578125" customWidth="1"/>
    <col min="8437" max="8437" width="6.5703125" customWidth="1"/>
    <col min="8438" max="8439" width="11.7109375" customWidth="1"/>
    <col min="8440" max="8440" width="12.7109375" customWidth="1"/>
    <col min="8441" max="8441" width="11.7109375" customWidth="1"/>
    <col min="8442" max="8442" width="12.7109375" customWidth="1"/>
    <col min="8443" max="8444" width="11.7109375" customWidth="1"/>
    <col min="8445" max="8445" width="12.7109375" customWidth="1"/>
    <col min="8446" max="8455" width="11.7109375" customWidth="1"/>
    <col min="8456" max="8456" width="13.7109375" customWidth="1"/>
    <col min="8457" max="8457" width="15.140625" bestFit="1" customWidth="1"/>
    <col min="8458" max="8459" width="15.140625" customWidth="1"/>
    <col min="8460" max="8460" width="17.5703125" customWidth="1"/>
    <col min="8461" max="8461" width="14.5703125" bestFit="1" customWidth="1"/>
    <col min="8462" max="8462" width="10.42578125" bestFit="1" customWidth="1"/>
    <col min="8464" max="8464" width="10.42578125" bestFit="1" customWidth="1"/>
    <col min="8691" max="8691" width="6.5703125" customWidth="1"/>
    <col min="8692" max="8692" width="43.42578125" customWidth="1"/>
    <col min="8693" max="8693" width="6.5703125" customWidth="1"/>
    <col min="8694" max="8695" width="11.7109375" customWidth="1"/>
    <col min="8696" max="8696" width="12.7109375" customWidth="1"/>
    <col min="8697" max="8697" width="11.7109375" customWidth="1"/>
    <col min="8698" max="8698" width="12.7109375" customWidth="1"/>
    <col min="8699" max="8700" width="11.7109375" customWidth="1"/>
    <col min="8701" max="8701" width="12.7109375" customWidth="1"/>
    <col min="8702" max="8711" width="11.7109375" customWidth="1"/>
    <col min="8712" max="8712" width="13.7109375" customWidth="1"/>
    <col min="8713" max="8713" width="15.140625" bestFit="1" customWidth="1"/>
    <col min="8714" max="8715" width="15.140625" customWidth="1"/>
    <col min="8716" max="8716" width="17.5703125" customWidth="1"/>
    <col min="8717" max="8717" width="14.5703125" bestFit="1" customWidth="1"/>
    <col min="8718" max="8718" width="10.42578125" bestFit="1" customWidth="1"/>
    <col min="8720" max="8720" width="10.42578125" bestFit="1" customWidth="1"/>
    <col min="8947" max="8947" width="6.5703125" customWidth="1"/>
    <col min="8948" max="8948" width="43.42578125" customWidth="1"/>
    <col min="8949" max="8949" width="6.5703125" customWidth="1"/>
    <col min="8950" max="8951" width="11.7109375" customWidth="1"/>
    <col min="8952" max="8952" width="12.7109375" customWidth="1"/>
    <col min="8953" max="8953" width="11.7109375" customWidth="1"/>
    <col min="8954" max="8954" width="12.7109375" customWidth="1"/>
    <col min="8955" max="8956" width="11.7109375" customWidth="1"/>
    <col min="8957" max="8957" width="12.7109375" customWidth="1"/>
    <col min="8958" max="8967" width="11.7109375" customWidth="1"/>
    <col min="8968" max="8968" width="13.7109375" customWidth="1"/>
    <col min="8969" max="8969" width="15.140625" bestFit="1" customWidth="1"/>
    <col min="8970" max="8971" width="15.140625" customWidth="1"/>
    <col min="8972" max="8972" width="17.5703125" customWidth="1"/>
    <col min="8973" max="8973" width="14.5703125" bestFit="1" customWidth="1"/>
    <col min="8974" max="8974" width="10.42578125" bestFit="1" customWidth="1"/>
    <col min="8976" max="8976" width="10.42578125" bestFit="1" customWidth="1"/>
    <col min="9203" max="9203" width="6.5703125" customWidth="1"/>
    <col min="9204" max="9204" width="43.42578125" customWidth="1"/>
    <col min="9205" max="9205" width="6.5703125" customWidth="1"/>
    <col min="9206" max="9207" width="11.7109375" customWidth="1"/>
    <col min="9208" max="9208" width="12.7109375" customWidth="1"/>
    <col min="9209" max="9209" width="11.7109375" customWidth="1"/>
    <col min="9210" max="9210" width="12.7109375" customWidth="1"/>
    <col min="9211" max="9212" width="11.7109375" customWidth="1"/>
    <col min="9213" max="9213" width="12.7109375" customWidth="1"/>
    <col min="9214" max="9223" width="11.7109375" customWidth="1"/>
    <col min="9224" max="9224" width="13.7109375" customWidth="1"/>
    <col min="9225" max="9225" width="15.140625" bestFit="1" customWidth="1"/>
    <col min="9226" max="9227" width="15.140625" customWidth="1"/>
    <col min="9228" max="9228" width="17.5703125" customWidth="1"/>
    <col min="9229" max="9229" width="14.5703125" bestFit="1" customWidth="1"/>
    <col min="9230" max="9230" width="10.42578125" bestFit="1" customWidth="1"/>
    <col min="9232" max="9232" width="10.42578125" bestFit="1" customWidth="1"/>
    <col min="9459" max="9459" width="6.5703125" customWidth="1"/>
    <col min="9460" max="9460" width="43.42578125" customWidth="1"/>
    <col min="9461" max="9461" width="6.5703125" customWidth="1"/>
    <col min="9462" max="9463" width="11.7109375" customWidth="1"/>
    <col min="9464" max="9464" width="12.7109375" customWidth="1"/>
    <col min="9465" max="9465" width="11.7109375" customWidth="1"/>
    <col min="9466" max="9466" width="12.7109375" customWidth="1"/>
    <col min="9467" max="9468" width="11.7109375" customWidth="1"/>
    <col min="9469" max="9469" width="12.7109375" customWidth="1"/>
    <col min="9470" max="9479" width="11.7109375" customWidth="1"/>
    <col min="9480" max="9480" width="13.7109375" customWidth="1"/>
    <col min="9481" max="9481" width="15.140625" bestFit="1" customWidth="1"/>
    <col min="9482" max="9483" width="15.140625" customWidth="1"/>
    <col min="9484" max="9484" width="17.5703125" customWidth="1"/>
    <col min="9485" max="9485" width="14.5703125" bestFit="1" customWidth="1"/>
    <col min="9486" max="9486" width="10.42578125" bestFit="1" customWidth="1"/>
    <col min="9488" max="9488" width="10.42578125" bestFit="1" customWidth="1"/>
    <col min="9715" max="9715" width="6.5703125" customWidth="1"/>
    <col min="9716" max="9716" width="43.42578125" customWidth="1"/>
    <col min="9717" max="9717" width="6.5703125" customWidth="1"/>
    <col min="9718" max="9719" width="11.7109375" customWidth="1"/>
    <col min="9720" max="9720" width="12.7109375" customWidth="1"/>
    <col min="9721" max="9721" width="11.7109375" customWidth="1"/>
    <col min="9722" max="9722" width="12.7109375" customWidth="1"/>
    <col min="9723" max="9724" width="11.7109375" customWidth="1"/>
    <col min="9725" max="9725" width="12.7109375" customWidth="1"/>
    <col min="9726" max="9735" width="11.7109375" customWidth="1"/>
    <col min="9736" max="9736" width="13.7109375" customWidth="1"/>
    <col min="9737" max="9737" width="15.140625" bestFit="1" customWidth="1"/>
    <col min="9738" max="9739" width="15.140625" customWidth="1"/>
    <col min="9740" max="9740" width="17.5703125" customWidth="1"/>
    <col min="9741" max="9741" width="14.5703125" bestFit="1" customWidth="1"/>
    <col min="9742" max="9742" width="10.42578125" bestFit="1" customWidth="1"/>
    <col min="9744" max="9744" width="10.42578125" bestFit="1" customWidth="1"/>
    <col min="9971" max="9971" width="6.5703125" customWidth="1"/>
    <col min="9972" max="9972" width="43.42578125" customWidth="1"/>
    <col min="9973" max="9973" width="6.5703125" customWidth="1"/>
    <col min="9974" max="9975" width="11.7109375" customWidth="1"/>
    <col min="9976" max="9976" width="12.7109375" customWidth="1"/>
    <col min="9977" max="9977" width="11.7109375" customWidth="1"/>
    <col min="9978" max="9978" width="12.7109375" customWidth="1"/>
    <col min="9979" max="9980" width="11.7109375" customWidth="1"/>
    <col min="9981" max="9981" width="12.7109375" customWidth="1"/>
    <col min="9982" max="9991" width="11.7109375" customWidth="1"/>
    <col min="9992" max="9992" width="13.7109375" customWidth="1"/>
    <col min="9993" max="9993" width="15.140625" bestFit="1" customWidth="1"/>
    <col min="9994" max="9995" width="15.140625" customWidth="1"/>
    <col min="9996" max="9996" width="17.5703125" customWidth="1"/>
    <col min="9997" max="9997" width="14.5703125" bestFit="1" customWidth="1"/>
    <col min="9998" max="9998" width="10.42578125" bestFit="1" customWidth="1"/>
    <col min="10000" max="10000" width="10.42578125" bestFit="1" customWidth="1"/>
    <col min="10227" max="10227" width="6.5703125" customWidth="1"/>
    <col min="10228" max="10228" width="43.42578125" customWidth="1"/>
    <col min="10229" max="10229" width="6.5703125" customWidth="1"/>
    <col min="10230" max="10231" width="11.7109375" customWidth="1"/>
    <col min="10232" max="10232" width="12.7109375" customWidth="1"/>
    <col min="10233" max="10233" width="11.7109375" customWidth="1"/>
    <col min="10234" max="10234" width="12.7109375" customWidth="1"/>
    <col min="10235" max="10236" width="11.7109375" customWidth="1"/>
    <col min="10237" max="10237" width="12.7109375" customWidth="1"/>
    <col min="10238" max="10247" width="11.7109375" customWidth="1"/>
    <col min="10248" max="10248" width="13.7109375" customWidth="1"/>
    <col min="10249" max="10249" width="15.140625" bestFit="1" customWidth="1"/>
    <col min="10250" max="10251" width="15.140625" customWidth="1"/>
    <col min="10252" max="10252" width="17.5703125" customWidth="1"/>
    <col min="10253" max="10253" width="14.5703125" bestFit="1" customWidth="1"/>
    <col min="10254" max="10254" width="10.42578125" bestFit="1" customWidth="1"/>
    <col min="10256" max="10256" width="10.42578125" bestFit="1" customWidth="1"/>
    <col min="10483" max="10483" width="6.5703125" customWidth="1"/>
    <col min="10484" max="10484" width="43.42578125" customWidth="1"/>
    <col min="10485" max="10485" width="6.5703125" customWidth="1"/>
    <col min="10486" max="10487" width="11.7109375" customWidth="1"/>
    <col min="10488" max="10488" width="12.7109375" customWidth="1"/>
    <col min="10489" max="10489" width="11.7109375" customWidth="1"/>
    <col min="10490" max="10490" width="12.7109375" customWidth="1"/>
    <col min="10491" max="10492" width="11.7109375" customWidth="1"/>
    <col min="10493" max="10493" width="12.7109375" customWidth="1"/>
    <col min="10494" max="10503" width="11.7109375" customWidth="1"/>
    <col min="10504" max="10504" width="13.7109375" customWidth="1"/>
    <col min="10505" max="10505" width="15.140625" bestFit="1" customWidth="1"/>
    <col min="10506" max="10507" width="15.140625" customWidth="1"/>
    <col min="10508" max="10508" width="17.5703125" customWidth="1"/>
    <col min="10509" max="10509" width="14.5703125" bestFit="1" customWidth="1"/>
    <col min="10510" max="10510" width="10.42578125" bestFit="1" customWidth="1"/>
    <col min="10512" max="10512" width="10.42578125" bestFit="1" customWidth="1"/>
    <col min="10739" max="10739" width="6.5703125" customWidth="1"/>
    <col min="10740" max="10740" width="43.42578125" customWidth="1"/>
    <col min="10741" max="10741" width="6.5703125" customWidth="1"/>
    <col min="10742" max="10743" width="11.7109375" customWidth="1"/>
    <col min="10744" max="10744" width="12.7109375" customWidth="1"/>
    <col min="10745" max="10745" width="11.7109375" customWidth="1"/>
    <col min="10746" max="10746" width="12.7109375" customWidth="1"/>
    <col min="10747" max="10748" width="11.7109375" customWidth="1"/>
    <col min="10749" max="10749" width="12.7109375" customWidth="1"/>
    <col min="10750" max="10759" width="11.7109375" customWidth="1"/>
    <col min="10760" max="10760" width="13.7109375" customWidth="1"/>
    <col min="10761" max="10761" width="15.140625" bestFit="1" customWidth="1"/>
    <col min="10762" max="10763" width="15.140625" customWidth="1"/>
    <col min="10764" max="10764" width="17.5703125" customWidth="1"/>
    <col min="10765" max="10765" width="14.5703125" bestFit="1" customWidth="1"/>
    <col min="10766" max="10766" width="10.42578125" bestFit="1" customWidth="1"/>
    <col min="10768" max="10768" width="10.42578125" bestFit="1" customWidth="1"/>
    <col min="10995" max="10995" width="6.5703125" customWidth="1"/>
    <col min="10996" max="10996" width="43.42578125" customWidth="1"/>
    <col min="10997" max="10997" width="6.5703125" customWidth="1"/>
    <col min="10998" max="10999" width="11.7109375" customWidth="1"/>
    <col min="11000" max="11000" width="12.7109375" customWidth="1"/>
    <col min="11001" max="11001" width="11.7109375" customWidth="1"/>
    <col min="11002" max="11002" width="12.7109375" customWidth="1"/>
    <col min="11003" max="11004" width="11.7109375" customWidth="1"/>
    <col min="11005" max="11005" width="12.7109375" customWidth="1"/>
    <col min="11006" max="11015" width="11.7109375" customWidth="1"/>
    <col min="11016" max="11016" width="13.7109375" customWidth="1"/>
    <col min="11017" max="11017" width="15.140625" bestFit="1" customWidth="1"/>
    <col min="11018" max="11019" width="15.140625" customWidth="1"/>
    <col min="11020" max="11020" width="17.5703125" customWidth="1"/>
    <col min="11021" max="11021" width="14.5703125" bestFit="1" customWidth="1"/>
    <col min="11022" max="11022" width="10.42578125" bestFit="1" customWidth="1"/>
    <col min="11024" max="11024" width="10.42578125" bestFit="1" customWidth="1"/>
    <col min="11251" max="11251" width="6.5703125" customWidth="1"/>
    <col min="11252" max="11252" width="43.42578125" customWidth="1"/>
    <col min="11253" max="11253" width="6.5703125" customWidth="1"/>
    <col min="11254" max="11255" width="11.7109375" customWidth="1"/>
    <col min="11256" max="11256" width="12.7109375" customWidth="1"/>
    <col min="11257" max="11257" width="11.7109375" customWidth="1"/>
    <col min="11258" max="11258" width="12.7109375" customWidth="1"/>
    <col min="11259" max="11260" width="11.7109375" customWidth="1"/>
    <col min="11261" max="11261" width="12.7109375" customWidth="1"/>
    <col min="11262" max="11271" width="11.7109375" customWidth="1"/>
    <col min="11272" max="11272" width="13.7109375" customWidth="1"/>
    <col min="11273" max="11273" width="15.140625" bestFit="1" customWidth="1"/>
    <col min="11274" max="11275" width="15.140625" customWidth="1"/>
    <col min="11276" max="11276" width="17.5703125" customWidth="1"/>
    <col min="11277" max="11277" width="14.5703125" bestFit="1" customWidth="1"/>
    <col min="11278" max="11278" width="10.42578125" bestFit="1" customWidth="1"/>
    <col min="11280" max="11280" width="10.42578125" bestFit="1" customWidth="1"/>
    <col min="11507" max="11507" width="6.5703125" customWidth="1"/>
    <col min="11508" max="11508" width="43.42578125" customWidth="1"/>
    <col min="11509" max="11509" width="6.5703125" customWidth="1"/>
    <col min="11510" max="11511" width="11.7109375" customWidth="1"/>
    <col min="11512" max="11512" width="12.7109375" customWidth="1"/>
    <col min="11513" max="11513" width="11.7109375" customWidth="1"/>
    <col min="11514" max="11514" width="12.7109375" customWidth="1"/>
    <col min="11515" max="11516" width="11.7109375" customWidth="1"/>
    <col min="11517" max="11517" width="12.7109375" customWidth="1"/>
    <col min="11518" max="11527" width="11.7109375" customWidth="1"/>
    <col min="11528" max="11528" width="13.7109375" customWidth="1"/>
    <col min="11529" max="11529" width="15.140625" bestFit="1" customWidth="1"/>
    <col min="11530" max="11531" width="15.140625" customWidth="1"/>
    <col min="11532" max="11532" width="17.5703125" customWidth="1"/>
    <col min="11533" max="11533" width="14.5703125" bestFit="1" customWidth="1"/>
    <col min="11534" max="11534" width="10.42578125" bestFit="1" customWidth="1"/>
    <col min="11536" max="11536" width="10.42578125" bestFit="1" customWidth="1"/>
    <col min="11763" max="11763" width="6.5703125" customWidth="1"/>
    <col min="11764" max="11764" width="43.42578125" customWidth="1"/>
    <col min="11765" max="11765" width="6.5703125" customWidth="1"/>
    <col min="11766" max="11767" width="11.7109375" customWidth="1"/>
    <col min="11768" max="11768" width="12.7109375" customWidth="1"/>
    <col min="11769" max="11769" width="11.7109375" customWidth="1"/>
    <col min="11770" max="11770" width="12.7109375" customWidth="1"/>
    <col min="11771" max="11772" width="11.7109375" customWidth="1"/>
    <col min="11773" max="11773" width="12.7109375" customWidth="1"/>
    <col min="11774" max="11783" width="11.7109375" customWidth="1"/>
    <col min="11784" max="11784" width="13.7109375" customWidth="1"/>
    <col min="11785" max="11785" width="15.140625" bestFit="1" customWidth="1"/>
    <col min="11786" max="11787" width="15.140625" customWidth="1"/>
    <col min="11788" max="11788" width="17.5703125" customWidth="1"/>
    <col min="11789" max="11789" width="14.5703125" bestFit="1" customWidth="1"/>
    <col min="11790" max="11790" width="10.42578125" bestFit="1" customWidth="1"/>
    <col min="11792" max="11792" width="10.42578125" bestFit="1" customWidth="1"/>
    <col min="12019" max="12019" width="6.5703125" customWidth="1"/>
    <col min="12020" max="12020" width="43.42578125" customWidth="1"/>
    <col min="12021" max="12021" width="6.5703125" customWidth="1"/>
    <col min="12022" max="12023" width="11.7109375" customWidth="1"/>
    <col min="12024" max="12024" width="12.7109375" customWidth="1"/>
    <col min="12025" max="12025" width="11.7109375" customWidth="1"/>
    <col min="12026" max="12026" width="12.7109375" customWidth="1"/>
    <col min="12027" max="12028" width="11.7109375" customWidth="1"/>
    <col min="12029" max="12029" width="12.7109375" customWidth="1"/>
    <col min="12030" max="12039" width="11.7109375" customWidth="1"/>
    <col min="12040" max="12040" width="13.7109375" customWidth="1"/>
    <col min="12041" max="12041" width="15.140625" bestFit="1" customWidth="1"/>
    <col min="12042" max="12043" width="15.140625" customWidth="1"/>
    <col min="12044" max="12044" width="17.5703125" customWidth="1"/>
    <col min="12045" max="12045" width="14.5703125" bestFit="1" customWidth="1"/>
    <col min="12046" max="12046" width="10.42578125" bestFit="1" customWidth="1"/>
    <col min="12048" max="12048" width="10.42578125" bestFit="1" customWidth="1"/>
    <col min="12275" max="12275" width="6.5703125" customWidth="1"/>
    <col min="12276" max="12276" width="43.42578125" customWidth="1"/>
    <col min="12277" max="12277" width="6.5703125" customWidth="1"/>
    <col min="12278" max="12279" width="11.7109375" customWidth="1"/>
    <col min="12280" max="12280" width="12.7109375" customWidth="1"/>
    <col min="12281" max="12281" width="11.7109375" customWidth="1"/>
    <col min="12282" max="12282" width="12.7109375" customWidth="1"/>
    <col min="12283" max="12284" width="11.7109375" customWidth="1"/>
    <col min="12285" max="12285" width="12.7109375" customWidth="1"/>
    <col min="12286" max="12295" width="11.7109375" customWidth="1"/>
    <col min="12296" max="12296" width="13.7109375" customWidth="1"/>
    <col min="12297" max="12297" width="15.140625" bestFit="1" customWidth="1"/>
    <col min="12298" max="12299" width="15.140625" customWidth="1"/>
    <col min="12300" max="12300" width="17.5703125" customWidth="1"/>
    <col min="12301" max="12301" width="14.5703125" bestFit="1" customWidth="1"/>
    <col min="12302" max="12302" width="10.42578125" bestFit="1" customWidth="1"/>
    <col min="12304" max="12304" width="10.42578125" bestFit="1" customWidth="1"/>
    <col min="12531" max="12531" width="6.5703125" customWidth="1"/>
    <col min="12532" max="12532" width="43.42578125" customWidth="1"/>
    <col min="12533" max="12533" width="6.5703125" customWidth="1"/>
    <col min="12534" max="12535" width="11.7109375" customWidth="1"/>
    <col min="12536" max="12536" width="12.7109375" customWidth="1"/>
    <col min="12537" max="12537" width="11.7109375" customWidth="1"/>
    <col min="12538" max="12538" width="12.7109375" customWidth="1"/>
    <col min="12539" max="12540" width="11.7109375" customWidth="1"/>
    <col min="12541" max="12541" width="12.7109375" customWidth="1"/>
    <col min="12542" max="12551" width="11.7109375" customWidth="1"/>
    <col min="12552" max="12552" width="13.7109375" customWidth="1"/>
    <col min="12553" max="12553" width="15.140625" bestFit="1" customWidth="1"/>
    <col min="12554" max="12555" width="15.140625" customWidth="1"/>
    <col min="12556" max="12556" width="17.5703125" customWidth="1"/>
    <col min="12557" max="12557" width="14.5703125" bestFit="1" customWidth="1"/>
    <col min="12558" max="12558" width="10.42578125" bestFit="1" customWidth="1"/>
    <col min="12560" max="12560" width="10.42578125" bestFit="1" customWidth="1"/>
    <col min="12787" max="12787" width="6.5703125" customWidth="1"/>
    <col min="12788" max="12788" width="43.42578125" customWidth="1"/>
    <col min="12789" max="12789" width="6.5703125" customWidth="1"/>
    <col min="12790" max="12791" width="11.7109375" customWidth="1"/>
    <col min="12792" max="12792" width="12.7109375" customWidth="1"/>
    <col min="12793" max="12793" width="11.7109375" customWidth="1"/>
    <col min="12794" max="12794" width="12.7109375" customWidth="1"/>
    <col min="12795" max="12796" width="11.7109375" customWidth="1"/>
    <col min="12797" max="12797" width="12.7109375" customWidth="1"/>
    <col min="12798" max="12807" width="11.7109375" customWidth="1"/>
    <col min="12808" max="12808" width="13.7109375" customWidth="1"/>
    <col min="12809" max="12809" width="15.140625" bestFit="1" customWidth="1"/>
    <col min="12810" max="12811" width="15.140625" customWidth="1"/>
    <col min="12812" max="12812" width="17.5703125" customWidth="1"/>
    <col min="12813" max="12813" width="14.5703125" bestFit="1" customWidth="1"/>
    <col min="12814" max="12814" width="10.42578125" bestFit="1" customWidth="1"/>
    <col min="12816" max="12816" width="10.42578125" bestFit="1" customWidth="1"/>
    <col min="13043" max="13043" width="6.5703125" customWidth="1"/>
    <col min="13044" max="13044" width="43.42578125" customWidth="1"/>
    <col min="13045" max="13045" width="6.5703125" customWidth="1"/>
    <col min="13046" max="13047" width="11.7109375" customWidth="1"/>
    <col min="13048" max="13048" width="12.7109375" customWidth="1"/>
    <col min="13049" max="13049" width="11.7109375" customWidth="1"/>
    <col min="13050" max="13050" width="12.7109375" customWidth="1"/>
    <col min="13051" max="13052" width="11.7109375" customWidth="1"/>
    <col min="13053" max="13053" width="12.7109375" customWidth="1"/>
    <col min="13054" max="13063" width="11.7109375" customWidth="1"/>
    <col min="13064" max="13064" width="13.7109375" customWidth="1"/>
    <col min="13065" max="13065" width="15.140625" bestFit="1" customWidth="1"/>
    <col min="13066" max="13067" width="15.140625" customWidth="1"/>
    <col min="13068" max="13068" width="17.5703125" customWidth="1"/>
    <col min="13069" max="13069" width="14.5703125" bestFit="1" customWidth="1"/>
    <col min="13070" max="13070" width="10.42578125" bestFit="1" customWidth="1"/>
    <col min="13072" max="13072" width="10.42578125" bestFit="1" customWidth="1"/>
    <col min="13299" max="13299" width="6.5703125" customWidth="1"/>
    <col min="13300" max="13300" width="43.42578125" customWidth="1"/>
    <col min="13301" max="13301" width="6.5703125" customWidth="1"/>
    <col min="13302" max="13303" width="11.7109375" customWidth="1"/>
    <col min="13304" max="13304" width="12.7109375" customWidth="1"/>
    <col min="13305" max="13305" width="11.7109375" customWidth="1"/>
    <col min="13306" max="13306" width="12.7109375" customWidth="1"/>
    <col min="13307" max="13308" width="11.7109375" customWidth="1"/>
    <col min="13309" max="13309" width="12.7109375" customWidth="1"/>
    <col min="13310" max="13319" width="11.7109375" customWidth="1"/>
    <col min="13320" max="13320" width="13.7109375" customWidth="1"/>
    <col min="13321" max="13321" width="15.140625" bestFit="1" customWidth="1"/>
    <col min="13322" max="13323" width="15.140625" customWidth="1"/>
    <col min="13324" max="13324" width="17.5703125" customWidth="1"/>
    <col min="13325" max="13325" width="14.5703125" bestFit="1" customWidth="1"/>
    <col min="13326" max="13326" width="10.42578125" bestFit="1" customWidth="1"/>
    <col min="13328" max="13328" width="10.42578125" bestFit="1" customWidth="1"/>
    <col min="13555" max="13555" width="6.5703125" customWidth="1"/>
    <col min="13556" max="13556" width="43.42578125" customWidth="1"/>
    <col min="13557" max="13557" width="6.5703125" customWidth="1"/>
    <col min="13558" max="13559" width="11.7109375" customWidth="1"/>
    <col min="13560" max="13560" width="12.7109375" customWidth="1"/>
    <col min="13561" max="13561" width="11.7109375" customWidth="1"/>
    <col min="13562" max="13562" width="12.7109375" customWidth="1"/>
    <col min="13563" max="13564" width="11.7109375" customWidth="1"/>
    <col min="13565" max="13565" width="12.7109375" customWidth="1"/>
    <col min="13566" max="13575" width="11.7109375" customWidth="1"/>
    <col min="13576" max="13576" width="13.7109375" customWidth="1"/>
    <col min="13577" max="13577" width="15.140625" bestFit="1" customWidth="1"/>
    <col min="13578" max="13579" width="15.140625" customWidth="1"/>
    <col min="13580" max="13580" width="17.5703125" customWidth="1"/>
    <col min="13581" max="13581" width="14.5703125" bestFit="1" customWidth="1"/>
    <col min="13582" max="13582" width="10.42578125" bestFit="1" customWidth="1"/>
    <col min="13584" max="13584" width="10.42578125" bestFit="1" customWidth="1"/>
    <col min="13811" max="13811" width="6.5703125" customWidth="1"/>
    <col min="13812" max="13812" width="43.42578125" customWidth="1"/>
    <col min="13813" max="13813" width="6.5703125" customWidth="1"/>
    <col min="13814" max="13815" width="11.7109375" customWidth="1"/>
    <col min="13816" max="13816" width="12.7109375" customWidth="1"/>
    <col min="13817" max="13817" width="11.7109375" customWidth="1"/>
    <col min="13818" max="13818" width="12.7109375" customWidth="1"/>
    <col min="13819" max="13820" width="11.7109375" customWidth="1"/>
    <col min="13821" max="13821" width="12.7109375" customWidth="1"/>
    <col min="13822" max="13831" width="11.7109375" customWidth="1"/>
    <col min="13832" max="13832" width="13.7109375" customWidth="1"/>
    <col min="13833" max="13833" width="15.140625" bestFit="1" customWidth="1"/>
    <col min="13834" max="13835" width="15.140625" customWidth="1"/>
    <col min="13836" max="13836" width="17.5703125" customWidth="1"/>
    <col min="13837" max="13837" width="14.5703125" bestFit="1" customWidth="1"/>
    <col min="13838" max="13838" width="10.42578125" bestFit="1" customWidth="1"/>
    <col min="13840" max="13840" width="10.42578125" bestFit="1" customWidth="1"/>
    <col min="14067" max="14067" width="6.5703125" customWidth="1"/>
    <col min="14068" max="14068" width="43.42578125" customWidth="1"/>
    <col min="14069" max="14069" width="6.5703125" customWidth="1"/>
    <col min="14070" max="14071" width="11.7109375" customWidth="1"/>
    <col min="14072" max="14072" width="12.7109375" customWidth="1"/>
    <col min="14073" max="14073" width="11.7109375" customWidth="1"/>
    <col min="14074" max="14074" width="12.7109375" customWidth="1"/>
    <col min="14075" max="14076" width="11.7109375" customWidth="1"/>
    <col min="14077" max="14077" width="12.7109375" customWidth="1"/>
    <col min="14078" max="14087" width="11.7109375" customWidth="1"/>
    <col min="14088" max="14088" width="13.7109375" customWidth="1"/>
    <col min="14089" max="14089" width="15.140625" bestFit="1" customWidth="1"/>
    <col min="14090" max="14091" width="15.140625" customWidth="1"/>
    <col min="14092" max="14092" width="17.5703125" customWidth="1"/>
    <col min="14093" max="14093" width="14.5703125" bestFit="1" customWidth="1"/>
    <col min="14094" max="14094" width="10.42578125" bestFit="1" customWidth="1"/>
    <col min="14096" max="14096" width="10.42578125" bestFit="1" customWidth="1"/>
    <col min="14323" max="14323" width="6.5703125" customWidth="1"/>
    <col min="14324" max="14324" width="43.42578125" customWidth="1"/>
    <col min="14325" max="14325" width="6.5703125" customWidth="1"/>
    <col min="14326" max="14327" width="11.7109375" customWidth="1"/>
    <col min="14328" max="14328" width="12.7109375" customWidth="1"/>
    <col min="14329" max="14329" width="11.7109375" customWidth="1"/>
    <col min="14330" max="14330" width="12.7109375" customWidth="1"/>
    <col min="14331" max="14332" width="11.7109375" customWidth="1"/>
    <col min="14333" max="14333" width="12.7109375" customWidth="1"/>
    <col min="14334" max="14343" width="11.7109375" customWidth="1"/>
    <col min="14344" max="14344" width="13.7109375" customWidth="1"/>
    <col min="14345" max="14345" width="15.140625" bestFit="1" customWidth="1"/>
    <col min="14346" max="14347" width="15.140625" customWidth="1"/>
    <col min="14348" max="14348" width="17.5703125" customWidth="1"/>
    <col min="14349" max="14349" width="14.5703125" bestFit="1" customWidth="1"/>
    <col min="14350" max="14350" width="10.42578125" bestFit="1" customWidth="1"/>
    <col min="14352" max="14352" width="10.42578125" bestFit="1" customWidth="1"/>
    <col min="14579" max="14579" width="6.5703125" customWidth="1"/>
    <col min="14580" max="14580" width="43.42578125" customWidth="1"/>
    <col min="14581" max="14581" width="6.5703125" customWidth="1"/>
    <col min="14582" max="14583" width="11.7109375" customWidth="1"/>
    <col min="14584" max="14584" width="12.7109375" customWidth="1"/>
    <col min="14585" max="14585" width="11.7109375" customWidth="1"/>
    <col min="14586" max="14586" width="12.7109375" customWidth="1"/>
    <col min="14587" max="14588" width="11.7109375" customWidth="1"/>
    <col min="14589" max="14589" width="12.7109375" customWidth="1"/>
    <col min="14590" max="14599" width="11.7109375" customWidth="1"/>
    <col min="14600" max="14600" width="13.7109375" customWidth="1"/>
    <col min="14601" max="14601" width="15.140625" bestFit="1" customWidth="1"/>
    <col min="14602" max="14603" width="15.140625" customWidth="1"/>
    <col min="14604" max="14604" width="17.5703125" customWidth="1"/>
    <col min="14605" max="14605" width="14.5703125" bestFit="1" customWidth="1"/>
    <col min="14606" max="14606" width="10.42578125" bestFit="1" customWidth="1"/>
    <col min="14608" max="14608" width="10.42578125" bestFit="1" customWidth="1"/>
    <col min="14835" max="14835" width="6.5703125" customWidth="1"/>
    <col min="14836" max="14836" width="43.42578125" customWidth="1"/>
    <col min="14837" max="14837" width="6.5703125" customWidth="1"/>
    <col min="14838" max="14839" width="11.7109375" customWidth="1"/>
    <col min="14840" max="14840" width="12.7109375" customWidth="1"/>
    <col min="14841" max="14841" width="11.7109375" customWidth="1"/>
    <col min="14842" max="14842" width="12.7109375" customWidth="1"/>
    <col min="14843" max="14844" width="11.7109375" customWidth="1"/>
    <col min="14845" max="14845" width="12.7109375" customWidth="1"/>
    <col min="14846" max="14855" width="11.7109375" customWidth="1"/>
    <col min="14856" max="14856" width="13.7109375" customWidth="1"/>
    <col min="14857" max="14857" width="15.140625" bestFit="1" customWidth="1"/>
    <col min="14858" max="14859" width="15.140625" customWidth="1"/>
    <col min="14860" max="14860" width="17.5703125" customWidth="1"/>
    <col min="14861" max="14861" width="14.5703125" bestFit="1" customWidth="1"/>
    <col min="14862" max="14862" width="10.42578125" bestFit="1" customWidth="1"/>
    <col min="14864" max="14864" width="10.42578125" bestFit="1" customWidth="1"/>
    <col min="15091" max="15091" width="6.5703125" customWidth="1"/>
    <col min="15092" max="15092" width="43.42578125" customWidth="1"/>
    <col min="15093" max="15093" width="6.5703125" customWidth="1"/>
    <col min="15094" max="15095" width="11.7109375" customWidth="1"/>
    <col min="15096" max="15096" width="12.7109375" customWidth="1"/>
    <col min="15097" max="15097" width="11.7109375" customWidth="1"/>
    <col min="15098" max="15098" width="12.7109375" customWidth="1"/>
    <col min="15099" max="15100" width="11.7109375" customWidth="1"/>
    <col min="15101" max="15101" width="12.7109375" customWidth="1"/>
    <col min="15102" max="15111" width="11.7109375" customWidth="1"/>
    <col min="15112" max="15112" width="13.7109375" customWidth="1"/>
    <col min="15113" max="15113" width="15.140625" bestFit="1" customWidth="1"/>
    <col min="15114" max="15115" width="15.140625" customWidth="1"/>
    <col min="15116" max="15116" width="17.5703125" customWidth="1"/>
    <col min="15117" max="15117" width="14.5703125" bestFit="1" customWidth="1"/>
    <col min="15118" max="15118" width="10.42578125" bestFit="1" customWidth="1"/>
    <col min="15120" max="15120" width="10.42578125" bestFit="1" customWidth="1"/>
    <col min="15347" max="15347" width="6.5703125" customWidth="1"/>
    <col min="15348" max="15348" width="43.42578125" customWidth="1"/>
    <col min="15349" max="15349" width="6.5703125" customWidth="1"/>
    <col min="15350" max="15351" width="11.7109375" customWidth="1"/>
    <col min="15352" max="15352" width="12.7109375" customWidth="1"/>
    <col min="15353" max="15353" width="11.7109375" customWidth="1"/>
    <col min="15354" max="15354" width="12.7109375" customWidth="1"/>
    <col min="15355" max="15356" width="11.7109375" customWidth="1"/>
    <col min="15357" max="15357" width="12.7109375" customWidth="1"/>
    <col min="15358" max="15367" width="11.7109375" customWidth="1"/>
    <col min="15368" max="15368" width="13.7109375" customWidth="1"/>
    <col min="15369" max="15369" width="15.140625" bestFit="1" customWidth="1"/>
    <col min="15370" max="15371" width="15.140625" customWidth="1"/>
    <col min="15372" max="15372" width="17.5703125" customWidth="1"/>
    <col min="15373" max="15373" width="14.5703125" bestFit="1" customWidth="1"/>
    <col min="15374" max="15374" width="10.42578125" bestFit="1" customWidth="1"/>
    <col min="15376" max="15376" width="10.42578125" bestFit="1" customWidth="1"/>
    <col min="15603" max="15603" width="6.5703125" customWidth="1"/>
    <col min="15604" max="15604" width="43.42578125" customWidth="1"/>
    <col min="15605" max="15605" width="6.5703125" customWidth="1"/>
    <col min="15606" max="15607" width="11.7109375" customWidth="1"/>
    <col min="15608" max="15608" width="12.7109375" customWidth="1"/>
    <col min="15609" max="15609" width="11.7109375" customWidth="1"/>
    <col min="15610" max="15610" width="12.7109375" customWidth="1"/>
    <col min="15611" max="15612" width="11.7109375" customWidth="1"/>
    <col min="15613" max="15613" width="12.7109375" customWidth="1"/>
    <col min="15614" max="15623" width="11.7109375" customWidth="1"/>
    <col min="15624" max="15624" width="13.7109375" customWidth="1"/>
    <col min="15625" max="15625" width="15.140625" bestFit="1" customWidth="1"/>
    <col min="15626" max="15627" width="15.140625" customWidth="1"/>
    <col min="15628" max="15628" width="17.5703125" customWidth="1"/>
    <col min="15629" max="15629" width="14.5703125" bestFit="1" customWidth="1"/>
    <col min="15630" max="15630" width="10.42578125" bestFit="1" customWidth="1"/>
    <col min="15632" max="15632" width="10.42578125" bestFit="1" customWidth="1"/>
    <col min="15859" max="15859" width="6.5703125" customWidth="1"/>
    <col min="15860" max="15860" width="43.42578125" customWidth="1"/>
    <col min="15861" max="15861" width="6.5703125" customWidth="1"/>
    <col min="15862" max="15863" width="11.7109375" customWidth="1"/>
    <col min="15864" max="15864" width="12.7109375" customWidth="1"/>
    <col min="15865" max="15865" width="11.7109375" customWidth="1"/>
    <col min="15866" max="15866" width="12.7109375" customWidth="1"/>
    <col min="15867" max="15868" width="11.7109375" customWidth="1"/>
    <col min="15869" max="15869" width="12.7109375" customWidth="1"/>
    <col min="15870" max="15879" width="11.7109375" customWidth="1"/>
    <col min="15880" max="15880" width="13.7109375" customWidth="1"/>
    <col min="15881" max="15881" width="15.140625" bestFit="1" customWidth="1"/>
    <col min="15882" max="15883" width="15.140625" customWidth="1"/>
    <col min="15884" max="15884" width="17.5703125" customWidth="1"/>
    <col min="15885" max="15885" width="14.5703125" bestFit="1" customWidth="1"/>
    <col min="15886" max="15886" width="10.42578125" bestFit="1" customWidth="1"/>
    <col min="15888" max="15888" width="10.42578125" bestFit="1" customWidth="1"/>
    <col min="16115" max="16115" width="6.5703125" customWidth="1"/>
    <col min="16116" max="16116" width="43.42578125" customWidth="1"/>
    <col min="16117" max="16117" width="6.5703125" customWidth="1"/>
    <col min="16118" max="16119" width="11.7109375" customWidth="1"/>
    <col min="16120" max="16120" width="12.7109375" customWidth="1"/>
    <col min="16121" max="16121" width="11.7109375" customWidth="1"/>
    <col min="16122" max="16122" width="12.7109375" customWidth="1"/>
    <col min="16123" max="16124" width="11.7109375" customWidth="1"/>
    <col min="16125" max="16125" width="12.7109375" customWidth="1"/>
    <col min="16126" max="16135" width="11.7109375" customWidth="1"/>
    <col min="16136" max="16136" width="13.7109375" customWidth="1"/>
    <col min="16137" max="16137" width="15.140625" bestFit="1" customWidth="1"/>
    <col min="16138" max="16139" width="15.140625" customWidth="1"/>
    <col min="16140" max="16140" width="17.5703125" customWidth="1"/>
    <col min="16141" max="16141" width="14.5703125" bestFit="1" customWidth="1"/>
    <col min="16142" max="16142" width="10.42578125" bestFit="1" customWidth="1"/>
    <col min="16144" max="16144" width="10.42578125" bestFit="1" customWidth="1"/>
  </cols>
  <sheetData>
    <row r="1" spans="1:14" x14ac:dyDescent="0.2">
      <c r="A1" s="53" t="s">
        <v>265</v>
      </c>
    </row>
    <row r="2" spans="1:14" x14ac:dyDescent="0.2">
      <c r="A2" s="53" t="s">
        <v>114</v>
      </c>
    </row>
    <row r="3" spans="1:14" ht="5.0999999999999996" customHeight="1" x14ac:dyDescent="0.2"/>
    <row r="4" spans="1:14" s="103" customFormat="1" ht="16.5" customHeight="1" x14ac:dyDescent="0.2">
      <c r="A4" s="750" t="s">
        <v>521</v>
      </c>
      <c r="B4" s="750"/>
      <c r="C4" s="750"/>
      <c r="D4" s="750"/>
      <c r="E4" s="750"/>
      <c r="F4" s="750"/>
      <c r="G4" s="750"/>
      <c r="H4" s="750"/>
    </row>
    <row r="5" spans="1:14" s="103" customFormat="1" ht="36.75" customHeight="1" x14ac:dyDescent="0.2">
      <c r="A5" s="756" t="s">
        <v>528</v>
      </c>
      <c r="B5" s="756"/>
      <c r="C5" s="756"/>
      <c r="D5" s="756"/>
      <c r="E5" s="756"/>
      <c r="F5" s="756"/>
      <c r="G5" s="756"/>
      <c r="H5" s="756"/>
      <c r="I5" s="635">
        <f>J5</f>
        <v>1.2899</v>
      </c>
      <c r="J5" s="634">
        <f>BDI!B16+1</f>
        <v>1.2899</v>
      </c>
    </row>
    <row r="6" spans="1:14" s="202" customFormat="1" ht="4.5" customHeight="1" thickBot="1" x14ac:dyDescent="0.3">
      <c r="E6" s="203"/>
      <c r="F6" s="203"/>
      <c r="G6" s="204"/>
      <c r="H6" s="203"/>
      <c r="I6" s="751"/>
      <c r="J6" s="205"/>
      <c r="K6" s="205"/>
      <c r="L6" s="206"/>
    </row>
    <row r="7" spans="1:14" s="202" customFormat="1" ht="12.75" customHeight="1" x14ac:dyDescent="0.2">
      <c r="A7" s="832" t="s">
        <v>53</v>
      </c>
      <c r="B7" s="834" t="s">
        <v>267</v>
      </c>
      <c r="C7" s="834" t="s">
        <v>268</v>
      </c>
      <c r="D7" s="829" t="s">
        <v>434</v>
      </c>
      <c r="E7" s="830" t="s">
        <v>273</v>
      </c>
      <c r="F7" s="830"/>
      <c r="G7" s="830"/>
      <c r="H7" s="831"/>
      <c r="I7" s="751"/>
      <c r="J7" s="205"/>
      <c r="K7" s="205"/>
    </row>
    <row r="8" spans="1:14" s="202" customFormat="1" ht="42" customHeight="1" thickBot="1" x14ac:dyDescent="0.3">
      <c r="A8" s="833"/>
      <c r="B8" s="753"/>
      <c r="C8" s="753"/>
      <c r="D8" s="747"/>
      <c r="E8" s="546" t="s">
        <v>436</v>
      </c>
      <c r="F8" s="546" t="s">
        <v>662</v>
      </c>
      <c r="G8" s="546" t="s">
        <v>322</v>
      </c>
      <c r="H8" s="566" t="s">
        <v>437</v>
      </c>
      <c r="I8" s="751"/>
      <c r="J8" s="205"/>
      <c r="K8" s="205"/>
      <c r="L8" s="207" t="s">
        <v>276</v>
      </c>
      <c r="M8" s="208">
        <v>0.2097</v>
      </c>
    </row>
    <row r="9" spans="1:14" s="216" customFormat="1" ht="12.75" customHeight="1" x14ac:dyDescent="0.2">
      <c r="A9" s="581" t="s">
        <v>4</v>
      </c>
      <c r="B9" s="209" t="s">
        <v>277</v>
      </c>
      <c r="C9" s="210"/>
      <c r="D9" s="213"/>
      <c r="E9" s="212"/>
      <c r="F9" s="212"/>
      <c r="G9" s="214"/>
      <c r="H9" s="582" t="e">
        <f>SUM(H10:H11)</f>
        <v>#REF!</v>
      </c>
      <c r="I9" s="215" t="e">
        <f>'Maria Livramento - T1'!F74+'Francisco J. Cardoso - T1'!F57+'Francisco J. Cardoso - T2'!F51</f>
        <v>#REF!</v>
      </c>
      <c r="L9" s="217"/>
    </row>
    <row r="10" spans="1:14" s="216" customFormat="1" ht="25.5" x14ac:dyDescent="0.2">
      <c r="A10" s="583" t="s">
        <v>5</v>
      </c>
      <c r="B10" s="235" t="s">
        <v>523</v>
      </c>
      <c r="C10" s="265" t="s">
        <v>13</v>
      </c>
      <c r="D10" s="267">
        <f>'Francisco J. Cardoso - T1'!D58</f>
        <v>4.5</v>
      </c>
      <c r="E10" s="268" t="e">
        <f>'Planilha Ajuste'!M103</f>
        <v>#REF!</v>
      </c>
      <c r="F10" s="268" t="e">
        <f>E10*$I$5</f>
        <v>#REF!</v>
      </c>
      <c r="G10" s="269" t="s">
        <v>524</v>
      </c>
      <c r="H10" s="584" t="e">
        <f>D10*F10</f>
        <v>#REF!</v>
      </c>
      <c r="I10" s="215"/>
      <c r="L10" s="217"/>
    </row>
    <row r="11" spans="1:14" s="226" customFormat="1" ht="14.25" x14ac:dyDescent="0.2">
      <c r="A11" s="585" t="s">
        <v>86</v>
      </c>
      <c r="B11" s="218" t="s">
        <v>303</v>
      </c>
      <c r="C11" s="234" t="s">
        <v>11</v>
      </c>
      <c r="D11" s="220">
        <f>'Maria Livramento - T1'!D76+'Francisco J. Cardoso - T1'!D59+'Francisco J. Cardoso - T2'!D52</f>
        <v>747.17</v>
      </c>
      <c r="E11" s="221">
        <f>'Planilha Ajuste'!M104</f>
        <v>0.46</v>
      </c>
      <c r="F11" s="221">
        <f>E11*$I$5</f>
        <v>0.59</v>
      </c>
      <c r="G11" s="246" t="s">
        <v>347</v>
      </c>
      <c r="H11" s="584">
        <f>D11*F11</f>
        <v>440.83</v>
      </c>
      <c r="I11" s="310"/>
      <c r="J11" s="224"/>
      <c r="K11" s="225"/>
      <c r="N11" s="227"/>
    </row>
    <row r="12" spans="1:14" s="202" customFormat="1" ht="5.0999999999999996" customHeight="1" x14ac:dyDescent="0.2">
      <c r="A12" s="586"/>
      <c r="B12" s="228"/>
      <c r="C12" s="219"/>
      <c r="D12" s="220"/>
      <c r="E12" s="221"/>
      <c r="F12" s="221"/>
      <c r="G12" s="222"/>
      <c r="H12" s="587"/>
      <c r="I12" s="229"/>
      <c r="K12" s="230"/>
    </row>
    <row r="13" spans="1:14" s="216" customFormat="1" ht="12.75" customHeight="1" x14ac:dyDescent="0.2">
      <c r="A13" s="581" t="s">
        <v>6</v>
      </c>
      <c r="B13" s="209" t="s">
        <v>278</v>
      </c>
      <c r="C13" s="210"/>
      <c r="D13" s="211"/>
      <c r="E13" s="221"/>
      <c r="F13" s="221"/>
      <c r="G13" s="222"/>
      <c r="H13" s="582">
        <f>SUM(H14)</f>
        <v>12337.17</v>
      </c>
      <c r="I13" s="215">
        <f>'Maria Livramento - T1'!F78+'Francisco J. Cardoso - T1'!F61+'Francisco J. Cardoso - T2'!F54</f>
        <v>11956.68</v>
      </c>
      <c r="L13" s="217">
        <v>1.2097</v>
      </c>
    </row>
    <row r="14" spans="1:14" s="226" customFormat="1" ht="25.5" x14ac:dyDescent="0.2">
      <c r="A14" s="585" t="s">
        <v>7</v>
      </c>
      <c r="B14" s="218" t="s">
        <v>280</v>
      </c>
      <c r="C14" s="234" t="s">
        <v>13</v>
      </c>
      <c r="D14" s="220">
        <f>'Maria Livramento - T1'!D79+'Francisco J. Cardoso - T1'!D62+'Francisco J. Cardoso - T2'!D55</f>
        <v>4139.99</v>
      </c>
      <c r="E14" s="221">
        <f>'Planilha Ajuste'!M107</f>
        <v>2.31</v>
      </c>
      <c r="F14" s="221">
        <f>E14*$I$5</f>
        <v>2.98</v>
      </c>
      <c r="G14" s="309" t="s">
        <v>350</v>
      </c>
      <c r="H14" s="584">
        <f>D14*F14</f>
        <v>12337.17</v>
      </c>
      <c r="I14" s="223"/>
      <c r="J14" s="224"/>
      <c r="K14" s="225"/>
      <c r="N14" s="227"/>
    </row>
    <row r="15" spans="1:14" s="202" customFormat="1" ht="5.0999999999999996" customHeight="1" x14ac:dyDescent="0.2">
      <c r="A15" s="586"/>
      <c r="B15" s="228"/>
      <c r="C15" s="219"/>
      <c r="D15" s="220"/>
      <c r="E15" s="220"/>
      <c r="F15" s="220"/>
      <c r="G15" s="236"/>
      <c r="H15" s="587"/>
      <c r="I15" s="229"/>
      <c r="K15" s="230"/>
    </row>
    <row r="16" spans="1:14" s="216" customFormat="1" ht="12.75" customHeight="1" x14ac:dyDescent="0.2">
      <c r="A16" s="581" t="s">
        <v>8</v>
      </c>
      <c r="B16" s="209" t="s">
        <v>20</v>
      </c>
      <c r="C16" s="210"/>
      <c r="D16" s="211"/>
      <c r="E16" s="237"/>
      <c r="F16" s="237"/>
      <c r="G16" s="238"/>
      <c r="H16" s="582">
        <f>SUM(H17:H19)</f>
        <v>528455.85</v>
      </c>
      <c r="I16" s="215">
        <f>'Maria Livramento - T1'!F81+'Francisco J. Cardoso - T1'!F64+'Francisco J. Cardoso - T2'!F57</f>
        <v>528379.34</v>
      </c>
      <c r="L16" s="217"/>
    </row>
    <row r="17" spans="1:14" s="226" customFormat="1" ht="63.75" x14ac:dyDescent="0.2">
      <c r="A17" s="585" t="s">
        <v>9</v>
      </c>
      <c r="B17" s="218" t="s">
        <v>260</v>
      </c>
      <c r="C17" s="219" t="s">
        <v>11</v>
      </c>
      <c r="D17" s="220">
        <f>'Maria Livramento - T1'!D82+'Francisco J. Cardoso - T1'!D65+'Francisco J. Cardoso - T2'!D58</f>
        <v>1515.63</v>
      </c>
      <c r="E17" s="221">
        <f>'Planilha Ajuste'!M75</f>
        <v>45.46</v>
      </c>
      <c r="F17" s="221">
        <f>E17*$I$5</f>
        <v>58.64</v>
      </c>
      <c r="G17" s="316" t="s">
        <v>346</v>
      </c>
      <c r="H17" s="584">
        <f>D17*F17</f>
        <v>88876.54</v>
      </c>
      <c r="I17" s="223"/>
      <c r="J17" s="224"/>
      <c r="K17" s="225"/>
      <c r="N17" s="227"/>
    </row>
    <row r="18" spans="1:14" s="226" customFormat="1" ht="38.25" x14ac:dyDescent="0.2">
      <c r="A18" s="585" t="s">
        <v>12</v>
      </c>
      <c r="B18" s="218" t="s">
        <v>305</v>
      </c>
      <c r="C18" s="219" t="s">
        <v>13</v>
      </c>
      <c r="D18" s="220">
        <f>'Maria Livramento - T1'!D83+'Francisco J. Cardoso - T1'!D66+'Francisco J. Cardoso - T2'!D59</f>
        <v>4139.99</v>
      </c>
      <c r="E18" s="221">
        <f>'Planilha Ajuste'!M76</f>
        <v>81.319999999999993</v>
      </c>
      <c r="F18" s="221">
        <f>E18*$I$5</f>
        <v>104.89</v>
      </c>
      <c r="G18" s="317" t="s">
        <v>348</v>
      </c>
      <c r="H18" s="584">
        <f>D18*F18</f>
        <v>434243.55</v>
      </c>
      <c r="I18" s="223"/>
      <c r="J18" s="224"/>
      <c r="K18" s="225"/>
      <c r="N18" s="227"/>
    </row>
    <row r="19" spans="1:14" s="226" customFormat="1" ht="27.75" customHeight="1" x14ac:dyDescent="0.2">
      <c r="A19" s="585" t="s">
        <v>108</v>
      </c>
      <c r="B19" s="218" t="s">
        <v>306</v>
      </c>
      <c r="C19" s="219" t="s">
        <v>11</v>
      </c>
      <c r="D19" s="220">
        <f>'Maria Livramento - T1'!D84+'Francisco J. Cardoso - T1'!D67+'Francisco J. Cardoso - T2'!D60</f>
        <v>85.66</v>
      </c>
      <c r="E19" s="221">
        <f>'Planilha Ajuste'!M77</f>
        <v>48.29</v>
      </c>
      <c r="F19" s="221">
        <f>E19*$I$5</f>
        <v>62.29</v>
      </c>
      <c r="G19" s="222" t="s">
        <v>512</v>
      </c>
      <c r="H19" s="584">
        <f>D19*F19</f>
        <v>5335.76</v>
      </c>
      <c r="I19" s="223"/>
      <c r="J19" s="224"/>
      <c r="K19" s="225"/>
      <c r="N19" s="227"/>
    </row>
    <row r="20" spans="1:14" s="202" customFormat="1" ht="5.0999999999999996" customHeight="1" x14ac:dyDescent="0.2">
      <c r="A20" s="586"/>
      <c r="B20" s="239"/>
      <c r="C20" s="219"/>
      <c r="D20" s="220"/>
      <c r="E20" s="221"/>
      <c r="F20" s="221"/>
      <c r="G20" s="222"/>
      <c r="H20" s="587"/>
      <c r="I20" s="229"/>
      <c r="K20" s="230"/>
    </row>
    <row r="21" spans="1:14" s="216" customFormat="1" ht="12.75" customHeight="1" x14ac:dyDescent="0.2">
      <c r="A21" s="588" t="s">
        <v>14</v>
      </c>
      <c r="B21" s="248" t="s">
        <v>292</v>
      </c>
      <c r="C21" s="219"/>
      <c r="D21" s="241"/>
      <c r="E21" s="243"/>
      <c r="F21" s="243"/>
      <c r="G21" s="244"/>
      <c r="H21" s="589" t="e">
        <f>SUM(H22:H29)</f>
        <v>#REF!</v>
      </c>
      <c r="I21" s="215" t="e">
        <f>'Maria Livramento - T1'!F101+'Francisco J. Cardoso - T1'!F69+'Francisco J. Cardoso - T2'!F62</f>
        <v>#REF!</v>
      </c>
      <c r="J21" s="542" t="e">
        <f>I21-H21</f>
        <v>#REF!</v>
      </c>
      <c r="L21" s="217"/>
    </row>
    <row r="22" spans="1:14" s="226" customFormat="1" ht="51" x14ac:dyDescent="0.2">
      <c r="A22" s="585" t="s">
        <v>15</v>
      </c>
      <c r="B22" s="261" t="s">
        <v>491</v>
      </c>
      <c r="C22" s="234" t="s">
        <v>13</v>
      </c>
      <c r="D22" s="220" t="e">
        <f>'Maria Livramento - T1'!#REF!+'Francisco J. Cardoso - T1'!D70+'Francisco J. Cardoso - T2'!D63</f>
        <v>#REF!</v>
      </c>
      <c r="E22" s="221" t="e">
        <f>'Planilha Ajuste'!#REF!</f>
        <v>#REF!</v>
      </c>
      <c r="F22" s="221" t="e">
        <f t="shared" ref="F22:F27" si="0">E22*$I$5</f>
        <v>#REF!</v>
      </c>
      <c r="G22" s="271" t="s">
        <v>500</v>
      </c>
      <c r="H22" s="584" t="e">
        <f>D22*F22-0.01</f>
        <v>#REF!</v>
      </c>
      <c r="I22" s="223" t="e">
        <f>'Maria Livramento - T1'!#REF!+'Francisco J. Cardoso - T1'!F70+'Francisco J. Cardoso - T2'!F63</f>
        <v>#REF!</v>
      </c>
      <c r="J22" s="224"/>
      <c r="K22" s="225"/>
      <c r="N22" s="227"/>
    </row>
    <row r="23" spans="1:14" s="226" customFormat="1" ht="38.25" x14ac:dyDescent="0.2">
      <c r="A23" s="585" t="s">
        <v>129</v>
      </c>
      <c r="B23" s="261" t="s">
        <v>492</v>
      </c>
      <c r="C23" s="234" t="s">
        <v>128</v>
      </c>
      <c r="D23" s="220" t="e">
        <f>'Maria Livramento - T1'!#REF!+'Francisco J. Cardoso - T1'!D71+'Francisco J. Cardoso - T2'!D64+#REF!</f>
        <v>#REF!</v>
      </c>
      <c r="E23" s="221" t="e">
        <f>'Planilha Ajuste'!#REF!</f>
        <v>#REF!</v>
      </c>
      <c r="F23" s="221" t="e">
        <f t="shared" si="0"/>
        <v>#REF!</v>
      </c>
      <c r="G23" s="271" t="s">
        <v>323</v>
      </c>
      <c r="H23" s="584" t="e">
        <f>D23*F23+0.01</f>
        <v>#REF!</v>
      </c>
      <c r="I23" s="223" t="e">
        <f>'Maria Livramento - T1'!#REF!+'Francisco J. Cardoso - T1'!F71+'Francisco J. Cardoso - T2'!F64</f>
        <v>#REF!</v>
      </c>
      <c r="J23" s="224"/>
      <c r="K23" s="225"/>
      <c r="N23" s="227"/>
    </row>
    <row r="24" spans="1:14" s="226" customFormat="1" ht="38.25" x14ac:dyDescent="0.2">
      <c r="A24" s="585" t="s">
        <v>131</v>
      </c>
      <c r="B24" s="261" t="s">
        <v>493</v>
      </c>
      <c r="C24" s="234" t="s">
        <v>128</v>
      </c>
      <c r="D24" s="220" t="e">
        <f>'Maria Livramento - T1'!#REF!+'Francisco J. Cardoso - T1'!D72+'Francisco J. Cardoso - T2'!D65+#REF!</f>
        <v>#REF!</v>
      </c>
      <c r="E24" s="221" t="e">
        <f>'Planilha Ajuste'!#REF!</f>
        <v>#REF!</v>
      </c>
      <c r="F24" s="221" t="e">
        <f t="shared" si="0"/>
        <v>#REF!</v>
      </c>
      <c r="G24" s="271">
        <v>94990</v>
      </c>
      <c r="H24" s="584" t="e">
        <f>D24*F24+0.01</f>
        <v>#REF!</v>
      </c>
      <c r="I24" s="223" t="e">
        <f>'Maria Livramento - T1'!#REF!+'Francisco J. Cardoso - T1'!F72+'Francisco J. Cardoso - T2'!F65</f>
        <v>#REF!</v>
      </c>
      <c r="J24" s="224"/>
      <c r="K24" s="225"/>
      <c r="N24" s="227"/>
    </row>
    <row r="25" spans="1:14" s="226" customFormat="1" ht="51" x14ac:dyDescent="0.2">
      <c r="A25" s="585" t="s">
        <v>413</v>
      </c>
      <c r="B25" s="261" t="s">
        <v>494</v>
      </c>
      <c r="C25" s="234" t="s">
        <v>13</v>
      </c>
      <c r="D25" s="220" t="e">
        <f>'Maria Livramento - T1'!#REF!+'Francisco J. Cardoso - T1'!D73+'Francisco J. Cardoso - T2'!D66+#REF!</f>
        <v>#REF!</v>
      </c>
      <c r="E25" s="221" t="e">
        <f>'Planilha Ajuste'!#REF!</f>
        <v>#REF!</v>
      </c>
      <c r="F25" s="221" t="e">
        <f t="shared" si="0"/>
        <v>#REF!</v>
      </c>
      <c r="G25" s="316" t="s">
        <v>497</v>
      </c>
      <c r="H25" s="584" t="e">
        <f>D25*F25+0.01</f>
        <v>#REF!</v>
      </c>
      <c r="I25" s="223" t="e">
        <f>'Maria Livramento - T1'!#REF!+'Francisco J. Cardoso - T1'!F73+'Francisco J. Cardoso - T2'!F66</f>
        <v>#REF!</v>
      </c>
      <c r="J25" s="224"/>
      <c r="K25" s="225"/>
      <c r="N25" s="227"/>
    </row>
    <row r="26" spans="1:14" s="226" customFormat="1" ht="25.5" x14ac:dyDescent="0.2">
      <c r="A26" s="585" t="s">
        <v>414</v>
      </c>
      <c r="B26" s="261" t="s">
        <v>495</v>
      </c>
      <c r="C26" s="234" t="s">
        <v>13</v>
      </c>
      <c r="D26" s="220" t="e">
        <f>'Maria Livramento - T1'!#REF!+'Francisco J. Cardoso - T1'!D74+'Francisco J. Cardoso - T2'!D67+#REF!</f>
        <v>#REF!</v>
      </c>
      <c r="E26" s="221" t="e">
        <f>'Planilha Ajuste'!#REF!</f>
        <v>#REF!</v>
      </c>
      <c r="F26" s="221" t="e">
        <f t="shared" si="0"/>
        <v>#REF!</v>
      </c>
      <c r="G26" s="271" t="s">
        <v>501</v>
      </c>
      <c r="H26" s="584" t="e">
        <f>D26*F26</f>
        <v>#REF!</v>
      </c>
      <c r="I26" s="223" t="e">
        <f>'Maria Livramento - T1'!#REF!+'Francisco J. Cardoso - T1'!F74+'Francisco J. Cardoso - T2'!F67</f>
        <v>#REF!</v>
      </c>
      <c r="J26" s="224"/>
      <c r="K26" s="225"/>
      <c r="N26" s="227"/>
    </row>
    <row r="27" spans="1:14" s="226" customFormat="1" ht="26.25" customHeight="1" x14ac:dyDescent="0.2">
      <c r="A27" s="585" t="s">
        <v>415</v>
      </c>
      <c r="B27" s="261" t="s">
        <v>312</v>
      </c>
      <c r="C27" s="234" t="s">
        <v>279</v>
      </c>
      <c r="D27" s="220" t="e">
        <f>'Maria Livramento - T1'!#REF!+'Francisco J. Cardoso - T1'!D75+'Francisco J. Cardoso - T2'!D68</f>
        <v>#REF!</v>
      </c>
      <c r="E27" s="221" t="e">
        <f>'Planilha Ajuste'!M93</f>
        <v>#REF!</v>
      </c>
      <c r="F27" s="221" t="e">
        <f t="shared" si="0"/>
        <v>#REF!</v>
      </c>
      <c r="G27" s="316" t="s">
        <v>498</v>
      </c>
      <c r="H27" s="584" t="e">
        <f>D27*F27</f>
        <v>#REF!</v>
      </c>
      <c r="I27" s="223" t="e">
        <f>'Maria Livramento - T1'!#REF!+'Francisco J. Cardoso - T1'!F75+'Francisco J. Cardoso - T2'!F68</f>
        <v>#REF!</v>
      </c>
      <c r="J27" s="224"/>
      <c r="K27" s="225"/>
      <c r="N27" s="227"/>
    </row>
    <row r="28" spans="1:14" s="202" customFormat="1" ht="25.5" x14ac:dyDescent="0.2">
      <c r="A28" s="585" t="s">
        <v>416</v>
      </c>
      <c r="B28" s="261" t="s">
        <v>419</v>
      </c>
      <c r="C28" s="219" t="s">
        <v>13</v>
      </c>
      <c r="D28" s="220">
        <f>'Maria Livramento - T1'!D102+'Francisco J. Cardoso - T1'!D76+'Francisco J. Cardoso - T2'!D69</f>
        <v>424.37</v>
      </c>
      <c r="E28" s="221">
        <f>'Planilha Ajuste'!M92</f>
        <v>1.25</v>
      </c>
      <c r="F28" s="221">
        <f>E28*$I$5</f>
        <v>1.61</v>
      </c>
      <c r="G28" s="271" t="s">
        <v>349</v>
      </c>
      <c r="H28" s="584">
        <f>D28*F28+0.01</f>
        <v>683.25</v>
      </c>
      <c r="I28" s="223">
        <f>'Maria Livramento - T1'!F102+'Francisco J. Cardoso - T1'!F76+'Francisco J. Cardoso - T2'!F69</f>
        <v>695.73</v>
      </c>
      <c r="J28" s="230"/>
      <c r="K28" s="230"/>
      <c r="L28" s="247"/>
    </row>
    <row r="29" spans="1:14" s="202" customFormat="1" ht="25.5" x14ac:dyDescent="0.2">
      <c r="A29" s="585" t="s">
        <v>417</v>
      </c>
      <c r="B29" s="261" t="s">
        <v>499</v>
      </c>
      <c r="C29" s="219" t="s">
        <v>13</v>
      </c>
      <c r="D29" s="220">
        <f>'Francisco J. Cardoso - T1'!D77+'Francisco J. Cardoso - T2'!D70</f>
        <v>2</v>
      </c>
      <c r="E29" s="221">
        <f>'Planilha Ajuste'!M158</f>
        <v>140.27000000000001</v>
      </c>
      <c r="F29" s="221">
        <f>E29*$I$5</f>
        <v>180.93</v>
      </c>
      <c r="G29" s="271" t="s">
        <v>349</v>
      </c>
      <c r="H29" s="584">
        <f>D29*F29</f>
        <v>361.86</v>
      </c>
      <c r="I29" s="223">
        <f>'Maria Livramento - T1'!F105+'Francisco J. Cardoso - T1'!F77+'Francisco J. Cardoso - T2'!F70</f>
        <v>361.86</v>
      </c>
      <c r="J29" s="230"/>
      <c r="K29" s="230"/>
      <c r="L29" s="247"/>
    </row>
    <row r="30" spans="1:14" s="202" customFormat="1" ht="6.75" customHeight="1" thickBot="1" x14ac:dyDescent="0.25">
      <c r="A30" s="590"/>
      <c r="B30" s="249"/>
      <c r="C30" s="250"/>
      <c r="D30" s="251"/>
      <c r="E30" s="252"/>
      <c r="F30" s="252"/>
      <c r="G30" s="252"/>
      <c r="H30" s="591"/>
      <c r="I30" s="229"/>
    </row>
    <row r="31" spans="1:14" s="254" customFormat="1" ht="20.25" customHeight="1" thickBot="1" x14ac:dyDescent="0.25">
      <c r="A31" s="743" t="s">
        <v>522</v>
      </c>
      <c r="B31" s="744"/>
      <c r="C31" s="744"/>
      <c r="D31" s="744"/>
      <c r="E31" s="744"/>
      <c r="F31" s="744"/>
      <c r="G31" s="745"/>
      <c r="H31" s="560" t="e">
        <f>H9+H13+H16+H21</f>
        <v>#REF!</v>
      </c>
      <c r="I31" s="576"/>
      <c r="J31" s="270" t="e">
        <f>#REF!-#REF!</f>
        <v>#REF!</v>
      </c>
      <c r="L31" s="255"/>
    </row>
    <row r="32" spans="1:14" s="202" customFormat="1" ht="6.75" customHeight="1" x14ac:dyDescent="0.2">
      <c r="A32" s="577"/>
      <c r="B32" s="578"/>
      <c r="C32" s="76"/>
      <c r="D32" s="579"/>
      <c r="E32" s="580"/>
      <c r="F32" s="580"/>
      <c r="G32" s="580"/>
      <c r="H32" s="580"/>
    </row>
    <row r="33" spans="1:10" s="202" customFormat="1" ht="15.75" customHeight="1" x14ac:dyDescent="0.2">
      <c r="A33" s="567" t="s">
        <v>661</v>
      </c>
      <c r="B33" s="569"/>
      <c r="C33" s="568"/>
      <c r="D33" s="567"/>
      <c r="E33" s="567"/>
      <c r="F33" s="567"/>
      <c r="G33" s="568"/>
      <c r="H33" s="569"/>
    </row>
    <row r="34" spans="1:10" s="202" customFormat="1" ht="13.5" customHeight="1" x14ac:dyDescent="0.2">
      <c r="A34" s="567" t="s">
        <v>533</v>
      </c>
      <c r="B34" s="569"/>
      <c r="C34" s="568"/>
      <c r="D34" s="567"/>
      <c r="E34" s="567"/>
      <c r="F34" s="567"/>
      <c r="G34" s="568"/>
      <c r="H34" s="569"/>
    </row>
    <row r="35" spans="1:10" s="202" customFormat="1" ht="14.25" customHeight="1" x14ac:dyDescent="0.2">
      <c r="A35" s="835" t="s">
        <v>663</v>
      </c>
      <c r="B35" s="835"/>
      <c r="C35" s="835"/>
      <c r="D35" s="835"/>
      <c r="E35" s="835"/>
      <c r="F35" s="835"/>
      <c r="G35" s="835"/>
      <c r="H35" s="835"/>
    </row>
    <row r="36" spans="1:10" s="202" customFormat="1" ht="12.75" customHeight="1" x14ac:dyDescent="0.2">
      <c r="B36" s="256"/>
      <c r="C36" s="204"/>
      <c r="G36" s="204"/>
      <c r="H36" s="202">
        <v>887645.87</v>
      </c>
    </row>
    <row r="37" spans="1:10" s="202" customFormat="1" ht="12.75" customHeight="1" x14ac:dyDescent="0.25">
      <c r="B37" s="256"/>
      <c r="C37" s="204"/>
      <c r="E37" s="247"/>
      <c r="F37" s="247"/>
      <c r="G37" s="204"/>
      <c r="H37" s="260"/>
      <c r="J37" s="202" t="e">
        <f>H31/D18</f>
        <v>#REF!</v>
      </c>
    </row>
    <row r="38" spans="1:10" x14ac:dyDescent="0.2">
      <c r="H38" s="27"/>
    </row>
    <row r="41" spans="1:10" x14ac:dyDescent="0.2">
      <c r="D41" s="27">
        <v>102.9</v>
      </c>
    </row>
  </sheetData>
  <mergeCells count="10">
    <mergeCell ref="A35:H35"/>
    <mergeCell ref="A31:G31"/>
    <mergeCell ref="A4:H4"/>
    <mergeCell ref="A5:H5"/>
    <mergeCell ref="I6:I8"/>
    <mergeCell ref="A7:A8"/>
    <mergeCell ref="B7:B8"/>
    <mergeCell ref="C7:C8"/>
    <mergeCell ref="D7:D8"/>
    <mergeCell ref="E7:H7"/>
  </mergeCells>
  <printOptions horizontalCentered="1"/>
  <pageMargins left="0.51181102362204722" right="0.51181102362204722" top="0.39370078740157483" bottom="0.59055118110236227" header="0.31496062992125984" footer="0.31496062992125984"/>
  <pageSetup paperSize="9" scale="75" orientation="portrait" horizontalDpi="360" verticalDpi="360" r:id="rId1"/>
  <colBreaks count="1" manualBreakCount="1">
    <brk id="8" max="1048575" man="1"/>
  </col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B0E45B-5473-48E6-A90A-9D89BE785576}">
  <dimension ref="B1:O100"/>
  <sheetViews>
    <sheetView view="pageBreakPreview" topLeftCell="A4" zoomScaleNormal="100" zoomScaleSheetLayoutView="100" workbookViewId="0">
      <selection activeCell="C33" sqref="C33"/>
    </sheetView>
  </sheetViews>
  <sheetFormatPr defaultRowHeight="16.5" x14ac:dyDescent="0.2"/>
  <cols>
    <col min="1" max="1" width="9.28515625" style="339" customWidth="1"/>
    <col min="2" max="2" width="4.7109375" style="340" customWidth="1"/>
    <col min="3" max="3" width="89.28515625" style="341" customWidth="1"/>
    <col min="4" max="4" width="10.28515625" style="342" bestFit="1" customWidth="1"/>
    <col min="5" max="5" width="8.42578125" style="340" bestFit="1" customWidth="1"/>
    <col min="6" max="6" width="11.28515625" style="340" customWidth="1"/>
    <col min="7" max="7" width="9.85546875" style="343" bestFit="1" customWidth="1"/>
    <col min="8" max="8" width="24.140625" style="340" bestFit="1" customWidth="1"/>
    <col min="9" max="9" width="74.5703125" style="344" bestFit="1" customWidth="1"/>
    <col min="10" max="10" width="11.5703125" style="345" customWidth="1"/>
    <col min="11" max="11" width="30.85546875" style="340" customWidth="1"/>
    <col min="12" max="12" width="9.140625" style="340"/>
    <col min="13" max="13" width="9.28515625" style="340" bestFit="1" customWidth="1"/>
    <col min="14" max="14" width="10.42578125" style="340" bestFit="1" customWidth="1"/>
    <col min="15" max="256" width="9.140625" style="339"/>
    <col min="257" max="257" width="9.28515625" style="339" customWidth="1"/>
    <col min="258" max="258" width="4.7109375" style="339" customWidth="1"/>
    <col min="259" max="259" width="89.28515625" style="339" customWidth="1"/>
    <col min="260" max="260" width="10.28515625" style="339" bestFit="1" customWidth="1"/>
    <col min="261" max="261" width="8.42578125" style="339" bestFit="1" customWidth="1"/>
    <col min="262" max="262" width="11.28515625" style="339" customWidth="1"/>
    <col min="263" max="263" width="9.85546875" style="339" bestFit="1" customWidth="1"/>
    <col min="264" max="264" width="24.140625" style="339" bestFit="1" customWidth="1"/>
    <col min="265" max="265" width="74.5703125" style="339" bestFit="1" customWidth="1"/>
    <col min="266" max="266" width="11.5703125" style="339" customWidth="1"/>
    <col min="267" max="267" width="30.85546875" style="339" customWidth="1"/>
    <col min="268" max="268" width="9.140625" style="339"/>
    <col min="269" max="269" width="9.28515625" style="339" bestFit="1" customWidth="1"/>
    <col min="270" max="270" width="10.42578125" style="339" bestFit="1" customWidth="1"/>
    <col min="271" max="512" width="9.140625" style="339"/>
    <col min="513" max="513" width="9.28515625" style="339" customWidth="1"/>
    <col min="514" max="514" width="4.7109375" style="339" customWidth="1"/>
    <col min="515" max="515" width="89.28515625" style="339" customWidth="1"/>
    <col min="516" max="516" width="10.28515625" style="339" bestFit="1" customWidth="1"/>
    <col min="517" max="517" width="8.42578125" style="339" bestFit="1" customWidth="1"/>
    <col min="518" max="518" width="11.28515625" style="339" customWidth="1"/>
    <col min="519" max="519" width="9.85546875" style="339" bestFit="1" customWidth="1"/>
    <col min="520" max="520" width="24.140625" style="339" bestFit="1" customWidth="1"/>
    <col min="521" max="521" width="74.5703125" style="339" bestFit="1" customWidth="1"/>
    <col min="522" max="522" width="11.5703125" style="339" customWidth="1"/>
    <col min="523" max="523" width="30.85546875" style="339" customWidth="1"/>
    <col min="524" max="524" width="9.140625" style="339"/>
    <col min="525" max="525" width="9.28515625" style="339" bestFit="1" customWidth="1"/>
    <col min="526" max="526" width="10.42578125" style="339" bestFit="1" customWidth="1"/>
    <col min="527" max="768" width="9.140625" style="339"/>
    <col min="769" max="769" width="9.28515625" style="339" customWidth="1"/>
    <col min="770" max="770" width="4.7109375" style="339" customWidth="1"/>
    <col min="771" max="771" width="89.28515625" style="339" customWidth="1"/>
    <col min="772" max="772" width="10.28515625" style="339" bestFit="1" customWidth="1"/>
    <col min="773" max="773" width="8.42578125" style="339" bestFit="1" customWidth="1"/>
    <col min="774" max="774" width="11.28515625" style="339" customWidth="1"/>
    <col min="775" max="775" width="9.85546875" style="339" bestFit="1" customWidth="1"/>
    <col min="776" max="776" width="24.140625" style="339" bestFit="1" customWidth="1"/>
    <col min="777" max="777" width="74.5703125" style="339" bestFit="1" customWidth="1"/>
    <col min="778" max="778" width="11.5703125" style="339" customWidth="1"/>
    <col min="779" max="779" width="30.85546875" style="339" customWidth="1"/>
    <col min="780" max="780" width="9.140625" style="339"/>
    <col min="781" max="781" width="9.28515625" style="339" bestFit="1" customWidth="1"/>
    <col min="782" max="782" width="10.42578125" style="339" bestFit="1" customWidth="1"/>
    <col min="783" max="1024" width="9.140625" style="339"/>
    <col min="1025" max="1025" width="9.28515625" style="339" customWidth="1"/>
    <col min="1026" max="1026" width="4.7109375" style="339" customWidth="1"/>
    <col min="1027" max="1027" width="89.28515625" style="339" customWidth="1"/>
    <col min="1028" max="1028" width="10.28515625" style="339" bestFit="1" customWidth="1"/>
    <col min="1029" max="1029" width="8.42578125" style="339" bestFit="1" customWidth="1"/>
    <col min="1030" max="1030" width="11.28515625" style="339" customWidth="1"/>
    <col min="1031" max="1031" width="9.85546875" style="339" bestFit="1" customWidth="1"/>
    <col min="1032" max="1032" width="24.140625" style="339" bestFit="1" customWidth="1"/>
    <col min="1033" max="1033" width="74.5703125" style="339" bestFit="1" customWidth="1"/>
    <col min="1034" max="1034" width="11.5703125" style="339" customWidth="1"/>
    <col min="1035" max="1035" width="30.85546875" style="339" customWidth="1"/>
    <col min="1036" max="1036" width="9.140625" style="339"/>
    <col min="1037" max="1037" width="9.28515625" style="339" bestFit="1" customWidth="1"/>
    <col min="1038" max="1038" width="10.42578125" style="339" bestFit="1" customWidth="1"/>
    <col min="1039" max="1280" width="9.140625" style="339"/>
    <col min="1281" max="1281" width="9.28515625" style="339" customWidth="1"/>
    <col min="1282" max="1282" width="4.7109375" style="339" customWidth="1"/>
    <col min="1283" max="1283" width="89.28515625" style="339" customWidth="1"/>
    <col min="1284" max="1284" width="10.28515625" style="339" bestFit="1" customWidth="1"/>
    <col min="1285" max="1285" width="8.42578125" style="339" bestFit="1" customWidth="1"/>
    <col min="1286" max="1286" width="11.28515625" style="339" customWidth="1"/>
    <col min="1287" max="1287" width="9.85546875" style="339" bestFit="1" customWidth="1"/>
    <col min="1288" max="1288" width="24.140625" style="339" bestFit="1" customWidth="1"/>
    <col min="1289" max="1289" width="74.5703125" style="339" bestFit="1" customWidth="1"/>
    <col min="1290" max="1290" width="11.5703125" style="339" customWidth="1"/>
    <col min="1291" max="1291" width="30.85546875" style="339" customWidth="1"/>
    <col min="1292" max="1292" width="9.140625" style="339"/>
    <col min="1293" max="1293" width="9.28515625" style="339" bestFit="1" customWidth="1"/>
    <col min="1294" max="1294" width="10.42578125" style="339" bestFit="1" customWidth="1"/>
    <col min="1295" max="1536" width="9.140625" style="339"/>
    <col min="1537" max="1537" width="9.28515625" style="339" customWidth="1"/>
    <col min="1538" max="1538" width="4.7109375" style="339" customWidth="1"/>
    <col min="1539" max="1539" width="89.28515625" style="339" customWidth="1"/>
    <col min="1540" max="1540" width="10.28515625" style="339" bestFit="1" customWidth="1"/>
    <col min="1541" max="1541" width="8.42578125" style="339" bestFit="1" customWidth="1"/>
    <col min="1542" max="1542" width="11.28515625" style="339" customWidth="1"/>
    <col min="1543" max="1543" width="9.85546875" style="339" bestFit="1" customWidth="1"/>
    <col min="1544" max="1544" width="24.140625" style="339" bestFit="1" customWidth="1"/>
    <col min="1545" max="1545" width="74.5703125" style="339" bestFit="1" customWidth="1"/>
    <col min="1546" max="1546" width="11.5703125" style="339" customWidth="1"/>
    <col min="1547" max="1547" width="30.85546875" style="339" customWidth="1"/>
    <col min="1548" max="1548" width="9.140625" style="339"/>
    <col min="1549" max="1549" width="9.28515625" style="339" bestFit="1" customWidth="1"/>
    <col min="1550" max="1550" width="10.42578125" style="339" bestFit="1" customWidth="1"/>
    <col min="1551" max="1792" width="9.140625" style="339"/>
    <col min="1793" max="1793" width="9.28515625" style="339" customWidth="1"/>
    <col min="1794" max="1794" width="4.7109375" style="339" customWidth="1"/>
    <col min="1795" max="1795" width="89.28515625" style="339" customWidth="1"/>
    <col min="1796" max="1796" width="10.28515625" style="339" bestFit="1" customWidth="1"/>
    <col min="1797" max="1797" width="8.42578125" style="339" bestFit="1" customWidth="1"/>
    <col min="1798" max="1798" width="11.28515625" style="339" customWidth="1"/>
    <col min="1799" max="1799" width="9.85546875" style="339" bestFit="1" customWidth="1"/>
    <col min="1800" max="1800" width="24.140625" style="339" bestFit="1" customWidth="1"/>
    <col min="1801" max="1801" width="74.5703125" style="339" bestFit="1" customWidth="1"/>
    <col min="1802" max="1802" width="11.5703125" style="339" customWidth="1"/>
    <col min="1803" max="1803" width="30.85546875" style="339" customWidth="1"/>
    <col min="1804" max="1804" width="9.140625" style="339"/>
    <col min="1805" max="1805" width="9.28515625" style="339" bestFit="1" customWidth="1"/>
    <col min="1806" max="1806" width="10.42578125" style="339" bestFit="1" customWidth="1"/>
    <col min="1807" max="2048" width="9.140625" style="339"/>
    <col min="2049" max="2049" width="9.28515625" style="339" customWidth="1"/>
    <col min="2050" max="2050" width="4.7109375" style="339" customWidth="1"/>
    <col min="2051" max="2051" width="89.28515625" style="339" customWidth="1"/>
    <col min="2052" max="2052" width="10.28515625" style="339" bestFit="1" customWidth="1"/>
    <col min="2053" max="2053" width="8.42578125" style="339" bestFit="1" customWidth="1"/>
    <col min="2054" max="2054" width="11.28515625" style="339" customWidth="1"/>
    <col min="2055" max="2055" width="9.85546875" style="339" bestFit="1" customWidth="1"/>
    <col min="2056" max="2056" width="24.140625" style="339" bestFit="1" customWidth="1"/>
    <col min="2057" max="2057" width="74.5703125" style="339" bestFit="1" customWidth="1"/>
    <col min="2058" max="2058" width="11.5703125" style="339" customWidth="1"/>
    <col min="2059" max="2059" width="30.85546875" style="339" customWidth="1"/>
    <col min="2060" max="2060" width="9.140625" style="339"/>
    <col min="2061" max="2061" width="9.28515625" style="339" bestFit="1" customWidth="1"/>
    <col min="2062" max="2062" width="10.42578125" style="339" bestFit="1" customWidth="1"/>
    <col min="2063" max="2304" width="9.140625" style="339"/>
    <col min="2305" max="2305" width="9.28515625" style="339" customWidth="1"/>
    <col min="2306" max="2306" width="4.7109375" style="339" customWidth="1"/>
    <col min="2307" max="2307" width="89.28515625" style="339" customWidth="1"/>
    <col min="2308" max="2308" width="10.28515625" style="339" bestFit="1" customWidth="1"/>
    <col min="2309" max="2309" width="8.42578125" style="339" bestFit="1" customWidth="1"/>
    <col min="2310" max="2310" width="11.28515625" style="339" customWidth="1"/>
    <col min="2311" max="2311" width="9.85546875" style="339" bestFit="1" customWidth="1"/>
    <col min="2312" max="2312" width="24.140625" style="339" bestFit="1" customWidth="1"/>
    <col min="2313" max="2313" width="74.5703125" style="339" bestFit="1" customWidth="1"/>
    <col min="2314" max="2314" width="11.5703125" style="339" customWidth="1"/>
    <col min="2315" max="2315" width="30.85546875" style="339" customWidth="1"/>
    <col min="2316" max="2316" width="9.140625" style="339"/>
    <col min="2317" max="2317" width="9.28515625" style="339" bestFit="1" customWidth="1"/>
    <col min="2318" max="2318" width="10.42578125" style="339" bestFit="1" customWidth="1"/>
    <col min="2319" max="2560" width="9.140625" style="339"/>
    <col min="2561" max="2561" width="9.28515625" style="339" customWidth="1"/>
    <col min="2562" max="2562" width="4.7109375" style="339" customWidth="1"/>
    <col min="2563" max="2563" width="89.28515625" style="339" customWidth="1"/>
    <col min="2564" max="2564" width="10.28515625" style="339" bestFit="1" customWidth="1"/>
    <col min="2565" max="2565" width="8.42578125" style="339" bestFit="1" customWidth="1"/>
    <col min="2566" max="2566" width="11.28515625" style="339" customWidth="1"/>
    <col min="2567" max="2567" width="9.85546875" style="339" bestFit="1" customWidth="1"/>
    <col min="2568" max="2568" width="24.140625" style="339" bestFit="1" customWidth="1"/>
    <col min="2569" max="2569" width="74.5703125" style="339" bestFit="1" customWidth="1"/>
    <col min="2570" max="2570" width="11.5703125" style="339" customWidth="1"/>
    <col min="2571" max="2571" width="30.85546875" style="339" customWidth="1"/>
    <col min="2572" max="2572" width="9.140625" style="339"/>
    <col min="2573" max="2573" width="9.28515625" style="339" bestFit="1" customWidth="1"/>
    <col min="2574" max="2574" width="10.42578125" style="339" bestFit="1" customWidth="1"/>
    <col min="2575" max="2816" width="9.140625" style="339"/>
    <col min="2817" max="2817" width="9.28515625" style="339" customWidth="1"/>
    <col min="2818" max="2818" width="4.7109375" style="339" customWidth="1"/>
    <col min="2819" max="2819" width="89.28515625" style="339" customWidth="1"/>
    <col min="2820" max="2820" width="10.28515625" style="339" bestFit="1" customWidth="1"/>
    <col min="2821" max="2821" width="8.42578125" style="339" bestFit="1" customWidth="1"/>
    <col min="2822" max="2822" width="11.28515625" style="339" customWidth="1"/>
    <col min="2823" max="2823" width="9.85546875" style="339" bestFit="1" customWidth="1"/>
    <col min="2824" max="2824" width="24.140625" style="339" bestFit="1" customWidth="1"/>
    <col min="2825" max="2825" width="74.5703125" style="339" bestFit="1" customWidth="1"/>
    <col min="2826" max="2826" width="11.5703125" style="339" customWidth="1"/>
    <col min="2827" max="2827" width="30.85546875" style="339" customWidth="1"/>
    <col min="2828" max="2828" width="9.140625" style="339"/>
    <col min="2829" max="2829" width="9.28515625" style="339" bestFit="1" customWidth="1"/>
    <col min="2830" max="2830" width="10.42578125" style="339" bestFit="1" customWidth="1"/>
    <col min="2831" max="3072" width="9.140625" style="339"/>
    <col min="3073" max="3073" width="9.28515625" style="339" customWidth="1"/>
    <col min="3074" max="3074" width="4.7109375" style="339" customWidth="1"/>
    <col min="3075" max="3075" width="89.28515625" style="339" customWidth="1"/>
    <col min="3076" max="3076" width="10.28515625" style="339" bestFit="1" customWidth="1"/>
    <col min="3077" max="3077" width="8.42578125" style="339" bestFit="1" customWidth="1"/>
    <col min="3078" max="3078" width="11.28515625" style="339" customWidth="1"/>
    <col min="3079" max="3079" width="9.85546875" style="339" bestFit="1" customWidth="1"/>
    <col min="3080" max="3080" width="24.140625" style="339" bestFit="1" customWidth="1"/>
    <col min="3081" max="3081" width="74.5703125" style="339" bestFit="1" customWidth="1"/>
    <col min="3082" max="3082" width="11.5703125" style="339" customWidth="1"/>
    <col min="3083" max="3083" width="30.85546875" style="339" customWidth="1"/>
    <col min="3084" max="3084" width="9.140625" style="339"/>
    <col min="3085" max="3085" width="9.28515625" style="339" bestFit="1" customWidth="1"/>
    <col min="3086" max="3086" width="10.42578125" style="339" bestFit="1" customWidth="1"/>
    <col min="3087" max="3328" width="9.140625" style="339"/>
    <col min="3329" max="3329" width="9.28515625" style="339" customWidth="1"/>
    <col min="3330" max="3330" width="4.7109375" style="339" customWidth="1"/>
    <col min="3331" max="3331" width="89.28515625" style="339" customWidth="1"/>
    <col min="3332" max="3332" width="10.28515625" style="339" bestFit="1" customWidth="1"/>
    <col min="3333" max="3333" width="8.42578125" style="339" bestFit="1" customWidth="1"/>
    <col min="3334" max="3334" width="11.28515625" style="339" customWidth="1"/>
    <col min="3335" max="3335" width="9.85546875" style="339" bestFit="1" customWidth="1"/>
    <col min="3336" max="3336" width="24.140625" style="339" bestFit="1" customWidth="1"/>
    <col min="3337" max="3337" width="74.5703125" style="339" bestFit="1" customWidth="1"/>
    <col min="3338" max="3338" width="11.5703125" style="339" customWidth="1"/>
    <col min="3339" max="3339" width="30.85546875" style="339" customWidth="1"/>
    <col min="3340" max="3340" width="9.140625" style="339"/>
    <col min="3341" max="3341" width="9.28515625" style="339" bestFit="1" customWidth="1"/>
    <col min="3342" max="3342" width="10.42578125" style="339" bestFit="1" customWidth="1"/>
    <col min="3343" max="3584" width="9.140625" style="339"/>
    <col min="3585" max="3585" width="9.28515625" style="339" customWidth="1"/>
    <col min="3586" max="3586" width="4.7109375" style="339" customWidth="1"/>
    <col min="3587" max="3587" width="89.28515625" style="339" customWidth="1"/>
    <col min="3588" max="3588" width="10.28515625" style="339" bestFit="1" customWidth="1"/>
    <col min="3589" max="3589" width="8.42578125" style="339" bestFit="1" customWidth="1"/>
    <col min="3590" max="3590" width="11.28515625" style="339" customWidth="1"/>
    <col min="3591" max="3591" width="9.85546875" style="339" bestFit="1" customWidth="1"/>
    <col min="3592" max="3592" width="24.140625" style="339" bestFit="1" customWidth="1"/>
    <col min="3593" max="3593" width="74.5703125" style="339" bestFit="1" customWidth="1"/>
    <col min="3594" max="3594" width="11.5703125" style="339" customWidth="1"/>
    <col min="3595" max="3595" width="30.85546875" style="339" customWidth="1"/>
    <col min="3596" max="3596" width="9.140625" style="339"/>
    <col min="3597" max="3597" width="9.28515625" style="339" bestFit="1" customWidth="1"/>
    <col min="3598" max="3598" width="10.42578125" style="339" bestFit="1" customWidth="1"/>
    <col min="3599" max="3840" width="9.140625" style="339"/>
    <col min="3841" max="3841" width="9.28515625" style="339" customWidth="1"/>
    <col min="3842" max="3842" width="4.7109375" style="339" customWidth="1"/>
    <col min="3843" max="3843" width="89.28515625" style="339" customWidth="1"/>
    <col min="3844" max="3844" width="10.28515625" style="339" bestFit="1" customWidth="1"/>
    <col min="3845" max="3845" width="8.42578125" style="339" bestFit="1" customWidth="1"/>
    <col min="3846" max="3846" width="11.28515625" style="339" customWidth="1"/>
    <col min="3847" max="3847" width="9.85546875" style="339" bestFit="1" customWidth="1"/>
    <col min="3848" max="3848" width="24.140625" style="339" bestFit="1" customWidth="1"/>
    <col min="3849" max="3849" width="74.5703125" style="339" bestFit="1" customWidth="1"/>
    <col min="3850" max="3850" width="11.5703125" style="339" customWidth="1"/>
    <col min="3851" max="3851" width="30.85546875" style="339" customWidth="1"/>
    <col min="3852" max="3852" width="9.140625" style="339"/>
    <col min="3853" max="3853" width="9.28515625" style="339" bestFit="1" customWidth="1"/>
    <col min="3854" max="3854" width="10.42578125" style="339" bestFit="1" customWidth="1"/>
    <col min="3855" max="4096" width="9.140625" style="339"/>
    <col min="4097" max="4097" width="9.28515625" style="339" customWidth="1"/>
    <col min="4098" max="4098" width="4.7109375" style="339" customWidth="1"/>
    <col min="4099" max="4099" width="89.28515625" style="339" customWidth="1"/>
    <col min="4100" max="4100" width="10.28515625" style="339" bestFit="1" customWidth="1"/>
    <col min="4101" max="4101" width="8.42578125" style="339" bestFit="1" customWidth="1"/>
    <col min="4102" max="4102" width="11.28515625" style="339" customWidth="1"/>
    <col min="4103" max="4103" width="9.85546875" style="339" bestFit="1" customWidth="1"/>
    <col min="4104" max="4104" width="24.140625" style="339" bestFit="1" customWidth="1"/>
    <col min="4105" max="4105" width="74.5703125" style="339" bestFit="1" customWidth="1"/>
    <col min="4106" max="4106" width="11.5703125" style="339" customWidth="1"/>
    <col min="4107" max="4107" width="30.85546875" style="339" customWidth="1"/>
    <col min="4108" max="4108" width="9.140625" style="339"/>
    <col min="4109" max="4109" width="9.28515625" style="339" bestFit="1" customWidth="1"/>
    <col min="4110" max="4110" width="10.42578125" style="339" bestFit="1" customWidth="1"/>
    <col min="4111" max="4352" width="9.140625" style="339"/>
    <col min="4353" max="4353" width="9.28515625" style="339" customWidth="1"/>
    <col min="4354" max="4354" width="4.7109375" style="339" customWidth="1"/>
    <col min="4355" max="4355" width="89.28515625" style="339" customWidth="1"/>
    <col min="4356" max="4356" width="10.28515625" style="339" bestFit="1" customWidth="1"/>
    <col min="4357" max="4357" width="8.42578125" style="339" bestFit="1" customWidth="1"/>
    <col min="4358" max="4358" width="11.28515625" style="339" customWidth="1"/>
    <col min="4359" max="4359" width="9.85546875" style="339" bestFit="1" customWidth="1"/>
    <col min="4360" max="4360" width="24.140625" style="339" bestFit="1" customWidth="1"/>
    <col min="4361" max="4361" width="74.5703125" style="339" bestFit="1" customWidth="1"/>
    <col min="4362" max="4362" width="11.5703125" style="339" customWidth="1"/>
    <col min="4363" max="4363" width="30.85546875" style="339" customWidth="1"/>
    <col min="4364" max="4364" width="9.140625" style="339"/>
    <col min="4365" max="4365" width="9.28515625" style="339" bestFit="1" customWidth="1"/>
    <col min="4366" max="4366" width="10.42578125" style="339" bestFit="1" customWidth="1"/>
    <col min="4367" max="4608" width="9.140625" style="339"/>
    <col min="4609" max="4609" width="9.28515625" style="339" customWidth="1"/>
    <col min="4610" max="4610" width="4.7109375" style="339" customWidth="1"/>
    <col min="4611" max="4611" width="89.28515625" style="339" customWidth="1"/>
    <col min="4612" max="4612" width="10.28515625" style="339" bestFit="1" customWidth="1"/>
    <col min="4613" max="4613" width="8.42578125" style="339" bestFit="1" customWidth="1"/>
    <col min="4614" max="4614" width="11.28515625" style="339" customWidth="1"/>
    <col min="4615" max="4615" width="9.85546875" style="339" bestFit="1" customWidth="1"/>
    <col min="4616" max="4616" width="24.140625" style="339" bestFit="1" customWidth="1"/>
    <col min="4617" max="4617" width="74.5703125" style="339" bestFit="1" customWidth="1"/>
    <col min="4618" max="4618" width="11.5703125" style="339" customWidth="1"/>
    <col min="4619" max="4619" width="30.85546875" style="339" customWidth="1"/>
    <col min="4620" max="4620" width="9.140625" style="339"/>
    <col min="4621" max="4621" width="9.28515625" style="339" bestFit="1" customWidth="1"/>
    <col min="4622" max="4622" width="10.42578125" style="339" bestFit="1" customWidth="1"/>
    <col min="4623" max="4864" width="9.140625" style="339"/>
    <col min="4865" max="4865" width="9.28515625" style="339" customWidth="1"/>
    <col min="4866" max="4866" width="4.7109375" style="339" customWidth="1"/>
    <col min="4867" max="4867" width="89.28515625" style="339" customWidth="1"/>
    <col min="4868" max="4868" width="10.28515625" style="339" bestFit="1" customWidth="1"/>
    <col min="4869" max="4869" width="8.42578125" style="339" bestFit="1" customWidth="1"/>
    <col min="4870" max="4870" width="11.28515625" style="339" customWidth="1"/>
    <col min="4871" max="4871" width="9.85546875" style="339" bestFit="1" customWidth="1"/>
    <col min="4872" max="4872" width="24.140625" style="339" bestFit="1" customWidth="1"/>
    <col min="4873" max="4873" width="74.5703125" style="339" bestFit="1" customWidth="1"/>
    <col min="4874" max="4874" width="11.5703125" style="339" customWidth="1"/>
    <col min="4875" max="4875" width="30.85546875" style="339" customWidth="1"/>
    <col min="4876" max="4876" width="9.140625" style="339"/>
    <col min="4877" max="4877" width="9.28515625" style="339" bestFit="1" customWidth="1"/>
    <col min="4878" max="4878" width="10.42578125" style="339" bestFit="1" customWidth="1"/>
    <col min="4879" max="5120" width="9.140625" style="339"/>
    <col min="5121" max="5121" width="9.28515625" style="339" customWidth="1"/>
    <col min="5122" max="5122" width="4.7109375" style="339" customWidth="1"/>
    <col min="5123" max="5123" width="89.28515625" style="339" customWidth="1"/>
    <col min="5124" max="5124" width="10.28515625" style="339" bestFit="1" customWidth="1"/>
    <col min="5125" max="5125" width="8.42578125" style="339" bestFit="1" customWidth="1"/>
    <col min="5126" max="5126" width="11.28515625" style="339" customWidth="1"/>
    <col min="5127" max="5127" width="9.85546875" style="339" bestFit="1" customWidth="1"/>
    <col min="5128" max="5128" width="24.140625" style="339" bestFit="1" customWidth="1"/>
    <col min="5129" max="5129" width="74.5703125" style="339" bestFit="1" customWidth="1"/>
    <col min="5130" max="5130" width="11.5703125" style="339" customWidth="1"/>
    <col min="5131" max="5131" width="30.85546875" style="339" customWidth="1"/>
    <col min="5132" max="5132" width="9.140625" style="339"/>
    <col min="5133" max="5133" width="9.28515625" style="339" bestFit="1" customWidth="1"/>
    <col min="5134" max="5134" width="10.42578125" style="339" bestFit="1" customWidth="1"/>
    <col min="5135" max="5376" width="9.140625" style="339"/>
    <col min="5377" max="5377" width="9.28515625" style="339" customWidth="1"/>
    <col min="5378" max="5378" width="4.7109375" style="339" customWidth="1"/>
    <col min="5379" max="5379" width="89.28515625" style="339" customWidth="1"/>
    <col min="5380" max="5380" width="10.28515625" style="339" bestFit="1" customWidth="1"/>
    <col min="5381" max="5381" width="8.42578125" style="339" bestFit="1" customWidth="1"/>
    <col min="5382" max="5382" width="11.28515625" style="339" customWidth="1"/>
    <col min="5383" max="5383" width="9.85546875" style="339" bestFit="1" customWidth="1"/>
    <col min="5384" max="5384" width="24.140625" style="339" bestFit="1" customWidth="1"/>
    <col min="5385" max="5385" width="74.5703125" style="339" bestFit="1" customWidth="1"/>
    <col min="5386" max="5386" width="11.5703125" style="339" customWidth="1"/>
    <col min="5387" max="5387" width="30.85546875" style="339" customWidth="1"/>
    <col min="5388" max="5388" width="9.140625" style="339"/>
    <col min="5389" max="5389" width="9.28515625" style="339" bestFit="1" customWidth="1"/>
    <col min="5390" max="5390" width="10.42578125" style="339" bestFit="1" customWidth="1"/>
    <col min="5391" max="5632" width="9.140625" style="339"/>
    <col min="5633" max="5633" width="9.28515625" style="339" customWidth="1"/>
    <col min="5634" max="5634" width="4.7109375" style="339" customWidth="1"/>
    <col min="5635" max="5635" width="89.28515625" style="339" customWidth="1"/>
    <col min="5636" max="5636" width="10.28515625" style="339" bestFit="1" customWidth="1"/>
    <col min="5637" max="5637" width="8.42578125" style="339" bestFit="1" customWidth="1"/>
    <col min="5638" max="5638" width="11.28515625" style="339" customWidth="1"/>
    <col min="5639" max="5639" width="9.85546875" style="339" bestFit="1" customWidth="1"/>
    <col min="5640" max="5640" width="24.140625" style="339" bestFit="1" customWidth="1"/>
    <col min="5641" max="5641" width="74.5703125" style="339" bestFit="1" customWidth="1"/>
    <col min="5642" max="5642" width="11.5703125" style="339" customWidth="1"/>
    <col min="5643" max="5643" width="30.85546875" style="339" customWidth="1"/>
    <col min="5644" max="5644" width="9.140625" style="339"/>
    <col min="5645" max="5645" width="9.28515625" style="339" bestFit="1" customWidth="1"/>
    <col min="5646" max="5646" width="10.42578125" style="339" bestFit="1" customWidth="1"/>
    <col min="5647" max="5888" width="9.140625" style="339"/>
    <col min="5889" max="5889" width="9.28515625" style="339" customWidth="1"/>
    <col min="5890" max="5890" width="4.7109375" style="339" customWidth="1"/>
    <col min="5891" max="5891" width="89.28515625" style="339" customWidth="1"/>
    <col min="5892" max="5892" width="10.28515625" style="339" bestFit="1" customWidth="1"/>
    <col min="5893" max="5893" width="8.42578125" style="339" bestFit="1" customWidth="1"/>
    <col min="5894" max="5894" width="11.28515625" style="339" customWidth="1"/>
    <col min="5895" max="5895" width="9.85546875" style="339" bestFit="1" customWidth="1"/>
    <col min="5896" max="5896" width="24.140625" style="339" bestFit="1" customWidth="1"/>
    <col min="5897" max="5897" width="74.5703125" style="339" bestFit="1" customWidth="1"/>
    <col min="5898" max="5898" width="11.5703125" style="339" customWidth="1"/>
    <col min="5899" max="5899" width="30.85546875" style="339" customWidth="1"/>
    <col min="5900" max="5900" width="9.140625" style="339"/>
    <col min="5901" max="5901" width="9.28515625" style="339" bestFit="1" customWidth="1"/>
    <col min="5902" max="5902" width="10.42578125" style="339" bestFit="1" customWidth="1"/>
    <col min="5903" max="6144" width="9.140625" style="339"/>
    <col min="6145" max="6145" width="9.28515625" style="339" customWidth="1"/>
    <col min="6146" max="6146" width="4.7109375" style="339" customWidth="1"/>
    <col min="6147" max="6147" width="89.28515625" style="339" customWidth="1"/>
    <col min="6148" max="6148" width="10.28515625" style="339" bestFit="1" customWidth="1"/>
    <col min="6149" max="6149" width="8.42578125" style="339" bestFit="1" customWidth="1"/>
    <col min="6150" max="6150" width="11.28515625" style="339" customWidth="1"/>
    <col min="6151" max="6151" width="9.85546875" style="339" bestFit="1" customWidth="1"/>
    <col min="6152" max="6152" width="24.140625" style="339" bestFit="1" customWidth="1"/>
    <col min="6153" max="6153" width="74.5703125" style="339" bestFit="1" customWidth="1"/>
    <col min="6154" max="6154" width="11.5703125" style="339" customWidth="1"/>
    <col min="6155" max="6155" width="30.85546875" style="339" customWidth="1"/>
    <col min="6156" max="6156" width="9.140625" style="339"/>
    <col min="6157" max="6157" width="9.28515625" style="339" bestFit="1" customWidth="1"/>
    <col min="6158" max="6158" width="10.42578125" style="339" bestFit="1" customWidth="1"/>
    <col min="6159" max="6400" width="9.140625" style="339"/>
    <col min="6401" max="6401" width="9.28515625" style="339" customWidth="1"/>
    <col min="6402" max="6402" width="4.7109375" style="339" customWidth="1"/>
    <col min="6403" max="6403" width="89.28515625" style="339" customWidth="1"/>
    <col min="6404" max="6404" width="10.28515625" style="339" bestFit="1" customWidth="1"/>
    <col min="6405" max="6405" width="8.42578125" style="339" bestFit="1" customWidth="1"/>
    <col min="6406" max="6406" width="11.28515625" style="339" customWidth="1"/>
    <col min="6407" max="6407" width="9.85546875" style="339" bestFit="1" customWidth="1"/>
    <col min="6408" max="6408" width="24.140625" style="339" bestFit="1" customWidth="1"/>
    <col min="6409" max="6409" width="74.5703125" style="339" bestFit="1" customWidth="1"/>
    <col min="6410" max="6410" width="11.5703125" style="339" customWidth="1"/>
    <col min="6411" max="6411" width="30.85546875" style="339" customWidth="1"/>
    <col min="6412" max="6412" width="9.140625" style="339"/>
    <col min="6413" max="6413" width="9.28515625" style="339" bestFit="1" customWidth="1"/>
    <col min="6414" max="6414" width="10.42578125" style="339" bestFit="1" customWidth="1"/>
    <col min="6415" max="6656" width="9.140625" style="339"/>
    <col min="6657" max="6657" width="9.28515625" style="339" customWidth="1"/>
    <col min="6658" max="6658" width="4.7109375" style="339" customWidth="1"/>
    <col min="6659" max="6659" width="89.28515625" style="339" customWidth="1"/>
    <col min="6660" max="6660" width="10.28515625" style="339" bestFit="1" customWidth="1"/>
    <col min="6661" max="6661" width="8.42578125" style="339" bestFit="1" customWidth="1"/>
    <col min="6662" max="6662" width="11.28515625" style="339" customWidth="1"/>
    <col min="6663" max="6663" width="9.85546875" style="339" bestFit="1" customWidth="1"/>
    <col min="6664" max="6664" width="24.140625" style="339" bestFit="1" customWidth="1"/>
    <col min="6665" max="6665" width="74.5703125" style="339" bestFit="1" customWidth="1"/>
    <col min="6666" max="6666" width="11.5703125" style="339" customWidth="1"/>
    <col min="6667" max="6667" width="30.85546875" style="339" customWidth="1"/>
    <col min="6668" max="6668" width="9.140625" style="339"/>
    <col min="6669" max="6669" width="9.28515625" style="339" bestFit="1" customWidth="1"/>
    <col min="6670" max="6670" width="10.42578125" style="339" bestFit="1" customWidth="1"/>
    <col min="6671" max="6912" width="9.140625" style="339"/>
    <col min="6913" max="6913" width="9.28515625" style="339" customWidth="1"/>
    <col min="6914" max="6914" width="4.7109375" style="339" customWidth="1"/>
    <col min="6915" max="6915" width="89.28515625" style="339" customWidth="1"/>
    <col min="6916" max="6916" width="10.28515625" style="339" bestFit="1" customWidth="1"/>
    <col min="6917" max="6917" width="8.42578125" style="339" bestFit="1" customWidth="1"/>
    <col min="6918" max="6918" width="11.28515625" style="339" customWidth="1"/>
    <col min="6919" max="6919" width="9.85546875" style="339" bestFit="1" customWidth="1"/>
    <col min="6920" max="6920" width="24.140625" style="339" bestFit="1" customWidth="1"/>
    <col min="6921" max="6921" width="74.5703125" style="339" bestFit="1" customWidth="1"/>
    <col min="6922" max="6922" width="11.5703125" style="339" customWidth="1"/>
    <col min="6923" max="6923" width="30.85546875" style="339" customWidth="1"/>
    <col min="6924" max="6924" width="9.140625" style="339"/>
    <col min="6925" max="6925" width="9.28515625" style="339" bestFit="1" customWidth="1"/>
    <col min="6926" max="6926" width="10.42578125" style="339" bestFit="1" customWidth="1"/>
    <col min="6927" max="7168" width="9.140625" style="339"/>
    <col min="7169" max="7169" width="9.28515625" style="339" customWidth="1"/>
    <col min="7170" max="7170" width="4.7109375" style="339" customWidth="1"/>
    <col min="7171" max="7171" width="89.28515625" style="339" customWidth="1"/>
    <col min="7172" max="7172" width="10.28515625" style="339" bestFit="1" customWidth="1"/>
    <col min="7173" max="7173" width="8.42578125" style="339" bestFit="1" customWidth="1"/>
    <col min="7174" max="7174" width="11.28515625" style="339" customWidth="1"/>
    <col min="7175" max="7175" width="9.85546875" style="339" bestFit="1" customWidth="1"/>
    <col min="7176" max="7176" width="24.140625" style="339" bestFit="1" customWidth="1"/>
    <col min="7177" max="7177" width="74.5703125" style="339" bestFit="1" customWidth="1"/>
    <col min="7178" max="7178" width="11.5703125" style="339" customWidth="1"/>
    <col min="7179" max="7179" width="30.85546875" style="339" customWidth="1"/>
    <col min="7180" max="7180" width="9.140625" style="339"/>
    <col min="7181" max="7181" width="9.28515625" style="339" bestFit="1" customWidth="1"/>
    <col min="7182" max="7182" width="10.42578125" style="339" bestFit="1" customWidth="1"/>
    <col min="7183" max="7424" width="9.140625" style="339"/>
    <col min="7425" max="7425" width="9.28515625" style="339" customWidth="1"/>
    <col min="7426" max="7426" width="4.7109375" style="339" customWidth="1"/>
    <col min="7427" max="7427" width="89.28515625" style="339" customWidth="1"/>
    <col min="7428" max="7428" width="10.28515625" style="339" bestFit="1" customWidth="1"/>
    <col min="7429" max="7429" width="8.42578125" style="339" bestFit="1" customWidth="1"/>
    <col min="7430" max="7430" width="11.28515625" style="339" customWidth="1"/>
    <col min="7431" max="7431" width="9.85546875" style="339" bestFit="1" customWidth="1"/>
    <col min="7432" max="7432" width="24.140625" style="339" bestFit="1" customWidth="1"/>
    <col min="7433" max="7433" width="74.5703125" style="339" bestFit="1" customWidth="1"/>
    <col min="7434" max="7434" width="11.5703125" style="339" customWidth="1"/>
    <col min="7435" max="7435" width="30.85546875" style="339" customWidth="1"/>
    <col min="7436" max="7436" width="9.140625" style="339"/>
    <col min="7437" max="7437" width="9.28515625" style="339" bestFit="1" customWidth="1"/>
    <col min="7438" max="7438" width="10.42578125" style="339" bestFit="1" customWidth="1"/>
    <col min="7439" max="7680" width="9.140625" style="339"/>
    <col min="7681" max="7681" width="9.28515625" style="339" customWidth="1"/>
    <col min="7682" max="7682" width="4.7109375" style="339" customWidth="1"/>
    <col min="7683" max="7683" width="89.28515625" style="339" customWidth="1"/>
    <col min="7684" max="7684" width="10.28515625" style="339" bestFit="1" customWidth="1"/>
    <col min="7685" max="7685" width="8.42578125" style="339" bestFit="1" customWidth="1"/>
    <col min="7686" max="7686" width="11.28515625" style="339" customWidth="1"/>
    <col min="7687" max="7687" width="9.85546875" style="339" bestFit="1" customWidth="1"/>
    <col min="7688" max="7688" width="24.140625" style="339" bestFit="1" customWidth="1"/>
    <col min="7689" max="7689" width="74.5703125" style="339" bestFit="1" customWidth="1"/>
    <col min="7690" max="7690" width="11.5703125" style="339" customWidth="1"/>
    <col min="7691" max="7691" width="30.85546875" style="339" customWidth="1"/>
    <col min="7692" max="7692" width="9.140625" style="339"/>
    <col min="7693" max="7693" width="9.28515625" style="339" bestFit="1" customWidth="1"/>
    <col min="7694" max="7694" width="10.42578125" style="339" bestFit="1" customWidth="1"/>
    <col min="7695" max="7936" width="9.140625" style="339"/>
    <col min="7937" max="7937" width="9.28515625" style="339" customWidth="1"/>
    <col min="7938" max="7938" width="4.7109375" style="339" customWidth="1"/>
    <col min="7939" max="7939" width="89.28515625" style="339" customWidth="1"/>
    <col min="7940" max="7940" width="10.28515625" style="339" bestFit="1" customWidth="1"/>
    <col min="7941" max="7941" width="8.42578125" style="339" bestFit="1" customWidth="1"/>
    <col min="7942" max="7942" width="11.28515625" style="339" customWidth="1"/>
    <col min="7943" max="7943" width="9.85546875" style="339" bestFit="1" customWidth="1"/>
    <col min="7944" max="7944" width="24.140625" style="339" bestFit="1" customWidth="1"/>
    <col min="7945" max="7945" width="74.5703125" style="339" bestFit="1" customWidth="1"/>
    <col min="7946" max="7946" width="11.5703125" style="339" customWidth="1"/>
    <col min="7947" max="7947" width="30.85546875" style="339" customWidth="1"/>
    <col min="7948" max="7948" width="9.140625" style="339"/>
    <col min="7949" max="7949" width="9.28515625" style="339" bestFit="1" customWidth="1"/>
    <col min="7950" max="7950" width="10.42578125" style="339" bestFit="1" customWidth="1"/>
    <col min="7951" max="8192" width="9.140625" style="339"/>
    <col min="8193" max="8193" width="9.28515625" style="339" customWidth="1"/>
    <col min="8194" max="8194" width="4.7109375" style="339" customWidth="1"/>
    <col min="8195" max="8195" width="89.28515625" style="339" customWidth="1"/>
    <col min="8196" max="8196" width="10.28515625" style="339" bestFit="1" customWidth="1"/>
    <col min="8197" max="8197" width="8.42578125" style="339" bestFit="1" customWidth="1"/>
    <col min="8198" max="8198" width="11.28515625" style="339" customWidth="1"/>
    <col min="8199" max="8199" width="9.85546875" style="339" bestFit="1" customWidth="1"/>
    <col min="8200" max="8200" width="24.140625" style="339" bestFit="1" customWidth="1"/>
    <col min="8201" max="8201" width="74.5703125" style="339" bestFit="1" customWidth="1"/>
    <col min="8202" max="8202" width="11.5703125" style="339" customWidth="1"/>
    <col min="8203" max="8203" width="30.85546875" style="339" customWidth="1"/>
    <col min="8204" max="8204" width="9.140625" style="339"/>
    <col min="8205" max="8205" width="9.28515625" style="339" bestFit="1" customWidth="1"/>
    <col min="8206" max="8206" width="10.42578125" style="339" bestFit="1" customWidth="1"/>
    <col min="8207" max="8448" width="9.140625" style="339"/>
    <col min="8449" max="8449" width="9.28515625" style="339" customWidth="1"/>
    <col min="8450" max="8450" width="4.7109375" style="339" customWidth="1"/>
    <col min="8451" max="8451" width="89.28515625" style="339" customWidth="1"/>
    <col min="8452" max="8452" width="10.28515625" style="339" bestFit="1" customWidth="1"/>
    <col min="8453" max="8453" width="8.42578125" style="339" bestFit="1" customWidth="1"/>
    <col min="8454" max="8454" width="11.28515625" style="339" customWidth="1"/>
    <col min="8455" max="8455" width="9.85546875" style="339" bestFit="1" customWidth="1"/>
    <col min="8456" max="8456" width="24.140625" style="339" bestFit="1" customWidth="1"/>
    <col min="8457" max="8457" width="74.5703125" style="339" bestFit="1" customWidth="1"/>
    <col min="8458" max="8458" width="11.5703125" style="339" customWidth="1"/>
    <col min="8459" max="8459" width="30.85546875" style="339" customWidth="1"/>
    <col min="8460" max="8460" width="9.140625" style="339"/>
    <col min="8461" max="8461" width="9.28515625" style="339" bestFit="1" customWidth="1"/>
    <col min="8462" max="8462" width="10.42578125" style="339" bestFit="1" customWidth="1"/>
    <col min="8463" max="8704" width="9.140625" style="339"/>
    <col min="8705" max="8705" width="9.28515625" style="339" customWidth="1"/>
    <col min="8706" max="8706" width="4.7109375" style="339" customWidth="1"/>
    <col min="8707" max="8707" width="89.28515625" style="339" customWidth="1"/>
    <col min="8708" max="8708" width="10.28515625" style="339" bestFit="1" customWidth="1"/>
    <col min="8709" max="8709" width="8.42578125" style="339" bestFit="1" customWidth="1"/>
    <col min="8710" max="8710" width="11.28515625" style="339" customWidth="1"/>
    <col min="8711" max="8711" width="9.85546875" style="339" bestFit="1" customWidth="1"/>
    <col min="8712" max="8712" width="24.140625" style="339" bestFit="1" customWidth="1"/>
    <col min="8713" max="8713" width="74.5703125" style="339" bestFit="1" customWidth="1"/>
    <col min="8714" max="8714" width="11.5703125" style="339" customWidth="1"/>
    <col min="8715" max="8715" width="30.85546875" style="339" customWidth="1"/>
    <col min="8716" max="8716" width="9.140625" style="339"/>
    <col min="8717" max="8717" width="9.28515625" style="339" bestFit="1" customWidth="1"/>
    <col min="8718" max="8718" width="10.42578125" style="339" bestFit="1" customWidth="1"/>
    <col min="8719" max="8960" width="9.140625" style="339"/>
    <col min="8961" max="8961" width="9.28515625" style="339" customWidth="1"/>
    <col min="8962" max="8962" width="4.7109375" style="339" customWidth="1"/>
    <col min="8963" max="8963" width="89.28515625" style="339" customWidth="1"/>
    <col min="8964" max="8964" width="10.28515625" style="339" bestFit="1" customWidth="1"/>
    <col min="8965" max="8965" width="8.42578125" style="339" bestFit="1" customWidth="1"/>
    <col min="8966" max="8966" width="11.28515625" style="339" customWidth="1"/>
    <col min="8967" max="8967" width="9.85546875" style="339" bestFit="1" customWidth="1"/>
    <col min="8968" max="8968" width="24.140625" style="339" bestFit="1" customWidth="1"/>
    <col min="8969" max="8969" width="74.5703125" style="339" bestFit="1" customWidth="1"/>
    <col min="8970" max="8970" width="11.5703125" style="339" customWidth="1"/>
    <col min="8971" max="8971" width="30.85546875" style="339" customWidth="1"/>
    <col min="8972" max="8972" width="9.140625" style="339"/>
    <col min="8973" max="8973" width="9.28515625" style="339" bestFit="1" customWidth="1"/>
    <col min="8974" max="8974" width="10.42578125" style="339" bestFit="1" customWidth="1"/>
    <col min="8975" max="9216" width="9.140625" style="339"/>
    <col min="9217" max="9217" width="9.28515625" style="339" customWidth="1"/>
    <col min="9218" max="9218" width="4.7109375" style="339" customWidth="1"/>
    <col min="9219" max="9219" width="89.28515625" style="339" customWidth="1"/>
    <col min="9220" max="9220" width="10.28515625" style="339" bestFit="1" customWidth="1"/>
    <col min="9221" max="9221" width="8.42578125" style="339" bestFit="1" customWidth="1"/>
    <col min="9222" max="9222" width="11.28515625" style="339" customWidth="1"/>
    <col min="9223" max="9223" width="9.85546875" style="339" bestFit="1" customWidth="1"/>
    <col min="9224" max="9224" width="24.140625" style="339" bestFit="1" customWidth="1"/>
    <col min="9225" max="9225" width="74.5703125" style="339" bestFit="1" customWidth="1"/>
    <col min="9226" max="9226" width="11.5703125" style="339" customWidth="1"/>
    <col min="9227" max="9227" width="30.85546875" style="339" customWidth="1"/>
    <col min="9228" max="9228" width="9.140625" style="339"/>
    <col min="9229" max="9229" width="9.28515625" style="339" bestFit="1" customWidth="1"/>
    <col min="9230" max="9230" width="10.42578125" style="339" bestFit="1" customWidth="1"/>
    <col min="9231" max="9472" width="9.140625" style="339"/>
    <col min="9473" max="9473" width="9.28515625" style="339" customWidth="1"/>
    <col min="9474" max="9474" width="4.7109375" style="339" customWidth="1"/>
    <col min="9475" max="9475" width="89.28515625" style="339" customWidth="1"/>
    <col min="9476" max="9476" width="10.28515625" style="339" bestFit="1" customWidth="1"/>
    <col min="9477" max="9477" width="8.42578125" style="339" bestFit="1" customWidth="1"/>
    <col min="9478" max="9478" width="11.28515625" style="339" customWidth="1"/>
    <col min="9479" max="9479" width="9.85546875" style="339" bestFit="1" customWidth="1"/>
    <col min="9480" max="9480" width="24.140625" style="339" bestFit="1" customWidth="1"/>
    <col min="9481" max="9481" width="74.5703125" style="339" bestFit="1" customWidth="1"/>
    <col min="9482" max="9482" width="11.5703125" style="339" customWidth="1"/>
    <col min="9483" max="9483" width="30.85546875" style="339" customWidth="1"/>
    <col min="9484" max="9484" width="9.140625" style="339"/>
    <col min="9485" max="9485" width="9.28515625" style="339" bestFit="1" customWidth="1"/>
    <col min="9486" max="9486" width="10.42578125" style="339" bestFit="1" customWidth="1"/>
    <col min="9487" max="9728" width="9.140625" style="339"/>
    <col min="9729" max="9729" width="9.28515625" style="339" customWidth="1"/>
    <col min="9730" max="9730" width="4.7109375" style="339" customWidth="1"/>
    <col min="9731" max="9731" width="89.28515625" style="339" customWidth="1"/>
    <col min="9732" max="9732" width="10.28515625" style="339" bestFit="1" customWidth="1"/>
    <col min="9733" max="9733" width="8.42578125" style="339" bestFit="1" customWidth="1"/>
    <col min="9734" max="9734" width="11.28515625" style="339" customWidth="1"/>
    <col min="9735" max="9735" width="9.85546875" style="339" bestFit="1" customWidth="1"/>
    <col min="9736" max="9736" width="24.140625" style="339" bestFit="1" customWidth="1"/>
    <col min="9737" max="9737" width="74.5703125" style="339" bestFit="1" customWidth="1"/>
    <col min="9738" max="9738" width="11.5703125" style="339" customWidth="1"/>
    <col min="9739" max="9739" width="30.85546875" style="339" customWidth="1"/>
    <col min="9740" max="9740" width="9.140625" style="339"/>
    <col min="9741" max="9741" width="9.28515625" style="339" bestFit="1" customWidth="1"/>
    <col min="9742" max="9742" width="10.42578125" style="339" bestFit="1" customWidth="1"/>
    <col min="9743" max="9984" width="9.140625" style="339"/>
    <col min="9985" max="9985" width="9.28515625" style="339" customWidth="1"/>
    <col min="9986" max="9986" width="4.7109375" style="339" customWidth="1"/>
    <col min="9987" max="9987" width="89.28515625" style="339" customWidth="1"/>
    <col min="9988" max="9988" width="10.28515625" style="339" bestFit="1" customWidth="1"/>
    <col min="9989" max="9989" width="8.42578125" style="339" bestFit="1" customWidth="1"/>
    <col min="9990" max="9990" width="11.28515625" style="339" customWidth="1"/>
    <col min="9991" max="9991" width="9.85546875" style="339" bestFit="1" customWidth="1"/>
    <col min="9992" max="9992" width="24.140625" style="339" bestFit="1" customWidth="1"/>
    <col min="9993" max="9993" width="74.5703125" style="339" bestFit="1" customWidth="1"/>
    <col min="9994" max="9994" width="11.5703125" style="339" customWidth="1"/>
    <col min="9995" max="9995" width="30.85546875" style="339" customWidth="1"/>
    <col min="9996" max="9996" width="9.140625" style="339"/>
    <col min="9997" max="9997" width="9.28515625" style="339" bestFit="1" customWidth="1"/>
    <col min="9998" max="9998" width="10.42578125" style="339" bestFit="1" customWidth="1"/>
    <col min="9999" max="10240" width="9.140625" style="339"/>
    <col min="10241" max="10241" width="9.28515625" style="339" customWidth="1"/>
    <col min="10242" max="10242" width="4.7109375" style="339" customWidth="1"/>
    <col min="10243" max="10243" width="89.28515625" style="339" customWidth="1"/>
    <col min="10244" max="10244" width="10.28515625" style="339" bestFit="1" customWidth="1"/>
    <col min="10245" max="10245" width="8.42578125" style="339" bestFit="1" customWidth="1"/>
    <col min="10246" max="10246" width="11.28515625" style="339" customWidth="1"/>
    <col min="10247" max="10247" width="9.85546875" style="339" bestFit="1" customWidth="1"/>
    <col min="10248" max="10248" width="24.140625" style="339" bestFit="1" customWidth="1"/>
    <col min="10249" max="10249" width="74.5703125" style="339" bestFit="1" customWidth="1"/>
    <col min="10250" max="10250" width="11.5703125" style="339" customWidth="1"/>
    <col min="10251" max="10251" width="30.85546875" style="339" customWidth="1"/>
    <col min="10252" max="10252" width="9.140625" style="339"/>
    <col min="10253" max="10253" width="9.28515625" style="339" bestFit="1" customWidth="1"/>
    <col min="10254" max="10254" width="10.42578125" style="339" bestFit="1" customWidth="1"/>
    <col min="10255" max="10496" width="9.140625" style="339"/>
    <col min="10497" max="10497" width="9.28515625" style="339" customWidth="1"/>
    <col min="10498" max="10498" width="4.7109375" style="339" customWidth="1"/>
    <col min="10499" max="10499" width="89.28515625" style="339" customWidth="1"/>
    <col min="10500" max="10500" width="10.28515625" style="339" bestFit="1" customWidth="1"/>
    <col min="10501" max="10501" width="8.42578125" style="339" bestFit="1" customWidth="1"/>
    <col min="10502" max="10502" width="11.28515625" style="339" customWidth="1"/>
    <col min="10503" max="10503" width="9.85546875" style="339" bestFit="1" customWidth="1"/>
    <col min="10504" max="10504" width="24.140625" style="339" bestFit="1" customWidth="1"/>
    <col min="10505" max="10505" width="74.5703125" style="339" bestFit="1" customWidth="1"/>
    <col min="10506" max="10506" width="11.5703125" style="339" customWidth="1"/>
    <col min="10507" max="10507" width="30.85546875" style="339" customWidth="1"/>
    <col min="10508" max="10508" width="9.140625" style="339"/>
    <col min="10509" max="10509" width="9.28515625" style="339" bestFit="1" customWidth="1"/>
    <col min="10510" max="10510" width="10.42578125" style="339" bestFit="1" customWidth="1"/>
    <col min="10511" max="10752" width="9.140625" style="339"/>
    <col min="10753" max="10753" width="9.28515625" style="339" customWidth="1"/>
    <col min="10754" max="10754" width="4.7109375" style="339" customWidth="1"/>
    <col min="10755" max="10755" width="89.28515625" style="339" customWidth="1"/>
    <col min="10756" max="10756" width="10.28515625" style="339" bestFit="1" customWidth="1"/>
    <col min="10757" max="10757" width="8.42578125" style="339" bestFit="1" customWidth="1"/>
    <col min="10758" max="10758" width="11.28515625" style="339" customWidth="1"/>
    <col min="10759" max="10759" width="9.85546875" style="339" bestFit="1" customWidth="1"/>
    <col min="10760" max="10760" width="24.140625" style="339" bestFit="1" customWidth="1"/>
    <col min="10761" max="10761" width="74.5703125" style="339" bestFit="1" customWidth="1"/>
    <col min="10762" max="10762" width="11.5703125" style="339" customWidth="1"/>
    <col min="10763" max="10763" width="30.85546875" style="339" customWidth="1"/>
    <col min="10764" max="10764" width="9.140625" style="339"/>
    <col min="10765" max="10765" width="9.28515625" style="339" bestFit="1" customWidth="1"/>
    <col min="10766" max="10766" width="10.42578125" style="339" bestFit="1" customWidth="1"/>
    <col min="10767" max="11008" width="9.140625" style="339"/>
    <col min="11009" max="11009" width="9.28515625" style="339" customWidth="1"/>
    <col min="11010" max="11010" width="4.7109375" style="339" customWidth="1"/>
    <col min="11011" max="11011" width="89.28515625" style="339" customWidth="1"/>
    <col min="11012" max="11012" width="10.28515625" style="339" bestFit="1" customWidth="1"/>
    <col min="11013" max="11013" width="8.42578125" style="339" bestFit="1" customWidth="1"/>
    <col min="11014" max="11014" width="11.28515625" style="339" customWidth="1"/>
    <col min="11015" max="11015" width="9.85546875" style="339" bestFit="1" customWidth="1"/>
    <col min="11016" max="11016" width="24.140625" style="339" bestFit="1" customWidth="1"/>
    <col min="11017" max="11017" width="74.5703125" style="339" bestFit="1" customWidth="1"/>
    <col min="11018" max="11018" width="11.5703125" style="339" customWidth="1"/>
    <col min="11019" max="11019" width="30.85546875" style="339" customWidth="1"/>
    <col min="11020" max="11020" width="9.140625" style="339"/>
    <col min="11021" max="11021" width="9.28515625" style="339" bestFit="1" customWidth="1"/>
    <col min="11022" max="11022" width="10.42578125" style="339" bestFit="1" customWidth="1"/>
    <col min="11023" max="11264" width="9.140625" style="339"/>
    <col min="11265" max="11265" width="9.28515625" style="339" customWidth="1"/>
    <col min="11266" max="11266" width="4.7109375" style="339" customWidth="1"/>
    <col min="11267" max="11267" width="89.28515625" style="339" customWidth="1"/>
    <col min="11268" max="11268" width="10.28515625" style="339" bestFit="1" customWidth="1"/>
    <col min="11269" max="11269" width="8.42578125" style="339" bestFit="1" customWidth="1"/>
    <col min="11270" max="11270" width="11.28515625" style="339" customWidth="1"/>
    <col min="11271" max="11271" width="9.85546875" style="339" bestFit="1" customWidth="1"/>
    <col min="11272" max="11272" width="24.140625" style="339" bestFit="1" customWidth="1"/>
    <col min="11273" max="11273" width="74.5703125" style="339" bestFit="1" customWidth="1"/>
    <col min="11274" max="11274" width="11.5703125" style="339" customWidth="1"/>
    <col min="11275" max="11275" width="30.85546875" style="339" customWidth="1"/>
    <col min="11276" max="11276" width="9.140625" style="339"/>
    <col min="11277" max="11277" width="9.28515625" style="339" bestFit="1" customWidth="1"/>
    <col min="11278" max="11278" width="10.42578125" style="339" bestFit="1" customWidth="1"/>
    <col min="11279" max="11520" width="9.140625" style="339"/>
    <col min="11521" max="11521" width="9.28515625" style="339" customWidth="1"/>
    <col min="11522" max="11522" width="4.7109375" style="339" customWidth="1"/>
    <col min="11523" max="11523" width="89.28515625" style="339" customWidth="1"/>
    <col min="11524" max="11524" width="10.28515625" style="339" bestFit="1" customWidth="1"/>
    <col min="11525" max="11525" width="8.42578125" style="339" bestFit="1" customWidth="1"/>
    <col min="11526" max="11526" width="11.28515625" style="339" customWidth="1"/>
    <col min="11527" max="11527" width="9.85546875" style="339" bestFit="1" customWidth="1"/>
    <col min="11528" max="11528" width="24.140625" style="339" bestFit="1" customWidth="1"/>
    <col min="11529" max="11529" width="74.5703125" style="339" bestFit="1" customWidth="1"/>
    <col min="11530" max="11530" width="11.5703125" style="339" customWidth="1"/>
    <col min="11531" max="11531" width="30.85546875" style="339" customWidth="1"/>
    <col min="11532" max="11532" width="9.140625" style="339"/>
    <col min="11533" max="11533" width="9.28515625" style="339" bestFit="1" customWidth="1"/>
    <col min="11534" max="11534" width="10.42578125" style="339" bestFit="1" customWidth="1"/>
    <col min="11535" max="11776" width="9.140625" style="339"/>
    <col min="11777" max="11777" width="9.28515625" style="339" customWidth="1"/>
    <col min="11778" max="11778" width="4.7109375" style="339" customWidth="1"/>
    <col min="11779" max="11779" width="89.28515625" style="339" customWidth="1"/>
    <col min="11780" max="11780" width="10.28515625" style="339" bestFit="1" customWidth="1"/>
    <col min="11781" max="11781" width="8.42578125" style="339" bestFit="1" customWidth="1"/>
    <col min="11782" max="11782" width="11.28515625" style="339" customWidth="1"/>
    <col min="11783" max="11783" width="9.85546875" style="339" bestFit="1" customWidth="1"/>
    <col min="11784" max="11784" width="24.140625" style="339" bestFit="1" customWidth="1"/>
    <col min="11785" max="11785" width="74.5703125" style="339" bestFit="1" customWidth="1"/>
    <col min="11786" max="11786" width="11.5703125" style="339" customWidth="1"/>
    <col min="11787" max="11787" width="30.85546875" style="339" customWidth="1"/>
    <col min="11788" max="11788" width="9.140625" style="339"/>
    <col min="11789" max="11789" width="9.28515625" style="339" bestFit="1" customWidth="1"/>
    <col min="11790" max="11790" width="10.42578125" style="339" bestFit="1" customWidth="1"/>
    <col min="11791" max="12032" width="9.140625" style="339"/>
    <col min="12033" max="12033" width="9.28515625" style="339" customWidth="1"/>
    <col min="12034" max="12034" width="4.7109375" style="339" customWidth="1"/>
    <col min="12035" max="12035" width="89.28515625" style="339" customWidth="1"/>
    <col min="12036" max="12036" width="10.28515625" style="339" bestFit="1" customWidth="1"/>
    <col min="12037" max="12037" width="8.42578125" style="339" bestFit="1" customWidth="1"/>
    <col min="12038" max="12038" width="11.28515625" style="339" customWidth="1"/>
    <col min="12039" max="12039" width="9.85546875" style="339" bestFit="1" customWidth="1"/>
    <col min="12040" max="12040" width="24.140625" style="339" bestFit="1" customWidth="1"/>
    <col min="12041" max="12041" width="74.5703125" style="339" bestFit="1" customWidth="1"/>
    <col min="12042" max="12042" width="11.5703125" style="339" customWidth="1"/>
    <col min="12043" max="12043" width="30.85546875" style="339" customWidth="1"/>
    <col min="12044" max="12044" width="9.140625" style="339"/>
    <col min="12045" max="12045" width="9.28515625" style="339" bestFit="1" customWidth="1"/>
    <col min="12046" max="12046" width="10.42578125" style="339" bestFit="1" customWidth="1"/>
    <col min="12047" max="12288" width="9.140625" style="339"/>
    <col min="12289" max="12289" width="9.28515625" style="339" customWidth="1"/>
    <col min="12290" max="12290" width="4.7109375" style="339" customWidth="1"/>
    <col min="12291" max="12291" width="89.28515625" style="339" customWidth="1"/>
    <col min="12292" max="12292" width="10.28515625" style="339" bestFit="1" customWidth="1"/>
    <col min="12293" max="12293" width="8.42578125" style="339" bestFit="1" customWidth="1"/>
    <col min="12294" max="12294" width="11.28515625" style="339" customWidth="1"/>
    <col min="12295" max="12295" width="9.85546875" style="339" bestFit="1" customWidth="1"/>
    <col min="12296" max="12296" width="24.140625" style="339" bestFit="1" customWidth="1"/>
    <col min="12297" max="12297" width="74.5703125" style="339" bestFit="1" customWidth="1"/>
    <col min="12298" max="12298" width="11.5703125" style="339" customWidth="1"/>
    <col min="12299" max="12299" width="30.85546875" style="339" customWidth="1"/>
    <col min="12300" max="12300" width="9.140625" style="339"/>
    <col min="12301" max="12301" width="9.28515625" style="339" bestFit="1" customWidth="1"/>
    <col min="12302" max="12302" width="10.42578125" style="339" bestFit="1" customWidth="1"/>
    <col min="12303" max="12544" width="9.140625" style="339"/>
    <col min="12545" max="12545" width="9.28515625" style="339" customWidth="1"/>
    <col min="12546" max="12546" width="4.7109375" style="339" customWidth="1"/>
    <col min="12547" max="12547" width="89.28515625" style="339" customWidth="1"/>
    <col min="12548" max="12548" width="10.28515625" style="339" bestFit="1" customWidth="1"/>
    <col min="12549" max="12549" width="8.42578125" style="339" bestFit="1" customWidth="1"/>
    <col min="12550" max="12550" width="11.28515625" style="339" customWidth="1"/>
    <col min="12551" max="12551" width="9.85546875" style="339" bestFit="1" customWidth="1"/>
    <col min="12552" max="12552" width="24.140625" style="339" bestFit="1" customWidth="1"/>
    <col min="12553" max="12553" width="74.5703125" style="339" bestFit="1" customWidth="1"/>
    <col min="12554" max="12554" width="11.5703125" style="339" customWidth="1"/>
    <col min="12555" max="12555" width="30.85546875" style="339" customWidth="1"/>
    <col min="12556" max="12556" width="9.140625" style="339"/>
    <col min="12557" max="12557" width="9.28515625" style="339" bestFit="1" customWidth="1"/>
    <col min="12558" max="12558" width="10.42578125" style="339" bestFit="1" customWidth="1"/>
    <col min="12559" max="12800" width="9.140625" style="339"/>
    <col min="12801" max="12801" width="9.28515625" style="339" customWidth="1"/>
    <col min="12802" max="12802" width="4.7109375" style="339" customWidth="1"/>
    <col min="12803" max="12803" width="89.28515625" style="339" customWidth="1"/>
    <col min="12804" max="12804" width="10.28515625" style="339" bestFit="1" customWidth="1"/>
    <col min="12805" max="12805" width="8.42578125" style="339" bestFit="1" customWidth="1"/>
    <col min="12806" max="12806" width="11.28515625" style="339" customWidth="1"/>
    <col min="12807" max="12807" width="9.85546875" style="339" bestFit="1" customWidth="1"/>
    <col min="12808" max="12808" width="24.140625" style="339" bestFit="1" customWidth="1"/>
    <col min="12809" max="12809" width="74.5703125" style="339" bestFit="1" customWidth="1"/>
    <col min="12810" max="12810" width="11.5703125" style="339" customWidth="1"/>
    <col min="12811" max="12811" width="30.85546875" style="339" customWidth="1"/>
    <col min="12812" max="12812" width="9.140625" style="339"/>
    <col min="12813" max="12813" width="9.28515625" style="339" bestFit="1" customWidth="1"/>
    <col min="12814" max="12814" width="10.42578125" style="339" bestFit="1" customWidth="1"/>
    <col min="12815" max="13056" width="9.140625" style="339"/>
    <col min="13057" max="13057" width="9.28515625" style="339" customWidth="1"/>
    <col min="13058" max="13058" width="4.7109375" style="339" customWidth="1"/>
    <col min="13059" max="13059" width="89.28515625" style="339" customWidth="1"/>
    <col min="13060" max="13060" width="10.28515625" style="339" bestFit="1" customWidth="1"/>
    <col min="13061" max="13061" width="8.42578125" style="339" bestFit="1" customWidth="1"/>
    <col min="13062" max="13062" width="11.28515625" style="339" customWidth="1"/>
    <col min="13063" max="13063" width="9.85546875" style="339" bestFit="1" customWidth="1"/>
    <col min="13064" max="13064" width="24.140625" style="339" bestFit="1" customWidth="1"/>
    <col min="13065" max="13065" width="74.5703125" style="339" bestFit="1" customWidth="1"/>
    <col min="13066" max="13066" width="11.5703125" style="339" customWidth="1"/>
    <col min="13067" max="13067" width="30.85546875" style="339" customWidth="1"/>
    <col min="13068" max="13068" width="9.140625" style="339"/>
    <col min="13069" max="13069" width="9.28515625" style="339" bestFit="1" customWidth="1"/>
    <col min="13070" max="13070" width="10.42578125" style="339" bestFit="1" customWidth="1"/>
    <col min="13071" max="13312" width="9.140625" style="339"/>
    <col min="13313" max="13313" width="9.28515625" style="339" customWidth="1"/>
    <col min="13314" max="13314" width="4.7109375" style="339" customWidth="1"/>
    <col min="13315" max="13315" width="89.28515625" style="339" customWidth="1"/>
    <col min="13316" max="13316" width="10.28515625" style="339" bestFit="1" customWidth="1"/>
    <col min="13317" max="13317" width="8.42578125" style="339" bestFit="1" customWidth="1"/>
    <col min="13318" max="13318" width="11.28515625" style="339" customWidth="1"/>
    <col min="13319" max="13319" width="9.85546875" style="339" bestFit="1" customWidth="1"/>
    <col min="13320" max="13320" width="24.140625" style="339" bestFit="1" customWidth="1"/>
    <col min="13321" max="13321" width="74.5703125" style="339" bestFit="1" customWidth="1"/>
    <col min="13322" max="13322" width="11.5703125" style="339" customWidth="1"/>
    <col min="13323" max="13323" width="30.85546875" style="339" customWidth="1"/>
    <col min="13324" max="13324" width="9.140625" style="339"/>
    <col min="13325" max="13325" width="9.28515625" style="339" bestFit="1" customWidth="1"/>
    <col min="13326" max="13326" width="10.42578125" style="339" bestFit="1" customWidth="1"/>
    <col min="13327" max="13568" width="9.140625" style="339"/>
    <col min="13569" max="13569" width="9.28515625" style="339" customWidth="1"/>
    <col min="13570" max="13570" width="4.7109375" style="339" customWidth="1"/>
    <col min="13571" max="13571" width="89.28515625" style="339" customWidth="1"/>
    <col min="13572" max="13572" width="10.28515625" style="339" bestFit="1" customWidth="1"/>
    <col min="13573" max="13573" width="8.42578125" style="339" bestFit="1" customWidth="1"/>
    <col min="13574" max="13574" width="11.28515625" style="339" customWidth="1"/>
    <col min="13575" max="13575" width="9.85546875" style="339" bestFit="1" customWidth="1"/>
    <col min="13576" max="13576" width="24.140625" style="339" bestFit="1" customWidth="1"/>
    <col min="13577" max="13577" width="74.5703125" style="339" bestFit="1" customWidth="1"/>
    <col min="13578" max="13578" width="11.5703125" style="339" customWidth="1"/>
    <col min="13579" max="13579" width="30.85546875" style="339" customWidth="1"/>
    <col min="13580" max="13580" width="9.140625" style="339"/>
    <col min="13581" max="13581" width="9.28515625" style="339" bestFit="1" customWidth="1"/>
    <col min="13582" max="13582" width="10.42578125" style="339" bestFit="1" customWidth="1"/>
    <col min="13583" max="13824" width="9.140625" style="339"/>
    <col min="13825" max="13825" width="9.28515625" style="339" customWidth="1"/>
    <col min="13826" max="13826" width="4.7109375" style="339" customWidth="1"/>
    <col min="13827" max="13827" width="89.28515625" style="339" customWidth="1"/>
    <col min="13828" max="13828" width="10.28515625" style="339" bestFit="1" customWidth="1"/>
    <col min="13829" max="13829" width="8.42578125" style="339" bestFit="1" customWidth="1"/>
    <col min="13830" max="13830" width="11.28515625" style="339" customWidth="1"/>
    <col min="13831" max="13831" width="9.85546875" style="339" bestFit="1" customWidth="1"/>
    <col min="13832" max="13832" width="24.140625" style="339" bestFit="1" customWidth="1"/>
    <col min="13833" max="13833" width="74.5703125" style="339" bestFit="1" customWidth="1"/>
    <col min="13834" max="13834" width="11.5703125" style="339" customWidth="1"/>
    <col min="13835" max="13835" width="30.85546875" style="339" customWidth="1"/>
    <col min="13836" max="13836" width="9.140625" style="339"/>
    <col min="13837" max="13837" width="9.28515625" style="339" bestFit="1" customWidth="1"/>
    <col min="13838" max="13838" width="10.42578125" style="339" bestFit="1" customWidth="1"/>
    <col min="13839" max="14080" width="9.140625" style="339"/>
    <col min="14081" max="14081" width="9.28515625" style="339" customWidth="1"/>
    <col min="14082" max="14082" width="4.7109375" style="339" customWidth="1"/>
    <col min="14083" max="14083" width="89.28515625" style="339" customWidth="1"/>
    <col min="14084" max="14084" width="10.28515625" style="339" bestFit="1" customWidth="1"/>
    <col min="14085" max="14085" width="8.42578125" style="339" bestFit="1" customWidth="1"/>
    <col min="14086" max="14086" width="11.28515625" style="339" customWidth="1"/>
    <col min="14087" max="14087" width="9.85546875" style="339" bestFit="1" customWidth="1"/>
    <col min="14088" max="14088" width="24.140625" style="339" bestFit="1" customWidth="1"/>
    <col min="14089" max="14089" width="74.5703125" style="339" bestFit="1" customWidth="1"/>
    <col min="14090" max="14090" width="11.5703125" style="339" customWidth="1"/>
    <col min="14091" max="14091" width="30.85546875" style="339" customWidth="1"/>
    <col min="14092" max="14092" width="9.140625" style="339"/>
    <col min="14093" max="14093" width="9.28515625" style="339" bestFit="1" customWidth="1"/>
    <col min="14094" max="14094" width="10.42578125" style="339" bestFit="1" customWidth="1"/>
    <col min="14095" max="14336" width="9.140625" style="339"/>
    <col min="14337" max="14337" width="9.28515625" style="339" customWidth="1"/>
    <col min="14338" max="14338" width="4.7109375" style="339" customWidth="1"/>
    <col min="14339" max="14339" width="89.28515625" style="339" customWidth="1"/>
    <col min="14340" max="14340" width="10.28515625" style="339" bestFit="1" customWidth="1"/>
    <col min="14341" max="14341" width="8.42578125" style="339" bestFit="1" customWidth="1"/>
    <col min="14342" max="14342" width="11.28515625" style="339" customWidth="1"/>
    <col min="14343" max="14343" width="9.85546875" style="339" bestFit="1" customWidth="1"/>
    <col min="14344" max="14344" width="24.140625" style="339" bestFit="1" customWidth="1"/>
    <col min="14345" max="14345" width="74.5703125" style="339" bestFit="1" customWidth="1"/>
    <col min="14346" max="14346" width="11.5703125" style="339" customWidth="1"/>
    <col min="14347" max="14347" width="30.85546875" style="339" customWidth="1"/>
    <col min="14348" max="14348" width="9.140625" style="339"/>
    <col min="14349" max="14349" width="9.28515625" style="339" bestFit="1" customWidth="1"/>
    <col min="14350" max="14350" width="10.42578125" style="339" bestFit="1" customWidth="1"/>
    <col min="14351" max="14592" width="9.140625" style="339"/>
    <col min="14593" max="14593" width="9.28515625" style="339" customWidth="1"/>
    <col min="14594" max="14594" width="4.7109375" style="339" customWidth="1"/>
    <col min="14595" max="14595" width="89.28515625" style="339" customWidth="1"/>
    <col min="14596" max="14596" width="10.28515625" style="339" bestFit="1" customWidth="1"/>
    <col min="14597" max="14597" width="8.42578125" style="339" bestFit="1" customWidth="1"/>
    <col min="14598" max="14598" width="11.28515625" style="339" customWidth="1"/>
    <col min="14599" max="14599" width="9.85546875" style="339" bestFit="1" customWidth="1"/>
    <col min="14600" max="14600" width="24.140625" style="339" bestFit="1" customWidth="1"/>
    <col min="14601" max="14601" width="74.5703125" style="339" bestFit="1" customWidth="1"/>
    <col min="14602" max="14602" width="11.5703125" style="339" customWidth="1"/>
    <col min="14603" max="14603" width="30.85546875" style="339" customWidth="1"/>
    <col min="14604" max="14604" width="9.140625" style="339"/>
    <col min="14605" max="14605" width="9.28515625" style="339" bestFit="1" customWidth="1"/>
    <col min="14606" max="14606" width="10.42578125" style="339" bestFit="1" customWidth="1"/>
    <col min="14607" max="14848" width="9.140625" style="339"/>
    <col min="14849" max="14849" width="9.28515625" style="339" customWidth="1"/>
    <col min="14850" max="14850" width="4.7109375" style="339" customWidth="1"/>
    <col min="14851" max="14851" width="89.28515625" style="339" customWidth="1"/>
    <col min="14852" max="14852" width="10.28515625" style="339" bestFit="1" customWidth="1"/>
    <col min="14853" max="14853" width="8.42578125" style="339" bestFit="1" customWidth="1"/>
    <col min="14854" max="14854" width="11.28515625" style="339" customWidth="1"/>
    <col min="14855" max="14855" width="9.85546875" style="339" bestFit="1" customWidth="1"/>
    <col min="14856" max="14856" width="24.140625" style="339" bestFit="1" customWidth="1"/>
    <col min="14857" max="14857" width="74.5703125" style="339" bestFit="1" customWidth="1"/>
    <col min="14858" max="14858" width="11.5703125" style="339" customWidth="1"/>
    <col min="14859" max="14859" width="30.85546875" style="339" customWidth="1"/>
    <col min="14860" max="14860" width="9.140625" style="339"/>
    <col min="14861" max="14861" width="9.28515625" style="339" bestFit="1" customWidth="1"/>
    <col min="14862" max="14862" width="10.42578125" style="339" bestFit="1" customWidth="1"/>
    <col min="14863" max="15104" width="9.140625" style="339"/>
    <col min="15105" max="15105" width="9.28515625" style="339" customWidth="1"/>
    <col min="15106" max="15106" width="4.7109375" style="339" customWidth="1"/>
    <col min="15107" max="15107" width="89.28515625" style="339" customWidth="1"/>
    <col min="15108" max="15108" width="10.28515625" style="339" bestFit="1" customWidth="1"/>
    <col min="15109" max="15109" width="8.42578125" style="339" bestFit="1" customWidth="1"/>
    <col min="15110" max="15110" width="11.28515625" style="339" customWidth="1"/>
    <col min="15111" max="15111" width="9.85546875" style="339" bestFit="1" customWidth="1"/>
    <col min="15112" max="15112" width="24.140625" style="339" bestFit="1" customWidth="1"/>
    <col min="15113" max="15113" width="74.5703125" style="339" bestFit="1" customWidth="1"/>
    <col min="15114" max="15114" width="11.5703125" style="339" customWidth="1"/>
    <col min="15115" max="15115" width="30.85546875" style="339" customWidth="1"/>
    <col min="15116" max="15116" width="9.140625" style="339"/>
    <col min="15117" max="15117" width="9.28515625" style="339" bestFit="1" customWidth="1"/>
    <col min="15118" max="15118" width="10.42578125" style="339" bestFit="1" customWidth="1"/>
    <col min="15119" max="15360" width="9.140625" style="339"/>
    <col min="15361" max="15361" width="9.28515625" style="339" customWidth="1"/>
    <col min="15362" max="15362" width="4.7109375" style="339" customWidth="1"/>
    <col min="15363" max="15363" width="89.28515625" style="339" customWidth="1"/>
    <col min="15364" max="15364" width="10.28515625" style="339" bestFit="1" customWidth="1"/>
    <col min="15365" max="15365" width="8.42578125" style="339" bestFit="1" customWidth="1"/>
    <col min="15366" max="15366" width="11.28515625" style="339" customWidth="1"/>
    <col min="15367" max="15367" width="9.85546875" style="339" bestFit="1" customWidth="1"/>
    <col min="15368" max="15368" width="24.140625" style="339" bestFit="1" customWidth="1"/>
    <col min="15369" max="15369" width="74.5703125" style="339" bestFit="1" customWidth="1"/>
    <col min="15370" max="15370" width="11.5703125" style="339" customWidth="1"/>
    <col min="15371" max="15371" width="30.85546875" style="339" customWidth="1"/>
    <col min="15372" max="15372" width="9.140625" style="339"/>
    <col min="15373" max="15373" width="9.28515625" style="339" bestFit="1" customWidth="1"/>
    <col min="15374" max="15374" width="10.42578125" style="339" bestFit="1" customWidth="1"/>
    <col min="15375" max="15616" width="9.140625" style="339"/>
    <col min="15617" max="15617" width="9.28515625" style="339" customWidth="1"/>
    <col min="15618" max="15618" width="4.7109375" style="339" customWidth="1"/>
    <col min="15619" max="15619" width="89.28515625" style="339" customWidth="1"/>
    <col min="15620" max="15620" width="10.28515625" style="339" bestFit="1" customWidth="1"/>
    <col min="15621" max="15621" width="8.42578125" style="339" bestFit="1" customWidth="1"/>
    <col min="15622" max="15622" width="11.28515625" style="339" customWidth="1"/>
    <col min="15623" max="15623" width="9.85546875" style="339" bestFit="1" customWidth="1"/>
    <col min="15624" max="15624" width="24.140625" style="339" bestFit="1" customWidth="1"/>
    <col min="15625" max="15625" width="74.5703125" style="339" bestFit="1" customWidth="1"/>
    <col min="15626" max="15626" width="11.5703125" style="339" customWidth="1"/>
    <col min="15627" max="15627" width="30.85546875" style="339" customWidth="1"/>
    <col min="15628" max="15628" width="9.140625" style="339"/>
    <col min="15629" max="15629" width="9.28515625" style="339" bestFit="1" customWidth="1"/>
    <col min="15630" max="15630" width="10.42578125" style="339" bestFit="1" customWidth="1"/>
    <col min="15631" max="15872" width="9.140625" style="339"/>
    <col min="15873" max="15873" width="9.28515625" style="339" customWidth="1"/>
    <col min="15874" max="15874" width="4.7109375" style="339" customWidth="1"/>
    <col min="15875" max="15875" width="89.28515625" style="339" customWidth="1"/>
    <col min="15876" max="15876" width="10.28515625" style="339" bestFit="1" customWidth="1"/>
    <col min="15877" max="15877" width="8.42578125" style="339" bestFit="1" customWidth="1"/>
    <col min="15878" max="15878" width="11.28515625" style="339" customWidth="1"/>
    <col min="15879" max="15879" width="9.85546875" style="339" bestFit="1" customWidth="1"/>
    <col min="15880" max="15880" width="24.140625" style="339" bestFit="1" customWidth="1"/>
    <col min="15881" max="15881" width="74.5703125" style="339" bestFit="1" customWidth="1"/>
    <col min="15882" max="15882" width="11.5703125" style="339" customWidth="1"/>
    <col min="15883" max="15883" width="30.85546875" style="339" customWidth="1"/>
    <col min="15884" max="15884" width="9.140625" style="339"/>
    <col min="15885" max="15885" width="9.28515625" style="339" bestFit="1" customWidth="1"/>
    <col min="15886" max="15886" width="10.42578125" style="339" bestFit="1" customWidth="1"/>
    <col min="15887" max="16128" width="9.140625" style="339"/>
    <col min="16129" max="16129" width="9.28515625" style="339" customWidth="1"/>
    <col min="16130" max="16130" width="4.7109375" style="339" customWidth="1"/>
    <col min="16131" max="16131" width="89.28515625" style="339" customWidth="1"/>
    <col min="16132" max="16132" width="10.28515625" style="339" bestFit="1" customWidth="1"/>
    <col min="16133" max="16133" width="8.42578125" style="339" bestFit="1" customWidth="1"/>
    <col min="16134" max="16134" width="11.28515625" style="339" customWidth="1"/>
    <col min="16135" max="16135" width="9.85546875" style="339" bestFit="1" customWidth="1"/>
    <col min="16136" max="16136" width="24.140625" style="339" bestFit="1" customWidth="1"/>
    <col min="16137" max="16137" width="74.5703125" style="339" bestFit="1" customWidth="1"/>
    <col min="16138" max="16138" width="11.5703125" style="339" customWidth="1"/>
    <col min="16139" max="16139" width="30.85546875" style="339" customWidth="1"/>
    <col min="16140" max="16140" width="9.140625" style="339"/>
    <col min="16141" max="16141" width="9.28515625" style="339" bestFit="1" customWidth="1"/>
    <col min="16142" max="16142" width="10.42578125" style="339" bestFit="1" customWidth="1"/>
    <col min="16143" max="16384" width="9.140625" style="339"/>
  </cols>
  <sheetData>
    <row r="1" spans="2:8" ht="17.25" thickBot="1" x14ac:dyDescent="0.25"/>
    <row r="2" spans="2:8" ht="9.75" customHeight="1" thickTop="1" x14ac:dyDescent="0.2">
      <c r="B2" s="839"/>
      <c r="C2" s="840"/>
      <c r="D2" s="840"/>
      <c r="E2" s="841"/>
    </row>
    <row r="3" spans="2:8" x14ac:dyDescent="0.2">
      <c r="B3" s="842"/>
      <c r="C3" s="843"/>
      <c r="D3" s="843"/>
      <c r="E3" s="844"/>
    </row>
    <row r="4" spans="2:8" x14ac:dyDescent="0.2">
      <c r="B4" s="842"/>
      <c r="C4" s="843"/>
      <c r="D4" s="843"/>
      <c r="E4" s="844"/>
    </row>
    <row r="5" spans="2:8" x14ac:dyDescent="0.2">
      <c r="B5" s="842"/>
      <c r="C5" s="843"/>
      <c r="D5" s="843"/>
      <c r="E5" s="844"/>
    </row>
    <row r="6" spans="2:8" ht="6" customHeight="1" x14ac:dyDescent="0.2">
      <c r="B6" s="842"/>
      <c r="C6" s="843"/>
      <c r="D6" s="843"/>
      <c r="E6" s="844"/>
    </row>
    <row r="7" spans="2:8" x14ac:dyDescent="0.2">
      <c r="B7" s="845" t="s">
        <v>46</v>
      </c>
      <c r="C7" s="846"/>
      <c r="D7" s="846"/>
      <c r="E7" s="847"/>
      <c r="G7" s="346"/>
    </row>
    <row r="8" spans="2:8" x14ac:dyDescent="0.2">
      <c r="B8" s="845" t="s">
        <v>114</v>
      </c>
      <c r="C8" s="846"/>
      <c r="D8" s="846"/>
      <c r="E8" s="847"/>
      <c r="G8" s="346"/>
    </row>
    <row r="9" spans="2:8" ht="16.5" customHeight="1" x14ac:dyDescent="0.2">
      <c r="B9" s="848" t="s">
        <v>373</v>
      </c>
      <c r="C9" s="849"/>
      <c r="D9" s="849"/>
      <c r="E9" s="850"/>
      <c r="G9" s="346"/>
    </row>
    <row r="10" spans="2:8" ht="16.5" customHeight="1" x14ac:dyDescent="0.2">
      <c r="B10" s="348" t="s">
        <v>354</v>
      </c>
      <c r="C10" s="349"/>
      <c r="D10" s="350" t="s">
        <v>353</v>
      </c>
      <c r="E10" s="351">
        <v>43421</v>
      </c>
      <c r="G10" s="346"/>
      <c r="H10" s="352"/>
    </row>
    <row r="11" spans="2:8" ht="16.5" customHeight="1" thickBot="1" x14ac:dyDescent="0.25">
      <c r="B11" s="348"/>
      <c r="C11" s="353"/>
      <c r="D11" s="354" t="s">
        <v>355</v>
      </c>
      <c r="E11" s="355">
        <f>[5]BDI!C27</f>
        <v>0.24030000000000001</v>
      </c>
      <c r="F11" s="356"/>
      <c r="G11" s="346"/>
      <c r="H11" s="352"/>
    </row>
    <row r="12" spans="2:8" ht="17.25" thickTop="1" x14ac:dyDescent="0.2">
      <c r="B12" s="851" t="s">
        <v>17</v>
      </c>
      <c r="C12" s="851"/>
      <c r="D12" s="851"/>
      <c r="E12" s="851"/>
      <c r="F12" s="356"/>
      <c r="G12" s="346"/>
      <c r="H12" s="352"/>
    </row>
    <row r="13" spans="2:8" ht="10.5" customHeight="1" thickBot="1" x14ac:dyDescent="0.25">
      <c r="B13" s="852"/>
      <c r="C13" s="852"/>
      <c r="D13" s="852"/>
      <c r="E13" s="852"/>
      <c r="F13" s="356"/>
      <c r="G13" s="346"/>
      <c r="H13" s="352"/>
    </row>
    <row r="14" spans="2:8" ht="18" thickTop="1" thickBot="1" x14ac:dyDescent="0.25">
      <c r="B14" s="853"/>
      <c r="C14" s="853"/>
      <c r="D14" s="853"/>
      <c r="E14" s="853"/>
    </row>
    <row r="15" spans="2:8" ht="18" thickTop="1" thickBot="1" x14ac:dyDescent="0.25">
      <c r="B15" s="836" t="s">
        <v>368</v>
      </c>
      <c r="C15" s="837"/>
      <c r="D15" s="837"/>
      <c r="E15" s="838"/>
    </row>
    <row r="16" spans="2:8" ht="18" thickTop="1" thickBot="1" x14ac:dyDescent="0.25">
      <c r="B16" s="357" t="s">
        <v>8</v>
      </c>
      <c r="C16" s="358" t="s">
        <v>20</v>
      </c>
      <c r="D16" s="383"/>
      <c r="E16" s="384"/>
      <c r="H16" s="375"/>
    </row>
    <row r="17" spans="2:8" ht="26.25" thickTop="1" x14ac:dyDescent="0.2">
      <c r="B17" s="395" t="s">
        <v>9</v>
      </c>
      <c r="C17" s="396" t="s">
        <v>260</v>
      </c>
      <c r="D17" s="397"/>
      <c r="E17" s="395"/>
      <c r="H17" s="375"/>
    </row>
    <row r="18" spans="2:8" x14ac:dyDescent="0.2">
      <c r="B18" s="399"/>
      <c r="C18" s="417" t="s">
        <v>369</v>
      </c>
      <c r="D18" s="401"/>
      <c r="E18" s="402"/>
      <c r="G18" s="343">
        <v>33.270000000000003</v>
      </c>
      <c r="H18" s="375">
        <v>94273</v>
      </c>
    </row>
    <row r="19" spans="2:8" x14ac:dyDescent="0.2">
      <c r="B19" s="399"/>
      <c r="C19" s="396" t="s">
        <v>374</v>
      </c>
      <c r="D19" s="401"/>
      <c r="E19" s="402"/>
      <c r="H19" s="375"/>
    </row>
    <row r="20" spans="2:8" ht="17.25" thickBot="1" x14ac:dyDescent="0.25">
      <c r="B20" s="418"/>
      <c r="C20" s="419" t="s">
        <v>375</v>
      </c>
      <c r="D20" s="426">
        <f>((200*2)+(3*2)+(3*2)+(3*2)+(3*2))-(8.4+8.2+9.7+7.7)-62.3</f>
        <v>327.7</v>
      </c>
      <c r="E20" s="427" t="s">
        <v>11</v>
      </c>
      <c r="H20" s="375"/>
    </row>
    <row r="21" spans="2:8" ht="18" thickTop="1" thickBot="1" x14ac:dyDescent="0.25">
      <c r="B21" s="420"/>
      <c r="C21" s="421"/>
      <c r="D21" s="422"/>
      <c r="E21" s="423"/>
      <c r="G21" s="374"/>
      <c r="H21" s="375"/>
    </row>
    <row r="22" spans="2:8" ht="18" thickTop="1" thickBot="1" x14ac:dyDescent="0.25">
      <c r="B22" s="836" t="s">
        <v>263</v>
      </c>
      <c r="C22" s="837"/>
      <c r="D22" s="837"/>
      <c r="E22" s="838"/>
    </row>
    <row r="23" spans="2:8" ht="18" thickTop="1" thickBot="1" x14ac:dyDescent="0.25">
      <c r="B23" s="357" t="s">
        <v>8</v>
      </c>
      <c r="C23" s="358" t="s">
        <v>20</v>
      </c>
      <c r="D23" s="383"/>
      <c r="E23" s="384"/>
      <c r="H23" s="375"/>
    </row>
    <row r="24" spans="2:8" ht="26.25" thickTop="1" x14ac:dyDescent="0.2">
      <c r="B24" s="395" t="s">
        <v>9</v>
      </c>
      <c r="C24" s="396" t="s">
        <v>260</v>
      </c>
      <c r="D24" s="397"/>
      <c r="E24" s="395"/>
      <c r="H24" s="375"/>
    </row>
    <row r="25" spans="2:8" x14ac:dyDescent="0.2">
      <c r="B25" s="399"/>
      <c r="C25" s="400" t="s">
        <v>370</v>
      </c>
      <c r="D25" s="401"/>
      <c r="E25" s="402"/>
      <c r="G25" s="343">
        <v>33.270000000000003</v>
      </c>
      <c r="H25" s="375">
        <v>94273</v>
      </c>
    </row>
    <row r="26" spans="2:8" x14ac:dyDescent="0.2">
      <c r="B26" s="399"/>
      <c r="C26" s="396" t="s">
        <v>376</v>
      </c>
      <c r="D26" s="404"/>
      <c r="E26" s="399"/>
      <c r="H26" s="375"/>
    </row>
    <row r="27" spans="2:8" ht="17.25" thickBot="1" x14ac:dyDescent="0.25">
      <c r="B27" s="418"/>
      <c r="C27" s="419" t="s">
        <v>377</v>
      </c>
      <c r="D27" s="428">
        <f>((200*2)+(3*2)+(3*2)+(3*2)+(3*2))-(7.8+8.2+7.8+8.2)</f>
        <v>392</v>
      </c>
      <c r="E27" s="429" t="s">
        <v>11</v>
      </c>
      <c r="G27" s="343">
        <f>ROUND(51.83/1.2615,2)</f>
        <v>41.09</v>
      </c>
      <c r="H27" s="340" t="s">
        <v>360</v>
      </c>
    </row>
    <row r="28" spans="2:8" ht="18" thickTop="1" thickBot="1" x14ac:dyDescent="0.25">
      <c r="B28" s="420"/>
      <c r="C28" s="421"/>
      <c r="D28" s="422"/>
      <c r="E28" s="423"/>
      <c r="G28" s="374"/>
      <c r="H28" s="375"/>
    </row>
    <row r="29" spans="2:8" ht="18" thickTop="1" thickBot="1" x14ac:dyDescent="0.25">
      <c r="B29" s="836" t="s">
        <v>371</v>
      </c>
      <c r="C29" s="837"/>
      <c r="D29" s="837"/>
      <c r="E29" s="838"/>
    </row>
    <row r="30" spans="2:8" ht="18" thickTop="1" thickBot="1" x14ac:dyDescent="0.25">
      <c r="B30" s="357" t="s">
        <v>4</v>
      </c>
      <c r="C30" s="358" t="s">
        <v>277</v>
      </c>
      <c r="D30" s="359" t="s">
        <v>356</v>
      </c>
      <c r="E30" s="360" t="s">
        <v>217</v>
      </c>
      <c r="G30" s="343" t="s">
        <v>357</v>
      </c>
      <c r="H30" s="340" t="s">
        <v>330</v>
      </c>
    </row>
    <row r="31" spans="2:8" ht="17.25" thickTop="1" x14ac:dyDescent="0.2">
      <c r="B31" s="371" t="s">
        <v>5</v>
      </c>
      <c r="C31" s="372" t="s">
        <v>303</v>
      </c>
      <c r="D31" s="373"/>
      <c r="E31" s="371"/>
    </row>
    <row r="32" spans="2:8" ht="25.5" x14ac:dyDescent="0.2">
      <c r="B32" s="386"/>
      <c r="C32" s="387" t="s">
        <v>381</v>
      </c>
      <c r="D32" s="388"/>
      <c r="E32" s="386"/>
      <c r="H32" s="375"/>
    </row>
    <row r="33" spans="2:8" ht="17.25" thickBot="1" x14ac:dyDescent="0.25">
      <c r="B33" s="386"/>
      <c r="C33" s="389" t="s">
        <v>382</v>
      </c>
      <c r="D33" s="430">
        <v>140</v>
      </c>
      <c r="E33" s="386" t="s">
        <v>11</v>
      </c>
      <c r="H33" s="375"/>
    </row>
    <row r="34" spans="2:8" ht="18" thickTop="1" thickBot="1" x14ac:dyDescent="0.25">
      <c r="B34" s="357" t="s">
        <v>8</v>
      </c>
      <c r="C34" s="358" t="s">
        <v>20</v>
      </c>
      <c r="D34" s="383"/>
      <c r="E34" s="384"/>
      <c r="H34" s="375"/>
    </row>
    <row r="35" spans="2:8" ht="26.25" thickTop="1" x14ac:dyDescent="0.2">
      <c r="B35" s="395" t="s">
        <v>9</v>
      </c>
      <c r="C35" s="396" t="s">
        <v>260</v>
      </c>
      <c r="D35" s="397"/>
      <c r="E35" s="395"/>
      <c r="H35" s="375"/>
    </row>
    <row r="36" spans="2:8" x14ac:dyDescent="0.2">
      <c r="B36" s="399"/>
      <c r="C36" s="400" t="s">
        <v>372</v>
      </c>
      <c r="D36" s="401">
        <f>((200*2)+(3*2)+(3*2)+(3*2)+(3*2))-(7.75+8.3+8.2+8)</f>
        <v>391.75</v>
      </c>
      <c r="E36" s="402" t="s">
        <v>11</v>
      </c>
      <c r="G36" s="343">
        <v>33.270000000000003</v>
      </c>
      <c r="H36" s="375">
        <v>94273</v>
      </c>
    </row>
    <row r="37" spans="2:8" x14ac:dyDescent="0.2">
      <c r="B37" s="399" t="s">
        <v>12</v>
      </c>
      <c r="C37" s="396" t="s">
        <v>305</v>
      </c>
      <c r="D37" s="404"/>
      <c r="E37" s="399"/>
      <c r="H37" s="375"/>
    </row>
    <row r="38" spans="2:8" x14ac:dyDescent="0.2">
      <c r="B38" s="399"/>
      <c r="C38" s="400" t="s">
        <v>380</v>
      </c>
      <c r="D38" s="406"/>
      <c r="E38" s="407"/>
      <c r="G38" s="343">
        <f>ROUND(51.83/1.2615,2)</f>
        <v>41.09</v>
      </c>
      <c r="H38" s="340" t="s">
        <v>360</v>
      </c>
    </row>
    <row r="39" spans="2:8" x14ac:dyDescent="0.2">
      <c r="B39" s="399"/>
      <c r="C39" s="417" t="s">
        <v>378</v>
      </c>
      <c r="D39" s="431"/>
      <c r="E39" s="407"/>
    </row>
    <row r="40" spans="2:8" x14ac:dyDescent="0.2">
      <c r="B40" s="399"/>
      <c r="C40" s="400" t="s">
        <v>379</v>
      </c>
      <c r="D40" s="431">
        <f>(200*8)+(3*8.3)+(3*7.75)+(3*8)+(3*8.2)-480</f>
        <v>1216.75</v>
      </c>
      <c r="E40" s="407" t="s">
        <v>13</v>
      </c>
    </row>
    <row r="41" spans="2:8" x14ac:dyDescent="0.2">
      <c r="B41" s="399" t="s">
        <v>361</v>
      </c>
      <c r="C41" s="387" t="s">
        <v>306</v>
      </c>
      <c r="D41" s="401"/>
      <c r="E41" s="402"/>
      <c r="H41" s="375"/>
    </row>
    <row r="42" spans="2:8" ht="17.25" thickBot="1" x14ac:dyDescent="0.25">
      <c r="B42" s="410"/>
      <c r="C42" s="377" t="s">
        <v>386</v>
      </c>
      <c r="D42" s="411">
        <f>7.8 + 8 + 8.2 + 8.3 +7.75</f>
        <v>40.049999999999997</v>
      </c>
      <c r="E42" s="412" t="s">
        <v>11</v>
      </c>
      <c r="G42" s="343">
        <f>ROUND(16.01/1.2615,2)</f>
        <v>12.69</v>
      </c>
      <c r="H42" s="375" t="s">
        <v>362</v>
      </c>
    </row>
    <row r="43" spans="2:8" ht="18" thickTop="1" thickBot="1" x14ac:dyDescent="0.25">
      <c r="B43" s="357" t="s">
        <v>157</v>
      </c>
      <c r="C43" s="358" t="s">
        <v>292</v>
      </c>
      <c r="D43" s="383"/>
      <c r="E43" s="384"/>
      <c r="H43" s="375"/>
    </row>
    <row r="44" spans="2:8" ht="17.25" thickTop="1" x14ac:dyDescent="0.2">
      <c r="B44" s="399" t="s">
        <v>170</v>
      </c>
      <c r="C44" s="417" t="s">
        <v>419</v>
      </c>
      <c r="D44" s="404"/>
      <c r="E44" s="399"/>
      <c r="G44" s="374"/>
      <c r="H44" s="375"/>
    </row>
    <row r="45" spans="2:8" x14ac:dyDescent="0.2">
      <c r="B45" s="399"/>
      <c r="C45" s="400" t="s">
        <v>383</v>
      </c>
      <c r="D45" s="401"/>
      <c r="E45" s="402"/>
      <c r="G45" s="374">
        <v>1.1000000000000001</v>
      </c>
      <c r="H45" s="375" t="s">
        <v>365</v>
      </c>
    </row>
    <row r="46" spans="2:8" x14ac:dyDescent="0.2">
      <c r="B46" s="399"/>
      <c r="C46" s="417" t="s">
        <v>384</v>
      </c>
      <c r="D46" s="401"/>
      <c r="E46" s="402"/>
      <c r="G46" s="374"/>
      <c r="H46" s="375"/>
    </row>
    <row r="47" spans="2:8" ht="17.25" thickBot="1" x14ac:dyDescent="0.25">
      <c r="B47" s="418"/>
      <c r="C47" s="419" t="s">
        <v>385</v>
      </c>
      <c r="D47" s="426">
        <f>0.25*D36-30</f>
        <v>67.94</v>
      </c>
      <c r="E47" s="427" t="s">
        <v>13</v>
      </c>
      <c r="G47" s="374"/>
      <c r="H47" s="375"/>
    </row>
    <row r="48" spans="2:8" ht="18" thickTop="1" thickBot="1" x14ac:dyDescent="0.25">
      <c r="B48" s="375"/>
      <c r="C48" s="424"/>
      <c r="D48" s="425"/>
      <c r="E48" s="375"/>
      <c r="G48" s="374"/>
      <c r="H48" s="375"/>
    </row>
    <row r="49" spans="2:15" ht="18" thickTop="1" thickBot="1" x14ac:dyDescent="0.25">
      <c r="B49" s="836" t="s">
        <v>119</v>
      </c>
      <c r="C49" s="837"/>
      <c r="D49" s="837"/>
      <c r="E49" s="838"/>
    </row>
    <row r="50" spans="2:15" ht="18" thickTop="1" thickBot="1" x14ac:dyDescent="0.25">
      <c r="B50" s="357" t="s">
        <v>4</v>
      </c>
      <c r="C50" s="358" t="s">
        <v>277</v>
      </c>
      <c r="D50" s="359" t="s">
        <v>356</v>
      </c>
      <c r="E50" s="360" t="s">
        <v>217</v>
      </c>
      <c r="G50" s="343" t="s">
        <v>357</v>
      </c>
      <c r="H50" s="340" t="s">
        <v>330</v>
      </c>
    </row>
    <row r="51" spans="2:15" s="361" customFormat="1" ht="13.5" thickTop="1" x14ac:dyDescent="0.2">
      <c r="B51" s="362" t="s">
        <v>5</v>
      </c>
      <c r="C51" s="363" t="s">
        <v>358</v>
      </c>
      <c r="D51" s="364"/>
      <c r="E51" s="362"/>
      <c r="F51" s="365"/>
      <c r="G51" s="343"/>
      <c r="H51" s="340"/>
      <c r="I51" s="365"/>
      <c r="K51" s="366"/>
      <c r="L51" s="365"/>
      <c r="M51" s="365"/>
      <c r="N51" s="365"/>
      <c r="O51" s="365"/>
    </row>
    <row r="52" spans="2:15" s="361" customFormat="1" ht="12.75" x14ac:dyDescent="0.2">
      <c r="B52" s="367"/>
      <c r="C52" s="368" t="s">
        <v>387</v>
      </c>
      <c r="D52" s="369">
        <f>ROUND(1.5*3,2)</f>
        <v>4.5</v>
      </c>
      <c r="E52" s="370" t="s">
        <v>13</v>
      </c>
      <c r="F52" s="365"/>
      <c r="G52" s="343">
        <v>317.16000000000003</v>
      </c>
      <c r="H52" s="340" t="s">
        <v>359</v>
      </c>
      <c r="I52" s="365"/>
      <c r="K52" s="366"/>
      <c r="L52" s="365"/>
      <c r="M52" s="365"/>
      <c r="N52" s="365"/>
      <c r="O52" s="365"/>
    </row>
    <row r="53" spans="2:15" x14ac:dyDescent="0.2">
      <c r="B53" s="371" t="s">
        <v>86</v>
      </c>
      <c r="C53" s="372" t="s">
        <v>303</v>
      </c>
      <c r="D53" s="373"/>
      <c r="E53" s="371"/>
      <c r="G53" s="374"/>
      <c r="H53" s="375"/>
      <c r="I53" s="347"/>
      <c r="J53" s="375"/>
      <c r="K53" s="345"/>
    </row>
    <row r="54" spans="2:15" ht="17.25" thickBot="1" x14ac:dyDescent="0.25">
      <c r="B54" s="376"/>
      <c r="C54" s="377" t="s">
        <v>388</v>
      </c>
      <c r="D54" s="378">
        <v>621.4</v>
      </c>
      <c r="E54" s="379" t="s">
        <v>11</v>
      </c>
      <c r="G54" s="343">
        <v>0.33</v>
      </c>
      <c r="H54" s="375">
        <v>78472</v>
      </c>
      <c r="I54" s="380"/>
      <c r="J54" s="375"/>
      <c r="K54" s="381"/>
      <c r="L54" s="382"/>
      <c r="M54" s="382"/>
    </row>
    <row r="55" spans="2:15" ht="18" thickTop="1" thickBot="1" x14ac:dyDescent="0.25">
      <c r="B55" s="357" t="s">
        <v>6</v>
      </c>
      <c r="C55" s="358" t="s">
        <v>278</v>
      </c>
      <c r="D55" s="383"/>
      <c r="E55" s="384"/>
      <c r="F55" s="342"/>
      <c r="H55" s="375"/>
      <c r="I55" s="347"/>
      <c r="J55" s="385"/>
    </row>
    <row r="56" spans="2:15" ht="15.75" customHeight="1" thickTop="1" x14ac:dyDescent="0.2">
      <c r="B56" s="386" t="s">
        <v>7</v>
      </c>
      <c r="C56" s="387" t="s">
        <v>280</v>
      </c>
      <c r="D56" s="388"/>
      <c r="E56" s="386"/>
      <c r="H56" s="375"/>
      <c r="I56" s="347"/>
      <c r="J56" s="385"/>
    </row>
    <row r="57" spans="2:15" ht="16.5" customHeight="1" thickBot="1" x14ac:dyDescent="0.25">
      <c r="B57" s="386"/>
      <c r="C57" s="389" t="s">
        <v>389</v>
      </c>
      <c r="D57" s="390">
        <v>3594.47</v>
      </c>
      <c r="E57" s="391" t="s">
        <v>13</v>
      </c>
      <c r="G57" s="343">
        <v>1.22</v>
      </c>
      <c r="H57" s="375">
        <v>72961</v>
      </c>
      <c r="I57" s="347"/>
      <c r="J57" s="375"/>
      <c r="K57" s="392"/>
    </row>
    <row r="58" spans="2:15" ht="18" thickTop="1" thickBot="1" x14ac:dyDescent="0.25">
      <c r="B58" s="357" t="s">
        <v>8</v>
      </c>
      <c r="C58" s="358" t="s">
        <v>20</v>
      </c>
      <c r="D58" s="383"/>
      <c r="E58" s="384"/>
      <c r="H58" s="375"/>
      <c r="I58" s="347"/>
      <c r="J58" s="393"/>
      <c r="K58" s="394"/>
    </row>
    <row r="59" spans="2:15" ht="26.25" thickTop="1" x14ac:dyDescent="0.2">
      <c r="B59" s="395" t="s">
        <v>9</v>
      </c>
      <c r="C59" s="396" t="s">
        <v>260</v>
      </c>
      <c r="D59" s="397"/>
      <c r="E59" s="395"/>
      <c r="H59" s="375"/>
      <c r="I59" s="398"/>
      <c r="J59" s="375"/>
      <c r="M59" s="339"/>
      <c r="N59" s="339"/>
    </row>
    <row r="60" spans="2:15" ht="13.5" customHeight="1" x14ac:dyDescent="0.2">
      <c r="B60" s="399"/>
      <c r="C60" s="400" t="s">
        <v>390</v>
      </c>
      <c r="D60" s="401">
        <f>(D54*2)</f>
        <v>1242.8</v>
      </c>
      <c r="E60" s="402" t="s">
        <v>11</v>
      </c>
      <c r="G60" s="343">
        <v>33.270000000000003</v>
      </c>
      <c r="H60" s="375">
        <v>94273</v>
      </c>
      <c r="I60" s="403"/>
      <c r="J60" s="375"/>
      <c r="M60" s="339"/>
      <c r="N60" s="339"/>
    </row>
    <row r="61" spans="2:15" ht="12.75" x14ac:dyDescent="0.2">
      <c r="B61" s="399" t="s">
        <v>12</v>
      </c>
      <c r="C61" s="396" t="s">
        <v>305</v>
      </c>
      <c r="D61" s="404"/>
      <c r="E61" s="399"/>
      <c r="F61" s="342"/>
      <c r="H61" s="375"/>
      <c r="I61" s="405"/>
      <c r="J61" s="375"/>
      <c r="M61" s="339"/>
      <c r="N61" s="339"/>
    </row>
    <row r="62" spans="2:15" x14ac:dyDescent="0.2">
      <c r="B62" s="399"/>
      <c r="C62" s="400" t="str">
        <f>C57</f>
        <v>Área total calculada no autocad (rua tem largura variável): A = 3.594,47m²</v>
      </c>
      <c r="D62" s="406">
        <f>D57</f>
        <v>3594.47</v>
      </c>
      <c r="E62" s="407" t="s">
        <v>13</v>
      </c>
      <c r="G62" s="343">
        <f>ROUND(51.83/1.2615,2)</f>
        <v>41.09</v>
      </c>
      <c r="H62" s="340" t="s">
        <v>360</v>
      </c>
      <c r="I62" s="408"/>
      <c r="J62" s="385"/>
    </row>
    <row r="63" spans="2:15" x14ac:dyDescent="0.2">
      <c r="B63" s="386" t="s">
        <v>108</v>
      </c>
      <c r="C63" s="387" t="s">
        <v>306</v>
      </c>
      <c r="D63" s="373"/>
      <c r="E63" s="386"/>
      <c r="F63" s="342"/>
      <c r="H63" s="375"/>
      <c r="I63" s="347"/>
      <c r="J63" s="385"/>
    </row>
    <row r="64" spans="2:15" x14ac:dyDescent="0.2">
      <c r="B64" s="409"/>
      <c r="C64" s="432" t="s">
        <v>391</v>
      </c>
      <c r="D64" s="401"/>
      <c r="E64" s="367"/>
      <c r="F64" s="340">
        <f>ROUND(D64/0.07,2)</f>
        <v>0</v>
      </c>
      <c r="G64" s="343">
        <v>497.29</v>
      </c>
      <c r="H64" s="375">
        <v>94990</v>
      </c>
      <c r="I64" s="380"/>
      <c r="J64" s="385"/>
    </row>
    <row r="65" spans="2:10" x14ac:dyDescent="0.2">
      <c r="B65" s="399"/>
      <c r="C65" s="387" t="s">
        <v>392</v>
      </c>
      <c r="D65" s="401"/>
      <c r="E65" s="402"/>
      <c r="F65" s="342"/>
      <c r="H65" s="375"/>
      <c r="I65" s="347"/>
      <c r="J65" s="385"/>
    </row>
    <row r="66" spans="2:10" ht="17.25" thickBot="1" x14ac:dyDescent="0.25">
      <c r="B66" s="410"/>
      <c r="C66" s="377" t="s">
        <v>393</v>
      </c>
      <c r="D66" s="411">
        <v>67</v>
      </c>
      <c r="E66" s="412" t="s">
        <v>11</v>
      </c>
      <c r="F66" s="342"/>
      <c r="G66" s="343">
        <f>ROUND(16.01/1.2615,2)</f>
        <v>12.69</v>
      </c>
      <c r="H66" s="375" t="s">
        <v>362</v>
      </c>
      <c r="I66" s="347"/>
      <c r="J66" s="385"/>
    </row>
    <row r="67" spans="2:10" ht="18" thickTop="1" thickBot="1" x14ac:dyDescent="0.25">
      <c r="B67" s="357" t="s">
        <v>14</v>
      </c>
      <c r="C67" s="358" t="s">
        <v>178</v>
      </c>
      <c r="D67" s="383"/>
      <c r="E67" s="384"/>
      <c r="H67" s="375"/>
      <c r="I67" s="347"/>
      <c r="J67" s="385"/>
    </row>
    <row r="68" spans="2:10" ht="17.25" thickTop="1" x14ac:dyDescent="0.2">
      <c r="B68" s="395" t="s">
        <v>15</v>
      </c>
      <c r="C68" s="396" t="s">
        <v>395</v>
      </c>
      <c r="D68" s="397"/>
      <c r="E68" s="395"/>
      <c r="H68" s="375"/>
      <c r="I68" s="347"/>
      <c r="J68" s="385"/>
    </row>
    <row r="69" spans="2:10" x14ac:dyDescent="0.2">
      <c r="B69" s="399"/>
      <c r="C69" s="389" t="s">
        <v>396</v>
      </c>
      <c r="D69" s="388">
        <v>1</v>
      </c>
      <c r="E69" s="386" t="s">
        <v>279</v>
      </c>
      <c r="G69" s="343">
        <v>256.66000000000003</v>
      </c>
      <c r="H69" s="340">
        <v>94963</v>
      </c>
      <c r="I69" s="347"/>
      <c r="J69" s="385"/>
    </row>
    <row r="70" spans="2:10" x14ac:dyDescent="0.2">
      <c r="B70" s="386" t="s">
        <v>129</v>
      </c>
      <c r="C70" s="387" t="s">
        <v>397</v>
      </c>
      <c r="D70" s="388"/>
      <c r="E70" s="386"/>
      <c r="G70" s="346"/>
      <c r="H70" s="413"/>
      <c r="I70" s="347"/>
      <c r="J70" s="385"/>
    </row>
    <row r="71" spans="2:10" x14ac:dyDescent="0.2">
      <c r="B71" s="386"/>
      <c r="C71" s="389" t="str">
        <f>C69</f>
        <v>Q = 1,00 unid</v>
      </c>
      <c r="D71" s="388">
        <f>D69</f>
        <v>1</v>
      </c>
      <c r="E71" s="386" t="s">
        <v>279</v>
      </c>
      <c r="G71" s="343">
        <v>88.76</v>
      </c>
      <c r="H71" s="375" t="s">
        <v>363</v>
      </c>
      <c r="I71" s="347"/>
      <c r="J71" s="385"/>
    </row>
    <row r="72" spans="2:10" x14ac:dyDescent="0.2">
      <c r="B72" s="395" t="s">
        <v>131</v>
      </c>
      <c r="C72" s="396" t="s">
        <v>198</v>
      </c>
      <c r="D72" s="397"/>
      <c r="E72" s="395"/>
      <c r="H72" s="375"/>
      <c r="I72" s="347"/>
      <c r="J72" s="385"/>
    </row>
    <row r="73" spans="2:10" x14ac:dyDescent="0.2">
      <c r="B73" s="399"/>
      <c r="C73" s="389" t="s">
        <v>396</v>
      </c>
      <c r="D73" s="388">
        <v>1</v>
      </c>
      <c r="E73" s="386" t="s">
        <v>279</v>
      </c>
      <c r="G73" s="343">
        <v>256.66000000000003</v>
      </c>
      <c r="H73" s="340">
        <v>94963</v>
      </c>
      <c r="I73" s="347"/>
      <c r="J73" s="385"/>
    </row>
    <row r="74" spans="2:10" ht="25.5" x14ac:dyDescent="0.2">
      <c r="B74" s="386" t="s">
        <v>413</v>
      </c>
      <c r="C74" s="387" t="s">
        <v>398</v>
      </c>
      <c r="D74" s="388"/>
      <c r="E74" s="386"/>
      <c r="G74" s="346"/>
      <c r="H74" s="413"/>
      <c r="I74" s="347"/>
      <c r="J74" s="385"/>
    </row>
    <row r="75" spans="2:10" x14ac:dyDescent="0.2">
      <c r="B75" s="386"/>
      <c r="C75" s="389" t="s">
        <v>402</v>
      </c>
      <c r="D75" s="388">
        <v>126.46</v>
      </c>
      <c r="E75" s="386" t="s">
        <v>11</v>
      </c>
      <c r="G75" s="343">
        <v>88.76</v>
      </c>
      <c r="H75" s="375" t="s">
        <v>363</v>
      </c>
      <c r="I75" s="347"/>
      <c r="J75" s="385"/>
    </row>
    <row r="76" spans="2:10" x14ac:dyDescent="0.2">
      <c r="B76" s="395" t="s">
        <v>414</v>
      </c>
      <c r="C76" s="396" t="s">
        <v>399</v>
      </c>
      <c r="D76" s="397"/>
      <c r="E76" s="395"/>
      <c r="H76" s="375"/>
      <c r="I76" s="347"/>
      <c r="J76" s="385"/>
    </row>
    <row r="77" spans="2:10" x14ac:dyDescent="0.2">
      <c r="B77" s="399"/>
      <c r="C77" s="389" t="s">
        <v>402</v>
      </c>
      <c r="D77" s="388">
        <v>126.46</v>
      </c>
      <c r="E77" s="386" t="s">
        <v>11</v>
      </c>
      <c r="G77" s="343">
        <v>256.66000000000003</v>
      </c>
      <c r="H77" s="340">
        <v>94963</v>
      </c>
      <c r="I77" s="347"/>
      <c r="J77" s="385"/>
    </row>
    <row r="78" spans="2:10" ht="38.25" x14ac:dyDescent="0.2">
      <c r="B78" s="386" t="s">
        <v>415</v>
      </c>
      <c r="C78" s="387" t="s">
        <v>400</v>
      </c>
      <c r="D78" s="388"/>
      <c r="E78" s="386"/>
      <c r="G78" s="346"/>
      <c r="H78" s="413"/>
      <c r="I78" s="347"/>
      <c r="J78" s="385"/>
    </row>
    <row r="79" spans="2:10" x14ac:dyDescent="0.2">
      <c r="B79" s="386"/>
      <c r="C79" s="387" t="s">
        <v>403</v>
      </c>
      <c r="D79" s="388"/>
      <c r="E79" s="386"/>
      <c r="G79" s="343">
        <v>88.76</v>
      </c>
      <c r="H79" s="375" t="s">
        <v>363</v>
      </c>
      <c r="I79" s="347"/>
      <c r="J79" s="385"/>
    </row>
    <row r="80" spans="2:10" x14ac:dyDescent="0.2">
      <c r="B80" s="371"/>
      <c r="C80" s="414" t="s">
        <v>404</v>
      </c>
      <c r="D80" s="373"/>
      <c r="E80" s="371"/>
      <c r="H80" s="375"/>
      <c r="I80" s="347"/>
      <c r="J80" s="385"/>
    </row>
    <row r="81" spans="2:10" x14ac:dyDescent="0.2">
      <c r="B81" s="371"/>
      <c r="C81" s="433" t="s">
        <v>405</v>
      </c>
      <c r="D81" s="373">
        <f>224.41*1.2</f>
        <v>269.29000000000002</v>
      </c>
      <c r="E81" s="371" t="s">
        <v>128</v>
      </c>
      <c r="H81" s="375"/>
      <c r="I81" s="347"/>
      <c r="J81" s="385"/>
    </row>
    <row r="82" spans="2:10" x14ac:dyDescent="0.2">
      <c r="B82" s="395" t="s">
        <v>416</v>
      </c>
      <c r="C82" s="396" t="s">
        <v>235</v>
      </c>
      <c r="D82" s="397"/>
      <c r="E82" s="395"/>
      <c r="H82" s="375"/>
      <c r="I82" s="347"/>
      <c r="J82" s="385"/>
    </row>
    <row r="83" spans="2:10" x14ac:dyDescent="0.2">
      <c r="B83" s="399"/>
      <c r="C83" s="389" t="s">
        <v>406</v>
      </c>
      <c r="D83" s="388">
        <f>126.46*1.2*0.15</f>
        <v>22.76</v>
      </c>
      <c r="E83" s="386" t="s">
        <v>128</v>
      </c>
      <c r="G83" s="343">
        <v>256.66000000000003</v>
      </c>
      <c r="H83" s="340">
        <v>94963</v>
      </c>
      <c r="I83" s="347"/>
      <c r="J83" s="385"/>
    </row>
    <row r="84" spans="2:10" ht="25.5" x14ac:dyDescent="0.2">
      <c r="B84" s="386" t="s">
        <v>417</v>
      </c>
      <c r="C84" s="387" t="s">
        <v>401</v>
      </c>
      <c r="D84" s="388"/>
      <c r="E84" s="386"/>
      <c r="G84" s="346"/>
      <c r="H84" s="413"/>
      <c r="I84" s="347"/>
      <c r="J84" s="385"/>
    </row>
    <row r="85" spans="2:10" x14ac:dyDescent="0.2">
      <c r="B85" s="386"/>
      <c r="C85" s="387" t="s">
        <v>408</v>
      </c>
      <c r="D85" s="388"/>
      <c r="E85" s="386"/>
      <c r="G85" s="343">
        <v>88.76</v>
      </c>
      <c r="H85" s="375" t="s">
        <v>363</v>
      </c>
      <c r="I85" s="347"/>
      <c r="J85" s="385"/>
    </row>
    <row r="86" spans="2:10" x14ac:dyDescent="0.2">
      <c r="B86" s="371"/>
      <c r="C86" s="414" t="s">
        <v>407</v>
      </c>
      <c r="D86" s="373"/>
      <c r="E86" s="371"/>
      <c r="H86" s="375"/>
      <c r="I86" s="347"/>
      <c r="J86" s="385"/>
    </row>
    <row r="87" spans="2:10" x14ac:dyDescent="0.2">
      <c r="B87" s="371"/>
      <c r="C87" s="414" t="s">
        <v>409</v>
      </c>
      <c r="D87" s="373"/>
      <c r="E87" s="371"/>
      <c r="H87" s="375"/>
      <c r="I87" s="347"/>
      <c r="J87" s="385"/>
    </row>
    <row r="88" spans="2:10" x14ac:dyDescent="0.2">
      <c r="B88" s="371"/>
      <c r="C88" s="414" t="s">
        <v>410</v>
      </c>
      <c r="D88" s="373"/>
      <c r="E88" s="371"/>
      <c r="H88" s="375"/>
      <c r="I88" s="347"/>
      <c r="J88" s="385"/>
    </row>
    <row r="89" spans="2:10" x14ac:dyDescent="0.2">
      <c r="B89" s="371"/>
      <c r="C89" s="433" t="s">
        <v>411</v>
      </c>
      <c r="D89" s="373">
        <f>D81-D83-(0.35*D75)</f>
        <v>202.27</v>
      </c>
      <c r="E89" s="371" t="s">
        <v>128</v>
      </c>
      <c r="H89" s="375"/>
      <c r="I89" s="347"/>
      <c r="J89" s="385"/>
    </row>
    <row r="90" spans="2:10" x14ac:dyDescent="0.2">
      <c r="B90" s="399" t="s">
        <v>418</v>
      </c>
      <c r="C90" s="387" t="s">
        <v>239</v>
      </c>
      <c r="D90" s="388"/>
      <c r="E90" s="386"/>
      <c r="H90" s="375"/>
      <c r="I90" s="347"/>
      <c r="J90" s="385"/>
    </row>
    <row r="91" spans="2:10" ht="17.25" thickBot="1" x14ac:dyDescent="0.25">
      <c r="B91" s="399"/>
      <c r="C91" s="389" t="s">
        <v>396</v>
      </c>
      <c r="D91" s="388">
        <v>1</v>
      </c>
      <c r="E91" s="386" t="s">
        <v>279</v>
      </c>
      <c r="G91" s="343">
        <f>[5]Rampa!$H$24</f>
        <v>28.9</v>
      </c>
      <c r="H91" s="375" t="str">
        <f>[5]Rampa!$B$11</f>
        <v>Composição 01</v>
      </c>
      <c r="I91" s="347"/>
      <c r="J91" s="385"/>
    </row>
    <row r="92" spans="2:10" ht="18" thickTop="1" thickBot="1" x14ac:dyDescent="0.25">
      <c r="B92" s="357" t="s">
        <v>157</v>
      </c>
      <c r="C92" s="358" t="s">
        <v>292</v>
      </c>
      <c r="D92" s="383"/>
      <c r="E92" s="384"/>
      <c r="F92" s="343"/>
      <c r="H92" s="375"/>
      <c r="I92" s="347"/>
      <c r="J92" s="385"/>
    </row>
    <row r="93" spans="2:10" ht="26.25" thickTop="1" x14ac:dyDescent="0.2">
      <c r="B93" s="371" t="s">
        <v>158</v>
      </c>
      <c r="C93" s="414" t="s">
        <v>312</v>
      </c>
      <c r="D93" s="373"/>
      <c r="E93" s="371"/>
      <c r="F93" s="343"/>
      <c r="I93" s="347"/>
      <c r="J93" s="385"/>
    </row>
    <row r="94" spans="2:10" x14ac:dyDescent="0.2">
      <c r="B94" s="399"/>
      <c r="C94" s="415" t="s">
        <v>394</v>
      </c>
      <c r="D94" s="416">
        <v>4</v>
      </c>
      <c r="E94" s="391" t="s">
        <v>268</v>
      </c>
      <c r="F94" s="343"/>
      <c r="G94" s="374">
        <v>85.36</v>
      </c>
      <c r="H94" s="375" t="s">
        <v>364</v>
      </c>
      <c r="I94" s="347"/>
      <c r="J94" s="385"/>
    </row>
    <row r="95" spans="2:10" x14ac:dyDescent="0.2">
      <c r="B95" s="371" t="s">
        <v>170</v>
      </c>
      <c r="C95" s="414" t="s">
        <v>166</v>
      </c>
      <c r="D95" s="373"/>
      <c r="E95" s="371"/>
      <c r="F95" s="343"/>
      <c r="I95" s="347"/>
      <c r="J95" s="385"/>
    </row>
    <row r="96" spans="2:10" x14ac:dyDescent="0.2">
      <c r="B96" s="399"/>
      <c r="C96" s="415" t="s">
        <v>367</v>
      </c>
      <c r="D96" s="416">
        <v>1</v>
      </c>
      <c r="E96" s="391" t="s">
        <v>268</v>
      </c>
      <c r="F96" s="343"/>
      <c r="G96" s="374">
        <v>85.36</v>
      </c>
      <c r="H96" s="375" t="s">
        <v>364</v>
      </c>
      <c r="I96" s="347"/>
      <c r="J96" s="385"/>
    </row>
    <row r="97" spans="2:14" s="413" customFormat="1" x14ac:dyDescent="0.2">
      <c r="B97" s="399" t="s">
        <v>203</v>
      </c>
      <c r="C97" s="417" t="s">
        <v>419</v>
      </c>
      <c r="D97" s="404"/>
      <c r="E97" s="399"/>
      <c r="F97" s="343"/>
      <c r="G97" s="374"/>
      <c r="H97" s="375"/>
      <c r="I97" s="347"/>
      <c r="J97" s="385"/>
      <c r="K97" s="375"/>
      <c r="L97" s="375"/>
      <c r="M97" s="375"/>
      <c r="N97" s="375"/>
    </row>
    <row r="98" spans="2:14" s="413" customFormat="1" ht="17.25" thickBot="1" x14ac:dyDescent="0.25">
      <c r="B98" s="418"/>
      <c r="C98" s="419" t="s">
        <v>412</v>
      </c>
      <c r="D98" s="426">
        <f>0.25*D60</f>
        <v>310.7</v>
      </c>
      <c r="E98" s="427" t="s">
        <v>13</v>
      </c>
      <c r="F98" s="343"/>
      <c r="G98" s="374">
        <v>1.1000000000000001</v>
      </c>
      <c r="H98" s="375" t="s">
        <v>365</v>
      </c>
      <c r="I98" s="380" t="s">
        <v>366</v>
      </c>
      <c r="J98" s="385"/>
      <c r="K98" s="375"/>
      <c r="L98" s="375"/>
      <c r="M98" s="375"/>
      <c r="N98" s="375"/>
    </row>
    <row r="99" spans="2:14" s="413" customFormat="1" ht="18" thickTop="1" thickBot="1" x14ac:dyDescent="0.25">
      <c r="B99" s="420"/>
      <c r="C99" s="421"/>
      <c r="D99" s="422"/>
      <c r="E99" s="423"/>
      <c r="F99" s="343"/>
      <c r="G99" s="374"/>
      <c r="H99" s="375"/>
      <c r="I99" s="380"/>
      <c r="J99" s="385"/>
      <c r="K99" s="375"/>
      <c r="L99" s="375"/>
      <c r="M99" s="375"/>
      <c r="N99" s="375"/>
    </row>
    <row r="100" spans="2:14" ht="17.25" thickTop="1" x14ac:dyDescent="0.2"/>
  </sheetData>
  <mergeCells count="10">
    <mergeCell ref="B15:E15"/>
    <mergeCell ref="B22:E22"/>
    <mergeCell ref="B29:E29"/>
    <mergeCell ref="B49:E49"/>
    <mergeCell ref="B2:E6"/>
    <mergeCell ref="B7:E7"/>
    <mergeCell ref="B8:E8"/>
    <mergeCell ref="B9:E9"/>
    <mergeCell ref="B12:E13"/>
    <mergeCell ref="B14:E14"/>
  </mergeCells>
  <pageMargins left="0.511811024" right="0.511811024" top="0.78740157499999996" bottom="0.78740157499999996" header="0.31496062000000002" footer="0.31496062000000002"/>
  <pageSetup paperSize="9" scale="82" orientation="portrait" horizontalDpi="360" verticalDpi="360" r:id="rId1"/>
  <colBreaks count="1" manualBreakCount="1">
    <brk id="1" max="1048575" man="1"/>
  </colBreaks>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Planilha10">
    <pageSetUpPr fitToPage="1"/>
  </sheetPr>
  <dimension ref="A2:J25"/>
  <sheetViews>
    <sheetView showGridLines="0" view="pageBreakPreview" topLeftCell="B1" zoomScaleNormal="100" zoomScaleSheetLayoutView="100" workbookViewId="0">
      <selection activeCell="G12" sqref="G12"/>
    </sheetView>
  </sheetViews>
  <sheetFormatPr defaultRowHeight="12.75" x14ac:dyDescent="0.2"/>
  <cols>
    <col min="3" max="3" width="41.5703125" bestFit="1" customWidth="1"/>
    <col min="4" max="8" width="14.7109375" customWidth="1"/>
    <col min="9" max="9" width="10.85546875" customWidth="1"/>
    <col min="10" max="10" width="13.85546875" customWidth="1"/>
    <col min="14" max="14" width="9.7109375" customWidth="1"/>
  </cols>
  <sheetData>
    <row r="2" spans="1:10" x14ac:dyDescent="0.2">
      <c r="F2" s="28"/>
      <c r="G2" s="28"/>
    </row>
    <row r="3" spans="1:10" ht="5.0999999999999996" customHeight="1" x14ac:dyDescent="0.2"/>
    <row r="4" spans="1:10" ht="15" x14ac:dyDescent="0.25">
      <c r="C4" s="855"/>
      <c r="D4" s="855"/>
      <c r="E4" s="855"/>
      <c r="F4" s="855"/>
      <c r="G4" s="855"/>
      <c r="H4" s="855"/>
    </row>
    <row r="5" spans="1:10" ht="15" customHeight="1" x14ac:dyDescent="0.2"/>
    <row r="6" spans="1:10" ht="25.9" customHeight="1" x14ac:dyDescent="0.3">
      <c r="B6" s="856" t="s">
        <v>36</v>
      </c>
      <c r="C6" s="856"/>
      <c r="D6" s="856"/>
      <c r="E6" s="856"/>
      <c r="F6" s="856"/>
      <c r="G6" s="856"/>
      <c r="H6" s="856"/>
    </row>
    <row r="7" spans="1:10" ht="9.6" customHeight="1" x14ac:dyDescent="0.2"/>
    <row r="8" spans="1:10" ht="34.15" customHeight="1" x14ac:dyDescent="0.3">
      <c r="B8" s="143"/>
      <c r="C8" s="859" t="s">
        <v>120</v>
      </c>
      <c r="D8" s="859"/>
      <c r="E8" s="859"/>
      <c r="F8" s="859"/>
      <c r="G8" s="152"/>
      <c r="H8" s="143"/>
    </row>
    <row r="9" spans="1:10" ht="11.45" customHeight="1" x14ac:dyDescent="0.2"/>
    <row r="10" spans="1:10" ht="30" customHeight="1" x14ac:dyDescent="0.2">
      <c r="B10" s="145" t="s">
        <v>0</v>
      </c>
      <c r="C10" s="145" t="s">
        <v>37</v>
      </c>
      <c r="D10" s="146" t="s">
        <v>38</v>
      </c>
      <c r="E10" s="145" t="s">
        <v>39</v>
      </c>
      <c r="F10" s="145" t="s">
        <v>40</v>
      </c>
      <c r="G10" s="145" t="s">
        <v>160</v>
      </c>
      <c r="H10" s="145" t="s">
        <v>41</v>
      </c>
    </row>
    <row r="11" spans="1:10" ht="15" x14ac:dyDescent="0.25">
      <c r="B11" s="38"/>
      <c r="C11" s="39"/>
      <c r="D11" s="40"/>
      <c r="E11" s="41"/>
      <c r="F11" s="41"/>
      <c r="G11" s="162"/>
      <c r="H11" s="42"/>
    </row>
    <row r="12" spans="1:10" ht="37.15" customHeight="1" x14ac:dyDescent="0.2">
      <c r="B12" s="127" t="s">
        <v>4</v>
      </c>
      <c r="C12" s="128" t="str">
        <f>MEMÓRIA_R.FRANCISCO!A8</f>
        <v>RUA FRANCISCO JOSÉ CARDOSO</v>
      </c>
      <c r="D12" s="129" t="e">
        <f>$H$12/3</f>
        <v>#REF!</v>
      </c>
      <c r="E12" s="131" t="e">
        <f>$H$12/3</f>
        <v>#REF!</v>
      </c>
      <c r="F12" s="129" t="e">
        <f>$H$12/3</f>
        <v>#REF!</v>
      </c>
      <c r="G12" s="163"/>
      <c r="H12" s="130" t="e">
        <f>ORÇAMENTO!I45</f>
        <v>#REF!</v>
      </c>
      <c r="J12" s="27"/>
    </row>
    <row r="13" spans="1:10" ht="9.6" customHeight="1" x14ac:dyDescent="0.2">
      <c r="B13" s="43"/>
      <c r="C13" s="44"/>
      <c r="D13" s="46"/>
      <c r="E13" s="47"/>
      <c r="F13" s="47"/>
      <c r="G13" s="164"/>
      <c r="H13" s="45"/>
      <c r="J13" s="27"/>
    </row>
    <row r="14" spans="1:10" ht="23.45" customHeight="1" x14ac:dyDescent="0.2">
      <c r="A14" s="48"/>
      <c r="B14" s="857" t="s">
        <v>42</v>
      </c>
      <c r="C14" s="857"/>
      <c r="D14" s="49" t="e">
        <f>ROUND(SUM(D12:D13),2)</f>
        <v>#REF!</v>
      </c>
      <c r="E14" s="49" t="e">
        <f>ROUND(SUM(E12:E13),2)</f>
        <v>#REF!</v>
      </c>
      <c r="F14" s="49" t="e">
        <f>ROUND(SUM(F12:F13),2)</f>
        <v>#REF!</v>
      </c>
      <c r="G14" s="49">
        <f>ROUND(SUM(G12:G13),2)</f>
        <v>0</v>
      </c>
      <c r="H14" s="50"/>
      <c r="J14" s="27"/>
    </row>
    <row r="15" spans="1:10" ht="23.45" customHeight="1" x14ac:dyDescent="0.2">
      <c r="A15" s="48"/>
      <c r="B15" s="854" t="s">
        <v>43</v>
      </c>
      <c r="C15" s="854"/>
      <c r="D15" s="51" t="e">
        <f>ROUND((D14/H12)*100,2)</f>
        <v>#REF!</v>
      </c>
      <c r="E15" s="51" t="e">
        <f>ROUND((E14/H12)*100,2)</f>
        <v>#REF!</v>
      </c>
      <c r="F15" s="51" t="e">
        <f>ROUND((F14/H12)*100,2)</f>
        <v>#REF!</v>
      </c>
      <c r="G15" s="51" t="e">
        <f>ROUND((G14/I12)*100,2)</f>
        <v>#DIV/0!</v>
      </c>
      <c r="H15" s="52"/>
      <c r="J15" s="27"/>
    </row>
    <row r="16" spans="1:10" ht="23.45" customHeight="1" x14ac:dyDescent="0.2">
      <c r="A16" s="48"/>
      <c r="B16" s="858" t="s">
        <v>44</v>
      </c>
      <c r="C16" s="858"/>
      <c r="D16" s="49" t="e">
        <f>D14</f>
        <v>#REF!</v>
      </c>
      <c r="E16" s="49" t="e">
        <f>ROUND(D16+E14,2)</f>
        <v>#REF!</v>
      </c>
      <c r="F16" s="49" t="e">
        <f>ROUND(E16+F14,2)</f>
        <v>#REF!</v>
      </c>
      <c r="G16" s="49" t="e">
        <f>ROUND(F16+G14,2)</f>
        <v>#REF!</v>
      </c>
      <c r="H16" s="50"/>
      <c r="J16" s="27"/>
    </row>
    <row r="17" spans="1:10" ht="23.45" customHeight="1" x14ac:dyDescent="0.2">
      <c r="A17" s="48"/>
      <c r="B17" s="854" t="s">
        <v>45</v>
      </c>
      <c r="C17" s="854"/>
      <c r="D17" s="51" t="e">
        <f>D15</f>
        <v>#REF!</v>
      </c>
      <c r="E17" s="51" t="e">
        <f>ROUND(D17+E15,2)</f>
        <v>#REF!</v>
      </c>
      <c r="F17" s="51" t="e">
        <f>F16/H12*100</f>
        <v>#REF!</v>
      </c>
      <c r="G17" s="51" t="e">
        <f>G16/I12*100</f>
        <v>#REF!</v>
      </c>
      <c r="H17" s="50"/>
      <c r="J17" s="113"/>
    </row>
    <row r="18" spans="1:10" x14ac:dyDescent="0.2">
      <c r="I18" s="27"/>
      <c r="J18" s="114"/>
    </row>
    <row r="19" spans="1:10" x14ac:dyDescent="0.2">
      <c r="H19" s="27"/>
      <c r="I19" s="27"/>
      <c r="J19" s="114"/>
    </row>
    <row r="20" spans="1:10" x14ac:dyDescent="0.2">
      <c r="E20" s="27"/>
      <c r="H20" s="113"/>
      <c r="I20" s="27"/>
    </row>
    <row r="21" spans="1:10" x14ac:dyDescent="0.2">
      <c r="H21" s="114"/>
      <c r="I21" s="27"/>
    </row>
    <row r="22" spans="1:10" x14ac:dyDescent="0.2">
      <c r="H22" s="103"/>
    </row>
    <row r="24" spans="1:10" x14ac:dyDescent="0.2">
      <c r="D24" s="27"/>
      <c r="E24" s="27"/>
      <c r="F24" s="27"/>
      <c r="G24" s="27"/>
    </row>
    <row r="25" spans="1:10" x14ac:dyDescent="0.2">
      <c r="E25" s="27"/>
    </row>
  </sheetData>
  <mergeCells count="7">
    <mergeCell ref="B17:C17"/>
    <mergeCell ref="C4:H4"/>
    <mergeCell ref="B6:H6"/>
    <mergeCell ref="B14:C14"/>
    <mergeCell ref="B15:C15"/>
    <mergeCell ref="B16:C16"/>
    <mergeCell ref="C8:F8"/>
  </mergeCells>
  <phoneticPr fontId="22" type="noConversion"/>
  <pageMargins left="0.511811024" right="0.511811024" top="0.78740157499999996" bottom="0.78740157499999996" header="0.31496062000000002" footer="0.31496062000000002"/>
  <pageSetup paperSize="9" scale="74" orientation="portrait" r:id="rId1"/>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Planilha12">
    <pageSetUpPr fitToPage="1"/>
  </sheetPr>
  <dimension ref="B2:L27"/>
  <sheetViews>
    <sheetView showGridLines="0" view="pageBreakPreview" zoomScale="80" zoomScaleNormal="100" zoomScaleSheetLayoutView="80" workbookViewId="0">
      <selection activeCell="C15" sqref="C15:D18"/>
    </sheetView>
  </sheetViews>
  <sheetFormatPr defaultRowHeight="12.75" x14ac:dyDescent="0.2"/>
  <cols>
    <col min="1" max="1" width="4.140625" customWidth="1"/>
    <col min="2" max="2" width="4.7109375" customWidth="1"/>
    <col min="3" max="3" width="18.7109375" customWidth="1"/>
    <col min="4" max="4" width="11.85546875" customWidth="1"/>
    <col min="5" max="5" width="15.140625" bestFit="1" customWidth="1"/>
    <col min="6" max="6" width="13.5703125" bestFit="1" customWidth="1"/>
    <col min="7" max="7" width="12.85546875" bestFit="1" customWidth="1"/>
    <col min="8" max="8" width="4.7109375" customWidth="1"/>
    <col min="9" max="9" width="12.5703125" customWidth="1"/>
    <col min="11" max="11" width="13.7109375" customWidth="1"/>
    <col min="12" max="12" width="13" hidden="1" customWidth="1"/>
  </cols>
  <sheetData>
    <row r="2" spans="2:12" ht="30.75" customHeight="1" x14ac:dyDescent="0.2">
      <c r="C2" s="54"/>
      <c r="D2" s="872" t="s">
        <v>55</v>
      </c>
      <c r="E2" s="872"/>
      <c r="F2" s="872"/>
      <c r="G2" s="872"/>
      <c r="H2" s="872"/>
      <c r="I2" s="872"/>
      <c r="J2" s="55"/>
      <c r="K2" s="55"/>
    </row>
    <row r="4" spans="2:12" ht="12" customHeight="1" x14ac:dyDescent="0.2">
      <c r="B4" s="56" t="s">
        <v>56</v>
      </c>
      <c r="I4" s="57"/>
    </row>
    <row r="5" spans="2:12" x14ac:dyDescent="0.2">
      <c r="B5" s="58" t="s">
        <v>52</v>
      </c>
      <c r="C5" s="59"/>
      <c r="D5" s="59"/>
      <c r="E5" s="59"/>
      <c r="F5" s="59"/>
      <c r="G5" s="59"/>
      <c r="H5" s="59"/>
      <c r="I5" s="60"/>
    </row>
    <row r="6" spans="2:12" ht="5.0999999999999996" customHeight="1" x14ac:dyDescent="0.2"/>
    <row r="7" spans="2:12" x14ac:dyDescent="0.2">
      <c r="B7" s="56" t="s">
        <v>57</v>
      </c>
      <c r="I7" s="57"/>
    </row>
    <row r="8" spans="2:12" x14ac:dyDescent="0.2">
      <c r="B8" s="58" t="s">
        <v>49</v>
      </c>
      <c r="C8" s="61"/>
      <c r="D8" s="61"/>
      <c r="E8" s="61" t="s">
        <v>58</v>
      </c>
      <c r="F8" s="61"/>
      <c r="G8" s="62"/>
      <c r="H8" s="61"/>
      <c r="I8" s="63"/>
    </row>
    <row r="9" spans="2:12" ht="5.0999999999999996" customHeight="1" x14ac:dyDescent="0.2"/>
    <row r="10" spans="2:12" x14ac:dyDescent="0.2">
      <c r="B10" s="873" t="s">
        <v>47</v>
      </c>
      <c r="C10" s="874"/>
      <c r="D10" s="874"/>
      <c r="E10" s="875"/>
      <c r="F10" s="64" t="s">
        <v>48</v>
      </c>
      <c r="I10" s="57"/>
    </row>
    <row r="11" spans="2:12" x14ac:dyDescent="0.2">
      <c r="B11" s="876" t="s">
        <v>50</v>
      </c>
      <c r="C11" s="877"/>
      <c r="D11" s="877"/>
      <c r="E11" s="878"/>
      <c r="F11" s="876" t="s">
        <v>51</v>
      </c>
      <c r="G11" s="877"/>
      <c r="H11" s="877"/>
      <c r="I11" s="878"/>
    </row>
    <row r="13" spans="2:12" x14ac:dyDescent="0.2">
      <c r="B13" s="879" t="s">
        <v>53</v>
      </c>
      <c r="C13" s="881" t="s">
        <v>59</v>
      </c>
      <c r="D13" s="882"/>
      <c r="E13" s="885" t="s">
        <v>60</v>
      </c>
      <c r="F13" s="886"/>
      <c r="G13" s="887"/>
      <c r="H13" s="881" t="s">
        <v>61</v>
      </c>
      <c r="I13" s="882"/>
    </row>
    <row r="14" spans="2:12" ht="18" customHeight="1" x14ac:dyDescent="0.2">
      <c r="B14" s="880"/>
      <c r="C14" s="883"/>
      <c r="D14" s="884"/>
      <c r="E14" s="65" t="s">
        <v>62</v>
      </c>
      <c r="F14" s="65" t="s">
        <v>63</v>
      </c>
      <c r="G14" s="66" t="s">
        <v>64</v>
      </c>
      <c r="H14" s="883"/>
      <c r="I14" s="884"/>
      <c r="K14" s="27"/>
      <c r="L14" s="27" t="e">
        <f>L15-E20</f>
        <v>#REF!</v>
      </c>
    </row>
    <row r="15" spans="2:12" ht="18" customHeight="1" x14ac:dyDescent="0.2">
      <c r="B15" s="107">
        <v>1</v>
      </c>
      <c r="C15" s="871" t="s">
        <v>66</v>
      </c>
      <c r="D15" s="868"/>
      <c r="E15" s="67" t="e">
        <f>H15*$L$22</f>
        <v>#REF!</v>
      </c>
      <c r="F15" s="67" t="e">
        <f>H15-E15</f>
        <v>#REF!</v>
      </c>
      <c r="G15" s="68"/>
      <c r="H15" s="866" t="e">
        <f>ORÇAMENTO!#REF!</f>
        <v>#REF!</v>
      </c>
      <c r="I15" s="867"/>
      <c r="K15" s="27"/>
      <c r="L15" s="69">
        <f>300000</f>
        <v>300000</v>
      </c>
    </row>
    <row r="16" spans="2:12" ht="18" customHeight="1" x14ac:dyDescent="0.2">
      <c r="B16" s="107">
        <v>2</v>
      </c>
      <c r="C16" s="868" t="s">
        <v>67</v>
      </c>
      <c r="D16" s="868"/>
      <c r="E16" s="67" t="e">
        <f>H16*$L$22</f>
        <v>#REF!</v>
      </c>
      <c r="F16" s="67" t="e">
        <f>H16-E16</f>
        <v>#REF!</v>
      </c>
      <c r="G16" s="71"/>
      <c r="H16" s="866" t="e">
        <f>ORÇAMENTO!#REF!</f>
        <v>#REF!</v>
      </c>
      <c r="I16" s="867"/>
    </row>
    <row r="17" spans="2:12" ht="18" customHeight="1" x14ac:dyDescent="0.2">
      <c r="B17" s="107">
        <v>3</v>
      </c>
      <c r="C17" s="104" t="s">
        <v>88</v>
      </c>
      <c r="D17" s="105"/>
      <c r="E17" s="67" t="e">
        <f>H17*$L$22</f>
        <v>#REF!</v>
      </c>
      <c r="F17" s="67" t="e">
        <f>H17-E17</f>
        <v>#REF!</v>
      </c>
      <c r="G17" s="71"/>
      <c r="H17" s="869" t="e">
        <f>ORÇAMENTO!#REF!</f>
        <v>#REF!</v>
      </c>
      <c r="I17" s="870"/>
      <c r="J17" s="106"/>
      <c r="K17" s="27"/>
      <c r="L17" s="27"/>
    </row>
    <row r="18" spans="2:12" ht="18" customHeight="1" x14ac:dyDescent="0.2">
      <c r="B18" s="107">
        <v>4</v>
      </c>
      <c r="C18" s="868" t="s">
        <v>87</v>
      </c>
      <c r="D18" s="868"/>
      <c r="E18" s="67" t="e">
        <f>H18*$L$22</f>
        <v>#REF!</v>
      </c>
      <c r="F18" s="67" t="e">
        <f>H18-E18</f>
        <v>#REF!</v>
      </c>
      <c r="G18" s="71"/>
      <c r="H18" s="866" t="e">
        <f>ORÇAMENTO!#REF!</f>
        <v>#REF!</v>
      </c>
      <c r="I18" s="867"/>
      <c r="K18" s="27"/>
      <c r="L18" s="27">
        <v>296419</v>
      </c>
    </row>
    <row r="19" spans="2:12" ht="8.25" customHeight="1" x14ac:dyDescent="0.2">
      <c r="B19" s="70"/>
      <c r="C19" s="860"/>
      <c r="D19" s="861"/>
      <c r="E19" s="72"/>
      <c r="F19" s="73"/>
      <c r="G19" s="71"/>
      <c r="H19" s="862"/>
      <c r="I19" s="863"/>
    </row>
    <row r="20" spans="2:12" ht="18" customHeight="1" x14ac:dyDescent="0.2">
      <c r="B20" s="74" t="s">
        <v>54</v>
      </c>
      <c r="C20" s="864"/>
      <c r="D20" s="865"/>
      <c r="E20" s="67" t="e">
        <f>ROUND(SUM(E15:E19),2)</f>
        <v>#REF!</v>
      </c>
      <c r="F20" s="67" t="e">
        <f>ROUND(SUM(F15:F19),2)</f>
        <v>#REF!</v>
      </c>
      <c r="G20" s="68">
        <v>0</v>
      </c>
      <c r="H20" s="866" t="e">
        <f>ROUND((SUM(H15:I19)),2)</f>
        <v>#REF!</v>
      </c>
      <c r="I20" s="867"/>
      <c r="K20" s="27"/>
      <c r="L20" s="27">
        <f>300000-L18</f>
        <v>3581</v>
      </c>
    </row>
    <row r="21" spans="2:12" x14ac:dyDescent="0.2">
      <c r="B21" s="75"/>
      <c r="C21" s="48"/>
      <c r="D21" s="48"/>
      <c r="G21" s="76"/>
      <c r="H21" s="77"/>
      <c r="I21" s="77"/>
    </row>
    <row r="22" spans="2:12" x14ac:dyDescent="0.2">
      <c r="L22" t="e">
        <f>L18/H20</f>
        <v>#REF!</v>
      </c>
    </row>
    <row r="23" spans="2:12" x14ac:dyDescent="0.2">
      <c r="I23" s="27" t="e">
        <f>H16+H17+H18</f>
        <v>#REF!</v>
      </c>
      <c r="L23">
        <v>1</v>
      </c>
    </row>
    <row r="25" spans="2:12" x14ac:dyDescent="0.2">
      <c r="L25" s="27" t="e">
        <f>H20-300000</f>
        <v>#REF!</v>
      </c>
    </row>
    <row r="27" spans="2:12" x14ac:dyDescent="0.2">
      <c r="L27" s="27"/>
    </row>
  </sheetData>
  <mergeCells count="19">
    <mergeCell ref="C15:D15"/>
    <mergeCell ref="H15:I15"/>
    <mergeCell ref="D2:I2"/>
    <mergeCell ref="B10:E10"/>
    <mergeCell ref="B11:E11"/>
    <mergeCell ref="F11:I11"/>
    <mergeCell ref="B13:B14"/>
    <mergeCell ref="C13:D14"/>
    <mergeCell ref="E13:G13"/>
    <mergeCell ref="H13:I14"/>
    <mergeCell ref="C19:D19"/>
    <mergeCell ref="H19:I19"/>
    <mergeCell ref="C20:D20"/>
    <mergeCell ref="H20:I20"/>
    <mergeCell ref="C16:D16"/>
    <mergeCell ref="H16:I16"/>
    <mergeCell ref="C18:D18"/>
    <mergeCell ref="H18:I18"/>
    <mergeCell ref="H17:I17"/>
  </mergeCells>
  <pageMargins left="0.511811024" right="0.511811024" top="0.78740157499999996" bottom="0.78740157499999996" header="0.31496062000000002" footer="0.31496062000000002"/>
  <pageSetup paperSize="9" scale="87" orientation="portrait" horizontalDpi="4294967293" verticalDpi="4294967293" r:id="rId1"/>
  <colBreaks count="1" manualBreakCount="1">
    <brk id="9" max="1048575" man="1"/>
  </colBreaks>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Planilha13"/>
  <dimension ref="B1:F22"/>
  <sheetViews>
    <sheetView showGridLines="0" topLeftCell="A13" workbookViewId="0">
      <selection activeCell="B4" sqref="B4"/>
    </sheetView>
  </sheetViews>
  <sheetFormatPr defaultRowHeight="12.75" x14ac:dyDescent="0.2"/>
  <cols>
    <col min="1" max="1" width="1.140625" customWidth="1"/>
    <col min="2" max="2" width="64.42578125" customWidth="1"/>
    <col min="3" max="3" width="1.5703125" customWidth="1"/>
    <col min="4" max="4" width="5.5703125" customWidth="1"/>
    <col min="5" max="6" width="16" customWidth="1"/>
  </cols>
  <sheetData>
    <row r="1" spans="2:6" ht="25.5" x14ac:dyDescent="0.2">
      <c r="B1" s="80" t="s">
        <v>68</v>
      </c>
      <c r="C1" s="80"/>
      <c r="D1" s="89"/>
      <c r="E1" s="89"/>
      <c r="F1" s="89"/>
    </row>
    <row r="2" spans="2:6" x14ac:dyDescent="0.2">
      <c r="B2" s="80" t="s">
        <v>69</v>
      </c>
      <c r="C2" s="80"/>
      <c r="D2" s="89"/>
      <c r="E2" s="89"/>
      <c r="F2" s="89"/>
    </row>
    <row r="3" spans="2:6" x14ac:dyDescent="0.2">
      <c r="B3" s="81"/>
      <c r="C3" s="81"/>
      <c r="D3" s="90"/>
      <c r="E3" s="90"/>
      <c r="F3" s="90"/>
    </row>
    <row r="4" spans="2:6" ht="51" x14ac:dyDescent="0.2">
      <c r="B4" s="81" t="s">
        <v>70</v>
      </c>
      <c r="C4" s="81"/>
      <c r="D4" s="90"/>
      <c r="E4" s="90"/>
      <c r="F4" s="90"/>
    </row>
    <row r="5" spans="2:6" x14ac:dyDescent="0.2">
      <c r="B5" s="81"/>
      <c r="C5" s="81"/>
      <c r="D5" s="90"/>
      <c r="E5" s="90"/>
      <c r="F5" s="90"/>
    </row>
    <row r="6" spans="2:6" ht="25.5" x14ac:dyDescent="0.2">
      <c r="B6" s="80" t="s">
        <v>71</v>
      </c>
      <c r="C6" s="80"/>
      <c r="D6" s="89"/>
      <c r="E6" s="89" t="s">
        <v>72</v>
      </c>
      <c r="F6" s="89" t="s">
        <v>73</v>
      </c>
    </row>
    <row r="7" spans="2:6" ht="13.5" thickBot="1" x14ac:dyDescent="0.25">
      <c r="B7" s="81"/>
      <c r="C7" s="81"/>
      <c r="D7" s="90"/>
      <c r="E7" s="90"/>
      <c r="F7" s="90"/>
    </row>
    <row r="8" spans="2:6" ht="25.5" x14ac:dyDescent="0.2">
      <c r="B8" s="82" t="s">
        <v>74</v>
      </c>
      <c r="C8" s="83"/>
      <c r="D8" s="91"/>
      <c r="E8" s="91">
        <v>5</v>
      </c>
      <c r="F8" s="92"/>
    </row>
    <row r="9" spans="2:6" ht="51" x14ac:dyDescent="0.2">
      <c r="B9" s="84"/>
      <c r="C9" s="81"/>
      <c r="D9" s="90"/>
      <c r="E9" s="93" t="s">
        <v>75</v>
      </c>
      <c r="F9" s="94" t="s">
        <v>76</v>
      </c>
    </row>
    <row r="10" spans="2:6" ht="51" x14ac:dyDescent="0.2">
      <c r="B10" s="84"/>
      <c r="C10" s="81"/>
      <c r="D10" s="90"/>
      <c r="E10" s="93" t="s">
        <v>77</v>
      </c>
      <c r="F10" s="94" t="s">
        <v>76</v>
      </c>
    </row>
    <row r="11" spans="2:6" ht="38.25" x14ac:dyDescent="0.2">
      <c r="B11" s="84"/>
      <c r="C11" s="81"/>
      <c r="D11" s="90"/>
      <c r="E11" s="93" t="s">
        <v>78</v>
      </c>
      <c r="F11" s="94" t="s">
        <v>76</v>
      </c>
    </row>
    <row r="12" spans="2:6" ht="38.25" x14ac:dyDescent="0.2">
      <c r="B12" s="84"/>
      <c r="C12" s="81"/>
      <c r="D12" s="90"/>
      <c r="E12" s="93" t="s">
        <v>79</v>
      </c>
      <c r="F12" s="94" t="s">
        <v>76</v>
      </c>
    </row>
    <row r="13" spans="2:6" ht="13.5" thickBot="1" x14ac:dyDescent="0.25">
      <c r="B13" s="85"/>
      <c r="C13" s="86"/>
      <c r="D13" s="95"/>
      <c r="E13" s="96" t="s">
        <v>80</v>
      </c>
      <c r="F13" s="97" t="s">
        <v>76</v>
      </c>
    </row>
    <row r="14" spans="2:6" x14ac:dyDescent="0.2">
      <c r="B14" s="81"/>
      <c r="C14" s="81"/>
      <c r="D14" s="90"/>
      <c r="E14" s="90"/>
      <c r="F14" s="90"/>
    </row>
    <row r="15" spans="2:6" x14ac:dyDescent="0.2">
      <c r="B15" s="81"/>
      <c r="C15" s="81"/>
      <c r="D15" s="90"/>
      <c r="E15" s="90"/>
      <c r="F15" s="90"/>
    </row>
    <row r="16" spans="2:6" x14ac:dyDescent="0.2">
      <c r="B16" s="80" t="s">
        <v>81</v>
      </c>
      <c r="C16" s="80"/>
      <c r="D16" s="89"/>
      <c r="E16" s="89"/>
      <c r="F16" s="89"/>
    </row>
    <row r="17" spans="2:6" ht="13.5" thickBot="1" x14ac:dyDescent="0.25">
      <c r="B17" s="81"/>
      <c r="C17" s="81"/>
      <c r="D17" s="90"/>
      <c r="E17" s="90"/>
      <c r="F17" s="90"/>
    </row>
    <row r="18" spans="2:6" ht="63.75" x14ac:dyDescent="0.2">
      <c r="B18" s="82" t="s">
        <v>82</v>
      </c>
      <c r="C18" s="83"/>
      <c r="D18" s="91"/>
      <c r="E18" s="91">
        <v>1</v>
      </c>
      <c r="F18" s="92"/>
    </row>
    <row r="19" spans="2:6" ht="26.25" thickBot="1" x14ac:dyDescent="0.25">
      <c r="B19" s="85"/>
      <c r="C19" s="86"/>
      <c r="D19" s="95"/>
      <c r="E19" s="96" t="s">
        <v>83</v>
      </c>
      <c r="F19" s="97" t="s">
        <v>76</v>
      </c>
    </row>
    <row r="20" spans="2:6" ht="13.5" thickBot="1" x14ac:dyDescent="0.25">
      <c r="B20" s="81"/>
      <c r="C20" s="81"/>
      <c r="D20" s="90"/>
      <c r="E20" s="90"/>
      <c r="F20" s="90"/>
    </row>
    <row r="21" spans="2:6" ht="39" thickBot="1" x14ac:dyDescent="0.25">
      <c r="B21" s="87" t="s">
        <v>84</v>
      </c>
      <c r="C21" s="88"/>
      <c r="D21" s="98"/>
      <c r="E21" s="98">
        <v>10</v>
      </c>
      <c r="F21" s="99" t="s">
        <v>76</v>
      </c>
    </row>
    <row r="22" spans="2:6" x14ac:dyDescent="0.2">
      <c r="B22" s="81"/>
      <c r="C22" s="81"/>
      <c r="D22" s="90"/>
      <c r="E22" s="90"/>
      <c r="F22" s="90"/>
    </row>
  </sheetData>
  <hyperlinks>
    <hyperlink ref="E9" location="'ORÇAMENTO MARCONDES BALDUINO'!A1:K49" display="'ORÇAMENTO MARCONDES BALDUINO'!A1:K49" xr:uid="{00000000-0004-0000-0C00-000000000000}"/>
    <hyperlink ref="E10" location="'ORÇAMENTO_ROBERTA BALDUINO'!A1:I48" display="'ORÇAMENTO_ROBERTA BALDUINO'!A1:I48" xr:uid="{00000000-0004-0000-0C00-000001000000}"/>
    <hyperlink ref="E11" location="'ORÇAMENTO_PROJETADA'!A1:I48" display="'ORÇAMENTO_PROJETADA'!A1:I48" xr:uid="{00000000-0004-0000-0C00-000002000000}"/>
    <hyperlink ref="E12" location="'ORÇAMENTO_JOSÉ_PEDRO'!A1:I48" display="'ORÇAMENTO_JOSÉ_PEDRO'!A1:I48" xr:uid="{00000000-0004-0000-0C00-000003000000}"/>
    <hyperlink ref="E13" location="'QCI'!B2:L27" display="'QCI'!B2:L27" xr:uid="{00000000-0004-0000-0C00-000004000000}"/>
    <hyperlink ref="E19" location="'CRONOGRAMA_CAIXA'!C18" display="'CRONOGRAMA_CAIXA'!C18" xr:uid="{00000000-0004-0000-0C00-000005000000}"/>
  </hyperlinks>
  <pageMargins left="0.511811024" right="0.511811024" top="0.78740157499999996" bottom="0.78740157499999996" header="0.31496062000000002" footer="0.3149606200000000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Planilha14"/>
  <dimension ref="B1:F22"/>
  <sheetViews>
    <sheetView showGridLines="0" workbookViewId="0">
      <selection activeCell="E9" sqref="E9"/>
    </sheetView>
  </sheetViews>
  <sheetFormatPr defaultRowHeight="12.75" x14ac:dyDescent="0.2"/>
  <cols>
    <col min="1" max="1" width="1.140625" customWidth="1"/>
    <col min="2" max="2" width="64.42578125" customWidth="1"/>
    <col min="3" max="3" width="1.5703125" customWidth="1"/>
    <col min="4" max="4" width="5.5703125" customWidth="1"/>
    <col min="5" max="6" width="16" customWidth="1"/>
  </cols>
  <sheetData>
    <row r="1" spans="2:6" ht="25.5" x14ac:dyDescent="0.2">
      <c r="B1" s="80" t="s">
        <v>68</v>
      </c>
      <c r="C1" s="80"/>
      <c r="D1" s="89"/>
      <c r="E1" s="89"/>
      <c r="F1" s="89"/>
    </row>
    <row r="2" spans="2:6" x14ac:dyDescent="0.2">
      <c r="B2" s="80" t="s">
        <v>85</v>
      </c>
      <c r="C2" s="80"/>
      <c r="D2" s="89"/>
      <c r="E2" s="89"/>
      <c r="F2" s="89"/>
    </row>
    <row r="3" spans="2:6" x14ac:dyDescent="0.2">
      <c r="B3" s="81"/>
      <c r="C3" s="81"/>
      <c r="D3" s="90"/>
      <c r="E3" s="90"/>
      <c r="F3" s="90"/>
    </row>
    <row r="4" spans="2:6" ht="51" x14ac:dyDescent="0.2">
      <c r="B4" s="81" t="s">
        <v>70</v>
      </c>
      <c r="C4" s="81"/>
      <c r="D4" s="90"/>
      <c r="E4" s="90"/>
      <c r="F4" s="90"/>
    </row>
    <row r="5" spans="2:6" x14ac:dyDescent="0.2">
      <c r="B5" s="81"/>
      <c r="C5" s="81"/>
      <c r="D5" s="90"/>
      <c r="E5" s="90"/>
      <c r="F5" s="90"/>
    </row>
    <row r="6" spans="2:6" ht="25.5" x14ac:dyDescent="0.2">
      <c r="B6" s="80" t="s">
        <v>71</v>
      </c>
      <c r="C6" s="80"/>
      <c r="D6" s="89"/>
      <c r="E6" s="89" t="s">
        <v>72</v>
      </c>
      <c r="F6" s="89" t="s">
        <v>73</v>
      </c>
    </row>
    <row r="7" spans="2:6" ht="13.5" thickBot="1" x14ac:dyDescent="0.25">
      <c r="B7" s="81"/>
      <c r="C7" s="81"/>
      <c r="D7" s="90"/>
      <c r="E7" s="90"/>
      <c r="F7" s="90"/>
    </row>
    <row r="8" spans="2:6" ht="25.5" x14ac:dyDescent="0.2">
      <c r="B8" s="82" t="s">
        <v>74</v>
      </c>
      <c r="C8" s="83"/>
      <c r="D8" s="91"/>
      <c r="E8" s="91">
        <v>5</v>
      </c>
      <c r="F8" s="92"/>
    </row>
    <row r="9" spans="2:6" ht="51" x14ac:dyDescent="0.2">
      <c r="B9" s="84"/>
      <c r="C9" s="81"/>
      <c r="D9" s="90"/>
      <c r="E9" s="93" t="s">
        <v>75</v>
      </c>
      <c r="F9" s="94" t="s">
        <v>76</v>
      </c>
    </row>
    <row r="10" spans="2:6" ht="51" x14ac:dyDescent="0.2">
      <c r="B10" s="84"/>
      <c r="C10" s="81"/>
      <c r="D10" s="90"/>
      <c r="E10" s="93" t="s">
        <v>77</v>
      </c>
      <c r="F10" s="94" t="s">
        <v>76</v>
      </c>
    </row>
    <row r="11" spans="2:6" ht="38.25" x14ac:dyDescent="0.2">
      <c r="B11" s="84"/>
      <c r="C11" s="81"/>
      <c r="D11" s="90"/>
      <c r="E11" s="93" t="s">
        <v>78</v>
      </c>
      <c r="F11" s="94" t="s">
        <v>76</v>
      </c>
    </row>
    <row r="12" spans="2:6" ht="38.25" x14ac:dyDescent="0.2">
      <c r="B12" s="84"/>
      <c r="C12" s="81"/>
      <c r="D12" s="90"/>
      <c r="E12" s="93" t="s">
        <v>79</v>
      </c>
      <c r="F12" s="94" t="s">
        <v>76</v>
      </c>
    </row>
    <row r="13" spans="2:6" ht="13.5" thickBot="1" x14ac:dyDescent="0.25">
      <c r="B13" s="85"/>
      <c r="C13" s="86"/>
      <c r="D13" s="95"/>
      <c r="E13" s="96" t="s">
        <v>80</v>
      </c>
      <c r="F13" s="97" t="s">
        <v>76</v>
      </c>
    </row>
    <row r="14" spans="2:6" x14ac:dyDescent="0.2">
      <c r="B14" s="81"/>
      <c r="C14" s="81"/>
      <c r="D14" s="90"/>
      <c r="E14" s="90"/>
      <c r="F14" s="90"/>
    </row>
    <row r="15" spans="2:6" x14ac:dyDescent="0.2">
      <c r="B15" s="81"/>
      <c r="C15" s="81"/>
      <c r="D15" s="90"/>
      <c r="E15" s="90"/>
      <c r="F15" s="90"/>
    </row>
    <row r="16" spans="2:6" x14ac:dyDescent="0.2">
      <c r="B16" s="80" t="s">
        <v>81</v>
      </c>
      <c r="C16" s="80"/>
      <c r="D16" s="89"/>
      <c r="E16" s="89"/>
      <c r="F16" s="89"/>
    </row>
    <row r="17" spans="2:6" ht="13.5" thickBot="1" x14ac:dyDescent="0.25">
      <c r="B17" s="81"/>
      <c r="C17" s="81"/>
      <c r="D17" s="90"/>
      <c r="E17" s="90"/>
      <c r="F17" s="90"/>
    </row>
    <row r="18" spans="2:6" ht="63.75" x14ac:dyDescent="0.2">
      <c r="B18" s="82" t="s">
        <v>82</v>
      </c>
      <c r="C18" s="83"/>
      <c r="D18" s="91"/>
      <c r="E18" s="91">
        <v>1</v>
      </c>
      <c r="F18" s="92"/>
    </row>
    <row r="19" spans="2:6" ht="26.25" thickBot="1" x14ac:dyDescent="0.25">
      <c r="B19" s="85"/>
      <c r="C19" s="86"/>
      <c r="D19" s="95"/>
      <c r="E19" s="96" t="s">
        <v>83</v>
      </c>
      <c r="F19" s="97" t="s">
        <v>76</v>
      </c>
    </row>
    <row r="20" spans="2:6" ht="13.5" thickBot="1" x14ac:dyDescent="0.25">
      <c r="B20" s="81"/>
      <c r="C20" s="81"/>
      <c r="D20" s="90"/>
      <c r="E20" s="90"/>
      <c r="F20" s="90"/>
    </row>
    <row r="21" spans="2:6" ht="39" thickBot="1" x14ac:dyDescent="0.25">
      <c r="B21" s="87" t="s">
        <v>84</v>
      </c>
      <c r="C21" s="88"/>
      <c r="D21" s="98"/>
      <c r="E21" s="98">
        <v>10</v>
      </c>
      <c r="F21" s="99" t="s">
        <v>76</v>
      </c>
    </row>
    <row r="22" spans="2:6" x14ac:dyDescent="0.2">
      <c r="B22" s="81"/>
      <c r="C22" s="81"/>
      <c r="D22" s="90"/>
      <c r="E22" s="90"/>
      <c r="F22" s="90"/>
    </row>
  </sheetData>
  <hyperlinks>
    <hyperlink ref="E9" location="'ORÇAMENTO MARCONDES BALDUINO'!A1:K49" display="'ORÇAMENTO MARCONDES BALDUINO'!A1:K49" xr:uid="{00000000-0004-0000-0D00-000000000000}"/>
    <hyperlink ref="E10" location="'ORÇAMENTO_ROBERTA BALDUINO'!A1:I48" display="'ORÇAMENTO_ROBERTA BALDUINO'!A1:I48" xr:uid="{00000000-0004-0000-0D00-000001000000}"/>
    <hyperlink ref="E11" location="'ORÇAMENTO_PROJETADA'!A1:I48" display="'ORÇAMENTO_PROJETADA'!A1:I48" xr:uid="{00000000-0004-0000-0D00-000002000000}"/>
    <hyperlink ref="E12" location="'ORÇAMENTO_JOSÉ_PEDRO'!A1:I48" display="'ORÇAMENTO_JOSÉ_PEDRO'!A1:I48" xr:uid="{00000000-0004-0000-0D00-000003000000}"/>
    <hyperlink ref="E13" location="'QCI'!B2:L27" display="'QCI'!B2:L27" xr:uid="{00000000-0004-0000-0D00-000004000000}"/>
    <hyperlink ref="E19" location="'CRONOGRAMA_CAIXA'!C18" display="'CRONOGRAMA_CAIXA'!C18" xr:uid="{00000000-0004-0000-0D00-000005000000}"/>
  </hyperlinks>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35</vt:i4>
      </vt:variant>
      <vt:variant>
        <vt:lpstr>Intervalos Nomeados</vt:lpstr>
      </vt:variant>
      <vt:variant>
        <vt:i4>39</vt:i4>
      </vt:variant>
    </vt:vector>
  </HeadingPairs>
  <TitlesOfParts>
    <vt:vector size="74" baseType="lpstr">
      <vt:lpstr>ORÇAMENTO</vt:lpstr>
      <vt:lpstr>MEMÓRIA_R.FRANCISCO</vt:lpstr>
      <vt:lpstr>MEMÓRIA_R.WALFREDO</vt:lpstr>
      <vt:lpstr>CCU</vt:lpstr>
      <vt:lpstr>Planilha CT Original</vt:lpstr>
      <vt:lpstr>Maria Livramento - T1</vt:lpstr>
      <vt:lpstr>Maria Livramento - T2</vt:lpstr>
      <vt:lpstr>Fábio Vaz - T1</vt:lpstr>
      <vt:lpstr>Fábio Vaz - T2</vt:lpstr>
      <vt:lpstr>José Vieira - T1</vt:lpstr>
      <vt:lpstr>José Vieira - T2</vt:lpstr>
      <vt:lpstr>José Vieira - T3</vt:lpstr>
      <vt:lpstr>Genésio Andrade - T1</vt:lpstr>
      <vt:lpstr>Genésio Andrade - T2</vt:lpstr>
      <vt:lpstr>Travessa Cunha</vt:lpstr>
      <vt:lpstr>Planilha Global</vt:lpstr>
      <vt:lpstr>Composição Custos Unit</vt:lpstr>
      <vt:lpstr>BDI</vt:lpstr>
      <vt:lpstr>Encargos</vt:lpstr>
      <vt:lpstr>Resumo</vt:lpstr>
      <vt:lpstr>Encargos Sociais</vt:lpstr>
      <vt:lpstr>ES Não Desonerado</vt:lpstr>
      <vt:lpstr>Vale Verde 1</vt:lpstr>
      <vt:lpstr>Vale Verde 2</vt:lpstr>
      <vt:lpstr>Francisco J. Cardoso - T1</vt:lpstr>
      <vt:lpstr>Francisco J. Cardoso - T2</vt:lpstr>
      <vt:lpstr>Planilha Consolidada Individual</vt:lpstr>
      <vt:lpstr>Planilha Ajuste</vt:lpstr>
      <vt:lpstr>Planilha Consolidada</vt:lpstr>
      <vt:lpstr>Planilha Global11</vt:lpstr>
      <vt:lpstr>M.Cálculo</vt:lpstr>
      <vt:lpstr>CRONOGRAMA</vt:lpstr>
      <vt:lpstr>QCI</vt:lpstr>
      <vt:lpstr>Relatório de Compatibilidade</vt:lpstr>
      <vt:lpstr>Relatório de Compatibilidade (1</vt:lpstr>
      <vt:lpstr>BDI!Area_de_impressao</vt:lpstr>
      <vt:lpstr>CCU!Area_de_impressao</vt:lpstr>
      <vt:lpstr>'Composição Custos Unit'!Area_de_impressao</vt:lpstr>
      <vt:lpstr>CRONOGRAMA!Area_de_impressao</vt:lpstr>
      <vt:lpstr>'Encargos Sociais'!Area_de_impressao</vt:lpstr>
      <vt:lpstr>'ES Não Desonerado'!Area_de_impressao</vt:lpstr>
      <vt:lpstr>'Fábio Vaz - T1'!Area_de_impressao</vt:lpstr>
      <vt:lpstr>'Fábio Vaz - T2'!Area_de_impressao</vt:lpstr>
      <vt:lpstr>'Francisco J. Cardoso - T1'!Area_de_impressao</vt:lpstr>
      <vt:lpstr>'Francisco J. Cardoso - T2'!Area_de_impressao</vt:lpstr>
      <vt:lpstr>'Genésio Andrade - T1'!Area_de_impressao</vt:lpstr>
      <vt:lpstr>'Genésio Andrade - T2'!Area_de_impressao</vt:lpstr>
      <vt:lpstr>'José Vieira - T1'!Area_de_impressao</vt:lpstr>
      <vt:lpstr>'José Vieira - T2'!Area_de_impressao</vt:lpstr>
      <vt:lpstr>'José Vieira - T3'!Area_de_impressao</vt:lpstr>
      <vt:lpstr>M.Cálculo!Area_de_impressao</vt:lpstr>
      <vt:lpstr>'Maria Livramento - T1'!Area_de_impressao</vt:lpstr>
      <vt:lpstr>'Maria Livramento - T2'!Area_de_impressao</vt:lpstr>
      <vt:lpstr>ORÇAMENTO!Area_de_impressao</vt:lpstr>
      <vt:lpstr>'Planilha Ajuste'!Area_de_impressao</vt:lpstr>
      <vt:lpstr>'Planilha Consolidada'!Area_de_impressao</vt:lpstr>
      <vt:lpstr>'Planilha Consolidada Individual'!Area_de_impressao</vt:lpstr>
      <vt:lpstr>'Planilha CT Original'!Area_de_impressao</vt:lpstr>
      <vt:lpstr>'Planilha Global'!Area_de_impressao</vt:lpstr>
      <vt:lpstr>'Planilha Global11'!Area_de_impressao</vt:lpstr>
      <vt:lpstr>QCI!Area_de_impressao</vt:lpstr>
      <vt:lpstr>Resumo!Area_de_impressao</vt:lpstr>
      <vt:lpstr>'Travessa Cunha'!Area_de_impressao</vt:lpstr>
      <vt:lpstr>'Vale Verde 1'!Area_de_impressao</vt:lpstr>
      <vt:lpstr>'Vale Verde 2'!Area_de_impressao</vt:lpstr>
      <vt:lpstr>MEMÓRIA_R.FRANCISCO!Titulos_de_impressao</vt:lpstr>
      <vt:lpstr>MEMÓRIA_R.WALFREDO!Titulos_de_impressao</vt:lpstr>
      <vt:lpstr>ORÇAMENTO!Titulos_de_impressao</vt:lpstr>
      <vt:lpstr>'Planilha Ajuste'!Titulos_de_impressao</vt:lpstr>
      <vt:lpstr>'Planilha Consolidada'!Titulos_de_impressao</vt:lpstr>
      <vt:lpstr>'Planilha Consolidada Individual'!Titulos_de_impressao</vt:lpstr>
      <vt:lpstr>'Planilha CT Original'!Titulos_de_impressao</vt:lpstr>
      <vt:lpstr>'Planilha Global'!Titulos_de_impressao</vt:lpstr>
      <vt:lpstr>'Planilha Global11'!Titulos_de_impressao</vt:lpstr>
    </vt:vector>
  </TitlesOfParts>
  <Company>PC Software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Projetos</dc:creator>
  <cp:lastModifiedBy>Kleber</cp:lastModifiedBy>
  <cp:lastPrinted>2026-03-17T17:41:19Z</cp:lastPrinted>
  <dcterms:created xsi:type="dcterms:W3CDTF">2001-03-04T19:40:17Z</dcterms:created>
  <dcterms:modified xsi:type="dcterms:W3CDTF">2026-03-17T17:44:43Z</dcterms:modified>
</cp:coreProperties>
</file>