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C:\Users\seinf\OneDrive\Área de Trabalho\JOSE CAVALCANTI - LOTE 3\"/>
    </mc:Choice>
  </mc:AlternateContent>
  <bookViews>
    <workbookView xWindow="0" yWindow="0" windowWidth="23040" windowHeight="9264" tabRatio="921" activeTab="2"/>
  </bookViews>
  <sheets>
    <sheet name="BDI" sheetId="9" r:id="rId1"/>
    <sheet name="ORÇAMENTO" sheetId="1" r:id="rId2"/>
    <sheet name="MEMÓRIA_" sheetId="3" r:id="rId3"/>
    <sheet name="CPU " sheetId="32" r:id="rId4"/>
    <sheet name="COTAÇÃO " sheetId="36" r:id="rId5"/>
    <sheet name="QCI" sheetId="12" state="hidden" r:id="rId6"/>
    <sheet name="Relatório de Compatibilidade" sheetId="26" state="hidden" r:id="rId7"/>
    <sheet name="Relatório de Compatibilidade (1" sheetId="27" state="hidden" r:id="rId8"/>
  </sheets>
  <definedNames>
    <definedName name="_xlnm.Print_Area" localSheetId="0">BDI!$B$1:$E$22</definedName>
    <definedName name="_xlnm.Print_Area" localSheetId="4">'COTAÇÃO '!$A$1:$M$202</definedName>
    <definedName name="_xlnm.Print_Area" localSheetId="3">'CPU '!$A$1:$H$235</definedName>
    <definedName name="_xlnm.Print_Area" localSheetId="2">MEMÓRIA_!$A$1:$J$841</definedName>
    <definedName name="_xlnm.Print_Area" localSheetId="1">ORÇAMENTO!$A$1:$J$171</definedName>
    <definedName name="_xlnm.Print_Area" localSheetId="5">QCI!$A$1:$J$37</definedName>
    <definedName name="_xlnm.Print_Titles" localSheetId="3">'CPU '!$1:$14</definedName>
    <definedName name="_xlnm.Print_Titles" localSheetId="2">MEMÓRIA_!$1:$6</definedName>
    <definedName name="_xlnm.Print_Titles" localSheetId="1">ORÇAMENTO!$1:$15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32" l="1"/>
  <c r="A10" i="3"/>
  <c r="C150" i="1" l="1"/>
  <c r="C129" i="1"/>
  <c r="C122" i="1"/>
  <c r="C111" i="1"/>
  <c r="H178" i="32"/>
  <c r="H179" i="32"/>
  <c r="H177" i="32" l="1"/>
  <c r="G111" i="1" s="1"/>
  <c r="B26" i="3" l="1"/>
  <c r="E17" i="9" l="1"/>
  <c r="H49" i="32" l="1"/>
  <c r="H50" i="32"/>
  <c r="H52" i="32"/>
  <c r="H47" i="32" l="1"/>
  <c r="H32" i="32"/>
  <c r="H26" i="32"/>
  <c r="H25" i="32"/>
  <c r="H19" i="32"/>
  <c r="H18" i="32"/>
  <c r="L20" i="12"/>
  <c r="H18" i="12"/>
  <c r="H17" i="12"/>
  <c r="H16" i="12"/>
  <c r="L15" i="12"/>
  <c r="H15" i="12"/>
  <c r="K180" i="36"/>
  <c r="K152" i="36"/>
  <c r="K106" i="36"/>
  <c r="K108" i="36" s="1"/>
  <c r="M104" i="36" s="1"/>
  <c r="K80" i="36"/>
  <c r="K54" i="36"/>
  <c r="K25" i="36"/>
  <c r="H231" i="32"/>
  <c r="H230" i="32"/>
  <c r="H228" i="32"/>
  <c r="H227" i="32"/>
  <c r="H223" i="32"/>
  <c r="H222" i="32"/>
  <c r="H221" i="32"/>
  <c r="H220" i="32"/>
  <c r="H219" i="32"/>
  <c r="H218" i="32"/>
  <c r="H215" i="32"/>
  <c r="H214" i="32"/>
  <c r="H211" i="32"/>
  <c r="H210" i="32"/>
  <c r="H209" i="32"/>
  <c r="H208" i="32"/>
  <c r="H207" i="32"/>
  <c r="H204" i="32"/>
  <c r="H203" i="32"/>
  <c r="H202" i="32"/>
  <c r="H201" i="32"/>
  <c r="H200" i="32"/>
  <c r="H197" i="32"/>
  <c r="H196" i="32"/>
  <c r="H195" i="32"/>
  <c r="H194" i="32"/>
  <c r="H193" i="32"/>
  <c r="H192" i="32"/>
  <c r="H191" i="32"/>
  <c r="H190" i="32"/>
  <c r="H189" i="32"/>
  <c r="H188" i="32"/>
  <c r="H187" i="32"/>
  <c r="H186" i="32"/>
  <c r="H183" i="32"/>
  <c r="H182" i="32"/>
  <c r="H175" i="32"/>
  <c r="H174" i="32"/>
  <c r="H173" i="32"/>
  <c r="H172" i="32"/>
  <c r="H169" i="32"/>
  <c r="H168" i="32"/>
  <c r="H167" i="32"/>
  <c r="H166" i="32"/>
  <c r="H165" i="32"/>
  <c r="H164" i="32"/>
  <c r="H161" i="32"/>
  <c r="H160" i="32"/>
  <c r="H159" i="32"/>
  <c r="H158" i="32"/>
  <c r="H157" i="32"/>
  <c r="H156" i="32"/>
  <c r="H153" i="32"/>
  <c r="H152" i="32"/>
  <c r="H151" i="32"/>
  <c r="H150" i="32"/>
  <c r="H149" i="32"/>
  <c r="H148" i="32"/>
  <c r="H145" i="32"/>
  <c r="H144" i="32"/>
  <c r="H143" i="32"/>
  <c r="H142" i="32"/>
  <c r="H141" i="32"/>
  <c r="H140" i="32"/>
  <c r="H137" i="32"/>
  <c r="H136" i="32"/>
  <c r="H135" i="32"/>
  <c r="H134" i="32"/>
  <c r="H133" i="32"/>
  <c r="H132" i="32"/>
  <c r="H131" i="32"/>
  <c r="H130" i="32"/>
  <c r="H129" i="32"/>
  <c r="H126" i="32"/>
  <c r="H125" i="32"/>
  <c r="H124" i="32"/>
  <c r="H123" i="32"/>
  <c r="H122" i="32"/>
  <c r="H121" i="32"/>
  <c r="H118" i="32"/>
  <c r="H117" i="32"/>
  <c r="H116" i="32"/>
  <c r="H115" i="32"/>
  <c r="H114" i="32"/>
  <c r="H113" i="32"/>
  <c r="H112" i="32"/>
  <c r="H111" i="32"/>
  <c r="H110" i="32"/>
  <c r="H109" i="32"/>
  <c r="H108" i="32"/>
  <c r="H107" i="32"/>
  <c r="H106" i="32"/>
  <c r="H103" i="32"/>
  <c r="H102" i="32"/>
  <c r="H101" i="32"/>
  <c r="H100" i="32"/>
  <c r="H99" i="32"/>
  <c r="H98" i="32"/>
  <c r="H97" i="32"/>
  <c r="H96" i="32"/>
  <c r="H95" i="32"/>
  <c r="H94" i="32"/>
  <c r="H93" i="32"/>
  <c r="H92" i="32"/>
  <c r="H91" i="32"/>
  <c r="H88" i="32"/>
  <c r="H87" i="32"/>
  <c r="H86" i="32"/>
  <c r="H85" i="32"/>
  <c r="H84" i="32"/>
  <c r="H81" i="32"/>
  <c r="H80" i="32"/>
  <c r="H79" i="32"/>
  <c r="H78" i="32"/>
  <c r="H77" i="32"/>
  <c r="H74" i="32"/>
  <c r="H72" i="32"/>
  <c r="H66" i="32"/>
  <c r="H64" i="32" s="1"/>
  <c r="G68" i="1" s="1"/>
  <c r="H62" i="32"/>
  <c r="H61" i="32"/>
  <c r="H59" i="32"/>
  <c r="H58" i="32"/>
  <c r="H57" i="32"/>
  <c r="H45" i="32"/>
  <c r="H44" i="32"/>
  <c r="H43" i="32"/>
  <c r="H42" i="32"/>
  <c r="F41" i="32"/>
  <c r="H41" i="32" s="1"/>
  <c r="F40" i="32"/>
  <c r="H40" i="32" s="1"/>
  <c r="F39" i="32"/>
  <c r="H39" i="32" s="1"/>
  <c r="F38" i="32"/>
  <c r="H38" i="32" s="1"/>
  <c r="H37" i="32"/>
  <c r="H34" i="32"/>
  <c r="H28" i="32"/>
  <c r="H21" i="32"/>
  <c r="A11" i="32"/>
  <c r="C8" i="32"/>
  <c r="B827" i="3"/>
  <c r="B833" i="3" s="1"/>
  <c r="B837" i="3" s="1"/>
  <c r="B824" i="3"/>
  <c r="B819" i="3"/>
  <c r="B816" i="3"/>
  <c r="B812" i="3"/>
  <c r="B808" i="3"/>
  <c r="B802" i="3"/>
  <c r="F161" i="1" s="1"/>
  <c r="B794" i="3"/>
  <c r="B795" i="3" s="1"/>
  <c r="B798" i="3" s="1"/>
  <c r="B800" i="3" s="1"/>
  <c r="F160" i="1" s="1"/>
  <c r="B770" i="3"/>
  <c r="F152" i="1" s="1"/>
  <c r="B759" i="3"/>
  <c r="F151" i="1" s="1"/>
  <c r="B748" i="3"/>
  <c r="F150" i="1" s="1"/>
  <c r="B739" i="3"/>
  <c r="F149" i="1" s="1"/>
  <c r="B691" i="3"/>
  <c r="B688" i="3"/>
  <c r="F128" i="1" s="1"/>
  <c r="B685" i="3"/>
  <c r="F127" i="1" s="1"/>
  <c r="B681" i="3"/>
  <c r="B679" i="3"/>
  <c r="B682" i="3" s="1"/>
  <c r="F126" i="1" s="1"/>
  <c r="B676" i="3"/>
  <c r="F124" i="1" s="1"/>
  <c r="B672" i="3"/>
  <c r="F123" i="1" s="1"/>
  <c r="B665" i="3"/>
  <c r="F122" i="1" s="1"/>
  <c r="B656" i="3"/>
  <c r="F120" i="1" s="1"/>
  <c r="B647" i="3"/>
  <c r="B660" i="3" s="1"/>
  <c r="F121" i="1" s="1"/>
  <c r="B638" i="3"/>
  <c r="B637" i="3"/>
  <c r="B627" i="3"/>
  <c r="B626" i="3"/>
  <c r="B625" i="3"/>
  <c r="B624" i="3"/>
  <c r="B618" i="3"/>
  <c r="B614" i="3"/>
  <c r="B599" i="3"/>
  <c r="B603" i="3" s="1"/>
  <c r="B590" i="3"/>
  <c r="B583" i="3"/>
  <c r="B582" i="3"/>
  <c r="B577" i="3"/>
  <c r="B576" i="3"/>
  <c r="B567" i="3"/>
  <c r="B561" i="3"/>
  <c r="B545" i="3"/>
  <c r="B547" i="3" s="1"/>
  <c r="B540" i="3"/>
  <c r="B522" i="3"/>
  <c r="B523" i="3" s="1"/>
  <c r="B514" i="3"/>
  <c r="B501" i="3"/>
  <c r="B478" i="3" s="1"/>
  <c r="B484" i="3"/>
  <c r="B473" i="3"/>
  <c r="B448" i="3"/>
  <c r="B442" i="3"/>
  <c r="B424" i="3"/>
  <c r="B426" i="3" s="1"/>
  <c r="B419" i="3"/>
  <c r="B399" i="3"/>
  <c r="B400" i="3" s="1"/>
  <c r="B391" i="3"/>
  <c r="B369" i="3"/>
  <c r="B359" i="3"/>
  <c r="B339" i="3"/>
  <c r="B335" i="3"/>
  <c r="B330" i="3"/>
  <c r="B325" i="3"/>
  <c r="F94" i="1" s="1"/>
  <c r="B321" i="3"/>
  <c r="B310" i="3"/>
  <c r="B299" i="3"/>
  <c r="B288" i="3"/>
  <c r="B273" i="3"/>
  <c r="F84" i="1" s="1"/>
  <c r="B261" i="3"/>
  <c r="B267" i="3" s="1"/>
  <c r="F82" i="1" s="1"/>
  <c r="B244" i="3"/>
  <c r="B228" i="3"/>
  <c r="B205" i="3"/>
  <c r="B203" i="3"/>
  <c r="B201" i="3"/>
  <c r="B200" i="3"/>
  <c r="B199" i="3"/>
  <c r="B197" i="3"/>
  <c r="B196" i="3"/>
  <c r="B195" i="3"/>
  <c r="B193" i="3"/>
  <c r="C181" i="3"/>
  <c r="B165" i="3"/>
  <c r="B157" i="3"/>
  <c r="B160" i="3" s="1"/>
  <c r="B151" i="3"/>
  <c r="B177" i="3" s="1"/>
  <c r="B146" i="3"/>
  <c r="F65" i="1" s="1"/>
  <c r="B142" i="3"/>
  <c r="F64" i="1" s="1"/>
  <c r="B132" i="3"/>
  <c r="B103" i="3"/>
  <c r="B99" i="3"/>
  <c r="B97" i="3"/>
  <c r="B95" i="3"/>
  <c r="B65" i="3"/>
  <c r="B63" i="3"/>
  <c r="B54" i="3"/>
  <c r="B53" i="3"/>
  <c r="B47" i="3"/>
  <c r="B48" i="3" s="1"/>
  <c r="B44" i="3"/>
  <c r="B34" i="3"/>
  <c r="B38" i="3" s="1"/>
  <c r="C8" i="3"/>
  <c r="F170" i="1"/>
  <c r="C167" i="1"/>
  <c r="C165" i="1"/>
  <c r="C164" i="1"/>
  <c r="F163" i="1"/>
  <c r="F147" i="1"/>
  <c r="C147" i="1"/>
  <c r="F146" i="1"/>
  <c r="F145" i="1"/>
  <c r="F144" i="1"/>
  <c r="F143" i="1"/>
  <c r="F142" i="1"/>
  <c r="F141" i="1"/>
  <c r="F140" i="1"/>
  <c r="F139" i="1"/>
  <c r="F138" i="1"/>
  <c r="F137" i="1"/>
  <c r="F136" i="1"/>
  <c r="C136" i="1"/>
  <c r="F135" i="1"/>
  <c r="C135" i="1"/>
  <c r="F134" i="1"/>
  <c r="C134" i="1"/>
  <c r="F133" i="1"/>
  <c r="C133" i="1"/>
  <c r="F132" i="1"/>
  <c r="C132" i="1"/>
  <c r="F131" i="1"/>
  <c r="C131" i="1"/>
  <c r="F129" i="1"/>
  <c r="C113" i="1"/>
  <c r="C104" i="1"/>
  <c r="C100" i="1"/>
  <c r="F90" i="1"/>
  <c r="F89" i="1"/>
  <c r="C89" i="1"/>
  <c r="C88" i="1"/>
  <c r="C87" i="1"/>
  <c r="F85" i="1"/>
  <c r="C76" i="1"/>
  <c r="F63" i="1"/>
  <c r="C56" i="1"/>
  <c r="D27" i="1"/>
  <c r="C27" i="1"/>
  <c r="F25" i="1"/>
  <c r="C25" i="1"/>
  <c r="C24" i="1"/>
  <c r="C23" i="1"/>
  <c r="E22" i="9"/>
  <c r="H12" i="32" s="1"/>
  <c r="M21" i="36" l="1"/>
  <c r="B179" i="3"/>
  <c r="F62" i="1"/>
  <c r="B187" i="3"/>
  <c r="F81" i="1"/>
  <c r="F95" i="1"/>
  <c r="F93" i="1"/>
  <c r="F66" i="1"/>
  <c r="F71" i="1"/>
  <c r="F111" i="1"/>
  <c r="F92" i="1"/>
  <c r="F125" i="1"/>
  <c r="F167" i="1"/>
  <c r="F24" i="1"/>
  <c r="F23" i="1"/>
  <c r="F96" i="1"/>
  <c r="B628" i="3"/>
  <c r="F88" i="1"/>
  <c r="B622" i="3"/>
  <c r="B639" i="3"/>
  <c r="F118" i="1" s="1"/>
  <c r="B374" i="3"/>
  <c r="B465" i="3" s="1"/>
  <c r="B474" i="3" s="1"/>
  <c r="F103" i="1" s="1"/>
  <c r="F112" i="1"/>
  <c r="F87" i="1"/>
  <c r="F164" i="1"/>
  <c r="F119" i="1"/>
  <c r="B59" i="3"/>
  <c r="B168" i="3"/>
  <c r="F67" i="1" s="1"/>
  <c r="B231" i="3"/>
  <c r="B605" i="3"/>
  <c r="F165" i="1"/>
  <c r="B404" i="3"/>
  <c r="F97" i="1"/>
  <c r="B430" i="3"/>
  <c r="B578" i="3"/>
  <c r="F169" i="1"/>
  <c r="B830" i="3"/>
  <c r="F158" i="1"/>
  <c r="F159" i="1"/>
  <c r="F166" i="1"/>
  <c r="B527" i="3"/>
  <c r="B551" i="3"/>
  <c r="H16" i="32"/>
  <c r="H155" i="32"/>
  <c r="G135" i="1" s="1"/>
  <c r="H181" i="32"/>
  <c r="H139" i="32"/>
  <c r="H128" i="32"/>
  <c r="H30" i="32"/>
  <c r="G25" i="1" s="1"/>
  <c r="H213" i="32"/>
  <c r="H55" i="32"/>
  <c r="H70" i="32"/>
  <c r="H199" i="32"/>
  <c r="H206" i="32"/>
  <c r="H225" i="32"/>
  <c r="H217" i="32"/>
  <c r="H185" i="32"/>
  <c r="H171" i="32"/>
  <c r="H163" i="32"/>
  <c r="H147" i="32"/>
  <c r="G95" i="1" s="1"/>
  <c r="H120" i="32"/>
  <c r="H105" i="32"/>
  <c r="H90" i="32"/>
  <c r="H83" i="32"/>
  <c r="H76" i="32"/>
  <c r="G100" i="1"/>
  <c r="G113" i="1"/>
  <c r="H36" i="32"/>
  <c r="H23" i="32"/>
  <c r="B585" i="3"/>
  <c r="B206" i="3"/>
  <c r="I12" i="1"/>
  <c r="I23" i="12"/>
  <c r="H20" i="12"/>
  <c r="G96" i="1" l="1"/>
  <c r="H96" i="1" s="1"/>
  <c r="I96" i="1" s="1"/>
  <c r="B171" i="3"/>
  <c r="B173" i="3" s="1"/>
  <c r="B631" i="3"/>
  <c r="B774" i="3" s="1"/>
  <c r="B775" i="3" s="1"/>
  <c r="B238" i="3"/>
  <c r="F78" i="1" s="1"/>
  <c r="B188" i="3"/>
  <c r="B234" i="3"/>
  <c r="B243" i="3" s="1"/>
  <c r="B435" i="3"/>
  <c r="B452" i="3" s="1"/>
  <c r="F99" i="1" s="1"/>
  <c r="B485" i="3"/>
  <c r="B486" i="3" s="1"/>
  <c r="F104" i="1" s="1"/>
  <c r="F106" i="1"/>
  <c r="B607" i="3"/>
  <c r="F113" i="1"/>
  <c r="F168" i="1"/>
  <c r="B554" i="3"/>
  <c r="B571" i="3" s="1"/>
  <c r="F105" i="1" s="1"/>
  <c r="G94" i="1"/>
  <c r="H94" i="1" s="1"/>
  <c r="I94" i="1" s="1"/>
  <c r="G133" i="1"/>
  <c r="H133" i="1" s="1"/>
  <c r="I133" i="1" s="1"/>
  <c r="G122" i="1"/>
  <c r="H122" i="1" s="1"/>
  <c r="I122" i="1" s="1"/>
  <c r="G165" i="1"/>
  <c r="H165" i="1" s="1"/>
  <c r="I165" i="1" s="1"/>
  <c r="G93" i="1"/>
  <c r="H93" i="1" s="1"/>
  <c r="I93" i="1" s="1"/>
  <c r="G132" i="1"/>
  <c r="H132" i="1" s="1"/>
  <c r="I132" i="1" s="1"/>
  <c r="G167" i="1"/>
  <c r="H167" i="1" s="1"/>
  <c r="I167" i="1" s="1"/>
  <c r="G147" i="1"/>
  <c r="H147" i="1" s="1"/>
  <c r="I147" i="1" s="1"/>
  <c r="G56" i="1"/>
  <c r="H56" i="1" s="1"/>
  <c r="I56" i="1" s="1"/>
  <c r="G104" i="1"/>
  <c r="H104" i="1" s="1"/>
  <c r="G76" i="1"/>
  <c r="H76" i="1" s="1"/>
  <c r="G164" i="1"/>
  <c r="H164" i="1" s="1"/>
  <c r="I164" i="1" s="1"/>
  <c r="G38" i="1"/>
  <c r="H38" i="1" s="1"/>
  <c r="I38" i="1" s="1"/>
  <c r="G150" i="1"/>
  <c r="H150" i="1" s="1"/>
  <c r="I150" i="1" s="1"/>
  <c r="G136" i="1"/>
  <c r="H136" i="1" s="1"/>
  <c r="I136" i="1" s="1"/>
  <c r="G129" i="1"/>
  <c r="H129" i="1" s="1"/>
  <c r="I129" i="1" s="1"/>
  <c r="G106" i="1"/>
  <c r="H106" i="1" s="1"/>
  <c r="G97" i="1"/>
  <c r="H97" i="1" s="1"/>
  <c r="I97" i="1" s="1"/>
  <c r="G134" i="1"/>
  <c r="H134" i="1" s="1"/>
  <c r="I134" i="1" s="1"/>
  <c r="G131" i="1"/>
  <c r="H131" i="1" s="1"/>
  <c r="I131" i="1" s="1"/>
  <c r="G92" i="1"/>
  <c r="H92" i="1" s="1"/>
  <c r="I92" i="1" s="1"/>
  <c r="G90" i="1"/>
  <c r="H90" i="1" s="1"/>
  <c r="I90" i="1" s="1"/>
  <c r="G89" i="1"/>
  <c r="H89" i="1" s="1"/>
  <c r="I89" i="1" s="1"/>
  <c r="G88" i="1"/>
  <c r="H88" i="1" s="1"/>
  <c r="I88" i="1" s="1"/>
  <c r="G87" i="1"/>
  <c r="H87" i="1" s="1"/>
  <c r="I87" i="1" s="1"/>
  <c r="H111" i="1"/>
  <c r="I111" i="1" s="1"/>
  <c r="G27" i="1"/>
  <c r="H27" i="1" s="1"/>
  <c r="I27" i="1" s="1"/>
  <c r="G24" i="1"/>
  <c r="H24" i="1" s="1"/>
  <c r="I24" i="1" s="1"/>
  <c r="G23" i="1"/>
  <c r="H23" i="1" s="1"/>
  <c r="I23" i="1" s="1"/>
  <c r="B181" i="3"/>
  <c r="F72" i="1"/>
  <c r="B589" i="3"/>
  <c r="B592" i="3" s="1"/>
  <c r="F108" i="1" s="1"/>
  <c r="F107" i="1"/>
  <c r="H71" i="1"/>
  <c r="I71" i="1" s="1"/>
  <c r="H82" i="1"/>
  <c r="I82" i="1" s="1"/>
  <c r="H52" i="1"/>
  <c r="I52" i="1" s="1"/>
  <c r="H138" i="1"/>
  <c r="I138" i="1" s="1"/>
  <c r="H169" i="1"/>
  <c r="I169" i="1" s="1"/>
  <c r="H170" i="1"/>
  <c r="I170" i="1" s="1"/>
  <c r="H142" i="1"/>
  <c r="I142" i="1" s="1"/>
  <c r="H20" i="1"/>
  <c r="I20" i="1" s="1"/>
  <c r="H19" i="1"/>
  <c r="I19" i="1" s="1"/>
  <c r="H42" i="1"/>
  <c r="I42" i="1" s="1"/>
  <c r="H152" i="1"/>
  <c r="I152" i="1" s="1"/>
  <c r="H21" i="1"/>
  <c r="I21" i="1" s="1"/>
  <c r="H74" i="1"/>
  <c r="H32" i="1"/>
  <c r="I32" i="1" s="1"/>
  <c r="H135" i="1"/>
  <c r="I135" i="1" s="1"/>
  <c r="H72" i="1"/>
  <c r="H163" i="1"/>
  <c r="I163" i="1" s="1"/>
  <c r="H84" i="1"/>
  <c r="I84" i="1" s="1"/>
  <c r="H51" i="1"/>
  <c r="I51" i="1" s="1"/>
  <c r="H46" i="1"/>
  <c r="I46" i="1" s="1"/>
  <c r="H67" i="1"/>
  <c r="I67" i="1" s="1"/>
  <c r="H68" i="1"/>
  <c r="H160" i="1"/>
  <c r="I160" i="1" s="1"/>
  <c r="H49" i="1"/>
  <c r="I49" i="1" s="1"/>
  <c r="H57" i="1"/>
  <c r="I57" i="1" s="1"/>
  <c r="H141" i="1"/>
  <c r="I141" i="1" s="1"/>
  <c r="H50" i="1"/>
  <c r="I50" i="1" s="1"/>
  <c r="H156" i="1"/>
  <c r="H99" i="1"/>
  <c r="H107" i="1"/>
  <c r="H53" i="1"/>
  <c r="I53" i="1" s="1"/>
  <c r="H118" i="1"/>
  <c r="I118" i="1" s="1"/>
  <c r="H54" i="1"/>
  <c r="I54" i="1" s="1"/>
  <c r="H25" i="1"/>
  <c r="I25" i="1" s="1"/>
  <c r="H124" i="1"/>
  <c r="I124" i="1" s="1"/>
  <c r="H28" i="1"/>
  <c r="I28" i="1" s="1"/>
  <c r="H113" i="1"/>
  <c r="H103" i="1"/>
  <c r="I103" i="1" s="1"/>
  <c r="H45" i="1"/>
  <c r="I45" i="1" s="1"/>
  <c r="H139" i="1"/>
  <c r="I139" i="1" s="1"/>
  <c r="H151" i="1"/>
  <c r="I151" i="1" s="1"/>
  <c r="H144" i="1"/>
  <c r="I144" i="1" s="1"/>
  <c r="H65" i="1"/>
  <c r="I65" i="1" s="1"/>
  <c r="H137" i="1"/>
  <c r="I137" i="1" s="1"/>
  <c r="H58" i="1"/>
  <c r="I58" i="1" s="1"/>
  <c r="H73" i="1"/>
  <c r="H41" i="1"/>
  <c r="I41" i="1" s="1"/>
  <c r="H39" i="1"/>
  <c r="I39" i="1" s="1"/>
  <c r="H143" i="1"/>
  <c r="I143" i="1" s="1"/>
  <c r="H33" i="1"/>
  <c r="I33" i="1" s="1"/>
  <c r="H100" i="1"/>
  <c r="H121" i="1"/>
  <c r="I121" i="1" s="1"/>
  <c r="H80" i="1"/>
  <c r="H69" i="1"/>
  <c r="H140" i="1"/>
  <c r="I140" i="1" s="1"/>
  <c r="H34" i="1"/>
  <c r="I34" i="1" s="1"/>
  <c r="H146" i="1"/>
  <c r="I146" i="1" s="1"/>
  <c r="H114" i="1"/>
  <c r="H101" i="1"/>
  <c r="H149" i="1"/>
  <c r="I149" i="1" s="1"/>
  <c r="H168" i="1"/>
  <c r="H63" i="1"/>
  <c r="I63" i="1" s="1"/>
  <c r="H43" i="1"/>
  <c r="I43" i="1" s="1"/>
  <c r="H119" i="1"/>
  <c r="I119" i="1" s="1"/>
  <c r="H102" i="1"/>
  <c r="H145" i="1"/>
  <c r="I145" i="1" s="1"/>
  <c r="H37" i="1"/>
  <c r="I37" i="1" s="1"/>
  <c r="H154" i="1"/>
  <c r="H157" i="1"/>
  <c r="H105" i="1"/>
  <c r="H166" i="1"/>
  <c r="I166" i="1" s="1"/>
  <c r="H159" i="1"/>
  <c r="I159" i="1" s="1"/>
  <c r="H85" i="1"/>
  <c r="I85" i="1" s="1"/>
  <c r="H62" i="1"/>
  <c r="I62" i="1" s="1"/>
  <c r="H95" i="1"/>
  <c r="I95" i="1" s="1"/>
  <c r="H155" i="1"/>
  <c r="H64" i="1"/>
  <c r="I64" i="1" s="1"/>
  <c r="H66" i="1"/>
  <c r="I66" i="1" s="1"/>
  <c r="H44" i="1"/>
  <c r="I44" i="1" s="1"/>
  <c r="H158" i="1"/>
  <c r="I158" i="1" s="1"/>
  <c r="H128" i="1"/>
  <c r="I128" i="1" s="1"/>
  <c r="H78" i="1"/>
  <c r="H31" i="1"/>
  <c r="I31" i="1" s="1"/>
  <c r="H120" i="1"/>
  <c r="I120" i="1" s="1"/>
  <c r="H59" i="1"/>
  <c r="I59" i="1" s="1"/>
  <c r="H117" i="1"/>
  <c r="H55" i="1"/>
  <c r="I55" i="1" s="1"/>
  <c r="H47" i="1"/>
  <c r="I47" i="1" s="1"/>
  <c r="H127" i="1"/>
  <c r="I127" i="1" s="1"/>
  <c r="H40" i="1"/>
  <c r="I40" i="1" s="1"/>
  <c r="H125" i="1"/>
  <c r="I125" i="1" s="1"/>
  <c r="H123" i="1"/>
  <c r="I123" i="1" s="1"/>
  <c r="H126" i="1"/>
  <c r="I126" i="1" s="1"/>
  <c r="H48" i="1"/>
  <c r="I48" i="1" s="1"/>
  <c r="H161" i="1"/>
  <c r="I161" i="1" s="1"/>
  <c r="H81" i="1"/>
  <c r="I81" i="1" s="1"/>
  <c r="H35" i="1"/>
  <c r="I35" i="1" s="1"/>
  <c r="H112" i="1"/>
  <c r="I112" i="1" s="1"/>
  <c r="H77" i="1"/>
  <c r="H36" i="1"/>
  <c r="I36" i="1" s="1"/>
  <c r="H30" i="1"/>
  <c r="I30" i="1" s="1"/>
  <c r="H108" i="1"/>
  <c r="H79" i="1"/>
  <c r="K172" i="1"/>
  <c r="K173" i="1" s="1"/>
  <c r="L25" i="12"/>
  <c r="L22" i="12"/>
  <c r="F68" i="1" l="1"/>
  <c r="I68" i="1" s="1"/>
  <c r="F73" i="1"/>
  <c r="B183" i="3"/>
  <c r="F74" i="1" s="1"/>
  <c r="I74" i="1" s="1"/>
  <c r="F117" i="1"/>
  <c r="I117" i="1" s="1"/>
  <c r="I116" i="1" s="1"/>
  <c r="B240" i="3"/>
  <c r="F77" i="1"/>
  <c r="I77" i="1" s="1"/>
  <c r="F69" i="1"/>
  <c r="I69" i="1" s="1"/>
  <c r="B456" i="3"/>
  <c r="B458" i="3" s="1"/>
  <c r="F101" i="1" s="1"/>
  <c r="I101" i="1" s="1"/>
  <c r="B462" i="3"/>
  <c r="F102" i="1" s="1"/>
  <c r="I102" i="1" s="1"/>
  <c r="I113" i="1"/>
  <c r="I168" i="1"/>
  <c r="I162" i="1" s="1"/>
  <c r="I104" i="1"/>
  <c r="I106" i="1"/>
  <c r="I105" i="1"/>
  <c r="F114" i="1"/>
  <c r="I114" i="1" s="1"/>
  <c r="I78" i="1"/>
  <c r="I72" i="1"/>
  <c r="I108" i="1"/>
  <c r="I107" i="1"/>
  <c r="I99" i="1"/>
  <c r="I73" i="1"/>
  <c r="B778" i="3"/>
  <c r="F154" i="1"/>
  <c r="I154" i="1" s="1"/>
  <c r="I83" i="1"/>
  <c r="I148" i="1"/>
  <c r="I18" i="1"/>
  <c r="I86" i="1"/>
  <c r="I26" i="1"/>
  <c r="I130" i="1"/>
  <c r="I22" i="1"/>
  <c r="K174" i="1"/>
  <c r="I29" i="1"/>
  <c r="I91" i="1"/>
  <c r="E16" i="12"/>
  <c r="F16" i="12" s="1"/>
  <c r="E18" i="12"/>
  <c r="F18" i="12" s="1"/>
  <c r="E17" i="12"/>
  <c r="F17" i="12" s="1"/>
  <c r="E15" i="12"/>
  <c r="B247" i="3" l="1"/>
  <c r="F100" i="1"/>
  <c r="I100" i="1" s="1"/>
  <c r="K98" i="1" s="1"/>
  <c r="F79" i="1"/>
  <c r="I79" i="1" s="1"/>
  <c r="I110" i="1"/>
  <c r="I109" i="1" s="1"/>
  <c r="I70" i="1"/>
  <c r="I61" i="1"/>
  <c r="B780" i="3"/>
  <c r="B784" i="3" s="1"/>
  <c r="B785" i="3" s="1"/>
  <c r="F157" i="1" s="1"/>
  <c r="I157" i="1" s="1"/>
  <c r="F155" i="1"/>
  <c r="I155" i="1" s="1"/>
  <c r="F156" i="1"/>
  <c r="I156" i="1" s="1"/>
  <c r="I17" i="1"/>
  <c r="E20" i="12"/>
  <c r="L14" i="12" s="1"/>
  <c r="F15" i="12"/>
  <c r="F20" i="12" s="1"/>
  <c r="B248" i="3" l="1"/>
  <c r="I98" i="1"/>
  <c r="I153" i="1"/>
  <c r="I115" i="1" s="1"/>
  <c r="B186" i="3" l="1"/>
  <c r="B190" i="3" s="1"/>
  <c r="F76" i="1" s="1"/>
  <c r="I76" i="1" s="1"/>
  <c r="F80" i="1"/>
  <c r="I80" i="1" s="1"/>
  <c r="I75" i="1" l="1"/>
  <c r="I60" i="1" s="1"/>
  <c r="I16" i="1" s="1"/>
  <c r="I15" i="1" s="1"/>
  <c r="C10" i="1" s="1"/>
  <c r="C10" i="32" l="1"/>
  <c r="C10" i="3"/>
  <c r="K60" i="1"/>
  <c r="J136" i="1"/>
  <c r="J49" i="1"/>
  <c r="J138" i="1"/>
  <c r="J85" i="1"/>
  <c r="J160" i="1"/>
  <c r="J158" i="1" l="1"/>
  <c r="J78" i="1"/>
  <c r="J79" i="1"/>
  <c r="J119" i="1"/>
  <c r="J33" i="1"/>
  <c r="I171" i="1"/>
  <c r="J90" i="1"/>
  <c r="J83" i="1"/>
  <c r="J107" i="1"/>
  <c r="J95" i="1"/>
  <c r="J114" i="1"/>
  <c r="J144" i="1"/>
  <c r="J62" i="1"/>
  <c r="J152" i="1"/>
  <c r="J141" i="1"/>
  <c r="J43" i="1"/>
  <c r="J116" i="1"/>
  <c r="J21" i="1"/>
  <c r="J47" i="1"/>
  <c r="J77" i="1"/>
  <c r="J69" i="1"/>
  <c r="J24" i="1"/>
  <c r="J106" i="1"/>
  <c r="J96" i="1"/>
  <c r="J80" i="1"/>
  <c r="J137" i="1"/>
  <c r="J20" i="1"/>
  <c r="J89" i="1"/>
  <c r="J87" i="1"/>
  <c r="J134" i="1"/>
  <c r="J100" i="1"/>
  <c r="J143" i="1"/>
  <c r="J151" i="1"/>
  <c r="J68" i="1"/>
  <c r="J132" i="1"/>
  <c r="J22" i="1"/>
  <c r="J39" i="1"/>
  <c r="J167" i="1"/>
  <c r="J161" i="1"/>
  <c r="J64" i="1"/>
  <c r="J98" i="1"/>
  <c r="J168" i="1"/>
  <c r="J35" i="1"/>
  <c r="J44" i="1"/>
  <c r="J170" i="1"/>
  <c r="J73" i="1"/>
  <c r="J45" i="1"/>
  <c r="J101" i="1"/>
  <c r="J164" i="1"/>
  <c r="J30" i="1"/>
  <c r="J145" i="1"/>
  <c r="J123" i="1"/>
  <c r="J103" i="1"/>
  <c r="J75" i="1"/>
  <c r="J88" i="1"/>
  <c r="J135" i="1"/>
  <c r="J72" i="1"/>
  <c r="J66" i="1"/>
  <c r="J61" i="1"/>
  <c r="J131" i="1"/>
  <c r="J23" i="1"/>
  <c r="J166" i="1"/>
  <c r="J27" i="1"/>
  <c r="J26" i="1"/>
  <c r="J111" i="1"/>
  <c r="J81" i="1"/>
  <c r="J41" i="1"/>
  <c r="J102" i="1"/>
  <c r="J153" i="1"/>
  <c r="J97" i="1"/>
  <c r="J130" i="1"/>
  <c r="J19" i="1"/>
  <c r="J146" i="1"/>
  <c r="J156" i="1"/>
  <c r="J159" i="1"/>
  <c r="J154" i="1"/>
  <c r="J129" i="1"/>
  <c r="J67" i="1"/>
  <c r="J37" i="1"/>
  <c r="J105" i="1"/>
  <c r="J71" i="1"/>
  <c r="J108" i="1"/>
  <c r="J57" i="1"/>
  <c r="J50" i="1"/>
  <c r="J128" i="1"/>
  <c r="J42" i="1"/>
  <c r="J74" i="1"/>
  <c r="J149" i="1"/>
  <c r="J148" i="1"/>
  <c r="J147" i="1"/>
  <c r="J93" i="1"/>
  <c r="J48" i="1"/>
  <c r="J86" i="1"/>
  <c r="J113" i="1"/>
  <c r="J125" i="1"/>
  <c r="J84" i="1"/>
  <c r="J139" i="1"/>
  <c r="J121" i="1"/>
  <c r="J28" i="1"/>
  <c r="J16" i="1"/>
  <c r="J52" i="1"/>
  <c r="J110" i="1"/>
  <c r="J133" i="1"/>
  <c r="J104" i="1"/>
  <c r="J140" i="1"/>
  <c r="J63" i="1"/>
  <c r="J115" i="1"/>
  <c r="J38" i="1"/>
  <c r="J155" i="1"/>
  <c r="J76" i="1"/>
  <c r="J51" i="1"/>
  <c r="J124" i="1"/>
  <c r="J17" i="1"/>
  <c r="J157" i="1"/>
  <c r="J126" i="1"/>
  <c r="J169" i="1"/>
  <c r="J25" i="1"/>
  <c r="J142" i="1"/>
  <c r="J109" i="1"/>
  <c r="J59" i="1"/>
  <c r="J94" i="1"/>
  <c r="J122" i="1"/>
  <c r="J112" i="1"/>
  <c r="J92" i="1"/>
  <c r="J60" i="1"/>
  <c r="J150" i="1"/>
  <c r="J54" i="1"/>
  <c r="J127" i="1"/>
  <c r="J55" i="1"/>
  <c r="J29" i="1"/>
  <c r="J18" i="1"/>
  <c r="J56" i="1"/>
  <c r="J31" i="1"/>
  <c r="J82" i="1"/>
  <c r="J53" i="1"/>
  <c r="J65" i="1"/>
  <c r="J40" i="1"/>
  <c r="J118" i="1"/>
  <c r="J15" i="1"/>
  <c r="J70" i="1"/>
  <c r="J162" i="1"/>
  <c r="J46" i="1"/>
  <c r="J163" i="1"/>
  <c r="J99" i="1"/>
  <c r="J32" i="1"/>
  <c r="J36" i="1"/>
  <c r="J120" i="1"/>
  <c r="J34" i="1"/>
  <c r="J165" i="1"/>
  <c r="J58" i="1"/>
  <c r="J117" i="1"/>
  <c r="J91" i="1"/>
  <c r="J171" i="1" l="1"/>
  <c r="I174" i="1"/>
  <c r="K175" i="1"/>
  <c r="K176" i="1" s="1"/>
</calcChain>
</file>

<file path=xl/sharedStrings.xml><?xml version="1.0" encoding="utf-8"?>
<sst xmlns="http://schemas.openxmlformats.org/spreadsheetml/2006/main" count="2954" uniqueCount="1008">
  <si>
    <t>ITEM</t>
  </si>
  <si>
    <t>DISCRIMINAÇÃO</t>
  </si>
  <si>
    <t>UNID.</t>
  </si>
  <si>
    <t>QUANT.</t>
  </si>
  <si>
    <t>3.1</t>
  </si>
  <si>
    <t>m</t>
  </si>
  <si>
    <t>3.2</t>
  </si>
  <si>
    <t>SUB-TOTAL (R$)</t>
  </si>
  <si>
    <t>QUANTITATIVOS E ORÇAMENTO BÁSICO</t>
  </si>
  <si>
    <t>=</t>
  </si>
  <si>
    <t>CÓD.</t>
  </si>
  <si>
    <t>SINAPI</t>
  </si>
  <si>
    <t>BDI (%):</t>
  </si>
  <si>
    <t>Nota:</t>
  </si>
  <si>
    <t>P. UNIT. SEM BDI   (R$)</t>
  </si>
  <si>
    <t>P. UNIT. COM BDI   (R$)</t>
  </si>
  <si>
    <t>ESTADO DA PARAÍBA</t>
  </si>
  <si>
    <t>DETALHAMENTO DO BDI</t>
  </si>
  <si>
    <t>%</t>
  </si>
  <si>
    <t>AC</t>
  </si>
  <si>
    <t xml:space="preserve">Administração Central </t>
  </si>
  <si>
    <t>SG</t>
  </si>
  <si>
    <t>Seguros e Garantias</t>
  </si>
  <si>
    <t>R</t>
  </si>
  <si>
    <t>Risco</t>
  </si>
  <si>
    <t>DF</t>
  </si>
  <si>
    <t xml:space="preserve">Despesas Financeiras </t>
  </si>
  <si>
    <t>L</t>
  </si>
  <si>
    <t>Lucro Bruto</t>
  </si>
  <si>
    <t>I</t>
  </si>
  <si>
    <t>Impostos</t>
  </si>
  <si>
    <t>PIS</t>
  </si>
  <si>
    <t>COFINS</t>
  </si>
  <si>
    <t>ISS</t>
  </si>
  <si>
    <t>CONTRIB. PREV. SOBRE REC. BRUTA - CPRB</t>
  </si>
  <si>
    <t>FÓRMULA</t>
  </si>
  <si>
    <t>BDI = ((1+(AC/100+SG/100+R/100))*(1+DF/100)*(1+L/100))/(1-I/100)-1</t>
  </si>
  <si>
    <t>Programa</t>
  </si>
  <si>
    <t>Modalidade</t>
  </si>
  <si>
    <t>Ministério das Cidades</t>
  </si>
  <si>
    <t>Planejamento Urbano</t>
  </si>
  <si>
    <t>Apoio à Política Nacional de Desenvolvimento Urbano</t>
  </si>
  <si>
    <t>Pavimentação e Drenagem de Vias Urbanas</t>
  </si>
  <si>
    <t>Item</t>
  </si>
  <si>
    <t>TOTAL</t>
  </si>
  <si>
    <t xml:space="preserve">Quadro de Composição do Investimento - QCI - OGU - Setor Público </t>
  </si>
  <si>
    <t>Emprendimento</t>
  </si>
  <si>
    <t>Agente executor</t>
  </si>
  <si>
    <t>-</t>
  </si>
  <si>
    <t>Discriminação</t>
  </si>
  <si>
    <t>Investimento Total (R$)</t>
  </si>
  <si>
    <t>Total (R$)</t>
  </si>
  <si>
    <t>Recursos União</t>
  </si>
  <si>
    <t>Contrapartida</t>
  </si>
  <si>
    <t>Outras fontes</t>
  </si>
  <si>
    <t>Forma analítica:</t>
  </si>
  <si>
    <t>Rua Altino Pereira Rodrigues</t>
  </si>
  <si>
    <t>Rua José Pedro</t>
  </si>
  <si>
    <t>Relatório de Compatibilidade para PROJETO ASSUNÇÃO - PAVIMENTAÇÃO.xls</t>
  </si>
  <si>
    <t>Executar em 11/01/2019 16:35</t>
  </si>
  <si>
    <t>Os seguintes recursos desta pasta de trabalho não têm suporte em versões anteriores do Excel. Eles poderão ser perdidos ou prejudicados se você abrir esta pasta de trabalho em uma versão anterior do Excel ou salvá-la em um formato de arquivo anterior.</t>
  </si>
  <si>
    <t>Perda significativa de funcionalidade</t>
  </si>
  <si>
    <t>Núm. de ocorrências</t>
  </si>
  <si>
    <t>Versão</t>
  </si>
  <si>
    <t>Os efeitos neste objeto serão removidos. O texto que ultrapassar os limites deste gráfico aparecerá cortado.</t>
  </si>
  <si>
    <t>ORÇAMENTO MARCONDES BALDUINO'!A1:K49</t>
  </si>
  <si>
    <t>Excel 97-2003</t>
  </si>
  <si>
    <t>ORÇAMENTO_ROBERTA BALDUINO'!A1:I48</t>
  </si>
  <si>
    <t>ORÇAMENTO_PROJETADA'!A1:I48</t>
  </si>
  <si>
    <t>ORÇAMENTO_JOSÉ_PEDRO'!A1:I48</t>
  </si>
  <si>
    <t>QCI'!B2:L27</t>
  </si>
  <si>
    <t>Perda insignificante de fidelidade</t>
  </si>
  <si>
    <t>Algumas fórmulas nesta pasta de trabalho estão vinculadas a outras pastas de trabalho que estão fechadas. Quando as fórmulas forem recalculadas em versões anteriores do Excel sem que as pastas de trabalho vinculadas sejam abertas, não será possível retornar caracteres além do limite de 255.</t>
  </si>
  <si>
    <t>CRONOGRAMA_CAIXA'!C18</t>
  </si>
  <si>
    <t>Algumas células ou alguns estilos desta pasta de trabalho contêm formatação para a qual não há suporte no formato de arquivo selecionado. Esses formatos serão convertidos no formato mais próximo disponível.</t>
  </si>
  <si>
    <t>Executar em 11/01/2019 16:36</t>
  </si>
  <si>
    <t>Drenagem</t>
  </si>
  <si>
    <t>Rua Maria Bezerra da Nobrega</t>
  </si>
  <si>
    <t>ORSE</t>
  </si>
  <si>
    <t>FONTE</t>
  </si>
  <si>
    <t>PROJETO DE PREVENÇÃO E COMBATE A INCÊNDIO</t>
  </si>
  <si>
    <t>(iluminação no pavimento subsolo)</t>
  </si>
  <si>
    <t>(iluminação no pavimento térreo)</t>
  </si>
  <si>
    <t>(iluminação no pavimento superior)</t>
  </si>
  <si>
    <t>(pavimento térreo)</t>
  </si>
  <si>
    <t>(pavimento sub solo)</t>
  </si>
  <si>
    <t>(pavimento superior)</t>
  </si>
  <si>
    <t>und</t>
  </si>
  <si>
    <t>Placa de sinalizacao de seguranca contra incendio, fotoluminescente, quadrada, *20 x 20* cm, em pvc *2* mm anti-chamas (simbolos, cores e pictogramas conforme nbr 13434)</t>
  </si>
  <si>
    <t>Central de alarme e detecção de incendio, capacidade: 8 laços, com 2 linhas, mod.VR-8L, Verin ou similar</t>
  </si>
  <si>
    <t>LUMINÁRIAS E SINALIZAÇÕES (com BDI) ............................................................................................................................................................................</t>
  </si>
  <si>
    <t xml:space="preserve">SISTEMA DE ALARME </t>
  </si>
  <si>
    <t>Acionador manual (botoeira) tipo quebra-vidro, p/instal. Incendio</t>
  </si>
  <si>
    <t>PREFEITURA MUNICIPAL DE PATOS</t>
  </si>
  <si>
    <r>
      <rPr>
        <b/>
        <sz val="10"/>
        <rFont val="Arial"/>
        <family val="2"/>
      </rPr>
      <t>OBRA:</t>
    </r>
    <r>
      <rPr>
        <sz val="10"/>
        <rFont val="Arial"/>
        <family val="2"/>
      </rPr>
      <t xml:space="preserve"> REFORMA DO ESTÁDIO MUNICIPAL</t>
    </r>
  </si>
  <si>
    <t>GUARDA-PORPO E CORRIMÃO</t>
  </si>
  <si>
    <t>(altura)</t>
  </si>
  <si>
    <t>88489</t>
  </si>
  <si>
    <t xml:space="preserve">VESTIÁRIOS </t>
  </si>
  <si>
    <t>(área da sala de concentração)</t>
  </si>
  <si>
    <t>(largura da janela C3)</t>
  </si>
  <si>
    <t>(altura da janela C3)</t>
  </si>
  <si>
    <t>(altura média)</t>
  </si>
  <si>
    <t>Fachada sudoeste</t>
  </si>
  <si>
    <t>Fachada sudeste</t>
  </si>
  <si>
    <t>Fachada noroeste</t>
  </si>
  <si>
    <t>(comprimento 1)</t>
  </si>
  <si>
    <t>(comprimento 2)</t>
  </si>
  <si>
    <t>(comprimento 3)</t>
  </si>
  <si>
    <t>(comprimento 4)</t>
  </si>
  <si>
    <t>(comprimento 5)</t>
  </si>
  <si>
    <t>Esquadrias</t>
  </si>
  <si>
    <t>Muro geral</t>
  </si>
  <si>
    <t>(área do portão 1)</t>
  </si>
  <si>
    <t>(área do portão 3)</t>
  </si>
  <si>
    <t xml:space="preserve">Desconto das barracas </t>
  </si>
  <si>
    <t>Barraca 1</t>
  </si>
  <si>
    <t>(perímetro)</t>
  </si>
  <si>
    <t>Barraca 2</t>
  </si>
  <si>
    <t>(área do lixamento)</t>
  </si>
  <si>
    <t xml:space="preserve">100717 </t>
  </si>
  <si>
    <t>(quantidade de demãos)</t>
  </si>
  <si>
    <t>(área dos vestiário 2x)</t>
  </si>
  <si>
    <t>(área da sala de massagem 2x)</t>
  </si>
  <si>
    <t>(área dos armários  2x)</t>
  </si>
  <si>
    <t>(hall de acesso para vestiários  2x)</t>
  </si>
  <si>
    <t>(hall de acesso para concentração)</t>
  </si>
  <si>
    <t>(área dos banheiros da concentração)</t>
  </si>
  <si>
    <t>(altura das portas)</t>
  </si>
  <si>
    <t>(largura da porta P6)</t>
  </si>
  <si>
    <t>(largura da porta P3)</t>
  </si>
  <si>
    <t>(largura da janela C1 e J1)</t>
  </si>
  <si>
    <t>(altura da janela C1 e J1)</t>
  </si>
  <si>
    <t>(largura da janela C2)</t>
  </si>
  <si>
    <t>(altura da janela C2)</t>
  </si>
  <si>
    <t>(quantidade P6 - Armários)</t>
  </si>
  <si>
    <t>(quantidade P2 e P4 - Vestiários)</t>
  </si>
  <si>
    <t>(quantidade C3 - sanitários dos vestiários)</t>
  </si>
  <si>
    <t>(quantidade C2 - sanitários da concentração)</t>
  </si>
  <si>
    <t>(Perimetro do Hall de entrada)</t>
  </si>
  <si>
    <t>(Perimetro da escada)</t>
  </si>
  <si>
    <t>(Perimetro da sala de concentração)</t>
  </si>
  <si>
    <t>(Área das faces laterais da Viga da entrada)</t>
  </si>
  <si>
    <t>(quantidade C1 e J1 - Vestiários e concentração)</t>
  </si>
  <si>
    <t>(Faces a considerar - Salas de espera e área livre)</t>
  </si>
  <si>
    <t>3.1.1</t>
  </si>
  <si>
    <t>3.1.2</t>
  </si>
  <si>
    <t>3.1.3</t>
  </si>
  <si>
    <t>(área dos banheiros dos vestiários  2x)</t>
  </si>
  <si>
    <t>(Perimetro dos canteiros externos - jardins)</t>
  </si>
  <si>
    <t>(altura média (considerando 2 faces))</t>
  </si>
  <si>
    <t>Área das esquadrias para descontar</t>
  </si>
  <si>
    <t>(área dos depósitos 2x)</t>
  </si>
  <si>
    <t>(Perimetro da sala de espera x 2)</t>
  </si>
  <si>
    <t>(Perimetro da area dos armários e depositos x2)</t>
  </si>
  <si>
    <t>(Perimetro do vestiário x2)</t>
  </si>
  <si>
    <t>(Perimetro do Hall de entrada x2)</t>
  </si>
  <si>
    <t>(Perimetro da escada x2)</t>
  </si>
  <si>
    <t>(comprimento dos lavátorios dos vestiários 2x)</t>
  </si>
  <si>
    <t>(largura dos lavátorios dos vestiários 2x)</t>
  </si>
  <si>
    <t>(altura considerada dos lavátorios dos vestiários)</t>
  </si>
  <si>
    <t>Revestimento</t>
  </si>
  <si>
    <t>3.2.1</t>
  </si>
  <si>
    <t>Demolições e retiradas</t>
  </si>
  <si>
    <t>(área livre)</t>
  </si>
  <si>
    <t>REMOÇÃO DE JANELAS, DE FORMA MANUAL, SEM REAPROVEITAMENTO. AF_12/2017</t>
  </si>
  <si>
    <t>REMOÇÃO DE PORTAS, DE FORMA MANUAL, SEM REAPROVEITAMENTO. AF_12/2017</t>
  </si>
  <si>
    <t>(Porta P2 - conforme quadro de esquadrias)</t>
  </si>
  <si>
    <t>(Porta P3 - conforme quadro de esquadrias)</t>
  </si>
  <si>
    <t>(Porta P4 - conforme quadro de esquadrias)</t>
  </si>
  <si>
    <t>(Porta P5 - conforme quadro de esquadrias)</t>
  </si>
  <si>
    <t>(Porta P6 - conforme quadro de esquadrias)</t>
  </si>
  <si>
    <t>(Janela J1 - conforme quadro de esquadrias)</t>
  </si>
  <si>
    <t>3.3</t>
  </si>
  <si>
    <t>Instalações hidrossanitárias</t>
  </si>
  <si>
    <t>3.4</t>
  </si>
  <si>
    <t>Instalações elétricas</t>
  </si>
  <si>
    <t>3.5</t>
  </si>
  <si>
    <t>3.3.1</t>
  </si>
  <si>
    <t>PORTA EM ALUMÍNIO DE ABRIR TIPO VENEZIANA COM GUARNIÇÃO, FIXAÇÃO COM PARAFUSOS - FORNECIMENTO E INSTALAÇÃO. AF_08/2015</t>
  </si>
  <si>
    <t>3.3.2</t>
  </si>
  <si>
    <t>3.4.1</t>
  </si>
  <si>
    <t>Revisão de ponto de água</t>
  </si>
  <si>
    <t>(Mictório em alvenaria 2x)</t>
  </si>
  <si>
    <t>(Sanitários 2x)</t>
  </si>
  <si>
    <t>(Bancada do Lavátorio 2x)</t>
  </si>
  <si>
    <t>(Chuveiros vestiários 2x)</t>
  </si>
  <si>
    <t>(Chuveiros arbitros)</t>
  </si>
  <si>
    <t>(Mictório arbitros)</t>
  </si>
  <si>
    <t>(Sanitários arbitros)</t>
  </si>
  <si>
    <t>(Bancada do Lavátorio arbitros)</t>
  </si>
  <si>
    <t>Revisão de ponto de esgoto</t>
  </si>
  <si>
    <t>Lavatório com bancada em mármore branco polido, e = 3cm, dim 2.40x0.60, com 03 cubas de embutir de louça, sifão ajustável metalizado, válvula cromada, torneira cromada, inclusive rodabancada 7 cm, assentada</t>
  </si>
  <si>
    <t>(Para os dois vestiários)</t>
  </si>
  <si>
    <t>Lavatório com bancada em mármore branco polido, e = 3cm, dim 1.50x0.60, com 02 cubas de embutir de louça, sifão ajustável metalizado, válvula cromada, torneira cromada, inclusive rodabancada 7 cm, assentada</t>
  </si>
  <si>
    <t>(Para os arbitros)</t>
  </si>
  <si>
    <t>3.4.2</t>
  </si>
  <si>
    <t>3.4.3</t>
  </si>
  <si>
    <t>3.5.1</t>
  </si>
  <si>
    <t>Revisão de ponto de interruptor simples com reposição do interruptor e fiação</t>
  </si>
  <si>
    <t>3.5.2</t>
  </si>
  <si>
    <t>(Área externa)</t>
  </si>
  <si>
    <t>(Túnel)</t>
  </si>
  <si>
    <t>(Vestiário arbitro)</t>
  </si>
  <si>
    <t>3.5.3</t>
  </si>
  <si>
    <t>Revisão de ponto de interruptor duplo com reposição do interruptor e fiação</t>
  </si>
  <si>
    <t>Revisão de ponto de tomada simples com reposição do interruptor e fiação</t>
  </si>
  <si>
    <t>3.5.4</t>
  </si>
  <si>
    <t>Revisão de ponto de tomada dupla com reposição do interruptor e fiação</t>
  </si>
  <si>
    <t>(6 + 1 + 3 + 3) x 2 + (3 + 1 + 2 + 2) = 34</t>
  </si>
  <si>
    <t>(comprimento do lavátorio dos árbitros)</t>
  </si>
  <si>
    <t>(largura do lavátorio dos árbitros)</t>
  </si>
  <si>
    <t>RECUPERAÇÃO DA CALHA DE DRENAGEM DO CAMPO</t>
  </si>
  <si>
    <t>CABINES DE RÁDIO (EXISTENTES E NOVAS)</t>
  </si>
  <si>
    <t>REMOÇÃO DE METAIS SANITÁRIOS, DE FORMA MANUAL, SEM REAPROVEITAMENTO. AF_12/2017</t>
  </si>
  <si>
    <t>DEMOLIÇÃO DE ALVENARIA DE BLOCO FURADO, DE FORMA MANUAL, SEM REAPROVEITAMENTO. AF_12/2017</t>
  </si>
  <si>
    <t>Igual ao total da área de aplicação e lixamento de massa látex em tetos</t>
  </si>
  <si>
    <t xml:space="preserve"> 7,48 + 2,52 = 10,00 m²</t>
  </si>
  <si>
    <t>(% a se considerar neste trecho)</t>
  </si>
  <si>
    <t>(Área de chapisco maior que a área de massa única, pois algumas regiões da murada, o acabamento é o proprio chapisco)</t>
  </si>
  <si>
    <t>(largura das lajes de coberta de acesso aos vestiários x3)</t>
  </si>
  <si>
    <t>(comprimento das lajes de coberta de acesso aos vestiários x3)</t>
  </si>
  <si>
    <t>3</t>
  </si>
  <si>
    <t>Elevação</t>
  </si>
  <si>
    <t>3.6</t>
  </si>
  <si>
    <t>3.6.1</t>
  </si>
  <si>
    <t>3.6.2</t>
  </si>
  <si>
    <t>3.6.3</t>
  </si>
  <si>
    <t>3.6.4</t>
  </si>
  <si>
    <t>3.6.5</t>
  </si>
  <si>
    <t>3.6.6</t>
  </si>
  <si>
    <t>INSTALAÇÕES HIDROSSANITÁRIAS (com BDI) ............................................................................................................................................................................</t>
  </si>
  <si>
    <t>CABINES DE RÁDIO (EXISTENTES E NOVAS) (com BDI) .........................................................................................................................................................................</t>
  </si>
  <si>
    <t>RECUPERAÇÃO DA CALHA DE DRENAGEM DO CAMPO (Com BDI).........................................................................................................................................................................</t>
  </si>
  <si>
    <t>APLICAÇÃO E LIXAMENTO DE MASSA LÁTEX EM TETO, DUAS DEMÃOS. AF_06/2014</t>
  </si>
  <si>
    <t>APLICAÇÃO E LIXAMENTO DE MASSA LÁTEX EM PAREDES, UMA DEMÃO. AF_06/2014</t>
  </si>
  <si>
    <t>APLICAÇÃO MANUAL DE PINTURA COM TINTA LÁTEX ACRÍLICA EM PAREDES, DUAS DEMÃOS. AF_06/2014</t>
  </si>
  <si>
    <t>DEMOLIÇÃO DE LAJES, DE FORMA MECANIZADA COM MARTELETE, SEM REAPROVEITAMENTO. AF_12/2017</t>
  </si>
  <si>
    <t>APLICAÇÃO MANUAL DE PINTURA COM TINTA LÁTEX ACRÍLICA EM TETO, DUAS DEMÃOS. AF_06/2014</t>
  </si>
  <si>
    <t xml:space="preserve"> Lavatório com bancada em granito cinza andorinha, e = 2cm, dim 2.40x0.60, com 03 cubas de embutir de louça, sifão ajustável metalizado, válvula cromada, torneira cromada, inclusive rodopia 10 cm, assentada</t>
  </si>
  <si>
    <t xml:space="preserve"> Lavatório com bancada em granito cinza andorinha, e = 2cm, dim 1,50x0,60, com 02 cubas de embutir de louça, sifão cromado, válvula cromada, torneira cromada, inclusive rodopia 10 cm, assentada</t>
  </si>
  <si>
    <t>DEMOLIÇÃO DE ARGAMASSAS, DE FORMA MANUAL, SEM REAPROVEITAMENTO. AF_12/2017</t>
  </si>
  <si>
    <t>97631</t>
  </si>
  <si>
    <t>87894</t>
  </si>
  <si>
    <t>CHAPISCO APLICADO EM ALVENARIA (SEM PRESENÇA DE VÃOS) E ESTRUTURAS DE CONCRETO DE FACHADA, COM COLHER DE PEDREIRO. ARGAMASSA TRAÇO 1:3 COMPREPARO EM BETONEIRA 400L. AF_06/2014</t>
  </si>
  <si>
    <t>MASSA ÚNICA EM ARGAMASSA TRAÇO 1:2:8, PREPARO MECÂNICO COM BETONEIRA 400 L, APLICADA MANUALMENTE EM PANOS DE FACHADA COM PRESENÇA DE VÃOS, ESPESSURA DE 25 MM. AF_06/2014</t>
  </si>
  <si>
    <t>LIXAMENTO MANUAL EM SUPERFÍCIES METÁLICAS EM OBRA. AF_01/2020</t>
  </si>
  <si>
    <t>MASSA ÚNICA, PARA RECEBIMENTO DE PINTURA, EM ARGAMASSA TRAÇO 1:2:8, PREPARO MECÂNICO COM BETONEIRA 400L, APLICADA MANUALMENTE EM FACES INTERNAS DE PAREDES, ESPESSURA DE 10MM, COM EXECUÇÃO DE TALISCAS. AF_06/2014</t>
  </si>
  <si>
    <t>Placa de sinalizacao de seguranca contra incendio, fotoluminescente, retangular, *12 x 40* cm, em pvc *2* mm anti-chamas (simbolos, cores e pictogramas conforme nbr 13434)</t>
  </si>
  <si>
    <t xml:space="preserve">            18,00 + 16,00 + 6,00 = 40,00 und</t>
  </si>
  <si>
    <t>(quantidade conforme indicado em desenhos) - und</t>
  </si>
  <si>
    <t>(quantidade conforme indicado em desenhos)- und</t>
  </si>
  <si>
    <t>1,00 + 4,00 + 1,00 = 6,00 und</t>
  </si>
  <si>
    <t>Sirene aúdiovisual endereçavel, 120db, para alarme de incêndio</t>
  </si>
  <si>
    <t>(área da porta P5 )</t>
  </si>
  <si>
    <t>(área da porta P6 )</t>
  </si>
  <si>
    <t>(área da porta P7)</t>
  </si>
  <si>
    <t>(área da porta P8 )</t>
  </si>
  <si>
    <t>(área da janela do camarote x2 )</t>
  </si>
  <si>
    <t>(área da janela do camarote)</t>
  </si>
  <si>
    <t>9,37 + 14,10 +16,00 + 8,66 + 1,00 + 3,00 = 53,13 m²</t>
  </si>
  <si>
    <t>Área total de demolição da argamassa na fachada sudoeste</t>
  </si>
  <si>
    <t>(área de porta P33)</t>
  </si>
  <si>
    <t>(área dos portões P9 x2)</t>
  </si>
  <si>
    <t>(área do portão P31)</t>
  </si>
  <si>
    <t>1,00 x 2 + 1,70 + 5,00 x 2 + 8,40 + 18,00 x 2 = 58,10 m²</t>
  </si>
  <si>
    <t>(área dos portões para acesso de viaturas x2)</t>
  </si>
  <si>
    <t>Área total de demolição da argamassa na fachada sudeste</t>
  </si>
  <si>
    <t>11,84 + 18x2 + 6,30 = 54,14 m²</t>
  </si>
  <si>
    <t>Área total de demolição da argamassa na fachada noroeste</t>
  </si>
  <si>
    <t>Área total de demolição da argamassa sem as esquadrias ( m² )</t>
  </si>
  <si>
    <t>Área real de demolição da argamassa para execução de um novo revestimento (m²)</t>
  </si>
  <si>
    <t>Área real de pintura externa (m²)</t>
  </si>
  <si>
    <t>JANELA DE ALUMÍNIO DE CORRER COM 2 FOLHAS PARA VIDROS, COM VIDROS, BATENTE, ACABAMENTO COM ACETATO OU BRILHANTE E FERRAGENS. EXCLUSIVE ALIZAR E CONTRAMARCO. FORNECIMENTO E INSTALAÇÃO. AF_12/2019</t>
  </si>
  <si>
    <t>(comprimento das calhas nas laterais do campo) x2</t>
  </si>
  <si>
    <t>UND</t>
  </si>
  <si>
    <t>M</t>
  </si>
  <si>
    <t>(comprimento dos corrimãos das escadas nas muretas)</t>
  </si>
  <si>
    <t>(quantidade em todas as arquibancadas)</t>
  </si>
  <si>
    <t>CORRIMÃO SIMPLES, DIÂMETRO EXTERNO = 1 1/2", EM AÇO GALVANIZADO. AF_04/2019_P</t>
  </si>
  <si>
    <t>M²</t>
  </si>
  <si>
    <t>ALVENARIA DE VEDAÇÃO DE BLOCOS CERÂMICOS FURADOS NA HORIZONTAL DE 9X19X19CM (ESPESSURA 9CM) DE PAREDES COM ÁREA LÍQUIDA MAIOR OU IGUAL A 6M² SEM VÃOS E ARGAMASSA DE ASSENTAMENTO COM PREPARO EM BETONEIRA. AF_06/2014</t>
  </si>
  <si>
    <t>MONTAGEM E DESMONTAGEM DE FÔRMA DE PILARES RETANGULARES E ESTRUTURAS SIMILARES COM ÁREA MÉDIA DAS SEÇÕES MENOR OU IGUAL A 0,25 M², PÉ-DIREITO SIMPLES, EM MADEIRA SERRADA, 2 UTILIZAÇÕES. AF_12/2015</t>
  </si>
  <si>
    <t>LANÇAMENTO COM USO DE BALDES, ADENSAMENTO E ACABAMENTO DE CONCRETO EM ESTRUTURAS. AF_12/2015</t>
  </si>
  <si>
    <t>AREIA PARA ATERRO - POSTO JAZIDA/FORNECEDOR (RETIRADO NA JAZIDA, SEM TRANSPORTE)</t>
  </si>
  <si>
    <t xml:space="preserve"> 95240 </t>
  </si>
  <si>
    <t>LASTRO DE CONCRETO MAGRO, APLICADO EM PISOS OU RADIERS, ESPESSURA DE 3 CM. AF_07/2016</t>
  </si>
  <si>
    <t>INSTALAÇÕES ELÉTRICAS (CABINES NOVAS E EXISTENTES)</t>
  </si>
  <si>
    <t>Revisão de ponto de tomada de uso específico com reposição da tomada e fiação</t>
  </si>
  <si>
    <t>PONTO DE ILUMINAÇÃO RESIDENCIAL INCLUINDO INTERRUPTOR SIMPLES, CAIXA ELÉTRICA, ELETRODUTO, CABO, RASGO, QUEBRA E CHUMBAMENTO (EXCLUINDO LUMINÁRIA E LÂMPADA). AF_01/2016</t>
  </si>
  <si>
    <t>UN</t>
  </si>
  <si>
    <t>PONTO DE TOMADA RESIDENCIAL INCLUINDO TOMADA (2 MÓDULOS) 10A/250V, CAIXA ELÉTRICA, ELETRODUTO, CABO, RASGO, QUEBRA E CHUMBAMENTO. AF_01/2016</t>
  </si>
  <si>
    <t>ESQUADRIAS (CABINES NOVAS E EXISTENTES)</t>
  </si>
  <si>
    <t xml:space="preserve"> 91341 </t>
  </si>
  <si>
    <t xml:space="preserve"> 97645 </t>
  </si>
  <si>
    <t xml:space="preserve"> 97644 </t>
  </si>
  <si>
    <t>PISO E REVESTIMENTOS (CABINES NOVAS)</t>
  </si>
  <si>
    <t xml:space="preserve"> 87894 </t>
  </si>
  <si>
    <t>CHAPISCO APLICADO EM ALVENARIA (SEM PRESENÇA DE VÃOS) E ESTRUTURAS DE CONCRETO DE FACHADA, COM COLHER DE PEDREIRO.  ARGAMASSA TRAÇO 1:3 COM PREPARO EM BETONEIRA 400L. AF_06/2014</t>
  </si>
  <si>
    <t xml:space="preserve"> 87547 </t>
  </si>
  <si>
    <t xml:space="preserve"> 88495 </t>
  </si>
  <si>
    <t xml:space="preserve"> 88489 </t>
  </si>
  <si>
    <t xml:space="preserve"> 88494 </t>
  </si>
  <si>
    <t>APLICAÇÃO E LIXAMENTO DE MASSA LÁTEX EM TETO, UMA DEMÃO. AF_06/2014</t>
  </si>
  <si>
    <t xml:space="preserve"> 88488 </t>
  </si>
  <si>
    <t>REVESTIMENTO CERÂMICO PARA PISO COM PLACAS TIPO PORCELANATO DE DIMENSÕES 60X60 CM APLICADA EM AMBIENTES DE ÁREA MENOR QUE 5 M². AF_06/2014</t>
  </si>
  <si>
    <t>TELHAMENTO COM TELHA METÁLICA TERMOACÚSTICA E = 30 MM, COM ATÉ 2 ÁGUAS, INCLUSO IÇAMENTO. AF_07/2019</t>
  </si>
  <si>
    <t>94216</t>
  </si>
  <si>
    <t>INSTALAÇÕES ELÉTRICAS (CABINES NOVAS E EXISTENTES)(com BDI) ............................................................................................................................................................................</t>
  </si>
  <si>
    <t>ELEVAÇÃO - CABINES NOVAS(com BDI) ............................................................................................................................................................................</t>
  </si>
  <si>
    <t>ELEVAÇÃO - CABINES NOVAS</t>
  </si>
  <si>
    <t xml:space="preserve">(largura da porta P1) x1 </t>
  </si>
  <si>
    <t xml:space="preserve">(comprimento da porta P1) x1 </t>
  </si>
  <si>
    <t>(largura da porta P3) x3</t>
  </si>
  <si>
    <t>(comprimento da porta P3) x3</t>
  </si>
  <si>
    <t xml:space="preserve">(largura da porta P4) x1 </t>
  </si>
  <si>
    <t xml:space="preserve">(comprimento da porta P4) x1 </t>
  </si>
  <si>
    <t>(largura da porta P5) x6</t>
  </si>
  <si>
    <t>(comprimento da porta P5) x6</t>
  </si>
  <si>
    <t>ESQUADRIAS (CABINES NOVAS E EXISTENTES)(com BDI) ............................................................................................................................................................................</t>
  </si>
  <si>
    <t xml:space="preserve">(largura da janela J1-A) x5 </t>
  </si>
  <si>
    <t>(comprimento da janela J1-A) x5</t>
  </si>
  <si>
    <t>(largura da janela J2-B) x1</t>
  </si>
  <si>
    <t>(comprimento da janela J2-B) x1</t>
  </si>
  <si>
    <t xml:space="preserve">(largura da janela J3-C) x3 </t>
  </si>
  <si>
    <t>(comprimento da janela J3-C) x3</t>
  </si>
  <si>
    <t>PISO E REVESTIMENTOS (CABINES NOVAS)(com BDI) ............................................................................................................................................................................</t>
  </si>
  <si>
    <t xml:space="preserve">(largura da janela J1) x5 </t>
  </si>
  <si>
    <t>(comprimento da janela J1) x5</t>
  </si>
  <si>
    <t>(largura da janela J2) x1</t>
  </si>
  <si>
    <t>(comprimento da janela J2) x1</t>
  </si>
  <si>
    <t>(largura da janela G1) x1</t>
  </si>
  <si>
    <t>(comprimento da janela G1) x1</t>
  </si>
  <si>
    <t xml:space="preserve">(largura da porta P3) x1 </t>
  </si>
  <si>
    <t xml:space="preserve">(comprimento da porta P3) x1 </t>
  </si>
  <si>
    <t xml:space="preserve">(comprimento da porta P4 x1 </t>
  </si>
  <si>
    <t>OBRA:</t>
  </si>
  <si>
    <t>1058030-80</t>
  </si>
  <si>
    <t>REPASSE:</t>
  </si>
  <si>
    <t>ENDEREÇO:</t>
  </si>
  <si>
    <t>RUA HORÁCIO NÓBREGA</t>
  </si>
  <si>
    <t>Nº CONTRATO:</t>
  </si>
  <si>
    <t>MUNICÍPIO:</t>
  </si>
  <si>
    <t>PATOS - PB</t>
  </si>
  <si>
    <t>REFORMA DO ESTÁDIO JOSÉ CALVACANTI - ETAPA 02</t>
  </si>
  <si>
    <t>VALOR UNIT.</t>
  </si>
  <si>
    <t>COTAÇÃO</t>
  </si>
  <si>
    <t>ENCANADOR OU BOMBEIRO HIDRÁULICO COM ENCARGOS COMPLEMENTARES</t>
  </si>
  <si>
    <t>INSUMO</t>
  </si>
  <si>
    <t>COMPOSICAO</t>
  </si>
  <si>
    <t>TIPO ITEM</t>
  </si>
  <si>
    <t>H</t>
  </si>
  <si>
    <t>EMPRESA</t>
  </si>
  <si>
    <t>CONTATO</t>
  </si>
  <si>
    <t>CPU/ PRÓPRIO</t>
  </si>
  <si>
    <t>ELETRICISTA COM ENCARGOS COMPLEMENTARES</t>
  </si>
  <si>
    <t>SERVENTE COM ENCARGOS COMPLEMENTARES</t>
  </si>
  <si>
    <t>(quantidade necessária segundo PPCI) - und</t>
  </si>
  <si>
    <t>CHAPA DE ACO GROSSA, ASTM A36, E = 3/8 " (9,53 MM) 74,69 KG/M2</t>
  </si>
  <si>
    <t>ELETRODO REVESTIDO AWS - E6013, DIAMETRO IGUAL A 2,50 MM</t>
  </si>
  <si>
    <t>PARAFUSO DE ACO TIPO CHUMBADOR PARABOLT, DIAMETRO 3/8", COMPRIMENTO 75 MM</t>
  </si>
  <si>
    <t>TUBO ACO GALVANIZADO COM COSTURA, CLASSE LEVE, DN 40 MM ( 1 1/2"),  E = 3,00 MM,  *3,48* KG/M (NBR 5580)</t>
  </si>
  <si>
    <t>SERRALHEIRO COM ENCARGOS COMPLEMENTARES</t>
  </si>
  <si>
    <t>KG</t>
  </si>
  <si>
    <t>FONTE: 13020/ORSE</t>
  </si>
  <si>
    <t>PEDREIRO COM ENCARGOS COMPLEMENTARES</t>
  </si>
  <si>
    <t>kg</t>
  </si>
  <si>
    <t>ELETRODO REVESTIDO AWS - E7018, DIAMETRO IGUAL A 4,00 MM</t>
  </si>
  <si>
    <t>87792</t>
  </si>
  <si>
    <t>Esquadria</t>
  </si>
  <si>
    <t>PISO CIMENTADO, TRAÇO 1:3 (CIMENTO E AREIA), ACABAMENTO RÚSTICO, ESPESSURA 2,0 CM, PREPARO MECÂNICO DA ARGAMASSA. AF_09/2020</t>
  </si>
  <si>
    <t>SUB-TOTAL........................................................................................................................................................................................................................................................</t>
  </si>
  <si>
    <t>(altura das porta P3)</t>
  </si>
  <si>
    <t>(Largura somada das portas P3   - padronizar entradas em 0,9 m de largura )</t>
  </si>
  <si>
    <t>REVESTIMENTOS (com BDI) ..............................................................................................................................................................................................................</t>
  </si>
  <si>
    <t>3.2.2</t>
  </si>
  <si>
    <t>3.2.3</t>
  </si>
  <si>
    <t xml:space="preserve"> REVISÃO DE PONTO DE ÁGUA</t>
  </si>
  <si>
    <t>FONTE: 1201/ORSE</t>
  </si>
  <si>
    <t>ADESIVO PLASTICO PARA PVC, FRASCO COM 850 GR</t>
  </si>
  <si>
    <t>JOELHO, PVC SOLDAVEL, 45 GRAUS, 32 MM, PARA AGUA FRIA PREDIAL</t>
  </si>
  <si>
    <t>TUBO PVC, SOLDAVEL, DN 32 MM, AGUA FRIA (NBR-5648)</t>
  </si>
  <si>
    <t xml:space="preserve"> REVISÃO DE PONTO DE ESGOTO</t>
  </si>
  <si>
    <t>CURVA CURTA PVC, PB, JE, 90 GRAUS, DN 100 MM, PARA REDE COLETORA ESGOTO (NBR 10569)</t>
  </si>
  <si>
    <t>TUBO COLETOR DE ESGOTO PVC, JEI, DN 100 MM (NBR  7362)</t>
  </si>
  <si>
    <t>FONTE: 1681/ORSE</t>
  </si>
  <si>
    <t>FONTE: 632/ORSE</t>
  </si>
  <si>
    <t xml:space="preserve"> REVISÃO DE PONTO DE INTERRUPTOR SIMPLES COM REPOSIÇÃO DO INTERRUPTOR E FIAÇÃO</t>
  </si>
  <si>
    <t>INTERRUPTOR SIMPLES 10A, 250V, CONJUNTO MONTADO PARA EMBUTIR 4" X 2" (PLACA + SUPORTE + MODULO)</t>
  </si>
  <si>
    <t>ARAME RECOZIDO 18 BWG, 1,25 MM (0,01 KG/M)</t>
  </si>
  <si>
    <t>FIO DE COBRE, SOLIDO, CLASSE 1, ISOLACAO EM PVC/A, ANTICHAMA BWF-B, 450/750V, SECAO NOMINAL 2,5 MM2</t>
  </si>
  <si>
    <t>FITA ISOLANTE ADESIVA ANTICHAMA, USO ATE 750 V, EM ROLO DE 19 MM X 20 M</t>
  </si>
  <si>
    <t>ARAME RECOZIDO 16 BWG, D = 1,65 MM (0,016 KG/M) OU 18 BWG, D = 1,25 MM (0,01 KG/M)</t>
  </si>
  <si>
    <t>FONTE: 624/ORSE</t>
  </si>
  <si>
    <t>BUCHA EM ALUMINIO, COM ROSCA, DE 1/2", PARA ELETRODUTO</t>
  </si>
  <si>
    <t>CAIXA DE LUZ "4 X 4" EM ACO ESMALTADA</t>
  </si>
  <si>
    <t>ELETRODUTO DE PVC RIGIDO ROSCAVEL DE 1/2 ", SEM LUVA</t>
  </si>
  <si>
    <t>CORDAO DE COBRE, FLEXIVEL, TORCIDO, CLASSE 4 OU 5, ISOLACAO EM PVC/D, 300 V, 2 CONDUTORES DE 2,5 MM2</t>
  </si>
  <si>
    <t>TOMADA 2P+T 10A, 250V, CONJUNTO MONTADO PARA EMBUTIR 4" X 2" (PLACA + SUPORTE + MODULO)</t>
  </si>
  <si>
    <t>FONTE: 628/ORSE</t>
  </si>
  <si>
    <t>INTERRUPTORES SIMPLES (2 MODULOS) 10A, 250V, CONJUNTO MONTADO PARA EMBUTIR 4" X 2" (PLACA + SUPORTE + MODULOS)</t>
  </si>
  <si>
    <t>TOMADAS (2 MODULOS) 2P+T 10A, 250V, CONJUNTO MONTADO PARA EMBUTIR 4" X 2" (PLACA + SUPORTE + MODULOS)</t>
  </si>
  <si>
    <t>INTERRUPTOR SIMPLES + TOMADA 2P+T 10A, 250V, CONJUNTO MONTADO PARA EMBUTIR 4" X 2" (PLACA + SUPORTE + MODULOS)</t>
  </si>
  <si>
    <t>ESQUADRIAS (com BDI) ..........................................................................................................................................................................................................</t>
  </si>
  <si>
    <t>LAJE PRÉ-MOLDADA UNIDIRECIONAL, BIAPOIADA, PARA FORRO, ENCHIMENTO EM CERÂMICA, VIGOTA CONVENCIONAL, ALTURA TOTAL DA LAJE (ENCHIMENTO+CAPA) = (8+3). AF_11/2020</t>
  </si>
  <si>
    <t>SUB-TOTAL...........................................................................................................................................................................................................................................................</t>
  </si>
  <si>
    <t>CONCRETO FCK = 15MPA, TRAÇO 1:3,4:3,5 (EM MASSA SECA DE CIMENTO/ AREIA MÉDIA/ BRITA 1) - PREPARO MECÂNICO COM BETONEIRA 400 L. AF_05/2021</t>
  </si>
  <si>
    <t>ATERRO MANUAL DE VALAS COM AREIA PARA ATERRO</t>
  </si>
  <si>
    <t>FONTE: 94342/SINAPI</t>
  </si>
  <si>
    <t>Revisão de ponto de tomada simples com reposição da tomada e fiação</t>
  </si>
  <si>
    <t>Revisão de ponto de tomada dupla com reposição da tomada e fiação</t>
  </si>
  <si>
    <t>TOMADA 2P+T 20A 250V, CONJUNTO MONTADO PARA EMBUTIR 4" X 2" (PLACA + SUPORTE + MODULO)</t>
  </si>
  <si>
    <t>FIO DE COBRE, SOLIDO, CLASSE 1, ISOLACAO EM PVC/A, ANTICHAMA BWF-B, 450/750V, SECAO NOMINAL 4 MM2</t>
  </si>
  <si>
    <t>REVESTIMENTO CERÂMICO PARA PISO COM PLACAS TIPO PORCELANATO DE DIMENSÕES 45X45 CM APLICADA EM AMBIENTES DE ÁREA MENOR QUE 5 M². AF_06/2014</t>
  </si>
  <si>
    <t>INSTALAÇÕES ELÉTRICAS(com BDI) .................................................................................................................................................................................................</t>
  </si>
  <si>
    <t>FONTE: 12414/ORSE</t>
  </si>
  <si>
    <t>SOLDADOR COM ENCARGOS COMPLEMENTARES</t>
  </si>
  <si>
    <t>PINTURA COM TINTA ALQUÍDICA DE FUNDO (TIPO ZARCÃO) PULVERIZADA SOBRE PERFIL METÁLICO EXECUTADO EM FÁBRICA (POR DEMÃO). AF_01/2020_P</t>
  </si>
  <si>
    <t>CANTONEIRA ACO ABAS IGUAIS (QUALQUER BITOLA), ESPESSURA ENTRE 1/8" E 1/4"</t>
  </si>
  <si>
    <t>FONTE: 4780/ORSE</t>
  </si>
  <si>
    <t>ADESIVO ESTRUTURAL A BASE DE RESINA EPOXI, BICOMPONENTE, PASTOSO (TIXOTROPICO) - CHUMBAMENTO DOS VERGALHÕES PARA ANCORAR AS TERÇAS</t>
  </si>
  <si>
    <t>ACO CA-50  12,5 MM - DOBRADO E CORTADO</t>
  </si>
  <si>
    <t>SISTEMA DE ALARME (com BDI)................................................................................................................................................................................................</t>
  </si>
  <si>
    <t>VESTIÁRIOS (com BDI) .............................................................................................................................................................................................................................</t>
  </si>
  <si>
    <t>ELEVAÇÃO  (com BDI) ...........................................................................................................................................................................................................................</t>
  </si>
  <si>
    <t>PT</t>
  </si>
  <si>
    <t>Total</t>
  </si>
  <si>
    <t>REPASSE</t>
  </si>
  <si>
    <t>ACO CA-50  12,5 MM - DOBRADO E CORTADO - VERGALHÕES PARA CHUMBAR NAS VIGAS DE CONCRETO</t>
  </si>
  <si>
    <t>GUARDA-PORPO E CORRIMÃO (com BDI).............................................................................................................................................................................</t>
  </si>
  <si>
    <t>FURO EM CONCRETO PARA DIÂMETROS MENORES OU IGUAIS A 40 MM. AF_05/2015</t>
  </si>
  <si>
    <t>(Portas P5 - conforme quadro de esquadrias)</t>
  </si>
  <si>
    <t>(Portas P6 - conforme quadro de esquadrias)</t>
  </si>
  <si>
    <t>(espessura da laje)</t>
  </si>
  <si>
    <t>1,70 x 2,78 x 0,15x  3,00 = 2,13 m³</t>
  </si>
  <si>
    <t>(área das lajes de coberta que dão acesso aos vestiários x3 )</t>
  </si>
  <si>
    <t>(Perimetro da área livre ( frente)  e faces dos pilares</t>
  </si>
  <si>
    <t>(largura da porta P2 e P4) x2</t>
  </si>
  <si>
    <t>(quantidade P3 - Concentração) x2</t>
  </si>
  <si>
    <t>[((0,60x2)+(1,16x2x2)+(0,85x1x2))x2,10] + (0,80x2x0,3)+(1,2x9x0,60x2)+(0,80x6x0,4) = 31,19 m²</t>
  </si>
  <si>
    <t>(paredes externas laterais dos vestiários x 2)</t>
  </si>
  <si>
    <t>[(33,00 + 14,00 + 24,50 + 4,28 + 26,27) x 2,00] + 16,87 + 15,31 + 27,42 + 78,53 = 344,97 m²</t>
  </si>
  <si>
    <t>(ventiladores de teto/parede)</t>
  </si>
  <si>
    <t>2 + 2 + 3 = 7 pt</t>
  </si>
  <si>
    <t>9 + 5 + 2 + 4 + 2 + 6 + 2 = 30 pt</t>
  </si>
  <si>
    <t>3+  1 + 1 = 5 pt</t>
  </si>
  <si>
    <t>(Vestiário I )</t>
  </si>
  <si>
    <t>(Vestiário II)</t>
  </si>
  <si>
    <t>(Vestiário I)</t>
  </si>
  <si>
    <t>(Vestiário I e II)</t>
  </si>
  <si>
    <t>2 +  1 = 3 pt</t>
  </si>
  <si>
    <t>7,00 x 2,60 = 18,20 m²</t>
  </si>
  <si>
    <t>6,00 x 2,60 = 15,60 m²</t>
  </si>
  <si>
    <t>Área total de pintura da fachada sudoeste</t>
  </si>
  <si>
    <t>(39,47 + 24,50 + 12)x2 = 151,94 m²</t>
  </si>
  <si>
    <t>(área das esquadrias na fachada sudoeste x2) - P5, P6 E P7</t>
  </si>
  <si>
    <t>(área das esquadrias na fachada sudeste x2)- P33, P9 E P2</t>
  </si>
  <si>
    <t>(área das esquadrias na fachada noroeste x2)- P4</t>
  </si>
  <si>
    <t>PINTURA COM TINTA ALQUÍDICA DE FUNDO E ACABAMENTO (ESMALTE SINTÉTICO GRAFITE) PULVERIZADA SOBRE SUPERFÍCIES METÁLICAS (EXCETO PERFIL) EXECUTADO EM OBRA (POR DEMÃO). AF_01/2020_P</t>
  </si>
  <si>
    <t>100725</t>
  </si>
  <si>
    <t>Demolição de piso de alta resistência</t>
  </si>
  <si>
    <t>Área total de pintura  na fachada sudeste</t>
  </si>
  <si>
    <t>Área total de pintura na fachada noroeste</t>
  </si>
  <si>
    <t>Área total de pintura sem as esquadrias ( m² )</t>
  </si>
  <si>
    <t>FONTE: 3240/ORSE</t>
  </si>
  <si>
    <t>(comprimento dos degraus) X2</t>
  </si>
  <si>
    <t>(altura dos degraus) X 2</t>
  </si>
  <si>
    <t>(igual ao volume de concreto)</t>
  </si>
  <si>
    <t>(comprimento das cabines) x3</t>
  </si>
  <si>
    <t>(largura das valas) x3</t>
  </si>
  <si>
    <t>(profundidade) x3</t>
  </si>
  <si>
    <t>(altura da mureta para nova porta de acesso as nova cabines)</t>
  </si>
  <si>
    <t>(comprimento da porta)</t>
  </si>
  <si>
    <t xml:space="preserve">(comprimento dos degraus) </t>
  </si>
  <si>
    <t>( interruptores nas cabines existentes) - pt</t>
  </si>
  <si>
    <t>( lampadas nas cabines existentes)- pt</t>
  </si>
  <si>
    <t>( interruptores duplos  nas cabines existentes) - pt</t>
  </si>
  <si>
    <t>(tomada simples  nas cabines existentes) - pt</t>
  </si>
  <si>
    <t>(tomada dupla nas cabines existentes) - pt</t>
  </si>
  <si>
    <t>(tomada de uso especifíco nas cabines existentes) - pt</t>
  </si>
  <si>
    <t>(para novos pontos de luz das cabines novas e hall)</t>
  </si>
  <si>
    <t>(para novas tomadas duplas das cabines novas e hall)</t>
  </si>
  <si>
    <t>(área da alvenaria) x2</t>
  </si>
  <si>
    <t>(igual a área de massa única) - m²</t>
  </si>
  <si>
    <t>(igual a área de chapisco) - m²</t>
  </si>
  <si>
    <t>(igual a área de massa látex) - m²</t>
  </si>
  <si>
    <t>(área da cabine I)</t>
  </si>
  <si>
    <t>(área da cabine II)</t>
  </si>
  <si>
    <t>(área da cabine III)</t>
  </si>
  <si>
    <t>(área do Hall)</t>
  </si>
  <si>
    <t>(comprimento total da coberta)</t>
  </si>
  <si>
    <t>(largura total da coberta)</t>
  </si>
  <si>
    <t>(comprimento total da coberta) x 3</t>
  </si>
  <si>
    <t>(profundidade de aplicação do adesivo)</t>
  </si>
  <si>
    <t>(quantidade de barras para ancoragem)</t>
  </si>
  <si>
    <t>(comprimento das barras para ancoragem)</t>
  </si>
  <si>
    <t>(coeficiente para converter "m" em kg para barras de 12,5 mm)</t>
  </si>
  <si>
    <t>Revisão de ponto de interruptor com tomada com reposição do interruptor/tomada e fiação</t>
  </si>
  <si>
    <t>PISO CIMENTADO, TRAÇO 1:3 (CIMENTO E AREIA), ACABAMENTO RÚSTICO, ESPESSURA 2,0 CM, PREPARO MECÂNICO DA ARGAMASSA.- PARA RECUPERAÇÃO DA CALHA -  AF_09/2020</t>
  </si>
  <si>
    <t xml:space="preserve"> Porta em aço, em chapa galvanizada nº24, raiada, de enrolar</t>
  </si>
  <si>
    <t>((2,58 x 5,00) +(16,01 x 5,00) + (83,37 x 8,23)+ (10,29 x 5,00) + (6,22 x 6,90) + (2,23 x 6,10)) x 40% = 354,82 m²</t>
  </si>
  <si>
    <t>354,82 - 53,13 = 301,69 m²</t>
  </si>
  <si>
    <t>((10,11 x 4,47) + (100,52 x 5,07) + (4,35 x 5,17) + (36,64 x 5,49))x30% = 244,77 m²</t>
  </si>
  <si>
    <t>((8,72 x 6,87) + (106,47 x 5,88) + (15,90 x 5,40) + (1,65 x 4,42) + (29,22 x 4,78))x30% = 280,93 m²</t>
  </si>
  <si>
    <t>280,93 - 58,10 = 222,83 m²</t>
  </si>
  <si>
    <t>244,77 - 54,14 = 190,63 m²</t>
  </si>
  <si>
    <t>715,16 - (18,20 + 15,60) = 681,36 m²</t>
  </si>
  <si>
    <t>(área equivalente apenas a parte de cima do portão de entrada central, mais 1 m de cada lado) -restante serão pinturas dos patrocionadores</t>
  </si>
  <si>
    <t>(total da área demolida da fachada sudoeste) -reparo</t>
  </si>
  <si>
    <t>(comprimento 1) - fachada sudeste - reparo</t>
  </si>
  <si>
    <t>(altura) fachada sudeste - reparo</t>
  </si>
  <si>
    <t>(comprimento 3) fachada sudeste - novo, completar massa única proximo a rampa nova</t>
  </si>
  <si>
    <t>(altura) fachada sudeste - novo, completar massa única proximo a rampa nova</t>
  </si>
  <si>
    <t>(comprimento 4) - fachada noroeste - reparo</t>
  </si>
  <si>
    <t>(altura) - fachada noroeste - reparo</t>
  </si>
  <si>
    <t>(total da área demolida do reboco da fachada sudoeste mais total das demais áreas que terão parte do reboco demolido e trecho novo ao lado da rampa nova)</t>
  </si>
  <si>
    <t>(% considerada neste trecho), igual a porcentagem de área demolida</t>
  </si>
  <si>
    <t>(esquadrias da fachada noroeste)</t>
  </si>
  <si>
    <t>(8,42 x 6,87) + (106,47 x 5,88) + (15,90 x 5,40) + (1,65 x 4,42) + (29,22 x 4,78) = 936,44 m²</t>
  </si>
  <si>
    <t>936,44 - 58,10 = 878,34 m²</t>
  </si>
  <si>
    <t>10,11 x 4,47 + 100,52 x 5,07 + 4,35 x 5,17 + 36,64 x 5,49 = 815,91 m²</t>
  </si>
  <si>
    <t xml:space="preserve">DEMOLIÇÃO DE ARGAMASSAS, DE FORMA MANUAL, SEM REAPROVEITAMENTO. AF_12/2017 </t>
  </si>
  <si>
    <t>Total da área para aplicação e lixamento de massa latex em paredes</t>
  </si>
  <si>
    <t>Preparo de superfície com lixamento de paredes e tetos</t>
  </si>
  <si>
    <t>(comprimento 1) - fachada sudeste</t>
  </si>
  <si>
    <t xml:space="preserve">(altura) fachada sudeste </t>
  </si>
  <si>
    <t xml:space="preserve">(comprimento 4) - fachada noroeste </t>
  </si>
  <si>
    <t xml:space="preserve">(altura) - fachada noroeste </t>
  </si>
  <si>
    <t>(% considerada ), porcentagem referente as regiões de massa única antiga que não serão demolidas, necessitando assim de um prévio preparo da superfície para posterior pintura)</t>
  </si>
  <si>
    <t xml:space="preserve">COBERTA DA ARQUIBANCADA SOMBRA (com BDI) </t>
  </si>
  <si>
    <t>TRANSPORTE COM CAMINHÃO BASCULANTE DE 10 M³, EM VIA URBANA PAVIMENTADA, DMT ATÉ 30 KM (UNIDADE: M3XKM). AF_07/2020</t>
  </si>
  <si>
    <t>95875</t>
  </si>
  <si>
    <t>M³xKM</t>
  </si>
  <si>
    <t>Torres de iluminação</t>
  </si>
  <si>
    <t>(altura estimada das torres)</t>
  </si>
  <si>
    <t>APLICAÇÃO MANUAL DE TINTA LÁTEX ACRÍLICA EM SUPERFÍCIES EXTERNAS DE SACADA DE EDIFÍCIOS DE MÚLTIPLOS PAVIMENTOS, DUAS DEMÃOS. AF_11/2016 - TORRES DE ILUMINAÇÃO</t>
  </si>
  <si>
    <t>(área estimada das faces das torres de iluminação)</t>
  </si>
  <si>
    <t>(portões novos de ( 4x4,5), (3x3,5),(3,2x3,7) x2) - o de 4 e 3 m para o PPCI e o de 3,2 m para repor o de acesso aos vestiários) - duas faces x2</t>
  </si>
  <si>
    <t>(151,94 + 41,84x 2) x 1,00 = 235,62 m²</t>
  </si>
  <si>
    <t>(diametro estimado das calhas nas laterais do campo)</t>
  </si>
  <si>
    <t>Área das paredes</t>
  </si>
  <si>
    <t>Forma analítica:                             2,50 x 0,62 x 0,31 x 3 = 1,44 m³</t>
  </si>
  <si>
    <t>Forma analítica:                             2,50 x 0,62 x 3 = 4,65 m²</t>
  </si>
  <si>
    <t>Forma analítica:                        2,35 x 1,65 x 5 + 1,75x1,65 + 2 x 1,50 x 3 = 31,28 m²</t>
  </si>
  <si>
    <t>(somatório das áreas dos pisos) - m²</t>
  </si>
  <si>
    <t>Forma analítica:                   39,09 x 2 = 78,19 m²</t>
  </si>
  <si>
    <t>(comprimento das cabines novas) parede antiga dos brises</t>
  </si>
  <si>
    <t>(altura das cabines novas) parede antiga dos brises</t>
  </si>
  <si>
    <t>MASSA ÚNICA EM ARGAMASSA TRAÇO 1:2:8, PREPARO MECÂNICO COM BETONEIRA 400 L, APLICADA MANUALMENTE EM PANOS CEGOS DE FACHADA (SEM PRESENÇA DE VÃOS), ESPESSURA DE 25 MM. AF_06/2014</t>
  </si>
  <si>
    <t>LUMINÁRIAS E SINALIZAÇÕES</t>
  </si>
  <si>
    <t>(torneiras dos lavátorios) - und</t>
  </si>
  <si>
    <t>(comprimento da murada INTERNA) - vista para os vestiários - da fachada nordeste</t>
  </si>
  <si>
    <t>(altura da murada INTERNA) - vista para os vestiários - da fachada nordeste</t>
  </si>
  <si>
    <t>Preparo de superfície com lixamento de paredes</t>
  </si>
  <si>
    <t>(largura)</t>
  </si>
  <si>
    <t>(comprimento)</t>
  </si>
  <si>
    <t xml:space="preserve">Preparo de superfície com lixamento de paredes </t>
  </si>
  <si>
    <t>124 x 2 x ((2 x 3,1415 x (0,45/2))/2) = 175,30 m ² - superfície de uma calha semi-circular</t>
  </si>
  <si>
    <t>Forma analítica:             55,36 x 5,1 = 282,34 m²</t>
  </si>
  <si>
    <t>Forma analítica:             55,36 x 3 = 166,08 m</t>
  </si>
  <si>
    <t>(cada pórtico receberá 3 terças e cada terça terão 2 furos para ancoragem ) - und</t>
  </si>
  <si>
    <t>Forma analítica:             5,10 x 11 = 56,10 m</t>
  </si>
  <si>
    <t>Forma analítica:            12 x 2 x 3 = 72 und</t>
  </si>
  <si>
    <t xml:space="preserve"> TERÇA PERFIL "U" ENRIJECIDO DE ACO GALVANIZADO, DOBRADO, 150 X 60 X 20 MM, E = 3,00 MM OU 200 X 75 X 25 MM, E = 3,75 MM - A - 36 -INCLUSO PINTURA COM TINTA ALQUÍDICA DE FUNDO - FORNECIMENTO E INSTALAÇÃO</t>
  </si>
  <si>
    <t xml:space="preserve">CANTONEIRA ACO ABAS IGUAIS ABAS DE 1”, ESPESSURA  DE  1/4" - INCLUSO PINTURA COM TINTA ALQUÍDICA DE FUNDO - FORNECIMENTO E INSTALAÇÃO </t>
  </si>
  <si>
    <t>1332/INSUMO</t>
  </si>
  <si>
    <t>(quantidade de placas base )</t>
  </si>
  <si>
    <t>Forma analítica:         36 x 0,1 x 0,15 x 74,69 = 40,33 kg</t>
  </si>
  <si>
    <t>Forma analítica:         78 x 0,25 x 0,96 = 17,33 kg</t>
  </si>
  <si>
    <t>FACHADA</t>
  </si>
  <si>
    <t>COBERTA DA ARQUIBANCADA SOMBRA (com BDI) .........................................................................................................................................................................</t>
  </si>
  <si>
    <t>(arquibancadas noroeste - m)</t>
  </si>
  <si>
    <t>(arquibancadas noroeste- m)</t>
  </si>
  <si>
    <t>(arquibancadas sudeste  -m)</t>
  </si>
  <si>
    <t>(arquibancadas sudeste -m)</t>
  </si>
  <si>
    <t>(arquibancadas sudoeste -m)</t>
  </si>
  <si>
    <t>(arquibancadas sudoeste  -m) x2</t>
  </si>
  <si>
    <t>Forma analítica:              9 + 4,72 + 4,68 + 4,95 + 3,28 + 4,25 + 13,03 +8,42 = 65,36 m</t>
  </si>
  <si>
    <t>REVESTIMENTO (com BDI) ............................................................................................................................................................................................................</t>
  </si>
  <si>
    <t>Coleta e carga manuais de entulho</t>
  </si>
  <si>
    <t>LUMINÁRIA DE EMERGÊNCIA, COM 30 LÂMPADAS LED DE 2 W, SEM REATOR - FORNECIMENTO E INSTALAÇÃO. AF_02/2020</t>
  </si>
  <si>
    <t>M3</t>
  </si>
  <si>
    <t>M2</t>
  </si>
  <si>
    <t>Demolição de piso de alta resistência (2cm)</t>
  </si>
  <si>
    <t>CONTRA-PARTIDA :</t>
  </si>
  <si>
    <t xml:space="preserve"> Guarda-corpo em tubo de aço galvanizado (h=90 cm), com barras superior e laterais (contornos) de (1.1/2") e barra verticais quadrada (3/4") a cada 15cm - chumbados com parabolt - conforme PPCI</t>
  </si>
  <si>
    <t xml:space="preserve">PERFIL "U" ENRIJECIDO DE ACO GALVANIZADO, DOBRADO, 150 X 60 X 20 MM, E = 3,00 MM </t>
  </si>
  <si>
    <t xml:space="preserve"> TERÇA PERFIL "U" ENRIJECIDO DE ACO GALVANIZADO, DOBRADO, 150 X 60 X 20 MM, E = 3,00 MM - A - 36 -INCLUSO PINTURA COM TINTA ALQUÍDICA DE FUNDO - FORNECIMENTO E INSTALAÇÃO</t>
  </si>
  <si>
    <t>(comprimento da murada INTERNA) - vista para os vestiários, região do portão de acesso - da fachada noroeste</t>
  </si>
  <si>
    <t>DEMOLIÇÕES / RETIRADAS  e TRANSPORTE (com BDI) .....................................................................................................................................................................................................</t>
  </si>
  <si>
    <t>(volume de demolição da laje, piso,alvenaria e revestimentos) - m³</t>
  </si>
  <si>
    <t>(volume de demolição da argamassa, 2 cm) - m³</t>
  </si>
  <si>
    <t>FACHADA   (com BDI) ..............................................................................................................................................................................................................................</t>
  </si>
  <si>
    <t>(guarda corpo por trás do gol - para proteção dos torcedores)</t>
  </si>
  <si>
    <t>(largura média)</t>
  </si>
  <si>
    <t>(comprimento médio)</t>
  </si>
  <si>
    <t>Forma analítica:                           25 x (4x( 0,48 x 2 + 0,37 x 2)) = 168 m²</t>
  </si>
  <si>
    <t>MONTAGEM E DESMONTAGEM DE FÔRMA DE PILARES RETANGULARES E ESTRUTURAS SIMILARES, PÉ-DIREITO SIMPLES, EM CHAPA DE MADEIRA COMPENSADA RESINADA, 2 UTILIZAÇÕES. AF_09/2020</t>
  </si>
  <si>
    <t>MASSA ÚNICA, PARA RECEBIMENTO DE PINTURA, EM ARGAMASSA TRAÇO 1:2:8, PREPARO MECÂNICO COM BETONEIRA 400L, APLICADA MANUALMENTE EM FACES INTERNAS DE PAREDES, ESPESSURA DE 20MM, COM EXECUÇÃO DE TALISCAS. AF_06/2014</t>
  </si>
  <si>
    <t>87529</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</si>
  <si>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</si>
  <si>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</si>
  <si>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6 MM², ANTI-CHAMA 0,6/1,0 KV, PARA CIRCUITOS TERMINAIS - FORNECIMENTO E INSTALAÇÃO. AF_12/2015</t>
  </si>
  <si>
    <t>ELETRODUTO FLEXÍVEL CORRUGADO, PVC, DN 25 MM (3/4"), PARA CIRCUITOS TERMINAIS, INSTALADO EM LAJE - FORNECIMENTO E INSTALAÇÃO. AF_12/2015</t>
  </si>
  <si>
    <t>(p/ todo o novo circuito que alimentará as novas cabines)-de acordo com o projeto de inst. Elétricas) - m</t>
  </si>
  <si>
    <t>DISJUNTOR MONOPOLAR TIPO DIN, CORRENTE NOMINAL DE 10A - FORNECIMENTO E INSTALAÇÃO. AF_10/2020</t>
  </si>
  <si>
    <t>DISJUNTOR MONOPOLAR TIPO DIN, CORRENTE NOMINAL DE 20A - FORNECIMENTO E INSTALAÇÃO. AF_10/2020</t>
  </si>
  <si>
    <t>DISJUNTOR MONOPOLAR TIPO DIN, CORRENTE NOMINAL DE 25A - FORNECIMENTO E INSTALAÇÃO. AF_10/2020</t>
  </si>
  <si>
    <t>INSTALAÇÕES ELÉTRICAS DO PPCI (com BDI)...............................................................................................................................................................................</t>
  </si>
  <si>
    <t>INSTALAÇÕES ELÉTRICAS DO PPCI</t>
  </si>
  <si>
    <t>(p/ todo o novo circuito que alimentará o PPCI)-de acordo com o projeto de inst. Elétricas) - m</t>
  </si>
  <si>
    <t>ELETRODUTO FLEXÍVEL CORRUGADO, PVC, DN 32 MM (1"), PARA CIRCUITOS TERMINAIS, INSTALADO EM LAJE - FORNECIMENTO E INSTALAÇÃO. AF_12/2015</t>
  </si>
  <si>
    <t>CABO DE COBRE FLEXÍVEL ISOLADO, 4,0 MM², ANTI-CHAMA 0,6/1,0 KV, PARA CIRCUITOS TERMINAIS - FORNECIMENTO E INSTALAÇÃO. AF_12/2015</t>
  </si>
  <si>
    <t>CABO DE COBRE FLEXÍVEL ISOLADO, 16 MM², ANTI-CHAMA 0,6/1,0 KV, PARA CIRCUITOS TERMINAIS - FORNECIMENTO E INSTALAÇÃO. AF_12/2015</t>
  </si>
  <si>
    <t>CABO DE COBRE FLEXÍVEL ISOLADO, 6,0 MM², ANTI-CHAMA 0,6/1,0 KV, PARA CIRCUITOS TERMINAIS - FORNECIMENTO E INSTALAÇÃO. AF_12/2015</t>
  </si>
  <si>
    <t>CABO DE COBRE FLEXÍVEL ISOLADO, 4 MM², ANTI-CHAMA 0,6/1,0 KV, PARA CIRCUITOS TERMINAIS - FORNECIMENTO E INSTALAÇÃO. AF_12/2015</t>
  </si>
  <si>
    <t>ELETRODUTO RÍGIDO ROSCÁVEL, PVC, DN 50 MM (1 1/2") - FORNECIMENTO E INSTALAÇÃO. AF_12/2015</t>
  </si>
  <si>
    <t>91867</t>
  </si>
  <si>
    <t>91868</t>
  </si>
  <si>
    <t>91869</t>
  </si>
  <si>
    <t>ELETRODUTO FLEXÍVEL CORRUGADO, PVC, DN 32 MM (1"), PARA CIRCUITOS TERMINAIS - FORNECIMENTO E INSTALAÇÃO. AF_12/2015</t>
  </si>
  <si>
    <t>ELETRODUTO RÍGIDO ROSCÁVEL, PVC, DN 20 MM (1/2"), PARA CIRCUITOS TERMINAIS - FORNECIMENTO E INSTALAÇÃO. AF_12/2015</t>
  </si>
  <si>
    <t>ELETRODUTO RÍGIDO ROSCÁVEL, PVC, DN 25 MM (3/4"), PARA CIRCUITOS TERMINAIS - FORNECIMENTO E INSTALAÇÃO. AF_12/2015</t>
  </si>
  <si>
    <t>ELETRODUTO RÍGIDO ROSCÁVEL, PVC, DN 32 MM (1"), PARA CIRCUITOS TERMINAIS - FORNECIMENTO E INSTALAÇÃO. AF_12/2015</t>
  </si>
  <si>
    <t>ELETRODUTO RÍGIDO ROSCÁVEL, PVC, DN 40 MM (1 1/4"), PARA CIRCUITOS TERMINAIS - FORNECIMENTO E INSTALAÇÃO. AF_12/2015</t>
  </si>
  <si>
    <t>Curva 45° para eletroduto de pvc rígido roscável, diâm = 32mm (1")</t>
  </si>
  <si>
    <t>CURVA 90 GRAUS PARA ELETRODUTO, PVC, ROSCÁVEL, DN 20 MM (1/2"),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</si>
  <si>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</si>
  <si>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</si>
  <si>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LAJE - FORNECIMENTO E INSTALAÇÃO. AF_12/2015</t>
  </si>
  <si>
    <t>LUVA PARA ELETRODUTO, PVC, ROSCÁVEL, DN 50 MM (1 1/2") - FORNECIMENTO E INSTALAÇÃO. AF_12/2015</t>
  </si>
  <si>
    <t>LUVA DE EMENDA PARA ELETRODUTO, AÇO GALVANIZADO, DN 25 MM (1''), APARENTE, INSTALADA EM TETO - FORNECIMENTO E INSTALAÇÃO. AF_11/2016_P</t>
  </si>
  <si>
    <t>LUVA DE EMENDA PARA ELETRODUTO, AÇO GALVANIZADO, DN 40 MM (1 1/2''), APARENTE, INSTALADA EM TETO - FORNECIMENTO E INSTALAÇÃO. AF_11/2016_P</t>
  </si>
  <si>
    <t>DISJUNTOR TRIPOLAR TIPO DIN, CORRENTE NOMINAL DE 50A - FORNECIMENTO E INSTALAÇÃO. AF_10/2020</t>
  </si>
  <si>
    <t>93673</t>
  </si>
  <si>
    <t>QUADRO DE DISTRIBUIÇÃO DE ENERGIA EM CHAPA DE AÇO GALVANIZADO, DE EMBUTIR, COM BARRAMENTO TRIFÁSICO, PARA 12 DISJUNTORES DIN 100A - FORNECIMENTO E INSTALAÇÃO. AF_10/2020</t>
  </si>
  <si>
    <t>101875</t>
  </si>
  <si>
    <t>Quadro de distribuição de embutir, em chapa de aço, para até 08 disjuntores, com barramento, padrão DIN, exclusive disjuntores</t>
  </si>
  <si>
    <t>PONTO DE TOMADA RESIDENCIAL INCLUINDO TOMADA 10A/250V, CAIXA ELÉTRICA, ELETRODUTO, CABO, RASGO, QUEBRA E CHUMBAMENTO. AF_01/2016</t>
  </si>
  <si>
    <t>CAIXA DE INSPECAO PARA ATERRAMENTO OU OUTRO USO, EM PVC, DN = 300 X *300* MM</t>
  </si>
  <si>
    <t>CAIXA DE INSPECAO PARA ATERRAMENTO OU OUTRO USO, EM PVC, DN = 250 X 250 MM</t>
  </si>
  <si>
    <t>96985</t>
  </si>
  <si>
    <t>HASTE DE ATERRAMENTO 5/8  - FORNECIMENTO E INSTALAÇÃO. AF_12/2017</t>
  </si>
  <si>
    <t>CAIXA DE INSPEÇÃO PARA ATERRAMENTO, CIRCULAR, EM POLIETILENO, DIÂMETRO INTERNO = 0,3 M. AF_12/2020</t>
  </si>
  <si>
    <t>98111</t>
  </si>
  <si>
    <t>COTAÇÕES</t>
  </si>
  <si>
    <t>MEMORIAL DE CÁLCULO</t>
  </si>
  <si>
    <t>Forma analítica:                (2,6 x 22) + 15,25 = 72,45 m</t>
  </si>
  <si>
    <t>(Vestiário I) é o mais a noroeste</t>
  </si>
  <si>
    <t>(VestiárioII) é o mais a sudeste</t>
  </si>
  <si>
    <t>(301,69 + (8,72 x 6,87 + 36,64 x 5,49) x 30% + (10,25 x 5,40 )) - 12,70 = 422,66 m²</t>
  </si>
  <si>
    <t>(área que será pintada na fachada sudoeste,acima e nas laterais do portão central, onde será colocado letreiro)</t>
  </si>
  <si>
    <t>(diametro da barra mais 1 mm de folga - 12,5mm + 2mm de cada lado)</t>
  </si>
  <si>
    <t>(coeficiente para converter "m2" em kg)</t>
  </si>
  <si>
    <t>41480/INSUMO</t>
  </si>
  <si>
    <t>41474/INSUMO</t>
  </si>
  <si>
    <t>ELETRODUTO FLEXÍVEL CORRUGADO, PVC, DN 25 MM (3/4"), PARA CIRCUITOS TERMINAIS - FORNECIMENTO E INSTALAÇÃO. AF_12/2015</t>
  </si>
  <si>
    <t>(largura da parede)</t>
  </si>
  <si>
    <t>(altura média da grade que será retirada para construir novas cabines)</t>
  </si>
  <si>
    <t>(comprimento da grade que será retirada para construir novas cabines)</t>
  </si>
  <si>
    <t>Forma analítica:                        2,35 x 1,65 x 5 + 1,75x1,65 + 2,35 x 1,65 + 2,15 x 2,27 = 31,03 m²</t>
  </si>
  <si>
    <t>(igual a área de demolição, para novo revestimento cimentado)</t>
  </si>
  <si>
    <t>(igual a área de demolição (e = 2cm), para novo revestimento cimentado)</t>
  </si>
  <si>
    <t>(área lateral dos degraus) -  x 2 (duas cabines)</t>
  </si>
  <si>
    <t>(área equivalente a superficie de um cilindro de 1,65 cm de diametro e 25 cm de pronfundidade) x 72 und</t>
  </si>
  <si>
    <t>Forma analítica:         ( ( 2 x 3,1415 x (0,0165/2)) x 0,25)x 72 = 0,93 m²</t>
  </si>
  <si>
    <t>ADESIVO ESTRUTURAL A BASE DE RESINA EPOXI, BICOMPONENTE, PASTOSO (TIXOTROPICO) 1,5 KG/M²/MM - PARA 2MM/M²</t>
  </si>
  <si>
    <t>un</t>
  </si>
  <si>
    <t>(largura total da coberta x 11 ( quantidade de vãos entre pórticos))</t>
  </si>
  <si>
    <t>Janela em aço, em chapa galvanizada nº24, raiada, de enrolar</t>
  </si>
  <si>
    <t>(comprimento da entrada I)</t>
  </si>
  <si>
    <t>(largura da entrada I)</t>
  </si>
  <si>
    <t>(comprimento da entrada II)</t>
  </si>
  <si>
    <t>(largura da entrada II)</t>
  </si>
  <si>
    <t>Área total de pintura  na fachada sudoeste</t>
  </si>
  <si>
    <t>Forma analítica:                           1747,10 - (18,20 + 15,60) = 1713,30 m²</t>
  </si>
  <si>
    <t>((106,98 + (8,72 x 6,87 + 36,64 x 5,49) x 70%) - 12,70)+168 = 445,03 m²</t>
  </si>
  <si>
    <t>(área de massa única nova, das demolições)</t>
  </si>
  <si>
    <t>(14,98+22,80+10,05+27,48+14,64)x2x3 + (10,80+29,28+14,64)x3 +(47,94 x3)+(19,08) = 866,76 m²</t>
  </si>
  <si>
    <t>RODAPÉ CERÂMICO DE 7CM DE ALTURA COM PLACAS TIPO ESMALTADA EXTRA DE DIMENSÕES 60X60CM. AF_06/20</t>
  </si>
  <si>
    <t>RODAPÉ CERÂMICO DE 7CM DE ALTURA COM PLACAS TIPO ESMALTADA EXTRA DE DIMENSÕES 60X60CM. AF_06/2014</t>
  </si>
  <si>
    <t>88650</t>
  </si>
  <si>
    <t>PROJETO DE PREVENÇÃO E COMBATE A INCÊNDIO (com BDI)...........................................................................................................................................................</t>
  </si>
  <si>
    <t>DATA BASE:</t>
  </si>
  <si>
    <t>MATERIAIS</t>
  </si>
  <si>
    <t>CPU:</t>
  </si>
  <si>
    <t>MÃO DE OBRA</t>
  </si>
  <si>
    <t>CNPJ:</t>
  </si>
  <si>
    <t>LOCAL:</t>
  </si>
  <si>
    <t>LINK:</t>
  </si>
  <si>
    <t>FOTO</t>
  </si>
  <si>
    <t>FRETE</t>
  </si>
  <si>
    <t>VALOR:</t>
  </si>
  <si>
    <t>VALOR COM FRETE:</t>
  </si>
  <si>
    <t>E1.</t>
  </si>
  <si>
    <t>E2.</t>
  </si>
  <si>
    <t>37556/INSUMO</t>
  </si>
  <si>
    <t>37559/INSUMO</t>
  </si>
  <si>
    <t>Sirene audiovisual endereçavel, 120 db, para alarme de incêndio</t>
  </si>
  <si>
    <t>Acionador manual (botoeira) tipo quebra-vidro, p/incendio</t>
  </si>
  <si>
    <t xml:space="preserve">Curva 45° para eletroduto de pvc rígido roscável, diâm = 32mm </t>
  </si>
  <si>
    <t>Argamassa traço 1:3:12 (em volume de cimento, cal e areia média úmida) para emboço/massa única/assentamento de alvenaria de vedação, preparo mecânico com betoneira 600 l. af_08/2019</t>
  </si>
  <si>
    <t xml:space="preserve">	Preparo de superfície com lixamento de paredes e tetos</t>
  </si>
  <si>
    <t>FONTE: 02344/ORSE | INSUMOS SINAPI</t>
  </si>
  <si>
    <t>PINTOR COM ENCARGOS COMPLEMENTARES</t>
  </si>
  <si>
    <t>LIXA EM FOLHA PARA PAREDE OU MADEIRA, NUMERO 120 (COR VERMELHA)</t>
  </si>
  <si>
    <t>COMPOSIÇÃO</t>
  </si>
  <si>
    <t xml:space="preserve">PEDREIRO COM ENCARGOS COMPLEMENTARES </t>
  </si>
  <si>
    <t>FONTE: 00026/ORSE | INSUMOS SINAPI</t>
  </si>
  <si>
    <t>ARGAMASSA TRAÇO 1:3 (EM VOLUME DE CIMENTO E AREIA MÉDIA ÚMIDA), PREPARO MECÂNICO COM BETONEIRA 400 L. AF_08/2019</t>
  </si>
  <si>
    <t>Porta em aço, em chapa galvanizada nº24, raiada, de enrolar</t>
  </si>
  <si>
    <t>PORTA DE ENROLAR MANUAL COMPLETA, ARTICULADA RAIADA LARGA, EM ACO GALVANIZADO NATURAL, CHAPA NUMERO 24 (SEM INSTALACAO)</t>
  </si>
  <si>
    <t>m2</t>
  </si>
  <si>
    <t>FONTE: 001857/ORSE | INSUMOS SINAPI</t>
  </si>
  <si>
    <t>AREIA GROSSA - POSTO JAZIDA/FORNECEDOR (RETIRADO NA JAZIDA, SEM TRANSPORTE)</t>
  </si>
  <si>
    <t>Curva 45° eletroduto pvc roscável, d=1</t>
  </si>
  <si>
    <t>Lavatório com bancada em granito cinza andorinha, e = 2,5cm, dim 2.40x0.60, com 03 cubas de embutir de louça, sifão ajustável metalizado, válvula cromada, torneira cromada alta com arejador, inclusive rodopia 10 cm e testeira de 5 cm, assentada</t>
  </si>
  <si>
    <t>CUBA DE EMBUTIR, OVAL, DE LOUCA BRANCA, SEM LADRAO, DIMENSOES *50 X 35* CM (L X C)</t>
  </si>
  <si>
    <t>TORNEIRA CROMADA DE MESA PARA LAVATORIO, BICA ALTA, COM AREJADOR (REF 1195)</t>
  </si>
  <si>
    <t>VALVULA DE ESCOAMENTO PARA TANQUE, EM METAL CROMADO, 1.1/2 ", SEM LADRAO, COM TAMPAO PLASTICO</t>
  </si>
  <si>
    <t>GRANITO PARA BANCADA, POLIDO, TIPO ANDORINHA/ QUARTZ/ CASTELO/ CORUMBA OU OUTROS EQUIVALENTES DA REGIAO, E=  *2,5* CM</t>
  </si>
  <si>
    <t>RODABANCADA EM GRANITO, POLIDO, TIPO ANDORINHA/ QUARTZ/ CASTELO/ CORUMBA OU OUTROS EQUIVALENTES DA REGIAO, H= 10 CM, E=  *2,0* CM</t>
  </si>
  <si>
    <t>TESTEIRA EM GRANITO, POLIDO, TIPO ANDORINHA/ QUARTZ/ CASTELO/ CORUMBA OU OUTROS EQUIVALENTES DA REGIAO, H= 10 CM, E=  *2,0* CM</t>
  </si>
  <si>
    <t>ABERTURA PARA ENCAIXE DE CUBA OU LAVATORIO EM BANCADA DE MARMORE/ GRANITO OU OUTRO TIPO DE PEDRA NATURAL</t>
  </si>
  <si>
    <t>FURO PARA TORNEIRA OU OUTROS ACESSORIOS  EM BANCADA DE MARMORE/ GRANITO OU OUTRO TIPO DE PEDRA NATURAL</t>
  </si>
  <si>
    <t>ENGATE / RABICHO FLEXIVEL INOX 1/2 " X 30 CM</t>
  </si>
  <si>
    <t>SIFAO EM METAL CROMADO PARA PIA OU LAVATORIO, 1 X 1.1/2 "</t>
  </si>
  <si>
    <t>Lavatório com bancada em granito cinza andorinha, e = 2,5cm, dim 1.50x0.60, com 02 cubas de embutir de louça, sifão ajustável metalizado, válvula cromada, torneira cromada alta com arejador, inclusive rodopia 10 cm e testeira de 5 cm, assentada</t>
  </si>
  <si>
    <t>FONTE: 12278/ORSE | PRÓPRIA | INSUMOS SINAPI</t>
  </si>
  <si>
    <t>FONTE: 12292/ORSE | PRÓPRIA | INSUMOS SINAPI</t>
  </si>
  <si>
    <t>TUBO ACO GALVANIZADO COM COSTURA, CLASSE LEVE, DN 20 MM ( 3/4"), E = 2,25 MM, *1,3*KG/M (NBR 5580)</t>
  </si>
  <si>
    <t>10.230.480/0024-27</t>
  </si>
  <si>
    <t>FERREIRA COSTA  &amp; Cia LTDA</t>
  </si>
  <si>
    <t>83 3219-5000 - Opção 2</t>
  </si>
  <si>
    <t>https://www.linkedin.com/company/ferreiracosta/?original_referer=https%3A%2F%2Fwww.ferreiracosta.com%2F</t>
  </si>
  <si>
    <t>E3.</t>
  </si>
  <si>
    <t>Tel:</t>
  </si>
  <si>
    <t>WhatsApp:</t>
  </si>
  <si>
    <t>Email:</t>
  </si>
  <si>
    <t>MÉDIA</t>
  </si>
  <si>
    <t>https://distribuidorsika.com.br/sika-top-108-armatec-4kg-824?gclid=Cj0KCQjw1N2TBhCOARIsAGVHQc7oul29KZZ79EX_RZFf0GOrLHO3xJXwVtelm-Z_WVir7XmhSualdKkaAk_SEALw_wcB</t>
  </si>
  <si>
    <t>Av. Desembargador Westphalen, 2356 - Curitiba - Rebouças - Paraná - Brasil</t>
  </si>
  <si>
    <t>vendas1@distribuidorsika.com.br</t>
  </si>
  <si>
    <t xml:space="preserve"> (41) 3030-7051</t>
  </si>
  <si>
    <t>41 99962.2028</t>
  </si>
  <si>
    <t>RETIRADA</t>
  </si>
  <si>
    <t>DISTRIBUIDOR SIKA</t>
  </si>
  <si>
    <t>https://www.ferreiracosta.com/Produto/538/impermeabilizante-sikatop-108-4kg-sika?region_id=666666&amp;gclid=Cj0KCQjw1N2TBhCOARIsAGVHQc4txKXQzGtTg2s1qiW9rzAcHjewJEKlhd8YLnJTywQWlWXWoyQLrFoaAoSIEALw_wcB</t>
  </si>
  <si>
    <t xml:space="preserve"> (11) 4673-4878</t>
  </si>
  <si>
    <t>Av. Santos Dumont, 3390 - Cumbica, Guarulhos - SP, 07220-000</t>
  </si>
  <si>
    <t>ISMAFER Maquinas e Ferramentas</t>
  </si>
  <si>
    <t>08.492.961/0003-34</t>
  </si>
  <si>
    <t>sac@ismafer.com.br</t>
  </si>
  <si>
    <t>Argamassa de Reparo SikaTop 120 Armatec  - SIKA (Balde 4Kg)</t>
  </si>
  <si>
    <t>Argamassa de Reparo SikaTop 108 Armatec  - SIKA (Balde 4kg)</t>
  </si>
  <si>
    <t>https://bra.sika.com/</t>
  </si>
  <si>
    <t>Av. Dr. Alberto Jackson Byington, 1.525
Vila Menck – Osasco – SP</t>
  </si>
  <si>
    <t>0800 703 7340</t>
  </si>
  <si>
    <t>33.081.704/0001-95</t>
  </si>
  <si>
    <t>SIKA AS</t>
  </si>
  <si>
    <t>(11) 3687-4651</t>
  </si>
  <si>
    <t>acsonov.alex@br.sika.com</t>
  </si>
  <si>
    <t>https://www.sustentaled.com.br/refletor-holofote-led-800w-smd-ip66-a-prova-dagua-branco-frio-6000k?utm_source=Site&amp;utm_medium=GoogleMerchant&amp;utm_campaign=GoogleMerchant&amp;gclid=Cj0KCQjw1N2TBhCOARIsAGVHQc6RTycokTK0J6ZZfr6Eah_5zMYUG6w1MAgzo86KKHI85WEgB_8NFekaArbWEALw_wcB</t>
  </si>
  <si>
    <t>33.779.899/0001-41</t>
  </si>
  <si>
    <t>SLED COMERCIO DE MATERIAIS ELETRICOS - EIRELI</t>
  </si>
  <si>
    <t>ALAMEDA DOS GUATAS, 477, SÃO PAULO - SP</t>
  </si>
  <si>
    <t>https://www.compraled.com.br/refletor-holofote-led-800w-smd-ip66-a-prova-dagua-branco-frio-6000k?utm_source=Site&amp;utm_medium=GoogleMerchant&amp;utm_campaign=GoogleMerchant</t>
  </si>
  <si>
    <t>COMPRA LED</t>
  </si>
  <si>
    <t xml:space="preserve"> (11) 5581-8118</t>
  </si>
  <si>
    <t>30.594.025/0001-21</t>
  </si>
  <si>
    <t>comercial@compraled.com.br</t>
  </si>
  <si>
    <t>Alameda Dos Guatas, SAUDE,  SÃO PAULO - SP CEP 04.053-041</t>
  </si>
  <si>
    <t>(11) 5678-7018</t>
  </si>
  <si>
    <t>(11) 93013-4566</t>
  </si>
  <si>
    <t>comercial@sustentaled.com.br</t>
  </si>
  <si>
    <t>QUADRO DE DISTRIBUICAO, EM PVC, DE EMBUTIR, COM BARRAMENTO TERRA / NEUTRO, PARA 12 DISJUNTORES NEMA OU 16 DISJUNTORES DIN</t>
  </si>
  <si>
    <t xml:space="preserve">ORSE </t>
  </si>
  <si>
    <t>FONTE: 11264//ORSE | INSUMOS SINAPI</t>
  </si>
  <si>
    <t>CENTRAL DE ALARME PARA 8 SETORES COM BATERIA</t>
  </si>
  <si>
    <t>FONTE: 11824/ORSE</t>
  </si>
  <si>
    <t>FONTE: 07861/ORSE</t>
  </si>
  <si>
    <t>FONTE: 08058/ORSE | INSUMOS SINAPI</t>
  </si>
  <si>
    <t>LUMINÁRIA TIPO CALHA, DE SOBREPOR, COM 2 LÂMPADAS TUBULARES FLUORESCENTES DE 18 W, COM REATOR DE PARTIDA RÁPIDA - FORNECIMENTO E INSTALAÇÃO. AF_02/2020</t>
  </si>
  <si>
    <t>LUMINARIA DE SOBREPOR EM CHAPA DE ACO PARA 2 LAMPADAS FLUORESCENTES DE *18* W, ALETADA, COMPLETA (LAMPADAS E REATOR INCLUSOS)</t>
  </si>
  <si>
    <t>='CPU '!"</t>
  </si>
  <si>
    <t>Revisão de ponto de luz, em teto ou parede, LUMINARIA DE SOBREPOR EM CHAPA DE ACO ALETADA COM 2 LAMPADAS</t>
  </si>
  <si>
    <t>Revisão de ponto de luz, em teto ou parede, LUMINARIA TIPO CALHA DE SOBREPOR EM CHAPA DE ACO ALETADA COM 2 LAMPADAS</t>
  </si>
  <si>
    <t>Rua Edson Falconi De Melo, nº 555  ·  Aeroclube, JOÃO PESSOA - PB, CEP 58036-500</t>
  </si>
  <si>
    <t xml:space="preserve">FONTE: 12222/ORSE | INSUMOS SINAPI </t>
  </si>
  <si>
    <t xml:space="preserve">ENCARGOS SOCIAIS DESONERADOS:  85,70%(HORA) </t>
  </si>
  <si>
    <t>(und)</t>
  </si>
  <si>
    <t>(%)em rel. ao total</t>
  </si>
  <si>
    <t>Revisão de ponto de luz, em teto ou parede, com substituição para LUMINARIA TIPO CALHA DE SOBREPOR EM CHAPA DE ACO ALETADA COM 2 LAMPADAS 18 w</t>
  </si>
  <si>
    <t>COTAÇÃO ÚNICA - POR RECOMENDAÇÃO DO ENG. PERITO PELO PRODUTO SIKA TOP 120 E PELA FALTA DE PRODUTOS SIMILARES, TIVEMOS APENAS UMA COTAÇÃO COM O PRÓPRIO FORNECEDOR.</t>
  </si>
  <si>
    <t>LANÇAMENTO COM USO DE BALDES, ADENSAMENTO E ACABAMENTO DE CONCRETO EM ESTRUTURAS. AF_02/2022</t>
  </si>
  <si>
    <t>ALVENARIA DE VEDAÇÃO DE BLOCOS CERÂMICOS FURADOS NA HORIZONTAL DE 9X19X19 CM (ESPESSURA 9 CM) E ARGAMASSA DE ASSENTAMENTO COM PREPARO EM BET ONEIRA. AF_12/2021</t>
  </si>
  <si>
    <t>COMPOSIÇÃO PARAMÉTRICA DE PONTO ELÉTRICO DE ILUMINAÇÃO, COM INTERRUPTO SIMPLES, EM EDIFÍCIO RESIDENCIAL COM ELETRODUTO EMBUTIDO EM RASGOS NAS PAREDES, INCLUSO TOMADA, ELETRODUTO, CABO, RASGO E CHUMBAMENTO (SEM LUMINÁRIA E LÂMPADA). AF_11/2022</t>
  </si>
  <si>
    <t>LUVA PARA ELETRODUTO, EM ACO GALVANIZADO ELETROLITICO, DIAMETRO DE 25 MM (1")</t>
  </si>
  <si>
    <t>LUVA PARA ELETRODUTO, EM ACO GALVANIZADO ELETROLITICO, DIAMETRO DE 40 MM (1 UN 6,23 1/2")</t>
  </si>
  <si>
    <t>COMPOSIÇÃO PARAMÉTRICA DE PONTO ELÉTRICO DE TOMADA DE USO GERAL 2P+T (10A/250V) EM EDIFÍCIO RESIDENCIAL COM ELETRODUTO EMBUTIDO EM RASGOS NA S PAREDES, INCLUSO TOMADA, ELETRODUTO, CABO, RASGO, QUEBRA E CHUMBAMEN TO. AF_11/2022</t>
  </si>
  <si>
    <t>COMPOSIÇÃO PARAMÉTRICA DE PONTO ELÉTRICO DE ILUMINAÇÃO, COM INTERRUPTOR SIMPLES, EM EDIFÍCIO RESIDENCIAL COM ELETRODUTO EMBUTIDO EM RASGOS N AS PAREDES, INCLUSO TOMADA, ELETRODUTO, CABO, RASGO E CHUMBAMENTO (SEM LUMINÁRIA E LÂMPADA). AF_11/2022</t>
  </si>
  <si>
    <t xml:space="preserve">ORSE - Data base =&gt; Fevereiro/2023 </t>
  </si>
  <si>
    <t>?</t>
  </si>
  <si>
    <t>(área da parede que divide vestirario e murada do campo)</t>
  </si>
  <si>
    <t>(área total demolida da murada INTERNA)</t>
  </si>
  <si>
    <t>(área total da murada INTERNA - paredões recuperados ao lado e a frente dos vestiarios)</t>
  </si>
  <si>
    <t>APLICAÇÃO MANUAL DE PINTURA COM TINTA LÁTEX ACRÍLICA EM PAREDES, DUAS DEMÃOS. AF_06/2014 (AJUSTADA COM GUINDAUTO) - TORRES DE ILUMINAÇÃO</t>
  </si>
  <si>
    <t xml:space="preserve"> PINTOR COM ENCARGOS COMPLEMENTARES</t>
  </si>
  <si>
    <t>APLICAÇÃO MANUAL DE PINTURA COM TINTA LÁTEX ACRÍLICA EM PAREDES, DUAS MDEMÃOS. AF_06/2014</t>
  </si>
  <si>
    <t>GUINDAUTO HIDRÁULICO, CAPACIDADE MÁXIMA DE CARGA 6200 KG, MOMENTO MÁXIMO DE CARGA 11,7 TM, ALCANCE MÁXIMO HORIZONTAL 9,70 M, INCLUSIVE CAMINHÃO TOCO PBT 16.000 KG, POTÊNCIA DE 189 CV - CHP DIURNO. AF_06/2014</t>
  </si>
  <si>
    <t>CORTE E DOBRA DE AÇO CA-50, DIÂMETRO DE 10,0 MM, UTILIZADO EM ESTRUTURAS DIVERSAS, EXCETO LAJES.</t>
  </si>
  <si>
    <t>CONCRETO FCK = 25MPA, TRAÇO 1:2,3:2,7 (EM MASSA SECA DE CIMENTO/ AREIA MÉDIA/ BRITA 1) - PREPARO MECÂNICO COM BETONEIRA 400 L. AF_05/2021</t>
  </si>
  <si>
    <t>MONTAGEM E DESMONTAGEM DE FÔRMA DE PILARES RETANGULARES E ESTRUTURAS SIMILARES, PÉ-DIREITO SIMPLES, EM CHAPA DE MADEIRA COMPENSADA RESINADA, 4 UTILIZAÇÕES. AF_09/2020</t>
  </si>
  <si>
    <t>CORTE E DOBRA DE AÇO CA-50, DIÂMETRO DE 5,0 MM, UTILIZADO EM ESTRUTURAS DIVERSAS, EXCETO LAJES. AF_12/2015</t>
  </si>
  <si>
    <t>LAJE PRÉ-FABRICADA TRELIÇADA PARA PISO OU COBERTURA, INTEREIXO 38CM, H=12CM, EL. ENCHIMENTO EM EPS H=8CM, INCLUSIVE ESCORAMENTO EM MADEIRA E CAPEAMENTO 4CM.</t>
  </si>
  <si>
    <t xml:space="preserve"> = </t>
  </si>
  <si>
    <t>(((1,15+0,3)*6*4+ (1+0,34+0,3+0,3)*6*3)+((1,71+0,3)*4*4+(2,33+0,3)*4*3+(15+0,6)*4*1+(8+0,6)*4*1))*0,617</t>
  </si>
  <si>
    <t>(0,14*0,3*1,15*4)+(0,14*0,3*(1+0,34)*3)+(0,12*0,3*1,71*4)+(0,12*0,3*2,33*3)+15*0,12*0,3+8*0,12*0,3</t>
  </si>
  <si>
    <t>(0,14+0,3)*2*1,15*4)+((0,14+0,3)*2*(1+0,34)*3)+((0,12+(0,3*2))*1,71*4)+(0,12+(0,3*2))*2,33*3+(8+15)*((0,3*2)+0,12)</t>
  </si>
  <si>
    <t>(((0,14*2+0,30*2)*(1,15/0,15)*4)+((0,14*2+0,30*2)*(1,34/0,15)*3)+((0,12*2+0,30*2)*(1,71/0,15)*4)+((0,12*2+0,30*2)*(2,33/0,15)*3))*0,154</t>
  </si>
  <si>
    <t>1,71*14,94+2,33*7,8</t>
  </si>
  <si>
    <t>lateral das cabines novas - menor</t>
  </si>
  <si>
    <t>lateral das cabines novas - maior</t>
  </si>
  <si>
    <t>área frontal das cabines novas</t>
  </si>
  <si>
    <t>área do corredor novo</t>
  </si>
  <si>
    <t>complemento das paredes divisorias antigas</t>
  </si>
  <si>
    <t>área frontal nova das cabines antigas</t>
  </si>
  <si>
    <t>área nova do corredor antigo</t>
  </si>
  <si>
    <t>área das portas das cabines novas</t>
  </si>
  <si>
    <t>área das janelas novas</t>
  </si>
  <si>
    <t>área das portas das cabines antigas</t>
  </si>
  <si>
    <t>área das janelas das cabines antigas</t>
  </si>
  <si>
    <t xml:space="preserve"> =</t>
  </si>
  <si>
    <t>(corredor antigo)</t>
  </si>
  <si>
    <t xml:space="preserve"> - (38,24-11,2)*0,15</t>
  </si>
  <si>
    <t>(frente antigo)</t>
  </si>
  <si>
    <t>(38,24-22,8)*0,15</t>
  </si>
  <si>
    <t>(área lateral dos degraus) -  x 1 ultima cabine</t>
  </si>
  <si>
    <t xml:space="preserve">(comprimento dos degraus da ultima cabine) </t>
  </si>
  <si>
    <t>(área do banheiro) antigo</t>
  </si>
  <si>
    <t>(Hall antigo)</t>
  </si>
  <si>
    <t>(área das cabines antigas após reforma)</t>
  </si>
  <si>
    <t>(somatório dos perimetros das cabines novas e antigas)</t>
  </si>
  <si>
    <t>2,65*18+26,15-3,41+7,8*3+14,94*3</t>
  </si>
  <si>
    <t xml:space="preserve">	Laje pré-fabricada treliçada para piso ou cobertura, intereixo 38cm, h=12cm, el. enchimento em EPS h=8cm, inclusive escoramento em madeira e capeamento 4cm.</t>
  </si>
  <si>
    <t>LAJE PRÉ-FABRICADA TRELIÇADA PARA PISO OU COBERTURA, H=12CM, EL. ENCHIMENTO EM BLOCO EPS, H=8CM</t>
  </si>
  <si>
    <t>MADEIRA MISTA SERRADA (BARROTE) 6 X 6CM - 0,0036 M3/M (ANGELIM, LOURO)</t>
  </si>
  <si>
    <t>SARRAFO *2,5 X 5* CM EM PINUS, MISTA OU EQUIVALENTE DA REGIAO - BRUTA</t>
  </si>
  <si>
    <t>CIMENTO PORTLAND COMPOSTO CP II-32</t>
  </si>
  <si>
    <t>PEDRA BRITADA N. 2 (19 A 38 MM) POSTO PEDREIRA/FORNECEDOR, SEM FRETE</t>
  </si>
  <si>
    <t>PEDRA BRITADA N. 1 (9,5 a 19 MM) POSTO PEDREIRA/FORNECEDOR, SEM FRETE</t>
  </si>
  <si>
    <t>PREGO DE ACO POLIDO COM CABECA 18 X 30 (2 3/4 X 10)</t>
  </si>
  <si>
    <t>TABUA *2,5 X 23* CM EM PINUS, MISTA OU EQUIVALENTE DA REGIAO - BRUTA</t>
  </si>
  <si>
    <t>AÇO CA - 50 Ø 6,3 A 12,5MM, INCLUSIVE CORTE, DOBRAGEM, MONTAGEM E COLOCACAO DE FERRAGENS NAS FORMAS, PARA SUPERESTRUTURAS E FUNDAÇÕES - R1</t>
  </si>
  <si>
    <t>FONTE: 88489/SINAPI</t>
  </si>
  <si>
    <t>FONTE: 07393/ORSE - PRÓPRIO</t>
  </si>
  <si>
    <t>(largura da porta P6) x2</t>
  </si>
  <si>
    <t>(comprimento da porta P6) x2</t>
  </si>
  <si>
    <t>Forma analítica:                (9,47) x 20km =  189,40 m³ km</t>
  </si>
  <si>
    <t>Forma analítica:                (13,63) x 20km  =  272,54 m³ km</t>
  </si>
  <si>
    <t>Forma analítica:                (3,51) x 20km =  70,12 m³ km</t>
  </si>
  <si>
    <t>((área das lajes - apenas parte de baixo)</t>
  </si>
  <si>
    <t>((área das lajes 2x)</t>
  </si>
  <si>
    <t>(área de pintura das areas molhadas)</t>
  </si>
  <si>
    <t>(área de pintura - item 3.3.11)</t>
  </si>
  <si>
    <t>(área das paredes das áreas molhadas)</t>
  </si>
  <si>
    <t>2341,46  + 344,97 + 287,73 - 298,92 = 2.675,24 m²</t>
  </si>
  <si>
    <t>LOTE -2 RECUPERAÇÃO ESTRUTURAL</t>
  </si>
  <si>
    <t xml:space="preserve">LOTE -1 MODERNIZAÇÃO DO SISTEMA DE ILUMINAÇÃO </t>
  </si>
  <si>
    <t>3.4.4</t>
  </si>
  <si>
    <t>3.4.5</t>
  </si>
  <si>
    <t>3.4.6</t>
  </si>
  <si>
    <t>3.4.7</t>
  </si>
  <si>
    <t>3.4.8</t>
  </si>
  <si>
    <t>3.4.9</t>
  </si>
  <si>
    <t>3.4.10</t>
  </si>
  <si>
    <t>3.4.11</t>
  </si>
  <si>
    <t>3.4.12</t>
  </si>
  <si>
    <t>3.4.13</t>
  </si>
  <si>
    <t>3.4.14</t>
  </si>
  <si>
    <t>3.4.15</t>
  </si>
  <si>
    <t>3.4.16</t>
  </si>
  <si>
    <t>3.4.17</t>
  </si>
  <si>
    <t>3.4.18</t>
  </si>
  <si>
    <t>3.4.19</t>
  </si>
  <si>
    <t>3.4.21</t>
  </si>
  <si>
    <t>3.4.22</t>
  </si>
  <si>
    <t>3.4.23</t>
  </si>
  <si>
    <t>3.4.24</t>
  </si>
  <si>
    <t>3.4.25</t>
  </si>
  <si>
    <t>3.4.26</t>
  </si>
  <si>
    <t>3.4.28</t>
  </si>
  <si>
    <t>3.4.29</t>
  </si>
  <si>
    <t>3.4.30</t>
  </si>
  <si>
    <t>LOTE - 3 SERVIÇOS DIVERSOS</t>
  </si>
  <si>
    <t>3.5.1.1</t>
  </si>
  <si>
    <t>3.5.1.2</t>
  </si>
  <si>
    <t>3.5.1.3</t>
  </si>
  <si>
    <t>3.5.1.4</t>
  </si>
  <si>
    <t>3.5.1.5</t>
  </si>
  <si>
    <t>3.5.1.7</t>
  </si>
  <si>
    <t>3.5.1.8</t>
  </si>
  <si>
    <t>3.5.2.3</t>
  </si>
  <si>
    <t>3.5.2.4</t>
  </si>
  <si>
    <t>3.5.3.6</t>
  </si>
  <si>
    <t>3.5.3.7</t>
  </si>
  <si>
    <t>3.5.4.1</t>
  </si>
  <si>
    <t>3.5.4.2</t>
  </si>
  <si>
    <t>3.5.5</t>
  </si>
  <si>
    <t>3.5.5.1</t>
  </si>
  <si>
    <t>3.5.5.2</t>
  </si>
  <si>
    <t>3.5.5.3</t>
  </si>
  <si>
    <t>3.5.5.4</t>
  </si>
  <si>
    <t>3.5.6</t>
  </si>
  <si>
    <t>3.5.6.1</t>
  </si>
  <si>
    <t>3.5.6.2</t>
  </si>
  <si>
    <t>3.5.6.3</t>
  </si>
  <si>
    <t>3.5.6.4</t>
  </si>
  <si>
    <t>3.5.6.5</t>
  </si>
  <si>
    <t>3.5.6.6</t>
  </si>
  <si>
    <t>3.6.7</t>
  </si>
  <si>
    <t>3.6.8</t>
  </si>
  <si>
    <t>3.6.9</t>
  </si>
  <si>
    <t>3.6.10</t>
  </si>
  <si>
    <t>3.8</t>
  </si>
  <si>
    <t>3.8.1</t>
  </si>
  <si>
    <t>3.8.1.1</t>
  </si>
  <si>
    <t>3.8.1.2</t>
  </si>
  <si>
    <t>3.8.1.3</t>
  </si>
  <si>
    <t>3.8.1.4</t>
  </si>
  <si>
    <t>3.9</t>
  </si>
  <si>
    <t>3.9.1</t>
  </si>
  <si>
    <t>3.9.2</t>
  </si>
  <si>
    <t>3.9.3</t>
  </si>
  <si>
    <t>3.9.4</t>
  </si>
  <si>
    <t>SINAPI SEM DESONERAÇÃO</t>
  </si>
  <si>
    <t>3.4.20</t>
  </si>
  <si>
    <t>3.4.27</t>
  </si>
  <si>
    <t>(((2,4 x 0,45 x 2)+ (1,43 x 0,45))x 0,45) + 2,10 x 0,05 = 1,37 m3</t>
  </si>
  <si>
    <t>(área de pintura - item 3.3.12) - TETOS</t>
  </si>
  <si>
    <t>áreas secas - internas e externas</t>
  </si>
  <si>
    <t>(Total da área de massa látex interna) - área seca interna</t>
  </si>
  <si>
    <t>35</t>
  </si>
  <si>
    <t>SINAPI sem DESONERAÇÃO - Data base =&gt; Fevereiro/2023</t>
  </si>
  <si>
    <t>88309</t>
  </si>
  <si>
    <t>3.5.3.1</t>
  </si>
  <si>
    <t>3.5.3.2</t>
  </si>
  <si>
    <t>3.5.3.3</t>
  </si>
  <si>
    <t>3.5.3.4</t>
  </si>
  <si>
    <t>3.5.3.5</t>
  </si>
  <si>
    <t>3.5.2.1</t>
  </si>
  <si>
    <t>3.5.2.2</t>
  </si>
  <si>
    <t>3.5.1.6</t>
  </si>
  <si>
    <t>3.7</t>
  </si>
  <si>
    <t>3.7.1</t>
  </si>
  <si>
    <t>3.7.2</t>
  </si>
  <si>
    <t>3.7.3</t>
  </si>
  <si>
    <t>3.7.4</t>
  </si>
  <si>
    <t>3.7.1.1</t>
  </si>
  <si>
    <t>3.7.1.2</t>
  </si>
  <si>
    <t>3.7.1.3</t>
  </si>
  <si>
    <t>3.7.1.4</t>
  </si>
  <si>
    <t>3.8.3.1</t>
  </si>
  <si>
    <t>3.8.1.5</t>
  </si>
  <si>
    <t>3.8.1.6</t>
  </si>
  <si>
    <t>3.8.1.7</t>
  </si>
  <si>
    <t>3.8.1.8</t>
  </si>
  <si>
    <t>3.8.1.9</t>
  </si>
  <si>
    <t>3.8.1.10</t>
  </si>
  <si>
    <t>3.8.1.11</t>
  </si>
  <si>
    <t>3.8.1.12</t>
  </si>
  <si>
    <t>3.8.1.13</t>
  </si>
  <si>
    <t>3.8.2</t>
  </si>
  <si>
    <t>3.8.2.1</t>
  </si>
  <si>
    <t>3.8.2.2</t>
  </si>
  <si>
    <t>3.8.2.3</t>
  </si>
  <si>
    <t>3.8.2.4</t>
  </si>
  <si>
    <t>3.8.2.5</t>
  </si>
  <si>
    <t>3.8.2.6</t>
  </si>
  <si>
    <t>3.8.2.7</t>
  </si>
  <si>
    <t>3.8.2.8</t>
  </si>
  <si>
    <t>3.8.2.9</t>
  </si>
  <si>
    <t>3.8.2.10</t>
  </si>
  <si>
    <t>3.8.2.11</t>
  </si>
  <si>
    <t>3.8.2.12</t>
  </si>
  <si>
    <t>3.8.2.13</t>
  </si>
  <si>
    <t>3.8.2.14</t>
  </si>
  <si>
    <t>3.8.2.15</t>
  </si>
  <si>
    <t>3.8.2.16</t>
  </si>
  <si>
    <t>3.8.2.17</t>
  </si>
  <si>
    <t>3.8.3</t>
  </si>
  <si>
    <t>3.8.3.2</t>
  </si>
  <si>
    <t>3.8.3.3</t>
  </si>
  <si>
    <t>3.8.3.4</t>
  </si>
  <si>
    <t>3.8.4</t>
  </si>
  <si>
    <t>3.8.4.1</t>
  </si>
  <si>
    <t>3.8.4.2</t>
  </si>
  <si>
    <t>3.8.4.3</t>
  </si>
  <si>
    <t>3.8.4.4</t>
  </si>
  <si>
    <t>3.8.4.5</t>
  </si>
  <si>
    <t>3.8.4.6</t>
  </si>
  <si>
    <t>3.8.4.7</t>
  </si>
  <si>
    <t>3.8.4.8</t>
  </si>
  <si>
    <t>3.9.5</t>
  </si>
  <si>
    <t>3.9.6</t>
  </si>
  <si>
    <t>3.9.7</t>
  </si>
  <si>
    <t>3.9.8</t>
  </si>
  <si>
    <t>TOTAL GERAL LOTE 3:</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</si>
</sst>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0.0000"/>
    <numFmt numFmtId="167" formatCode="0.0"/>
    <numFmt numFmtId="168" formatCode="#,##0.0000000"/>
    <numFmt numFmtId="169" formatCode="&quot;R$&quot;\ #,##0.00"/>
    <numFmt numFmtId="170" formatCode="_(* #,##0.00_);_(* \(#,##0.00\);_(* \-??_);_(@_)"/>
    <numFmt numFmtId="171" formatCode="* #,##0.00\ ;* \(#,##0.00\);* \-#\ ;@\ "/>
    <numFmt numFmtId="172" formatCode="#,##0.0000000000"/>
    <numFmt numFmtId="173" formatCode="#,##0.00000000000"/>
    <numFmt numFmtId="174" formatCode="0.000%"/>
  </numFmts>
  <fonts count="9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b/>
      <sz val="12"/>
      <name val="Times New Roman"/>
      <family val="1"/>
    </font>
    <font>
      <sz val="12"/>
      <name val="Times New Roman"/>
      <family val="1"/>
    </font>
    <font>
      <b/>
      <sz val="8"/>
      <name val="Arial"/>
      <family val="2"/>
    </font>
    <font>
      <u/>
      <sz val="10"/>
      <color indexed="12"/>
      <name val="Arial"/>
      <family val="2"/>
    </font>
    <font>
      <b/>
      <sz val="10"/>
      <name val="Arial"/>
      <family val="2"/>
    </font>
    <font>
      <b/>
      <sz val="12"/>
      <name val="Arial"/>
      <family val="2"/>
    </font>
    <font>
      <b/>
      <sz val="9"/>
      <name val="Times New Roman"/>
      <family val="1"/>
    </font>
    <font>
      <sz val="9"/>
      <name val="Times New Roman"/>
      <family val="1"/>
    </font>
    <font>
      <b/>
      <i/>
      <sz val="9"/>
      <name val="Times New Roman"/>
      <family val="1"/>
    </font>
    <font>
      <sz val="12"/>
      <name val="Arial"/>
      <family val="2"/>
    </font>
    <font>
      <sz val="10"/>
      <name val="Arial"/>
      <family val="2"/>
    </font>
    <font>
      <b/>
      <sz val="6"/>
      <name val="Arial"/>
      <family val="2"/>
    </font>
    <font>
      <b/>
      <sz val="10"/>
      <name val="Times New Roman"/>
      <family val="1"/>
    </font>
    <font>
      <sz val="11"/>
      <color indexed="8"/>
      <name val="Calibri"/>
      <family val="2"/>
    </font>
    <font>
      <b/>
      <sz val="11"/>
      <name val="Times New Roman"/>
      <family val="1"/>
    </font>
    <font>
      <b/>
      <sz val="9"/>
      <name val="Arial"/>
      <family val="2"/>
    </font>
    <font>
      <sz val="9"/>
      <name val="Arial"/>
      <family val="2"/>
    </font>
    <font>
      <sz val="8"/>
      <name val="Arial"/>
      <family val="2"/>
    </font>
    <font>
      <i/>
      <sz val="12"/>
      <name val="Times New Roman"/>
      <family val="1"/>
    </font>
    <font>
      <sz val="10"/>
      <name val="Arial"/>
      <family val="2"/>
    </font>
    <font>
      <sz val="11"/>
      <color theme="1"/>
      <name val="Calibri"/>
      <family val="2"/>
      <scheme val="minor"/>
    </font>
    <font>
      <b/>
      <sz val="10"/>
      <color rgb="FF000000"/>
      <name val="Arial"/>
      <family val="2"/>
    </font>
    <font>
      <b/>
      <sz val="9"/>
      <color rgb="FF000000"/>
      <name val="Arial"/>
      <family val="2"/>
    </font>
    <font>
      <sz val="10"/>
      <color rgb="FF000000"/>
      <name val="Arial"/>
      <family val="2"/>
    </font>
    <font>
      <sz val="9"/>
      <color rgb="FF000000"/>
      <name val="Arial"/>
      <family val="2"/>
    </font>
    <font>
      <b/>
      <sz val="8"/>
      <color rgb="FF000000"/>
      <name val="Arial"/>
      <family val="2"/>
    </font>
    <font>
      <b/>
      <sz val="8"/>
      <color rgb="FF0070C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1"/>
      <color indexed="10"/>
      <name val="Calibri"/>
      <family val="2"/>
    </font>
    <font>
      <sz val="11"/>
      <color indexed="19"/>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8"/>
      <name val="Arial"/>
      <family val="2"/>
    </font>
    <font>
      <b/>
      <i/>
      <sz val="12"/>
      <name val="Times New Roman"/>
      <family val="1"/>
    </font>
    <font>
      <b/>
      <sz val="12"/>
      <color rgb="FFFF0000"/>
      <name val="Times New Roman"/>
      <family val="1"/>
    </font>
    <font>
      <sz val="12"/>
      <color rgb="FFFF0000"/>
      <name val="Times New Roman"/>
      <family val="1"/>
    </font>
    <font>
      <sz val="12"/>
      <color rgb="FFFF0000"/>
      <name val="Arial"/>
      <family val="2"/>
    </font>
    <font>
      <sz val="10"/>
      <color rgb="FFFF0000"/>
      <name val="Arial"/>
      <family val="2"/>
    </font>
    <font>
      <b/>
      <sz val="12"/>
      <color rgb="FFFF0000"/>
      <name val="Arial"/>
      <family val="2"/>
    </font>
    <font>
      <b/>
      <sz val="10"/>
      <color rgb="FFFF0000"/>
      <name val="Arial"/>
      <family val="2"/>
    </font>
    <font>
      <b/>
      <i/>
      <u/>
      <sz val="12"/>
      <name val="Times New Roman"/>
      <family val="1"/>
    </font>
    <font>
      <b/>
      <u/>
      <sz val="12"/>
      <name val="Times New Roman"/>
      <family val="1"/>
    </font>
    <font>
      <u/>
      <sz val="10"/>
      <name val="Arial"/>
      <family val="2"/>
    </font>
    <font>
      <sz val="10"/>
      <color rgb="FF000000"/>
      <name val="Arial"/>
      <family val="1"/>
    </font>
    <font>
      <b/>
      <sz val="10"/>
      <name val="Arial Narrow"/>
      <family val="2"/>
    </font>
    <font>
      <b/>
      <u/>
      <sz val="10"/>
      <name val="Arial"/>
      <family val="2"/>
    </font>
    <font>
      <sz val="10"/>
      <name val="Arial"/>
      <family val="2"/>
    </font>
    <font>
      <sz val="10"/>
      <name val="Courier New"/>
      <family val="3"/>
    </font>
    <font>
      <b/>
      <sz val="10"/>
      <name val="Calibri"/>
      <family val="2"/>
      <scheme val="minor"/>
    </font>
    <font>
      <sz val="10"/>
      <name val="Calibri"/>
      <family val="2"/>
      <scheme val="minor"/>
    </font>
    <font>
      <sz val="8"/>
      <color rgb="FF000000"/>
      <name val="Verdana"/>
      <family val="2"/>
    </font>
    <font>
      <sz val="10"/>
      <name val="Courier New"/>
      <family val="3"/>
    </font>
    <font>
      <sz val="8"/>
      <name val="Verdana"/>
      <family val="2"/>
    </font>
    <font>
      <sz val="10"/>
      <name val="Arial"/>
      <family val="1"/>
    </font>
    <font>
      <sz val="10"/>
      <name val="Courier New"/>
      <family val="3"/>
    </font>
    <font>
      <u/>
      <sz val="12"/>
      <name val="Times New Roman"/>
      <family val="1"/>
    </font>
    <font>
      <b/>
      <sz val="9"/>
      <color theme="1"/>
      <name val="Times New Roman"/>
      <family val="1"/>
    </font>
    <font>
      <sz val="9"/>
      <color rgb="FF000000"/>
      <name val="Times New Roman"/>
      <family val="1"/>
    </font>
    <font>
      <b/>
      <u/>
      <sz val="12"/>
      <name val="Arial"/>
      <family val="2"/>
    </font>
    <font>
      <sz val="10"/>
      <color theme="1"/>
      <name val="Arial"/>
      <family val="1"/>
    </font>
    <font>
      <sz val="10"/>
      <name val="Arial"/>
      <family val="2"/>
    </font>
    <font>
      <sz val="10"/>
      <color theme="1"/>
      <name val="Arial"/>
      <family val="2"/>
    </font>
    <font>
      <b/>
      <sz val="12"/>
      <color theme="1"/>
      <name val="Times New Roman"/>
      <family val="1"/>
    </font>
    <font>
      <sz val="12"/>
      <color theme="1"/>
      <name val="Arial"/>
      <family val="2"/>
    </font>
    <font>
      <sz val="12"/>
      <color theme="1"/>
      <name val="Times New Roman"/>
      <family val="1"/>
    </font>
    <font>
      <b/>
      <sz val="14"/>
      <name val="Arial"/>
      <family val="2"/>
    </font>
    <font>
      <sz val="10"/>
      <color theme="1"/>
      <name val="Courier New"/>
      <family val="3"/>
    </font>
    <font>
      <b/>
      <sz val="10"/>
      <color theme="1"/>
      <name val="Courier New"/>
      <family val="3"/>
    </font>
    <font>
      <sz val="10"/>
      <color rgb="FFFF0000"/>
      <name val="Courier New"/>
      <family val="3"/>
    </font>
    <font>
      <sz val="10"/>
      <color rgb="FF000000"/>
      <name val="Times New Roman"/>
      <family val="1"/>
    </font>
    <font>
      <b/>
      <sz val="10"/>
      <color theme="1"/>
      <name val="Times New Roman"/>
      <family val="1"/>
    </font>
    <font>
      <sz val="10"/>
      <name val="Verdana"/>
      <family val="2"/>
    </font>
    <font>
      <b/>
      <sz val="10"/>
      <name val="Courier New"/>
      <family val="3"/>
    </font>
  </fonts>
  <fills count="45">
    <fill>
      <patternFill patternType="none"/>
    </fill>
    <fill>
      <patternFill patternType="gray125"/>
    </fill>
    <fill>
      <patternFill patternType="solid">
        <fgColor indexed="22"/>
        <bgColor indexed="64"/>
      </patternFill>
    </fill>
    <fill>
      <patternFill patternType="solid">
        <fgColor theme="2" tint="-9.9978637043366805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00B0F0"/>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8"/>
      </left>
      <right/>
      <top/>
      <bottom/>
      <diagonal/>
    </border>
    <border>
      <left/>
      <right style="medium">
        <color indexed="8"/>
      </right>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right/>
      <top/>
      <bottom style="medium">
        <color indexed="8"/>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bottom style="double">
        <color indexed="64"/>
      </bottom>
      <diagonal/>
    </border>
    <border>
      <left/>
      <right/>
      <top style="thin">
        <color indexed="64"/>
      </top>
      <bottom/>
      <diagonal/>
    </border>
    <border>
      <left style="thin">
        <color indexed="64"/>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double">
        <color indexed="64"/>
      </right>
      <top style="thin">
        <color indexed="64"/>
      </top>
      <bottom style="thin">
        <color indexed="64"/>
      </bottom>
      <diagonal/>
    </border>
    <border>
      <left/>
      <right style="thin">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dashed">
        <color indexed="64"/>
      </left>
      <right/>
      <top/>
      <bottom style="medium">
        <color indexed="64"/>
      </bottom>
      <diagonal/>
    </border>
  </borders>
  <cellStyleXfs count="150">
    <xf numFmtId="0" fontId="0" fillId="0" borderId="0"/>
    <xf numFmtId="0" fontId="12" fillId="0" borderId="0" applyNumberFormat="0" applyFill="0" applyBorder="0" applyAlignment="0" applyProtection="0">
      <alignment vertical="top"/>
      <protection locked="0"/>
    </xf>
    <xf numFmtId="164" fontId="7" fillId="0" borderId="0" applyFont="0" applyFill="0" applyBorder="0" applyAlignment="0" applyProtection="0"/>
    <xf numFmtId="44" fontId="28" fillId="0" borderId="0" applyFont="0" applyFill="0" applyBorder="0" applyAlignment="0" applyProtection="0"/>
    <xf numFmtId="0" fontId="29" fillId="0" borderId="0"/>
    <xf numFmtId="9" fontId="7" fillId="0" borderId="0" applyFont="0" applyFill="0" applyBorder="0" applyAlignment="0" applyProtection="0"/>
    <xf numFmtId="43" fontId="28" fillId="0" borderId="0" applyFont="0" applyFill="0" applyBorder="0" applyAlignment="0" applyProtection="0"/>
    <xf numFmtId="165" fontId="22" fillId="0" borderId="0" applyFont="0" applyFill="0" applyBorder="0" applyAlignment="0" applyProtection="0"/>
    <xf numFmtId="43" fontId="22" fillId="0" borderId="0" applyFont="0" applyFill="0" applyBorder="0" applyAlignment="0" applyProtection="0"/>
    <xf numFmtId="0" fontId="19" fillId="0" borderId="0"/>
    <xf numFmtId="164" fontId="19" fillId="0" borderId="0" applyFont="0" applyFill="0" applyBorder="0" applyAlignment="0" applyProtection="0"/>
    <xf numFmtId="165" fontId="19" fillId="0" borderId="0" applyFont="0" applyFill="0" applyBorder="0" applyAlignment="0" applyProtection="0"/>
    <xf numFmtId="0" fontId="7" fillId="0" borderId="0"/>
    <xf numFmtId="44" fontId="7" fillId="0" borderId="0" applyFont="0" applyFill="0" applyBorder="0" applyAlignment="0" applyProtection="0"/>
    <xf numFmtId="0" fontId="6" fillId="0" borderId="0"/>
    <xf numFmtId="43" fontId="7" fillId="0" borderId="0" applyFont="0" applyFill="0" applyBorder="0" applyAlignment="0" applyProtection="0"/>
    <xf numFmtId="0" fontId="7" fillId="0" borderId="0"/>
    <xf numFmtId="164" fontId="7" fillId="0" borderId="0" applyFont="0" applyFill="0" applyBorder="0" applyAlignment="0" applyProtection="0"/>
    <xf numFmtId="165" fontId="7" fillId="0" borderId="0" applyFont="0" applyFill="0" applyBorder="0" applyAlignment="0" applyProtection="0"/>
    <xf numFmtId="0" fontId="5" fillId="0" borderId="0"/>
    <xf numFmtId="0" fontId="5" fillId="0" borderId="0"/>
    <xf numFmtId="0" fontId="5" fillId="0" borderId="0"/>
    <xf numFmtId="0" fontId="7" fillId="0" borderId="0"/>
    <xf numFmtId="164" fontId="7" fillId="0" borderId="0" applyFont="0" applyFill="0" applyBorder="0" applyAlignment="0" applyProtection="0"/>
    <xf numFmtId="0" fontId="5" fillId="0" borderId="0"/>
    <xf numFmtId="9" fontId="7" fillId="0" borderId="0" applyFont="0" applyFill="0" applyBorder="0" applyAlignment="0" applyProtection="0"/>
    <xf numFmtId="0" fontId="5" fillId="0" borderId="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8" borderId="0" applyNumberFormat="0" applyBorder="0" applyAlignment="0" applyProtection="0"/>
    <xf numFmtId="0" fontId="22" fillId="12"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3" borderId="0" applyNumberFormat="0" applyBorder="0" applyAlignment="0" applyProtection="0"/>
    <xf numFmtId="0" fontId="22" fillId="7" borderId="0" applyNumberFormat="0" applyBorder="0" applyAlignment="0" applyProtection="0"/>
    <xf numFmtId="0" fontId="22" fillId="10" borderId="0" applyNumberFormat="0" applyBorder="0" applyAlignment="0" applyProtection="0"/>
    <xf numFmtId="0" fontId="22" fillId="14"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2" fillId="15"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2" borderId="0" applyNumberFormat="0" applyBorder="0" applyAlignment="0" applyProtection="0"/>
    <xf numFmtId="0" fontId="36" fillId="16" borderId="0" applyNumberFormat="0" applyBorder="0" applyAlignment="0" applyProtection="0"/>
    <xf numFmtId="0" fontId="36" fillId="11" borderId="0" applyNumberFormat="0" applyBorder="0" applyAlignment="0" applyProtection="0"/>
    <xf numFmtId="0" fontId="36" fillId="13"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8" borderId="0" applyNumberFormat="0" applyBorder="0" applyAlignment="0" applyProtection="0"/>
    <xf numFmtId="0" fontId="36" fillId="20" borderId="0" applyNumberFormat="0" applyBorder="0" applyAlignment="0" applyProtection="0"/>
    <xf numFmtId="0" fontId="36" fillId="14" borderId="0" applyNumberFormat="0" applyBorder="0" applyAlignment="0" applyProtection="0"/>
    <xf numFmtId="0" fontId="36" fillId="5" borderId="0" applyNumberFormat="0" applyBorder="0" applyAlignment="0" applyProtection="0"/>
    <xf numFmtId="0" fontId="36" fillId="8" borderId="0" applyNumberFormat="0" applyBorder="0" applyAlignment="0" applyProtection="0"/>
    <xf numFmtId="0" fontId="36" fillId="11" borderId="0" applyNumberFormat="0" applyBorder="0" applyAlignment="0" applyProtection="0"/>
    <xf numFmtId="0" fontId="36" fillId="21" borderId="0" applyNumberFormat="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20" borderId="0" applyNumberFormat="0" applyBorder="0" applyAlignment="0" applyProtection="0"/>
    <xf numFmtId="0" fontId="37" fillId="5" borderId="0" applyNumberFormat="0" applyBorder="0" applyAlignment="0" applyProtection="0"/>
    <xf numFmtId="0" fontId="41" fillId="8" borderId="0" applyNumberFormat="0" applyBorder="0" applyAlignment="0" applyProtection="0"/>
    <xf numFmtId="0" fontId="38" fillId="24" borderId="30" applyNumberFormat="0" applyAlignment="0" applyProtection="0"/>
    <xf numFmtId="0" fontId="52" fillId="25" borderId="30" applyNumberFormat="0" applyAlignment="0" applyProtection="0"/>
    <xf numFmtId="0" fontId="39" fillId="26" borderId="31" applyNumberFormat="0" applyAlignment="0" applyProtection="0"/>
    <xf numFmtId="0" fontId="51" fillId="0" borderId="32" applyNumberFormat="0" applyFill="0" applyAlignment="0" applyProtection="0"/>
    <xf numFmtId="0" fontId="39" fillId="26" borderId="31" applyNumberFormat="0" applyAlignment="0" applyProtection="0"/>
    <xf numFmtId="0" fontId="36" fillId="27" borderId="0" applyNumberFormat="0" applyBorder="0" applyAlignment="0" applyProtection="0"/>
    <xf numFmtId="0" fontId="36" fillId="20" borderId="0" applyNumberFormat="0" applyBorder="0" applyAlignment="0" applyProtection="0"/>
    <xf numFmtId="0" fontId="36" fillId="14" borderId="0" applyNumberFormat="0" applyBorder="0" applyAlignment="0" applyProtection="0"/>
    <xf numFmtId="0" fontId="36" fillId="28"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45" fillId="15" borderId="30" applyNumberFormat="0" applyAlignment="0" applyProtection="0"/>
    <xf numFmtId="0" fontId="40" fillId="0" borderId="0" applyNumberFormat="0" applyFill="0" applyBorder="0" applyAlignment="0" applyProtection="0"/>
    <xf numFmtId="0" fontId="41" fillId="6" borderId="0" applyNumberFormat="0" applyBorder="0" applyAlignment="0" applyProtection="0"/>
    <xf numFmtId="0" fontId="42" fillId="0" borderId="33" applyNumberFormat="0" applyFill="0" applyAlignment="0" applyProtection="0"/>
    <xf numFmtId="0" fontId="43" fillId="0" borderId="34" applyNumberFormat="0" applyFill="0" applyAlignment="0" applyProtection="0"/>
    <xf numFmtId="0" fontId="44" fillId="0" borderId="35" applyNumberFormat="0" applyFill="0" applyAlignment="0" applyProtection="0"/>
    <xf numFmtId="0" fontId="44" fillId="0" borderId="0" applyNumberFormat="0" applyFill="0" applyBorder="0" applyAlignment="0" applyProtection="0"/>
    <xf numFmtId="0" fontId="37" fillId="7" borderId="0" applyNumberFormat="0" applyBorder="0" applyAlignment="0" applyProtection="0"/>
    <xf numFmtId="0" fontId="45" fillId="9" borderId="30" applyNumberFormat="0" applyAlignment="0" applyProtection="0"/>
    <xf numFmtId="0" fontId="46" fillId="0" borderId="36" applyNumberFormat="0" applyFill="0" applyAlignment="0" applyProtection="0"/>
    <xf numFmtId="0" fontId="53" fillId="15" borderId="0" applyNumberFormat="0" applyBorder="0" applyAlignment="0" applyProtection="0"/>
    <xf numFmtId="0" fontId="47" fillId="15" borderId="0" applyNumberFormat="0" applyBorder="0" applyAlignment="0" applyProtection="0"/>
    <xf numFmtId="0" fontId="7" fillId="12" borderId="37" applyNumberFormat="0" applyFont="0" applyAlignment="0" applyProtection="0"/>
    <xf numFmtId="0" fontId="22" fillId="12" borderId="37" applyNumberFormat="0" applyFont="0" applyAlignment="0" applyProtection="0"/>
    <xf numFmtId="0" fontId="48" fillId="24" borderId="38" applyNumberFormat="0" applyAlignment="0" applyProtection="0"/>
    <xf numFmtId="0" fontId="48" fillId="25" borderId="38" applyNumberFormat="0" applyAlignment="0" applyProtection="0"/>
    <xf numFmtId="0" fontId="51" fillId="0" borderId="0" applyNumberFormat="0" applyFill="0" applyBorder="0" applyAlignment="0" applyProtection="0"/>
    <xf numFmtId="0" fontId="40" fillId="0" borderId="0" applyNumberFormat="0" applyFill="0" applyBorder="0" applyAlignment="0" applyProtection="0"/>
    <xf numFmtId="0" fontId="49" fillId="0" borderId="0" applyNumberFormat="0" applyFill="0" applyBorder="0" applyAlignment="0" applyProtection="0"/>
    <xf numFmtId="0" fontId="54" fillId="0" borderId="0" applyNumberFormat="0" applyFill="0" applyBorder="0" applyAlignment="0" applyProtection="0"/>
    <xf numFmtId="0" fontId="55" fillId="0" borderId="39" applyNumberFormat="0" applyFill="0" applyAlignment="0" applyProtection="0"/>
    <xf numFmtId="0" fontId="56" fillId="0" borderId="40" applyNumberFormat="0" applyFill="0" applyAlignment="0" applyProtection="0"/>
    <xf numFmtId="0" fontId="57" fillId="0" borderId="41" applyNumberFormat="0" applyFill="0" applyAlignment="0" applyProtection="0"/>
    <xf numFmtId="0" fontId="57" fillId="0" borderId="0" applyNumberFormat="0" applyFill="0" applyBorder="0" applyAlignment="0" applyProtection="0"/>
    <xf numFmtId="0" fontId="50" fillId="0" borderId="42" applyNumberFormat="0" applyFill="0" applyAlignment="0" applyProtection="0"/>
    <xf numFmtId="0" fontId="51" fillId="0" borderId="0" applyNumberFormat="0" applyFill="0" applyBorder="0" applyAlignment="0" applyProtection="0"/>
    <xf numFmtId="0" fontId="4" fillId="0" borderId="0"/>
    <xf numFmtId="43" fontId="72" fillId="0" borderId="0" applyFont="0" applyFill="0" applyBorder="0" applyAlignment="0" applyProtection="0"/>
    <xf numFmtId="0" fontId="3" fillId="0" borderId="0"/>
    <xf numFmtId="0" fontId="2" fillId="0" borderId="0"/>
    <xf numFmtId="0" fontId="22" fillId="0" borderId="0"/>
    <xf numFmtId="0" fontId="22" fillId="0" borderId="0"/>
    <xf numFmtId="0" fontId="22" fillId="0" borderId="0"/>
    <xf numFmtId="171" fontId="7" fillId="0" borderId="0"/>
    <xf numFmtId="164" fontId="8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8" fillId="0" borderId="0"/>
    <xf numFmtId="0" fontId="8" fillId="0" borderId="0"/>
    <xf numFmtId="0" fontId="1" fillId="0" borderId="0"/>
    <xf numFmtId="9" fontId="8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42" fillId="0" borderId="33" applyNumberFormat="0" applyFill="0" applyAlignment="0" applyProtection="0"/>
    <xf numFmtId="0" fontId="42" fillId="0" borderId="33" applyNumberFormat="0" applyFill="0" applyAlignment="0" applyProtection="0"/>
    <xf numFmtId="165" fontId="8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cellStyleXfs>
  <cellXfs count="802">
    <xf numFmtId="0" fontId="0" fillId="0" borderId="0" xfId="0"/>
    <xf numFmtId="49" fontId="0" fillId="0" borderId="0" xfId="0" applyNumberFormat="1" applyAlignment="1">
      <alignment horizontal="center"/>
    </xf>
    <xf numFmtId="0" fontId="14" fillId="0" borderId="0" xfId="0" applyFont="1" applyAlignment="1">
      <alignment horizontal="center" vertical="center"/>
    </xf>
    <xf numFmtId="49" fontId="15" fillId="2" borderId="2" xfId="0" applyNumberFormat="1" applyFont="1" applyFill="1" applyBorder="1" applyAlignment="1">
      <alignment horizontal="center" vertical="center"/>
    </xf>
    <xf numFmtId="0" fontId="15" fillId="2" borderId="2" xfId="0" applyFont="1" applyFill="1" applyBorder="1" applyAlignment="1">
      <alignment horizontal="center" vertical="center"/>
    </xf>
    <xf numFmtId="0" fontId="15" fillId="2" borderId="2" xfId="0" applyFont="1" applyFill="1" applyBorder="1" applyAlignment="1">
      <alignment horizontal="center" vertical="center" wrapText="1"/>
    </xf>
    <xf numFmtId="49" fontId="16" fillId="0" borderId="0" xfId="0" applyNumberFormat="1" applyFont="1" applyAlignment="1">
      <alignment horizontal="left"/>
    </xf>
    <xf numFmtId="0" fontId="18" fillId="0" borderId="0" xfId="0" applyFont="1"/>
    <xf numFmtId="49" fontId="10" fillId="0" borderId="0" xfId="0" applyNumberFormat="1" applyFont="1" applyAlignment="1">
      <alignment horizontal="center"/>
    </xf>
    <xf numFmtId="0" fontId="10" fillId="0" borderId="0" xfId="0" applyFont="1" applyAlignment="1">
      <alignment horizontal="left"/>
    </xf>
    <xf numFmtId="0" fontId="10" fillId="0" borderId="0" xfId="0" applyFont="1" applyAlignment="1">
      <alignment horizontal="center"/>
    </xf>
    <xf numFmtId="4" fontId="10" fillId="0" borderId="0" xfId="0" applyNumberFormat="1" applyFont="1" applyAlignment="1">
      <alignment horizontal="right"/>
    </xf>
    <xf numFmtId="49" fontId="10" fillId="0" borderId="0" xfId="0" applyNumberFormat="1" applyFont="1" applyAlignment="1">
      <alignment horizontal="right"/>
    </xf>
    <xf numFmtId="4" fontId="10" fillId="0" borderId="0" xfId="0" applyNumberFormat="1" applyFont="1" applyAlignment="1">
      <alignment horizontal="left"/>
    </xf>
    <xf numFmtId="4" fontId="0" fillId="0" borderId="0" xfId="0" applyNumberFormat="1"/>
    <xf numFmtId="0" fontId="20" fillId="0" borderId="0" xfId="0" applyFont="1" applyAlignment="1">
      <alignment horizontal="left"/>
    </xf>
    <xf numFmtId="2" fontId="10" fillId="0" borderId="0" xfId="0" applyNumberFormat="1" applyFont="1" applyAlignment="1">
      <alignment horizontal="left"/>
    </xf>
    <xf numFmtId="0" fontId="11" fillId="0" borderId="0" xfId="0" applyFont="1"/>
    <xf numFmtId="0" fontId="11" fillId="0" borderId="0" xfId="0" applyFont="1" applyAlignment="1">
      <alignment horizontal="right"/>
    </xf>
    <xf numFmtId="0" fontId="0" fillId="0" borderId="0" xfId="0" applyAlignment="1">
      <alignment horizontal="left"/>
    </xf>
    <xf numFmtId="0" fontId="19" fillId="0" borderId="0" xfId="0" applyFont="1" applyAlignment="1">
      <alignment wrapText="1"/>
    </xf>
    <xf numFmtId="0" fontId="9" fillId="0" borderId="0" xfId="0" applyFont="1" applyAlignment="1">
      <alignment vertical="top"/>
    </xf>
    <xf numFmtId="0" fontId="19" fillId="0" borderId="0" xfId="0" applyFont="1"/>
    <xf numFmtId="0" fontId="13" fillId="0" borderId="1" xfId="0" applyFont="1" applyBorder="1" applyAlignment="1">
      <alignment horizontal="center"/>
    </xf>
    <xf numFmtId="0" fontId="13" fillId="0" borderId="3" xfId="0" applyFont="1" applyBorder="1" applyAlignment="1">
      <alignment horizontal="center"/>
    </xf>
    <xf numFmtId="0" fontId="19" fillId="0" borderId="5" xfId="0" applyFont="1" applyBorder="1"/>
    <xf numFmtId="0" fontId="30" fillId="0" borderId="6" xfId="4" applyFont="1" applyBorder="1" applyAlignment="1">
      <alignment horizontal="center"/>
    </xf>
    <xf numFmtId="0" fontId="13" fillId="0" borderId="7" xfId="0" applyFont="1" applyBorder="1"/>
    <xf numFmtId="4" fontId="31" fillId="0" borderId="6" xfId="7" applyNumberFormat="1" applyFont="1" applyFill="1" applyBorder="1" applyAlignment="1">
      <alignment horizontal="center" vertical="center"/>
    </xf>
    <xf numFmtId="0" fontId="32" fillId="0" borderId="8" xfId="4" applyFont="1" applyBorder="1" applyAlignment="1">
      <alignment horizontal="center"/>
    </xf>
    <xf numFmtId="0" fontId="19" fillId="0" borderId="7" xfId="0" applyFont="1" applyBorder="1"/>
    <xf numFmtId="4" fontId="33" fillId="0" borderId="8" xfId="7" applyNumberFormat="1" applyFont="1" applyFill="1" applyBorder="1" applyAlignment="1">
      <alignment horizontal="center" vertical="center"/>
    </xf>
    <xf numFmtId="0" fontId="30" fillId="0" borderId="8" xfId="4" applyFont="1" applyBorder="1" applyAlignment="1">
      <alignment horizontal="center"/>
    </xf>
    <xf numFmtId="4" fontId="31" fillId="0" borderId="8" xfId="7" applyNumberFormat="1" applyFont="1" applyFill="1" applyBorder="1" applyAlignment="1">
      <alignment horizontal="center" vertical="center"/>
    </xf>
    <xf numFmtId="0" fontId="13" fillId="0" borderId="0" xfId="0" applyFont="1"/>
    <xf numFmtId="4" fontId="24" fillId="0" borderId="8" xfId="4" applyNumberFormat="1" applyFont="1" applyBorder="1" applyAlignment="1">
      <alignment horizontal="center" vertical="center"/>
    </xf>
    <xf numFmtId="4" fontId="25" fillId="0" borderId="0" xfId="0" applyNumberFormat="1" applyFont="1"/>
    <xf numFmtId="4" fontId="25" fillId="0" borderId="9" xfId="0" applyNumberFormat="1" applyFont="1" applyBorder="1"/>
    <xf numFmtId="0" fontId="32" fillId="0" borderId="10" xfId="4" applyFont="1" applyBorder="1" applyAlignment="1">
      <alignment horizontal="center"/>
    </xf>
    <xf numFmtId="4" fontId="33" fillId="0" borderId="10" xfId="7" applyNumberFormat="1" applyFont="1" applyFill="1" applyBorder="1" applyAlignment="1">
      <alignment horizontal="center" vertical="center"/>
    </xf>
    <xf numFmtId="0" fontId="34" fillId="0" borderId="1" xfId="4" applyFont="1" applyBorder="1" applyAlignment="1">
      <alignment horizontal="center" vertical="center"/>
    </xf>
    <xf numFmtId="0" fontId="11" fillId="0" borderId="3" xfId="0" applyFont="1" applyBorder="1" applyAlignment="1">
      <alignment horizontal="center" vertical="center"/>
    </xf>
    <xf numFmtId="10" fontId="31" fillId="0" borderId="1" xfId="7" applyNumberFormat="1" applyFont="1" applyFill="1" applyBorder="1" applyAlignment="1">
      <alignment horizontal="center" vertical="center"/>
    </xf>
    <xf numFmtId="0" fontId="18" fillId="0" borderId="0" xfId="0" applyFont="1" applyAlignment="1">
      <alignment wrapText="1"/>
    </xf>
    <xf numFmtId="0" fontId="0" fillId="0" borderId="0" xfId="0" applyAlignment="1">
      <alignment horizontal="center" wrapText="1"/>
    </xf>
    <xf numFmtId="0" fontId="26" fillId="0" borderId="7" xfId="0" applyFont="1" applyBorder="1"/>
    <xf numFmtId="0" fontId="0" fillId="0" borderId="9" xfId="0" applyBorder="1"/>
    <xf numFmtId="0" fontId="11" fillId="0" borderId="11" xfId="0" applyFont="1" applyBorder="1"/>
    <xf numFmtId="0" fontId="11" fillId="0" borderId="12" xfId="0" applyFont="1" applyBorder="1"/>
    <xf numFmtId="0" fontId="11" fillId="0" borderId="13" xfId="0" applyFont="1" applyBorder="1"/>
    <xf numFmtId="0" fontId="24" fillId="0" borderId="12" xfId="0" applyFont="1" applyBorder="1"/>
    <xf numFmtId="49" fontId="24" fillId="0" borderId="12" xfId="0" applyNumberFormat="1" applyFont="1" applyBorder="1"/>
    <xf numFmtId="0" fontId="24" fillId="0" borderId="13" xfId="0" applyFont="1" applyBorder="1"/>
    <xf numFmtId="0" fontId="26" fillId="0" borderId="0" xfId="0" applyFont="1"/>
    <xf numFmtId="0" fontId="11" fillId="0" borderId="10" xfId="0" applyFont="1" applyBorder="1" applyAlignment="1">
      <alignment horizontal="center" vertical="center"/>
    </xf>
    <xf numFmtId="0" fontId="11" fillId="0" borderId="11" xfId="0" applyFont="1" applyBorder="1" applyAlignment="1">
      <alignment horizontal="center" vertical="center"/>
    </xf>
    <xf numFmtId="4" fontId="26" fillId="0" borderId="1" xfId="0" applyNumberFormat="1" applyFont="1" applyBorder="1" applyAlignment="1">
      <alignment horizontal="right"/>
    </xf>
    <xf numFmtId="4" fontId="26" fillId="0" borderId="3" xfId="0" applyNumberFormat="1" applyFont="1" applyBorder="1" applyAlignment="1">
      <alignment horizontal="right"/>
    </xf>
    <xf numFmtId="2" fontId="0" fillId="0" borderId="0" xfId="0" applyNumberFormat="1"/>
    <xf numFmtId="0" fontId="25" fillId="0" borderId="1" xfId="0" applyFont="1" applyBorder="1" applyAlignment="1">
      <alignment horizontal="left"/>
    </xf>
    <xf numFmtId="0" fontId="0" fillId="0" borderId="3" xfId="0" applyBorder="1" applyAlignment="1">
      <alignment horizontal="right"/>
    </xf>
    <xf numFmtId="0" fontId="0" fillId="0" borderId="1" xfId="0" applyBorder="1" applyAlignment="1">
      <alignment horizontal="center"/>
    </xf>
    <xf numFmtId="0" fontId="0" fillId="0" borderId="3" xfId="0" applyBorder="1" applyAlignment="1">
      <alignment horizontal="center"/>
    </xf>
    <xf numFmtId="0" fontId="20" fillId="0" borderId="1" xfId="0" applyFont="1" applyBorder="1" applyAlignment="1">
      <alignment horizontal="left"/>
    </xf>
    <xf numFmtId="0" fontId="25" fillId="0" borderId="0" xfId="0" applyFont="1" applyAlignment="1">
      <alignment horizontal="left"/>
    </xf>
    <xf numFmtId="0" fontId="0" fillId="0" borderId="0" xfId="0" applyAlignment="1">
      <alignment horizontal="center"/>
    </xf>
    <xf numFmtId="4" fontId="0" fillId="0" borderId="0" xfId="0" applyNumberFormat="1" applyAlignment="1">
      <alignment horizontal="center"/>
    </xf>
    <xf numFmtId="4" fontId="27" fillId="0" borderId="0" xfId="0" applyNumberFormat="1" applyFont="1" applyAlignment="1">
      <alignment horizontal="left"/>
    </xf>
    <xf numFmtId="0" fontId="13" fillId="0" borderId="0" xfId="0" applyFont="1" applyAlignment="1">
      <alignment vertical="top" wrapText="1"/>
    </xf>
    <xf numFmtId="0" fontId="0" fillId="0" borderId="0" xfId="0" applyAlignment="1">
      <alignment vertical="top" wrapText="1"/>
    </xf>
    <xf numFmtId="0" fontId="0" fillId="0" borderId="22" xfId="0" applyBorder="1" applyAlignment="1">
      <alignment vertical="top" wrapText="1"/>
    </xf>
    <xf numFmtId="0" fontId="0" fillId="0" borderId="21" xfId="0" applyBorder="1" applyAlignment="1">
      <alignment vertical="top" wrapText="1"/>
    </xf>
    <xf numFmtId="0" fontId="0" fillId="0" borderId="19" xfId="0" applyBorder="1" applyAlignment="1">
      <alignment vertical="top" wrapText="1"/>
    </xf>
    <xf numFmtId="0" fontId="0" fillId="0" borderId="25" xfId="0" applyBorder="1" applyAlignment="1">
      <alignment vertical="top" wrapText="1"/>
    </xf>
    <xf numFmtId="0" fontId="0" fillId="0" borderId="24" xfId="0" applyBorder="1" applyAlignment="1">
      <alignment vertical="top" wrapText="1"/>
    </xf>
    <xf numFmtId="0" fontId="0" fillId="0" borderId="27" xfId="0" applyBorder="1" applyAlignment="1">
      <alignment vertical="top" wrapText="1"/>
    </xf>
    <xf numFmtId="0" fontId="0" fillId="0" borderId="28" xfId="0" applyBorder="1" applyAlignment="1">
      <alignment vertical="top" wrapText="1"/>
    </xf>
    <xf numFmtId="0" fontId="13" fillId="0" borderId="0" xfId="0" applyFont="1" applyAlignment="1">
      <alignment horizontal="center" vertical="top" wrapText="1"/>
    </xf>
    <xf numFmtId="0" fontId="0" fillId="0" borderId="0" xfId="0" applyAlignment="1">
      <alignment horizontal="center" vertical="top" wrapText="1"/>
    </xf>
    <xf numFmtId="0" fontId="0" fillId="0" borderId="21" xfId="0" applyBorder="1" applyAlignment="1">
      <alignment horizontal="center" vertical="top" wrapText="1"/>
    </xf>
    <xf numFmtId="0" fontId="0" fillId="0" borderId="23" xfId="0" applyBorder="1" applyAlignment="1">
      <alignment horizontal="center" vertical="top" wrapText="1"/>
    </xf>
    <xf numFmtId="0" fontId="12" fillId="0" borderId="0" xfId="1" quotePrefix="1" applyNumberFormat="1" applyAlignment="1" applyProtection="1">
      <alignment horizontal="center" vertical="top" wrapText="1"/>
    </xf>
    <xf numFmtId="0" fontId="0" fillId="0" borderId="20" xfId="0" applyBorder="1" applyAlignment="1">
      <alignment horizontal="center" vertical="top" wrapText="1"/>
    </xf>
    <xf numFmtId="0" fontId="0" fillId="0" borderId="24" xfId="0" applyBorder="1" applyAlignment="1">
      <alignment horizontal="center" vertical="top" wrapText="1"/>
    </xf>
    <xf numFmtId="0" fontId="12" fillId="0" borderId="24" xfId="1" quotePrefix="1" applyNumberFormat="1" applyBorder="1" applyAlignment="1" applyProtection="1">
      <alignment horizontal="center" vertical="top" wrapText="1"/>
    </xf>
    <xf numFmtId="0" fontId="0" fillId="0" borderId="26" xfId="0" applyBorder="1" applyAlignment="1">
      <alignment horizontal="center" vertical="top" wrapText="1"/>
    </xf>
    <xf numFmtId="0" fontId="0" fillId="0" borderId="28" xfId="0" applyBorder="1" applyAlignment="1">
      <alignment horizontal="center" vertical="top" wrapText="1"/>
    </xf>
    <xf numFmtId="0" fontId="0" fillId="0" borderId="29" xfId="0" applyBorder="1" applyAlignment="1">
      <alignment horizontal="center" vertical="top" wrapText="1"/>
    </xf>
    <xf numFmtId="0" fontId="7" fillId="0" borderId="0" xfId="0" applyFont="1"/>
    <xf numFmtId="0" fontId="26" fillId="0" borderId="3" xfId="0" applyFont="1" applyBorder="1" applyAlignment="1">
      <alignment horizontal="left"/>
    </xf>
    <xf numFmtId="0" fontId="26" fillId="0" borderId="5" xfId="0" applyFont="1" applyBorder="1" applyAlignment="1">
      <alignment horizontal="left"/>
    </xf>
    <xf numFmtId="4" fontId="26" fillId="0" borderId="0" xfId="0" applyNumberFormat="1" applyFont="1" applyAlignment="1">
      <alignment horizontal="right"/>
    </xf>
    <xf numFmtId="0" fontId="26" fillId="0" borderId="1" xfId="0" applyFont="1" applyBorder="1" applyAlignment="1">
      <alignment horizontal="center"/>
    </xf>
    <xf numFmtId="49" fontId="21" fillId="0" borderId="0" xfId="0" applyNumberFormat="1" applyFont="1" applyAlignment="1">
      <alignment horizontal="center"/>
    </xf>
    <xf numFmtId="0" fontId="0" fillId="0" borderId="43" xfId="0" applyBorder="1"/>
    <xf numFmtId="49" fontId="0" fillId="0" borderId="43" xfId="0" applyNumberFormat="1" applyBorder="1" applyAlignment="1">
      <alignment horizontal="center"/>
    </xf>
    <xf numFmtId="49" fontId="16" fillId="0" borderId="0" xfId="0" applyNumberFormat="1" applyFont="1" applyAlignment="1">
      <alignment horizontal="center"/>
    </xf>
    <xf numFmtId="49" fontId="16" fillId="0" borderId="43" xfId="0" applyNumberFormat="1" applyFont="1" applyBorder="1" applyAlignment="1">
      <alignment horizontal="center"/>
    </xf>
    <xf numFmtId="0" fontId="16" fillId="0" borderId="0" xfId="0" applyFont="1"/>
    <xf numFmtId="0" fontId="15" fillId="0" borderId="0" xfId="0" applyFont="1" applyAlignment="1">
      <alignment horizontal="center" vertical="center"/>
    </xf>
    <xf numFmtId="2" fontId="9" fillId="0" borderId="0" xfId="0" applyNumberFormat="1" applyFont="1" applyAlignment="1">
      <alignment horizontal="left"/>
    </xf>
    <xf numFmtId="4" fontId="10" fillId="0" borderId="0" xfId="0" applyNumberFormat="1" applyFont="1" applyAlignment="1">
      <alignment vertical="center"/>
    </xf>
    <xf numFmtId="0" fontId="10" fillId="0" borderId="0" xfId="0" applyFont="1"/>
    <xf numFmtId="49" fontId="9" fillId="0" borderId="0" xfId="0" applyNumberFormat="1" applyFont="1" applyAlignment="1">
      <alignment horizontal="center"/>
    </xf>
    <xf numFmtId="2" fontId="27" fillId="0" borderId="0" xfId="0" applyNumberFormat="1" applyFont="1" applyAlignment="1">
      <alignment horizontal="left"/>
    </xf>
    <xf numFmtId="2" fontId="0" fillId="0" borderId="0" xfId="0" applyNumberFormat="1" applyAlignment="1">
      <alignment horizontal="left"/>
    </xf>
    <xf numFmtId="0" fontId="13" fillId="0" borderId="0" xfId="0" applyFont="1" applyAlignment="1">
      <alignment horizontal="center" vertical="center"/>
    </xf>
    <xf numFmtId="0" fontId="7" fillId="0" borderId="43" xfId="0" applyFont="1" applyBorder="1"/>
    <xf numFmtId="0" fontId="21" fillId="2" borderId="2" xfId="0" applyFont="1" applyFill="1" applyBorder="1" applyAlignment="1">
      <alignment horizontal="center" vertical="center"/>
    </xf>
    <xf numFmtId="2" fontId="59" fillId="0" borderId="0" xfId="0" applyNumberFormat="1" applyFont="1" applyAlignment="1">
      <alignment horizontal="left"/>
    </xf>
    <xf numFmtId="4" fontId="9" fillId="0" borderId="0" xfId="0" applyNumberFormat="1" applyFont="1" applyAlignment="1">
      <alignment horizontal="left"/>
    </xf>
    <xf numFmtId="49" fontId="7" fillId="0" borderId="0" xfId="0" applyNumberFormat="1" applyFont="1" applyAlignment="1">
      <alignment horizontal="center"/>
    </xf>
    <xf numFmtId="0" fontId="8" fillId="0" borderId="0" xfId="0" applyFont="1"/>
    <xf numFmtId="4" fontId="9" fillId="29" borderId="0" xfId="0" applyNumberFormat="1" applyFont="1" applyFill="1" applyAlignment="1">
      <alignment horizontal="left"/>
    </xf>
    <xf numFmtId="2" fontId="10" fillId="0" borderId="0" xfId="0" applyNumberFormat="1" applyFont="1"/>
    <xf numFmtId="2" fontId="10" fillId="32" borderId="0" xfId="0" applyNumberFormat="1" applyFont="1" applyFill="1" applyAlignment="1">
      <alignment horizontal="left"/>
    </xf>
    <xf numFmtId="0" fontId="9" fillId="0" borderId="0" xfId="0" applyFont="1"/>
    <xf numFmtId="2" fontId="10" fillId="31" borderId="0" xfId="0" applyNumberFormat="1" applyFont="1" applyFill="1" applyAlignment="1">
      <alignment horizontal="left"/>
    </xf>
    <xf numFmtId="0" fontId="10" fillId="3" borderId="0" xfId="0" applyFont="1" applyFill="1"/>
    <xf numFmtId="0" fontId="0" fillId="3" borderId="0" xfId="0" applyFill="1"/>
    <xf numFmtId="49" fontId="10" fillId="3" borderId="0" xfId="0" applyNumberFormat="1" applyFont="1" applyFill="1" applyAlignment="1">
      <alignment horizontal="center"/>
    </xf>
    <xf numFmtId="4" fontId="10" fillId="3" borderId="0" xfId="0" applyNumberFormat="1" applyFont="1" applyFill="1" applyAlignment="1">
      <alignment horizontal="left"/>
    </xf>
    <xf numFmtId="4" fontId="27" fillId="3" borderId="0" xfId="0" applyNumberFormat="1" applyFont="1" applyFill="1" applyAlignment="1">
      <alignment horizontal="left"/>
    </xf>
    <xf numFmtId="4" fontId="10" fillId="3" borderId="0" xfId="0" applyNumberFormat="1" applyFont="1" applyFill="1" applyAlignment="1">
      <alignment horizontal="right"/>
    </xf>
    <xf numFmtId="0" fontId="18" fillId="3" borderId="0" xfId="0" applyFont="1" applyFill="1"/>
    <xf numFmtId="49" fontId="9" fillId="31" borderId="0" xfId="0" applyNumberFormat="1" applyFont="1" applyFill="1" applyAlignment="1">
      <alignment horizontal="center"/>
    </xf>
    <xf numFmtId="2" fontId="9" fillId="31" borderId="0" xfId="0" applyNumberFormat="1" applyFont="1" applyFill="1" applyAlignment="1">
      <alignment horizontal="left"/>
    </xf>
    <xf numFmtId="0" fontId="10" fillId="31" borderId="0" xfId="0" applyFont="1" applyFill="1"/>
    <xf numFmtId="0" fontId="0" fillId="31" borderId="0" xfId="0" applyFill="1"/>
    <xf numFmtId="2" fontId="10" fillId="3" borderId="0" xfId="0" applyNumberFormat="1" applyFont="1" applyFill="1" applyAlignment="1">
      <alignment horizontal="left"/>
    </xf>
    <xf numFmtId="49" fontId="10" fillId="31" borderId="0" xfId="0" applyNumberFormat="1" applyFont="1" applyFill="1" applyAlignment="1">
      <alignment horizontal="center"/>
    </xf>
    <xf numFmtId="4" fontId="9" fillId="3" borderId="0" xfId="0" applyNumberFormat="1" applyFont="1" applyFill="1" applyAlignment="1">
      <alignment horizontal="left"/>
    </xf>
    <xf numFmtId="0" fontId="59" fillId="31" borderId="0" xfId="0" applyFont="1" applyFill="1"/>
    <xf numFmtId="4" fontId="9" fillId="31" borderId="0" xfId="0" applyNumberFormat="1" applyFont="1" applyFill="1" applyAlignment="1">
      <alignment horizontal="left"/>
    </xf>
    <xf numFmtId="4" fontId="27" fillId="31" borderId="0" xfId="0" applyNumberFormat="1" applyFont="1" applyFill="1" applyAlignment="1">
      <alignment horizontal="left"/>
    </xf>
    <xf numFmtId="4" fontId="10" fillId="31" borderId="0" xfId="0" applyNumberFormat="1" applyFont="1" applyFill="1" applyAlignment="1">
      <alignment horizontal="right"/>
    </xf>
    <xf numFmtId="0" fontId="18" fillId="31" borderId="0" xfId="0" applyFont="1" applyFill="1"/>
    <xf numFmtId="4" fontId="10" fillId="31" borderId="0" xfId="0" applyNumberFormat="1" applyFont="1" applyFill="1" applyAlignment="1">
      <alignment horizontal="left"/>
    </xf>
    <xf numFmtId="49" fontId="10" fillId="31" borderId="0" xfId="0" applyNumberFormat="1" applyFont="1" applyFill="1" applyAlignment="1">
      <alignment horizontal="center" vertical="center"/>
    </xf>
    <xf numFmtId="2" fontId="10" fillId="31" borderId="0" xfId="0" applyNumberFormat="1" applyFont="1" applyFill="1" applyAlignment="1">
      <alignment horizontal="left" vertical="center"/>
    </xf>
    <xf numFmtId="4" fontId="10" fillId="31" borderId="0" xfId="0" applyNumberFormat="1" applyFont="1" applyFill="1" applyAlignment="1">
      <alignment horizontal="left" vertical="center"/>
    </xf>
    <xf numFmtId="4" fontId="27" fillId="31" borderId="0" xfId="0" applyNumberFormat="1" applyFont="1" applyFill="1" applyAlignment="1">
      <alignment horizontal="left" vertical="center"/>
    </xf>
    <xf numFmtId="4" fontId="10" fillId="31" borderId="0" xfId="0" applyNumberFormat="1" applyFont="1" applyFill="1" applyAlignment="1">
      <alignment horizontal="right" vertical="center"/>
    </xf>
    <xf numFmtId="0" fontId="0" fillId="31" borderId="0" xfId="0" applyFill="1" applyAlignment="1">
      <alignment vertical="center"/>
    </xf>
    <xf numFmtId="49" fontId="9" fillId="31" borderId="0" xfId="0" applyNumberFormat="1" applyFont="1" applyFill="1" applyAlignment="1">
      <alignment horizontal="center" vertical="center"/>
    </xf>
    <xf numFmtId="2" fontId="9" fillId="31" borderId="0" xfId="0" applyNumberFormat="1" applyFont="1" applyFill="1" applyAlignment="1">
      <alignment horizontal="left" vertical="center"/>
    </xf>
    <xf numFmtId="0" fontId="10" fillId="31" borderId="0" xfId="0" applyFont="1" applyFill="1" applyAlignment="1">
      <alignment vertical="center"/>
    </xf>
    <xf numFmtId="2" fontId="27" fillId="0" borderId="0" xfId="0" applyNumberFormat="1" applyFont="1" applyAlignment="1">
      <alignment horizontal="left" vertical="center"/>
    </xf>
    <xf numFmtId="4" fontId="10" fillId="0" borderId="0" xfId="0" applyNumberFormat="1" applyFont="1" applyAlignment="1">
      <alignment horizontal="left" vertical="center"/>
    </xf>
    <xf numFmtId="4" fontId="27" fillId="0" borderId="0" xfId="0" applyNumberFormat="1" applyFont="1" applyAlignment="1">
      <alignment horizontal="left" vertical="center"/>
    </xf>
    <xf numFmtId="4" fontId="10" fillId="0" borderId="0" xfId="0" applyNumberFormat="1" applyFont="1" applyAlignment="1">
      <alignment horizontal="right" vertical="center"/>
    </xf>
    <xf numFmtId="4" fontId="27" fillId="3" borderId="0" xfId="0" applyNumberFormat="1" applyFont="1" applyFill="1" applyAlignment="1">
      <alignment horizontal="left" vertical="center"/>
    </xf>
    <xf numFmtId="2" fontId="10" fillId="31" borderId="0" xfId="0" applyNumberFormat="1" applyFont="1" applyFill="1" applyAlignment="1">
      <alignment horizontal="left" vertical="center" wrapText="1"/>
    </xf>
    <xf numFmtId="0" fontId="0" fillId="0" borderId="0" xfId="0" applyAlignment="1">
      <alignment vertical="center"/>
    </xf>
    <xf numFmtId="49" fontId="9" fillId="0" borderId="0" xfId="0" applyNumberFormat="1" applyFont="1" applyAlignment="1">
      <alignment horizontal="center" vertical="center"/>
    </xf>
    <xf numFmtId="0" fontId="18" fillId="0" borderId="0" xfId="0" applyFont="1" applyAlignment="1">
      <alignment vertical="center"/>
    </xf>
    <xf numFmtId="2" fontId="10" fillId="0" borderId="0" xfId="0" applyNumberFormat="1" applyFont="1" applyAlignment="1">
      <alignment horizontal="left" vertical="center"/>
    </xf>
    <xf numFmtId="0" fontId="7" fillId="3" borderId="0" xfId="0" applyFont="1" applyFill="1"/>
    <xf numFmtId="4" fontId="60" fillId="31" borderId="0" xfId="0" applyNumberFormat="1" applyFont="1" applyFill="1" applyAlignment="1">
      <alignment horizontal="left"/>
    </xf>
    <xf numFmtId="4" fontId="61" fillId="31" borderId="0" xfId="0" applyNumberFormat="1" applyFont="1" applyFill="1" applyAlignment="1">
      <alignment horizontal="left"/>
    </xf>
    <xf numFmtId="4" fontId="61" fillId="31" borderId="0" xfId="0" applyNumberFormat="1" applyFont="1" applyFill="1" applyAlignment="1">
      <alignment horizontal="right"/>
    </xf>
    <xf numFmtId="0" fontId="62" fillId="31" borderId="0" xfId="0" applyFont="1" applyFill="1"/>
    <xf numFmtId="0" fontId="63" fillId="31" borderId="0" xfId="0" applyFont="1" applyFill="1"/>
    <xf numFmtId="4" fontId="9" fillId="3" borderId="0" xfId="0" applyNumberFormat="1" applyFont="1" applyFill="1" applyAlignment="1">
      <alignment horizontal="left" vertical="center"/>
    </xf>
    <xf numFmtId="4" fontId="60" fillId="3" borderId="0" xfId="0" applyNumberFormat="1" applyFont="1" applyFill="1" applyAlignment="1">
      <alignment horizontal="right"/>
    </xf>
    <xf numFmtId="0" fontId="64" fillId="3" borderId="0" xfId="0" applyFont="1" applyFill="1"/>
    <xf numFmtId="0" fontId="65" fillId="3" borderId="0" xfId="0" applyFont="1" applyFill="1"/>
    <xf numFmtId="4" fontId="9" fillId="31" borderId="0" xfId="0" applyNumberFormat="1" applyFont="1" applyFill="1" applyAlignment="1">
      <alignment horizontal="left" vertical="center"/>
    </xf>
    <xf numFmtId="4" fontId="60" fillId="31" borderId="0" xfId="0" applyNumberFormat="1" applyFont="1" applyFill="1" applyAlignment="1">
      <alignment horizontal="right"/>
    </xf>
    <xf numFmtId="0" fontId="64" fillId="31" borderId="0" xfId="0" applyFont="1" applyFill="1"/>
    <xf numFmtId="0" fontId="65" fillId="31" borderId="0" xfId="0" applyFont="1" applyFill="1"/>
    <xf numFmtId="49" fontId="10" fillId="0" borderId="0" xfId="0" applyNumberFormat="1" applyFont="1" applyAlignment="1">
      <alignment horizontal="center" vertical="center"/>
    </xf>
    <xf numFmtId="49" fontId="10" fillId="3" borderId="0" xfId="0" applyNumberFormat="1" applyFont="1" applyFill="1" applyAlignment="1">
      <alignment horizontal="center" vertical="center"/>
    </xf>
    <xf numFmtId="0" fontId="0" fillId="32" borderId="0" xfId="0" applyFill="1"/>
    <xf numFmtId="2" fontId="10" fillId="0" borderId="0" xfId="0" applyNumberFormat="1" applyFont="1" applyAlignment="1">
      <alignment horizontal="left" wrapText="1"/>
    </xf>
    <xf numFmtId="2" fontId="9" fillId="0" borderId="0" xfId="0" applyNumberFormat="1" applyFont="1" applyAlignment="1">
      <alignment horizontal="left" wrapText="1"/>
    </xf>
    <xf numFmtId="2" fontId="59" fillId="31" borderId="0" xfId="0" applyNumberFormat="1" applyFont="1" applyFill="1" applyAlignment="1">
      <alignment horizontal="left"/>
    </xf>
    <xf numFmtId="0" fontId="7" fillId="31" borderId="0" xfId="0" applyFont="1" applyFill="1"/>
    <xf numFmtId="2" fontId="66" fillId="31" borderId="0" xfId="0" applyNumberFormat="1" applyFont="1" applyFill="1" applyAlignment="1">
      <alignment horizontal="left"/>
    </xf>
    <xf numFmtId="0" fontId="67" fillId="31" borderId="0" xfId="0" applyFont="1" applyFill="1"/>
    <xf numFmtId="0" fontId="68" fillId="0" borderId="0" xfId="0" applyFont="1"/>
    <xf numFmtId="0" fontId="0" fillId="0" borderId="0" xfId="0" applyAlignment="1">
      <alignment horizontal="center" vertical="center"/>
    </xf>
    <xf numFmtId="49"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49" fontId="16" fillId="0" borderId="1" xfId="0" applyNumberFormat="1" applyFont="1" applyBorder="1" applyAlignment="1">
      <alignment horizontal="center" vertical="center" wrapText="1"/>
    </xf>
    <xf numFmtId="4" fontId="16" fillId="0" borderId="1" xfId="0" applyNumberFormat="1" applyFont="1" applyBorder="1" applyAlignment="1">
      <alignment horizontal="center" vertical="center"/>
    </xf>
    <xf numFmtId="4" fontId="16" fillId="0" borderId="1" xfId="2" applyNumberFormat="1" applyFont="1" applyBorder="1" applyAlignment="1">
      <alignment horizontal="center" vertical="center"/>
    </xf>
    <xf numFmtId="4" fontId="16" fillId="0" borderId="6" xfId="0" applyNumberFormat="1" applyFont="1" applyBorder="1" applyAlignment="1">
      <alignment horizontal="center" vertical="center"/>
    </xf>
    <xf numFmtId="0" fontId="7" fillId="0" borderId="1" xfId="0" applyFont="1" applyBorder="1" applyAlignment="1">
      <alignment horizontal="center" vertical="center"/>
    </xf>
    <xf numFmtId="4" fontId="10" fillId="0" borderId="0" xfId="0" applyNumberFormat="1" applyFont="1" applyAlignment="1">
      <alignment horizontal="center" vertical="center"/>
    </xf>
    <xf numFmtId="2" fontId="9" fillId="0" borderId="0" xfId="0" applyNumberFormat="1" applyFont="1" applyAlignment="1">
      <alignment horizontal="center" vertical="center"/>
    </xf>
    <xf numFmtId="0" fontId="18" fillId="0" borderId="0" xfId="0" applyFont="1" applyAlignment="1">
      <alignment horizontal="center" vertical="center"/>
    </xf>
    <xf numFmtId="2" fontId="10" fillId="0" borderId="0" xfId="0" applyNumberFormat="1" applyFont="1" applyAlignment="1">
      <alignment horizontal="center" vertical="center"/>
    </xf>
    <xf numFmtId="0" fontId="18" fillId="31" borderId="0" xfId="0" applyFont="1" applyFill="1" applyAlignment="1">
      <alignment horizontal="center" vertical="center"/>
    </xf>
    <xf numFmtId="0" fontId="0" fillId="31" borderId="0" xfId="0" applyFill="1" applyAlignment="1">
      <alignment horizontal="center" vertical="center"/>
    </xf>
    <xf numFmtId="2" fontId="27" fillId="0" borderId="0" xfId="0" applyNumberFormat="1" applyFont="1" applyAlignment="1">
      <alignment horizontal="center" vertical="center"/>
    </xf>
    <xf numFmtId="4" fontId="27" fillId="0" borderId="0" xfId="0" applyNumberFormat="1" applyFont="1" applyAlignment="1">
      <alignment horizontal="center" vertical="center"/>
    </xf>
    <xf numFmtId="0" fontId="18" fillId="0" borderId="0" xfId="0" applyFont="1" applyAlignment="1">
      <alignment horizontal="left" vertical="center"/>
    </xf>
    <xf numFmtId="0" fontId="0" fillId="0" borderId="0" xfId="0" applyAlignment="1">
      <alignment horizontal="left" vertical="center"/>
    </xf>
    <xf numFmtId="0" fontId="10" fillId="0" borderId="0" xfId="0" applyFont="1" applyAlignment="1">
      <alignment horizontal="left" vertical="center"/>
    </xf>
    <xf numFmtId="49" fontId="13" fillId="0" borderId="0" xfId="0" applyNumberFormat="1" applyFont="1" applyAlignment="1">
      <alignment horizontal="center" vertical="center"/>
    </xf>
    <xf numFmtId="49" fontId="7" fillId="0" borderId="0" xfId="0" applyNumberFormat="1" applyFont="1" applyAlignment="1">
      <alignment horizontal="center" vertical="center"/>
    </xf>
    <xf numFmtId="2" fontId="9" fillId="31" borderId="0" xfId="0" applyNumberFormat="1" applyFont="1" applyFill="1" applyAlignment="1">
      <alignment horizontal="center" wrapText="1"/>
    </xf>
    <xf numFmtId="0" fontId="10" fillId="0" borderId="0" xfId="0" applyFont="1" applyAlignment="1">
      <alignment horizontal="center" vertical="center"/>
    </xf>
    <xf numFmtId="0" fontId="73" fillId="0" borderId="1" xfId="16" applyFont="1" applyBorder="1" applyAlignment="1">
      <alignment horizontal="center" vertical="center"/>
    </xf>
    <xf numFmtId="0" fontId="0" fillId="0" borderId="1" xfId="0" applyBorder="1" applyAlignment="1">
      <alignment horizontal="center" vertical="center"/>
    </xf>
    <xf numFmtId="0" fontId="73" fillId="0" borderId="1" xfId="0" applyFont="1" applyBorder="1" applyAlignment="1">
      <alignment horizontal="center" vertical="center"/>
    </xf>
    <xf numFmtId="0" fontId="73" fillId="31" borderId="3" xfId="16" applyFont="1" applyFill="1" applyBorder="1" applyAlignment="1">
      <alignment horizontal="center" vertical="center"/>
    </xf>
    <xf numFmtId="0" fontId="73" fillId="31" borderId="4" xfId="16" applyFont="1" applyFill="1" applyBorder="1" applyAlignment="1">
      <alignment horizontal="center" vertical="center"/>
    </xf>
    <xf numFmtId="167" fontId="0" fillId="31" borderId="4" xfId="109" applyNumberFormat="1" applyFont="1" applyFill="1" applyBorder="1" applyAlignment="1">
      <alignment horizontal="center" vertical="center"/>
    </xf>
    <xf numFmtId="0" fontId="0" fillId="31" borderId="4" xfId="0" applyFill="1" applyBorder="1" applyAlignment="1">
      <alignment horizontal="center" vertical="center"/>
    </xf>
    <xf numFmtId="4" fontId="16" fillId="31" borderId="5" xfId="0" applyNumberFormat="1" applyFont="1" applyFill="1" applyBorder="1" applyAlignment="1">
      <alignment horizontal="center" vertical="center"/>
    </xf>
    <xf numFmtId="0" fontId="77" fillId="0" borderId="1" xfId="0" applyFont="1" applyBorder="1" applyAlignment="1">
      <alignment horizontal="center" vertical="center"/>
    </xf>
    <xf numFmtId="0" fontId="73" fillId="0" borderId="1" xfId="0" applyFont="1" applyBorder="1" applyAlignment="1">
      <alignment horizontal="left" vertical="center" wrapText="1"/>
    </xf>
    <xf numFmtId="0" fontId="16" fillId="0" borderId="1" xfId="0" applyFont="1" applyBorder="1" applyAlignment="1">
      <alignment horizontal="center" vertical="center" wrapText="1"/>
    </xf>
    <xf numFmtId="49" fontId="16" fillId="0" borderId="4" xfId="0" applyNumberFormat="1" applyFont="1" applyBorder="1" applyAlignment="1">
      <alignment horizontal="center" vertical="center"/>
    </xf>
    <xf numFmtId="0" fontId="73" fillId="0" borderId="4" xfId="0" applyFont="1" applyBorder="1" applyAlignment="1">
      <alignment horizontal="center" vertical="center"/>
    </xf>
    <xf numFmtId="4" fontId="16" fillId="0" borderId="5" xfId="0" applyNumberFormat="1" applyFont="1" applyBorder="1" applyAlignment="1">
      <alignment horizontal="center" vertical="center"/>
    </xf>
    <xf numFmtId="0" fontId="78" fillId="0" borderId="1" xfId="0" applyFont="1" applyBorder="1" applyAlignment="1">
      <alignment horizontal="center" vertical="center"/>
    </xf>
    <xf numFmtId="49" fontId="16" fillId="31" borderId="1" xfId="0" applyNumberFormat="1" applyFont="1" applyFill="1" applyBorder="1" applyAlignment="1">
      <alignment horizontal="center" vertical="center"/>
    </xf>
    <xf numFmtId="0" fontId="8" fillId="31" borderId="1" xfId="0" applyFont="1" applyFill="1" applyBorder="1" applyAlignment="1">
      <alignment horizontal="center" vertical="center"/>
    </xf>
    <xf numFmtId="4" fontId="16" fillId="31" borderId="1" xfId="0" applyNumberFormat="1" applyFont="1" applyFill="1" applyBorder="1" applyAlignment="1">
      <alignment horizontal="center" vertical="center"/>
    </xf>
    <xf numFmtId="49" fontId="16" fillId="31" borderId="1" xfId="0" applyNumberFormat="1" applyFont="1" applyFill="1" applyBorder="1" applyAlignment="1">
      <alignment horizontal="center" vertical="center" wrapText="1"/>
    </xf>
    <xf numFmtId="0" fontId="16" fillId="31" borderId="5" xfId="0" applyFont="1" applyFill="1" applyBorder="1" applyAlignment="1">
      <alignment horizontal="center" vertical="center"/>
    </xf>
    <xf numFmtId="0" fontId="77" fillId="31" borderId="1" xfId="0" applyFont="1" applyFill="1" applyBorder="1" applyAlignment="1">
      <alignment horizontal="center" vertical="center"/>
    </xf>
    <xf numFmtId="0" fontId="73" fillId="31" borderId="1" xfId="0" applyFont="1" applyFill="1" applyBorder="1" applyAlignment="1">
      <alignment horizontal="center" vertical="center"/>
    </xf>
    <xf numFmtId="0" fontId="79" fillId="31" borderId="1" xfId="12" applyFont="1" applyFill="1" applyBorder="1" applyAlignment="1">
      <alignment horizontal="center" vertical="center" wrapText="1"/>
    </xf>
    <xf numFmtId="168" fontId="79" fillId="31" borderId="1" xfId="12" applyNumberFormat="1" applyFont="1" applyFill="1" applyBorder="1" applyAlignment="1">
      <alignment horizontal="center" vertical="center" wrapText="1"/>
    </xf>
    <xf numFmtId="4" fontId="16" fillId="31" borderId="3" xfId="0" applyNumberFormat="1" applyFont="1" applyFill="1" applyBorder="1" applyAlignment="1">
      <alignment horizontal="center" vertical="center"/>
    </xf>
    <xf numFmtId="2" fontId="10" fillId="0" borderId="0" xfId="0" applyNumberFormat="1" applyFont="1" applyAlignment="1">
      <alignment horizontal="center"/>
    </xf>
    <xf numFmtId="2" fontId="10" fillId="30" borderId="0" xfId="0" applyNumberFormat="1" applyFont="1" applyFill="1" applyAlignment="1">
      <alignment horizontal="left"/>
    </xf>
    <xf numFmtId="0" fontId="10" fillId="30" borderId="0" xfId="0" applyFont="1" applyFill="1"/>
    <xf numFmtId="0" fontId="0" fillId="30" borderId="0" xfId="0" applyFill="1"/>
    <xf numFmtId="4" fontId="16" fillId="0" borderId="3" xfId="0" applyNumberFormat="1" applyFont="1" applyBorder="1" applyAlignment="1">
      <alignment horizontal="center" vertical="center"/>
    </xf>
    <xf numFmtId="0" fontId="73" fillId="0" borderId="0" xfId="0" applyFont="1" applyAlignment="1">
      <alignment horizontal="center" vertical="center"/>
    </xf>
    <xf numFmtId="49" fontId="10" fillId="30" borderId="0" xfId="0" applyNumberFormat="1" applyFont="1" applyFill="1" applyAlignment="1">
      <alignment horizontal="center"/>
    </xf>
    <xf numFmtId="49" fontId="10" fillId="30" borderId="0" xfId="0" applyNumberFormat="1" applyFont="1" applyFill="1" applyAlignment="1">
      <alignment horizontal="center" vertical="center"/>
    </xf>
    <xf numFmtId="0" fontId="69" fillId="31" borderId="1" xfId="12" applyFont="1" applyFill="1" applyBorder="1" applyAlignment="1">
      <alignment horizontal="center" vertical="center" wrapText="1"/>
    </xf>
    <xf numFmtId="2" fontId="59" fillId="31" borderId="1" xfId="0" applyNumberFormat="1" applyFont="1" applyFill="1" applyBorder="1" applyAlignment="1">
      <alignment horizontal="left"/>
    </xf>
    <xf numFmtId="2" fontId="9" fillId="31" borderId="1" xfId="0" applyNumberFormat="1" applyFont="1" applyFill="1" applyBorder="1" applyAlignment="1">
      <alignment horizontal="left"/>
    </xf>
    <xf numFmtId="4" fontId="9" fillId="31" borderId="0" xfId="0" applyNumberFormat="1" applyFont="1" applyFill="1"/>
    <xf numFmtId="2" fontId="9" fillId="0" borderId="0" xfId="0" applyNumberFormat="1" applyFont="1" applyAlignment="1">
      <alignment horizontal="center"/>
    </xf>
    <xf numFmtId="2" fontId="10" fillId="31" borderId="0" xfId="0" applyNumberFormat="1" applyFont="1" applyFill="1" applyAlignment="1">
      <alignment horizontal="center"/>
    </xf>
    <xf numFmtId="0" fontId="10" fillId="0" borderId="0" xfId="0" applyFont="1" applyAlignment="1">
      <alignment horizontal="center" vertical="center" wrapText="1"/>
    </xf>
    <xf numFmtId="0" fontId="81" fillId="0" borderId="0" xfId="0" applyFont="1"/>
    <xf numFmtId="2" fontId="9" fillId="0" borderId="0" xfId="0" applyNumberFormat="1" applyFont="1" applyAlignment="1">
      <alignment horizontal="left" vertical="center"/>
    </xf>
    <xf numFmtId="49" fontId="7" fillId="31" borderId="0" xfId="0" applyNumberFormat="1" applyFont="1" applyFill="1" applyAlignment="1">
      <alignment horizontal="center"/>
    </xf>
    <xf numFmtId="2" fontId="13" fillId="0" borderId="0" xfId="0" applyNumberFormat="1" applyFont="1"/>
    <xf numFmtId="4" fontId="9" fillId="37" borderId="0" xfId="0" applyNumberFormat="1" applyFont="1" applyFill="1" applyAlignment="1">
      <alignment horizontal="left"/>
    </xf>
    <xf numFmtId="2" fontId="9" fillId="31" borderId="0" xfId="0" applyNumberFormat="1" applyFont="1" applyFill="1" applyAlignment="1">
      <alignment horizontal="center" vertical="center" wrapText="1"/>
    </xf>
    <xf numFmtId="2" fontId="10" fillId="31" borderId="0" xfId="0" applyNumberFormat="1" applyFont="1" applyFill="1" applyAlignment="1">
      <alignment horizontal="center" vertical="center" wrapText="1"/>
    </xf>
    <xf numFmtId="0" fontId="7" fillId="0" borderId="0" xfId="0" applyFont="1" applyAlignment="1">
      <alignment horizontal="left"/>
    </xf>
    <xf numFmtId="166" fontId="10" fillId="0" borderId="0" xfId="0" applyNumberFormat="1" applyFont="1" applyAlignment="1">
      <alignment horizontal="center" vertical="center"/>
    </xf>
    <xf numFmtId="0" fontId="10" fillId="31" borderId="0" xfId="0" applyFont="1" applyFill="1" applyAlignment="1">
      <alignment horizontal="left"/>
    </xf>
    <xf numFmtId="0" fontId="83" fillId="31" borderId="1" xfId="12" applyFont="1" applyFill="1" applyBorder="1" applyAlignment="1">
      <alignment horizontal="center" vertical="center" wrapText="1"/>
    </xf>
    <xf numFmtId="0" fontId="70" fillId="33" borderId="1" xfId="12" applyFont="1" applyFill="1" applyBorder="1" applyAlignment="1">
      <alignment horizontal="left" vertical="center"/>
    </xf>
    <xf numFmtId="0" fontId="13" fillId="33" borderId="1" xfId="0" applyFont="1" applyFill="1" applyBorder="1" applyAlignment="1">
      <alignment horizontal="left" vertical="center"/>
    </xf>
    <xf numFmtId="0" fontId="16" fillId="31" borderId="1" xfId="0" applyFont="1" applyFill="1" applyBorder="1" applyAlignment="1">
      <alignment horizontal="center" vertical="center"/>
    </xf>
    <xf numFmtId="0" fontId="16" fillId="31" borderId="1" xfId="0" applyFont="1" applyFill="1" applyBorder="1" applyAlignment="1">
      <alignment horizontal="center" vertical="center" wrapText="1"/>
    </xf>
    <xf numFmtId="0" fontId="16" fillId="31" borderId="1" xfId="12" applyFont="1" applyFill="1" applyBorder="1" applyAlignment="1">
      <alignment horizontal="center" vertical="center" wrapText="1"/>
    </xf>
    <xf numFmtId="0" fontId="16" fillId="31" borderId="1" xfId="12" applyFont="1" applyFill="1" applyBorder="1" applyAlignment="1">
      <alignment horizontal="left" vertical="center" wrapText="1"/>
    </xf>
    <xf numFmtId="168" fontId="16" fillId="31" borderId="1" xfId="12" applyNumberFormat="1" applyFont="1" applyFill="1" applyBorder="1" applyAlignment="1">
      <alignment horizontal="right" vertical="center" wrapText="1"/>
    </xf>
    <xf numFmtId="168" fontId="85" fillId="31" borderId="1" xfId="12" applyNumberFormat="1" applyFont="1" applyFill="1" applyBorder="1" applyAlignment="1">
      <alignment horizontal="center" vertical="center" wrapText="1"/>
    </xf>
    <xf numFmtId="0" fontId="13" fillId="34" borderId="3" xfId="0" applyFont="1" applyFill="1" applyBorder="1" applyAlignment="1">
      <alignment horizontal="left" vertical="center"/>
    </xf>
    <xf numFmtId="0" fontId="65" fillId="34" borderId="3" xfId="0" applyFont="1" applyFill="1" applyBorder="1" applyAlignment="1">
      <alignment horizontal="left" vertical="center"/>
    </xf>
    <xf numFmtId="49" fontId="13" fillId="2" borderId="0" xfId="0" applyNumberFormat="1" applyFont="1" applyFill="1" applyAlignment="1">
      <alignment vertical="center"/>
    </xf>
    <xf numFmtId="0" fontId="13" fillId="31" borderId="0" xfId="0" applyFont="1" applyFill="1" applyAlignment="1">
      <alignment vertical="center"/>
    </xf>
    <xf numFmtId="2" fontId="10" fillId="3" borderId="0" xfId="0" applyNumberFormat="1" applyFont="1" applyFill="1" applyAlignment="1">
      <alignment horizontal="left" vertical="center"/>
    </xf>
    <xf numFmtId="0" fontId="0" fillId="0" borderId="44" xfId="0" applyBorder="1"/>
    <xf numFmtId="0" fontId="0" fillId="0" borderId="1" xfId="0" applyBorder="1"/>
    <xf numFmtId="4" fontId="10" fillId="0" borderId="0" xfId="0" applyNumberFormat="1" applyFont="1" applyAlignment="1">
      <alignment horizontal="center" wrapText="1"/>
    </xf>
    <xf numFmtId="49" fontId="0" fillId="0" borderId="17" xfId="0" applyNumberFormat="1" applyBorder="1" applyAlignment="1">
      <alignment horizontal="center"/>
    </xf>
    <xf numFmtId="49" fontId="0" fillId="0" borderId="44" xfId="0" applyNumberFormat="1" applyBorder="1" applyAlignment="1">
      <alignment horizontal="center"/>
    </xf>
    <xf numFmtId="49" fontId="16" fillId="0" borderId="44" xfId="0" applyNumberFormat="1" applyFont="1" applyBorder="1" applyAlignment="1">
      <alignment horizontal="center"/>
    </xf>
    <xf numFmtId="0" fontId="7" fillId="0" borderId="44" xfId="0" applyFont="1" applyBorder="1"/>
    <xf numFmtId="49" fontId="0" fillId="0" borderId="7" xfId="0" applyNumberFormat="1" applyBorder="1" applyAlignment="1">
      <alignment horizontal="center"/>
    </xf>
    <xf numFmtId="0" fontId="13" fillId="0" borderId="0" xfId="0" applyFont="1" applyAlignment="1">
      <alignment vertical="center"/>
    </xf>
    <xf numFmtId="2" fontId="27" fillId="0" borderId="1" xfId="0" applyNumberFormat="1" applyFont="1" applyBorder="1" applyAlignment="1">
      <alignment horizontal="center" vertical="center"/>
    </xf>
    <xf numFmtId="2" fontId="27" fillId="31" borderId="0" xfId="0" applyNumberFormat="1" applyFont="1" applyFill="1" applyAlignment="1">
      <alignment horizontal="left"/>
    </xf>
    <xf numFmtId="0" fontId="8" fillId="31" borderId="1" xfId="12" applyFont="1" applyFill="1" applyBorder="1" applyAlignment="1">
      <alignment horizontal="center" vertical="center" wrapText="1"/>
    </xf>
    <xf numFmtId="0" fontId="82" fillId="41" borderId="3" xfId="0" applyFont="1" applyFill="1" applyBorder="1"/>
    <xf numFmtId="0" fontId="82" fillId="41" borderId="4" xfId="0" applyFont="1" applyFill="1" applyBorder="1"/>
    <xf numFmtId="0" fontId="82" fillId="41" borderId="5" xfId="0" applyFont="1" applyFill="1" applyBorder="1"/>
    <xf numFmtId="4" fontId="82" fillId="41" borderId="3" xfId="0" applyNumberFormat="1" applyFont="1" applyFill="1" applyBorder="1" applyAlignment="1">
      <alignment horizontal="center"/>
    </xf>
    <xf numFmtId="4" fontId="82" fillId="41" borderId="3" xfId="0" applyNumberFormat="1" applyFont="1" applyFill="1" applyBorder="1" applyAlignment="1">
      <alignment horizontal="right"/>
    </xf>
    <xf numFmtId="0" fontId="15" fillId="40" borderId="3" xfId="0" applyFont="1" applyFill="1" applyBorder="1"/>
    <xf numFmtId="0" fontId="15" fillId="40" borderId="4" xfId="0" applyFont="1" applyFill="1" applyBorder="1"/>
    <xf numFmtId="0" fontId="15" fillId="40" borderId="5" xfId="0" applyFont="1" applyFill="1" applyBorder="1"/>
    <xf numFmtId="4" fontId="15" fillId="40" borderId="3" xfId="0" applyNumberFormat="1" applyFont="1" applyFill="1" applyBorder="1" applyAlignment="1">
      <alignment horizontal="center"/>
    </xf>
    <xf numFmtId="0" fontId="0" fillId="40" borderId="0" xfId="0" applyFill="1"/>
    <xf numFmtId="0" fontId="7" fillId="40" borderId="0" xfId="0" applyFont="1" applyFill="1"/>
    <xf numFmtId="4" fontId="15" fillId="40" borderId="3" xfId="0" applyNumberFormat="1" applyFont="1" applyFill="1" applyBorder="1" applyAlignment="1">
      <alignment horizontal="center" vertical="center"/>
    </xf>
    <xf numFmtId="4" fontId="15" fillId="40" borderId="3" xfId="0" applyNumberFormat="1" applyFont="1" applyFill="1" applyBorder="1" applyAlignment="1">
      <alignment horizontal="right"/>
    </xf>
    <xf numFmtId="0" fontId="0" fillId="40" borderId="0" xfId="0" applyFill="1" applyAlignment="1">
      <alignment horizontal="center" vertical="center"/>
    </xf>
    <xf numFmtId="0" fontId="87" fillId="41" borderId="0" xfId="0" applyFont="1" applyFill="1"/>
    <xf numFmtId="172" fontId="87" fillId="41" borderId="0" xfId="0" applyNumberFormat="1" applyFont="1" applyFill="1"/>
    <xf numFmtId="173" fontId="87" fillId="41" borderId="0" xfId="0" applyNumberFormat="1" applyFont="1" applyFill="1"/>
    <xf numFmtId="49" fontId="88" fillId="41" borderId="0" xfId="0" applyNumberFormat="1" applyFont="1" applyFill="1" applyAlignment="1">
      <alignment horizontal="center"/>
    </xf>
    <xf numFmtId="2" fontId="88" fillId="41" borderId="0" xfId="0" applyNumberFormat="1" applyFont="1" applyFill="1" applyAlignment="1">
      <alignment horizontal="left"/>
    </xf>
    <xf numFmtId="0" fontId="89" fillId="41" borderId="0" xfId="0" applyFont="1" applyFill="1"/>
    <xf numFmtId="0" fontId="88" fillId="41" borderId="0" xfId="0" applyFont="1" applyFill="1"/>
    <xf numFmtId="4" fontId="88" fillId="41" borderId="0" xfId="0" applyNumberFormat="1" applyFont="1" applyFill="1" applyAlignment="1">
      <alignment horizontal="right"/>
    </xf>
    <xf numFmtId="0" fontId="90" fillId="41" borderId="0" xfId="0" applyFont="1" applyFill="1"/>
    <xf numFmtId="49" fontId="9" fillId="40" borderId="0" xfId="0" applyNumberFormat="1" applyFont="1" applyFill="1" applyAlignment="1">
      <alignment horizontal="center"/>
    </xf>
    <xf numFmtId="2" fontId="9" fillId="40" borderId="0" xfId="0" applyNumberFormat="1" applyFont="1" applyFill="1" applyAlignment="1">
      <alignment horizontal="left"/>
    </xf>
    <xf numFmtId="0" fontId="9" fillId="40" borderId="0" xfId="0" applyFont="1" applyFill="1"/>
    <xf numFmtId="4" fontId="9" fillId="40" borderId="0" xfId="0" applyNumberFormat="1" applyFont="1" applyFill="1" applyAlignment="1">
      <alignment horizontal="right"/>
    </xf>
    <xf numFmtId="0" fontId="18" fillId="40" borderId="0" xfId="0" applyFont="1" applyFill="1"/>
    <xf numFmtId="4" fontId="10" fillId="40" borderId="0" xfId="0" applyNumberFormat="1" applyFont="1" applyFill="1" applyAlignment="1">
      <alignment horizontal="right"/>
    </xf>
    <xf numFmtId="0" fontId="10" fillId="40" borderId="0" xfId="0" applyFont="1" applyFill="1"/>
    <xf numFmtId="4" fontId="9" fillId="40" borderId="0" xfId="0" applyNumberFormat="1" applyFont="1" applyFill="1" applyAlignment="1">
      <alignment horizontal="left"/>
    </xf>
    <xf numFmtId="4" fontId="27" fillId="40" borderId="0" xfId="0" applyNumberFormat="1" applyFont="1" applyFill="1" applyAlignment="1">
      <alignment horizontal="left"/>
    </xf>
    <xf numFmtId="0" fontId="13" fillId="30" borderId="0" xfId="0" applyFont="1" applyFill="1"/>
    <xf numFmtId="0" fontId="7" fillId="30" borderId="0" xfId="0" applyFont="1" applyFill="1"/>
    <xf numFmtId="0" fontId="92" fillId="31" borderId="1" xfId="0" applyFont="1" applyFill="1" applyBorder="1" applyAlignment="1">
      <alignment horizontal="center" vertical="center"/>
    </xf>
    <xf numFmtId="164" fontId="92" fillId="31" borderId="1" xfId="2" applyFont="1" applyFill="1" applyBorder="1" applyAlignment="1">
      <alignment horizontal="center" vertical="center"/>
    </xf>
    <xf numFmtId="0" fontId="93" fillId="41" borderId="10" xfId="0" applyFont="1" applyFill="1" applyBorder="1" applyAlignment="1">
      <alignment horizontal="center" vertical="center" wrapText="1"/>
    </xf>
    <xf numFmtId="164" fontId="93" fillId="41" borderId="13" xfId="2" applyFont="1" applyFill="1" applyBorder="1" applyAlignment="1">
      <alignment vertical="center" wrapText="1"/>
    </xf>
    <xf numFmtId="4" fontId="21" fillId="0" borderId="1" xfId="0" applyNumberFormat="1" applyFont="1" applyBorder="1" applyAlignment="1">
      <alignment horizontal="center" vertical="center"/>
    </xf>
    <xf numFmtId="0" fontId="8" fillId="0" borderId="1" xfId="0" applyFont="1" applyBorder="1" applyAlignment="1">
      <alignment horizontal="left" vertical="center"/>
    </xf>
    <xf numFmtId="0" fontId="8" fillId="35" borderId="1" xfId="16" applyFont="1" applyFill="1" applyBorder="1" applyAlignment="1">
      <alignment horizontal="center" vertical="center" wrapText="1"/>
    </xf>
    <xf numFmtId="0" fontId="74" fillId="31" borderId="1" xfId="14" applyFont="1" applyFill="1" applyBorder="1" applyAlignment="1">
      <alignment horizontal="center" vertical="center"/>
    </xf>
    <xf numFmtId="0" fontId="74" fillId="31" borderId="1" xfId="16" applyFont="1" applyFill="1" applyBorder="1" applyAlignment="1">
      <alignment horizontal="center" vertical="center"/>
    </xf>
    <xf numFmtId="0" fontId="0" fillId="0" borderId="43" xfId="0" applyBorder="1" applyAlignment="1">
      <alignment horizontal="left"/>
    </xf>
    <xf numFmtId="0" fontId="15" fillId="2" borderId="2" xfId="0" applyFont="1" applyFill="1" applyBorder="1" applyAlignment="1">
      <alignment horizontal="left" vertical="center"/>
    </xf>
    <xf numFmtId="0" fontId="92" fillId="31" borderId="1" xfId="0" applyFont="1" applyFill="1" applyBorder="1" applyAlignment="1">
      <alignment horizontal="left" vertical="center"/>
    </xf>
    <xf numFmtId="0" fontId="92" fillId="31" borderId="1" xfId="0" applyFont="1" applyFill="1" applyBorder="1" applyAlignment="1">
      <alignment horizontal="left" vertical="center" wrapText="1"/>
    </xf>
    <xf numFmtId="0" fontId="73" fillId="0" borderId="1" xfId="16" applyFont="1" applyBorder="1" applyAlignment="1">
      <alignment horizontal="left" vertical="center" wrapText="1"/>
    </xf>
    <xf numFmtId="0" fontId="77" fillId="0" borderId="1" xfId="0" applyFont="1" applyBorder="1" applyAlignment="1">
      <alignment horizontal="left" vertical="center" wrapText="1"/>
    </xf>
    <xf numFmtId="0" fontId="7" fillId="0" borderId="1" xfId="16" applyBorder="1" applyAlignment="1">
      <alignment horizontal="left" vertical="center" wrapText="1"/>
    </xf>
    <xf numFmtId="0" fontId="73" fillId="31" borderId="4" xfId="16" applyFont="1" applyFill="1" applyBorder="1" applyAlignment="1">
      <alignment horizontal="left" vertical="center" wrapText="1"/>
    </xf>
    <xf numFmtId="0" fontId="79" fillId="31" borderId="1" xfId="12" applyFont="1" applyFill="1" applyBorder="1" applyAlignment="1">
      <alignment horizontal="left" vertical="center" wrapText="1"/>
    </xf>
    <xf numFmtId="0" fontId="94" fillId="31" borderId="1" xfId="0" applyFont="1" applyFill="1" applyBorder="1" applyAlignment="1">
      <alignment horizontal="center" vertical="center"/>
    </xf>
    <xf numFmtId="0" fontId="94" fillId="31" borderId="1" xfId="0" applyFont="1" applyFill="1" applyBorder="1" applyAlignment="1">
      <alignment horizontal="left" vertical="center" wrapText="1"/>
    </xf>
    <xf numFmtId="164" fontId="94" fillId="31" borderId="1" xfId="2" applyFont="1" applyFill="1" applyBorder="1" applyAlignment="1">
      <alignment horizontal="center" vertical="center"/>
    </xf>
    <xf numFmtId="0" fontId="73" fillId="31" borderId="1" xfId="0" applyFont="1" applyFill="1" applyBorder="1" applyAlignment="1">
      <alignment horizontal="left" vertical="center" wrapText="1"/>
    </xf>
    <xf numFmtId="164" fontId="73" fillId="31" borderId="1" xfId="2" applyFont="1" applyFill="1" applyBorder="1" applyAlignment="1">
      <alignment horizontal="center" vertical="center"/>
    </xf>
    <xf numFmtId="0" fontId="0" fillId="0" borderId="0" xfId="2" applyNumberFormat="1" applyFont="1"/>
    <xf numFmtId="0" fontId="20" fillId="0" borderId="0" xfId="2" applyNumberFormat="1" applyFont="1" applyBorder="1" applyAlignment="1">
      <alignment horizontal="left"/>
    </xf>
    <xf numFmtId="0" fontId="0" fillId="0" borderId="43" xfId="2" applyNumberFormat="1" applyFont="1" applyBorder="1"/>
    <xf numFmtId="0" fontId="0" fillId="0" borderId="0" xfId="2" applyNumberFormat="1" applyFont="1" applyBorder="1"/>
    <xf numFmtId="0" fontId="15" fillId="2" borderId="2" xfId="2" applyNumberFormat="1" applyFont="1" applyFill="1" applyBorder="1" applyAlignment="1">
      <alignment horizontal="center" vertical="center" wrapText="1"/>
    </xf>
    <xf numFmtId="0" fontId="82" fillId="41" borderId="4" xfId="2" applyNumberFormat="1" applyFont="1" applyFill="1" applyBorder="1" applyAlignment="1"/>
    <xf numFmtId="0" fontId="15" fillId="40" borderId="4" xfId="2" applyNumberFormat="1" applyFont="1" applyFill="1" applyBorder="1" applyAlignment="1"/>
    <xf numFmtId="0" fontId="15" fillId="40" borderId="4" xfId="2" applyNumberFormat="1" applyFont="1" applyFill="1" applyBorder="1" applyAlignment="1">
      <alignment horizontal="left" vertical="center"/>
    </xf>
    <xf numFmtId="0" fontId="14" fillId="0" borderId="0" xfId="2" applyNumberFormat="1" applyFont="1" applyFill="1" applyBorder="1" applyAlignment="1">
      <alignment horizontal="center" vertical="center"/>
    </xf>
    <xf numFmtId="2" fontId="8" fillId="0" borderId="1" xfId="0" applyNumberFormat="1" applyFont="1" applyBorder="1" applyAlignment="1">
      <alignment horizontal="center" vertical="center" wrapText="1"/>
    </xf>
    <xf numFmtId="2" fontId="8" fillId="31" borderId="1" xfId="0" applyNumberFormat="1" applyFont="1" applyFill="1" applyBorder="1" applyAlignment="1">
      <alignment horizontal="center" vertical="center" wrapText="1"/>
    </xf>
    <xf numFmtId="0" fontId="8" fillId="31" borderId="1" xfId="0" applyFont="1" applyFill="1" applyBorder="1" applyAlignment="1">
      <alignment horizontal="center" vertical="center" wrapText="1"/>
    </xf>
    <xf numFmtId="0" fontId="96" fillId="41" borderId="4" xfId="0" applyFont="1" applyFill="1" applyBorder="1"/>
    <xf numFmtId="0" fontId="21" fillId="40" borderId="4" xfId="0" applyFont="1" applyFill="1" applyBorder="1"/>
    <xf numFmtId="0" fontId="95" fillId="31" borderId="1" xfId="12" applyFont="1" applyFill="1" applyBorder="1" applyAlignment="1">
      <alignment horizontal="center" vertical="center" wrapText="1"/>
    </xf>
    <xf numFmtId="0" fontId="21" fillId="40" borderId="4" xfId="0" applyFont="1" applyFill="1" applyBorder="1" applyAlignment="1">
      <alignment horizontal="left" vertical="center"/>
    </xf>
    <xf numFmtId="0" fontId="79" fillId="31" borderId="4" xfId="12" applyFont="1" applyFill="1" applyBorder="1" applyAlignment="1">
      <alignment horizontal="center" vertical="center" wrapText="1"/>
    </xf>
    <xf numFmtId="0" fontId="76" fillId="36" borderId="1" xfId="0" applyFont="1" applyFill="1" applyBorder="1" applyAlignment="1">
      <alignment horizontal="center" vertical="center" wrapText="1"/>
    </xf>
    <xf numFmtId="0" fontId="76" fillId="31" borderId="1" xfId="0" applyFont="1" applyFill="1" applyBorder="1" applyAlignment="1">
      <alignment horizontal="center" vertical="center" wrapText="1"/>
    </xf>
    <xf numFmtId="0" fontId="73" fillId="0" borderId="1" xfId="0" applyFont="1" applyBorder="1" applyAlignment="1">
      <alignment horizontal="center" vertical="center" wrapText="1"/>
    </xf>
    <xf numFmtId="0" fontId="0" fillId="0" borderId="60" xfId="0" applyBorder="1"/>
    <xf numFmtId="0" fontId="13" fillId="34" borderId="5" xfId="0" applyFont="1" applyFill="1" applyBorder="1" applyAlignment="1">
      <alignment horizontal="left" vertical="center"/>
    </xf>
    <xf numFmtId="0" fontId="65" fillId="34" borderId="5" xfId="0" applyFont="1" applyFill="1" applyBorder="1" applyAlignment="1">
      <alignment horizontal="left" vertical="center"/>
    </xf>
    <xf numFmtId="2" fontId="35" fillId="0" borderId="9" xfId="5" applyNumberFormat="1" applyFont="1" applyFill="1" applyBorder="1" applyAlignment="1"/>
    <xf numFmtId="0" fontId="74" fillId="31" borderId="10" xfId="16" applyFont="1" applyFill="1" applyBorder="1" applyAlignment="1">
      <alignment horizontal="center" vertical="center"/>
    </xf>
    <xf numFmtId="0" fontId="74" fillId="31" borderId="10" xfId="14" applyFont="1" applyFill="1" applyBorder="1" applyAlignment="1">
      <alignment horizontal="center" vertical="center"/>
    </xf>
    <xf numFmtId="49" fontId="8" fillId="43" borderId="51" xfId="0" applyNumberFormat="1" applyFont="1" applyFill="1" applyBorder="1" applyAlignment="1">
      <alignment horizontal="center" vertical="center"/>
    </xf>
    <xf numFmtId="0" fontId="10" fillId="43" borderId="47" xfId="0" applyFont="1" applyFill="1" applyBorder="1" applyAlignment="1">
      <alignment vertical="center" wrapText="1"/>
    </xf>
    <xf numFmtId="0" fontId="7" fillId="43" borderId="62" xfId="0" applyFont="1" applyFill="1" applyBorder="1" applyAlignment="1">
      <alignment horizontal="center" vertical="center"/>
    </xf>
    <xf numFmtId="164" fontId="10" fillId="43" borderId="61" xfId="0" applyNumberFormat="1" applyFont="1" applyFill="1" applyBorder="1" applyAlignment="1">
      <alignment vertical="center" wrapText="1"/>
    </xf>
    <xf numFmtId="44" fontId="0" fillId="0" borderId="0" xfId="0" applyNumberFormat="1"/>
    <xf numFmtId="0" fontId="8" fillId="0" borderId="10" xfId="0" applyFont="1" applyBorder="1" applyAlignment="1">
      <alignment horizontal="left" vertical="center"/>
    </xf>
    <xf numFmtId="4" fontId="21" fillId="0" borderId="10" xfId="0" applyNumberFormat="1" applyFont="1" applyBorder="1" applyAlignment="1">
      <alignment horizontal="center" vertical="center"/>
    </xf>
    <xf numFmtId="0" fontId="74" fillId="31" borderId="51" xfId="16" applyFont="1" applyFill="1" applyBorder="1" applyAlignment="1">
      <alignment horizontal="center" vertical="center"/>
    </xf>
    <xf numFmtId="0" fontId="74" fillId="31" borderId="53" xfId="14" applyFont="1" applyFill="1" applyBorder="1" applyAlignment="1">
      <alignment horizontal="center" vertical="center"/>
    </xf>
    <xf numFmtId="0" fontId="73" fillId="31" borderId="1" xfId="0" applyFont="1" applyFill="1" applyBorder="1" applyAlignment="1">
      <alignment horizontal="center" vertical="center" wrapText="1"/>
    </xf>
    <xf numFmtId="0" fontId="74" fillId="31" borderId="0" xfId="16" applyFont="1" applyFill="1" applyAlignment="1">
      <alignment horizontal="center" vertical="center"/>
    </xf>
    <xf numFmtId="4" fontId="87" fillId="41" borderId="0" xfId="0" applyNumberFormat="1" applyFont="1" applyFill="1"/>
    <xf numFmtId="164" fontId="87" fillId="41" borderId="0" xfId="2" applyFont="1" applyFill="1" applyAlignment="1">
      <alignment horizontal="center" vertical="center"/>
    </xf>
    <xf numFmtId="0" fontId="93" fillId="41" borderId="1" xfId="0" applyFont="1" applyFill="1" applyBorder="1" applyAlignment="1">
      <alignment horizontal="center" vertical="center" wrapText="1"/>
    </xf>
    <xf numFmtId="49" fontId="16" fillId="31" borderId="4" xfId="0" applyNumberFormat="1" applyFont="1" applyFill="1" applyBorder="1" applyAlignment="1">
      <alignment horizontal="center" vertical="center"/>
    </xf>
    <xf numFmtId="0" fontId="82" fillId="41" borderId="1" xfId="0" applyFont="1" applyFill="1" applyBorder="1" applyAlignment="1">
      <alignment horizontal="center" vertical="center" wrapText="1"/>
    </xf>
    <xf numFmtId="0" fontId="74" fillId="31" borderId="0" xfId="14" applyFont="1" applyFill="1" applyAlignment="1">
      <alignment horizontal="center" vertical="center"/>
    </xf>
    <xf numFmtId="0" fontId="8" fillId="0" borderId="0" xfId="0" applyFont="1" applyAlignment="1">
      <alignment horizontal="left" vertical="center"/>
    </xf>
    <xf numFmtId="4" fontId="21" fillId="0" borderId="0" xfId="0" applyNumberFormat="1" applyFont="1" applyAlignment="1">
      <alignment horizontal="center" vertical="center"/>
    </xf>
    <xf numFmtId="0" fontId="8" fillId="35" borderId="0" xfId="16" applyFont="1" applyFill="1" applyAlignment="1">
      <alignment horizontal="center" vertical="center" wrapText="1"/>
    </xf>
    <xf numFmtId="0" fontId="10" fillId="43" borderId="0" xfId="0" applyFont="1" applyFill="1" applyAlignment="1">
      <alignment vertical="center" wrapText="1"/>
    </xf>
    <xf numFmtId="164" fontId="10" fillId="43" borderId="0" xfId="0" applyNumberFormat="1" applyFont="1" applyFill="1" applyAlignment="1">
      <alignment vertical="center" wrapText="1"/>
    </xf>
    <xf numFmtId="49" fontId="8" fillId="43" borderId="0" xfId="0" applyNumberFormat="1" applyFont="1" applyFill="1" applyAlignment="1">
      <alignment horizontal="center" vertical="center"/>
    </xf>
    <xf numFmtId="0" fontId="7" fillId="43" borderId="0" xfId="0" applyFont="1" applyFill="1" applyAlignment="1">
      <alignment horizontal="center" vertical="center"/>
    </xf>
    <xf numFmtId="0" fontId="0" fillId="0" borderId="44" xfId="0" applyBorder="1" applyAlignment="1">
      <alignment horizontal="left"/>
    </xf>
    <xf numFmtId="49" fontId="0" fillId="0" borderId="45" xfId="0" applyNumberFormat="1" applyBorder="1" applyAlignment="1">
      <alignment horizontal="center"/>
    </xf>
    <xf numFmtId="0" fontId="0" fillId="0" borderId="7" xfId="0" applyBorder="1"/>
    <xf numFmtId="49" fontId="0" fillId="0" borderId="14" xfId="0" applyNumberFormat="1" applyBorder="1" applyAlignment="1">
      <alignment horizontal="center"/>
    </xf>
    <xf numFmtId="49" fontId="0" fillId="0" borderId="15" xfId="0" applyNumberFormat="1" applyBorder="1" applyAlignment="1">
      <alignment horizontal="center"/>
    </xf>
    <xf numFmtId="49" fontId="16" fillId="0" borderId="15" xfId="0" applyNumberFormat="1" applyFont="1" applyBorder="1" applyAlignment="1">
      <alignment horizontal="center"/>
    </xf>
    <xf numFmtId="0" fontId="0" fillId="0" borderId="15" xfId="0" applyBorder="1"/>
    <xf numFmtId="0" fontId="7" fillId="0" borderId="15" xfId="0" applyFont="1" applyBorder="1"/>
    <xf numFmtId="49" fontId="0" fillId="0" borderId="16" xfId="0" applyNumberFormat="1" applyBorder="1" applyAlignment="1">
      <alignment horizontal="center"/>
    </xf>
    <xf numFmtId="0" fontId="0" fillId="0" borderId="57" xfId="0" applyBorder="1"/>
    <xf numFmtId="0" fontId="0" fillId="0" borderId="68" xfId="0" applyBorder="1"/>
    <xf numFmtId="169" fontId="7" fillId="31" borderId="0" xfId="0" applyNumberFormat="1" applyFont="1" applyFill="1" applyAlignment="1">
      <alignment horizontal="center" vertical="center"/>
    </xf>
    <xf numFmtId="9" fontId="0" fillId="0" borderId="0" xfId="5" applyFont="1" applyBorder="1" applyAlignment="1">
      <alignment horizontal="center" vertical="center"/>
    </xf>
    <xf numFmtId="0" fontId="10" fillId="43" borderId="1" xfId="0" applyFont="1" applyFill="1" applyBorder="1" applyAlignment="1">
      <alignment vertical="center" wrapText="1"/>
    </xf>
    <xf numFmtId="0" fontId="10" fillId="43" borderId="10" xfId="0" applyFont="1" applyFill="1" applyBorder="1" applyAlignment="1">
      <alignment vertical="center" wrapText="1"/>
    </xf>
    <xf numFmtId="0" fontId="0" fillId="0" borderId="10" xfId="0" applyBorder="1"/>
    <xf numFmtId="0" fontId="75" fillId="35" borderId="0" xfId="16" applyFont="1" applyFill="1" applyAlignment="1">
      <alignment horizontal="center" vertical="center" wrapText="1"/>
    </xf>
    <xf numFmtId="0" fontId="0" fillId="0" borderId="6" xfId="0" applyBorder="1"/>
    <xf numFmtId="0" fontId="20" fillId="0" borderId="15" xfId="0" applyFont="1" applyBorder="1" applyAlignment="1">
      <alignment horizontal="right"/>
    </xf>
    <xf numFmtId="0" fontId="0" fillId="0" borderId="57" xfId="0" applyBorder="1" applyAlignment="1">
      <alignment horizontal="left"/>
    </xf>
    <xf numFmtId="49" fontId="0" fillId="0" borderId="67" xfId="0" applyNumberFormat="1" applyBorder="1" applyAlignment="1">
      <alignment horizontal="center"/>
    </xf>
    <xf numFmtId="0" fontId="74" fillId="31" borderId="65" xfId="14" applyFont="1" applyFill="1" applyBorder="1" applyAlignment="1">
      <alignment horizontal="center" vertical="center"/>
    </xf>
    <xf numFmtId="4" fontId="21" fillId="0" borderId="65" xfId="0" applyNumberFormat="1" applyFont="1" applyBorder="1" applyAlignment="1">
      <alignment horizontal="center" vertical="center"/>
    </xf>
    <xf numFmtId="0" fontId="8" fillId="35" borderId="54" xfId="16" applyFont="1" applyFill="1" applyBorder="1" applyAlignment="1">
      <alignment horizontal="center" vertical="center" wrapText="1"/>
    </xf>
    <xf numFmtId="164" fontId="10" fillId="43" borderId="56" xfId="0" applyNumberFormat="1" applyFont="1" applyFill="1" applyBorder="1" applyAlignment="1">
      <alignment vertical="center" wrapText="1"/>
    </xf>
    <xf numFmtId="0" fontId="8" fillId="35" borderId="66" xfId="16" applyFont="1" applyFill="1" applyBorder="1" applyAlignment="1">
      <alignment horizontal="center" vertical="center" wrapText="1"/>
    </xf>
    <xf numFmtId="0" fontId="75" fillId="35" borderId="16" xfId="16" applyFont="1" applyFill="1" applyBorder="1" applyAlignment="1">
      <alignment horizontal="center" vertical="center" wrapText="1"/>
    </xf>
    <xf numFmtId="4" fontId="10" fillId="0" borderId="57" xfId="0" applyNumberFormat="1" applyFont="1" applyBorder="1" applyAlignment="1">
      <alignment horizontal="center" vertical="center"/>
    </xf>
    <xf numFmtId="0" fontId="0" fillId="0" borderId="16" xfId="0" applyBorder="1"/>
    <xf numFmtId="0" fontId="0" fillId="0" borderId="69" xfId="0" applyBorder="1"/>
    <xf numFmtId="0" fontId="0" fillId="0" borderId="56" xfId="0" applyBorder="1"/>
    <xf numFmtId="0" fontId="0" fillId="0" borderId="54" xfId="0" applyBorder="1"/>
    <xf numFmtId="0" fontId="0" fillId="0" borderId="65" xfId="0" applyBorder="1"/>
    <xf numFmtId="0" fontId="0" fillId="0" borderId="66" xfId="0" applyBorder="1"/>
    <xf numFmtId="0" fontId="0" fillId="0" borderId="55" xfId="0" applyBorder="1"/>
    <xf numFmtId="164" fontId="10" fillId="43" borderId="65" xfId="0" applyNumberFormat="1" applyFont="1" applyFill="1" applyBorder="1" applyAlignment="1">
      <alignment vertical="center" wrapText="1"/>
    </xf>
    <xf numFmtId="0" fontId="0" fillId="0" borderId="76" xfId="0" applyBorder="1"/>
    <xf numFmtId="0" fontId="0" fillId="0" borderId="71" xfId="0" applyBorder="1"/>
    <xf numFmtId="0" fontId="0" fillId="0" borderId="77" xfId="0" applyBorder="1"/>
    <xf numFmtId="0" fontId="74" fillId="31" borderId="54" xfId="16" applyFont="1" applyFill="1" applyBorder="1" applyAlignment="1">
      <alignment horizontal="center" vertical="center"/>
    </xf>
    <xf numFmtId="0" fontId="13" fillId="33" borderId="17" xfId="0" applyFont="1" applyFill="1" applyBorder="1" applyAlignment="1">
      <alignment vertical="center" wrapText="1"/>
    </xf>
    <xf numFmtId="17" fontId="14" fillId="34" borderId="48" xfId="0" applyNumberFormat="1" applyFont="1" applyFill="1" applyBorder="1" applyAlignment="1">
      <alignment horizontal="center" vertical="center" wrapText="1"/>
    </xf>
    <xf numFmtId="2" fontId="9" fillId="0" borderId="0" xfId="0" applyNumberFormat="1" applyFont="1" applyAlignment="1">
      <alignment horizontal="left" indent="2"/>
    </xf>
    <xf numFmtId="4" fontId="13" fillId="38" borderId="45" xfId="0" applyNumberFormat="1" applyFont="1" applyFill="1" applyBorder="1" applyAlignment="1">
      <alignment horizontal="center" vertical="center"/>
    </xf>
    <xf numFmtId="4" fontId="82" fillId="41" borderId="10" xfId="0" applyNumberFormat="1" applyFont="1" applyFill="1" applyBorder="1" applyAlignment="1">
      <alignment horizontal="right"/>
    </xf>
    <xf numFmtId="4" fontId="15" fillId="40" borderId="1" xfId="0" applyNumberFormat="1" applyFont="1" applyFill="1" applyBorder="1" applyAlignment="1">
      <alignment horizontal="right"/>
    </xf>
    <xf numFmtId="0" fontId="69" fillId="0" borderId="1" xfId="12" applyFont="1" applyBorder="1" applyAlignment="1">
      <alignment horizontal="center" vertical="center" wrapText="1"/>
    </xf>
    <xf numFmtId="0" fontId="0" fillId="0" borderId="0" xfId="0" applyAlignment="1">
      <alignment horizontal="center" vertical="center"/>
    </xf>
    <xf numFmtId="0" fontId="82" fillId="41" borderId="1" xfId="0" applyFont="1" applyFill="1" applyBorder="1" applyAlignment="1">
      <alignment horizontal="center" vertical="center" wrapText="1"/>
    </xf>
    <xf numFmtId="49" fontId="16" fillId="31" borderId="1" xfId="0" applyNumberFormat="1" applyFont="1" applyFill="1" applyBorder="1" applyAlignment="1">
      <alignment horizontal="center" vertical="center"/>
    </xf>
    <xf numFmtId="0" fontId="73" fillId="0" borderId="1" xfId="0" applyFont="1" applyFill="1" applyBorder="1" applyAlignment="1">
      <alignment horizontal="left" vertical="center" wrapText="1"/>
    </xf>
    <xf numFmtId="0" fontId="73" fillId="31" borderId="1" xfId="16" applyFont="1" applyFill="1" applyBorder="1" applyAlignment="1">
      <alignment horizontal="center" vertical="center" wrapText="1"/>
    </xf>
    <xf numFmtId="2" fontId="27" fillId="0" borderId="0" xfId="0" applyNumberFormat="1" applyFont="1" applyAlignment="1">
      <alignment horizontal="center"/>
    </xf>
    <xf numFmtId="4" fontId="82" fillId="41" borderId="1" xfId="0" applyNumberFormat="1" applyFont="1" applyFill="1" applyBorder="1" applyAlignment="1">
      <alignment horizontal="center" vertical="center" wrapText="1"/>
    </xf>
    <xf numFmtId="0" fontId="73" fillId="0" borderId="1" xfId="0" applyFont="1" applyBorder="1" applyAlignment="1">
      <alignment horizontal="right" vertical="center"/>
    </xf>
    <xf numFmtId="4" fontId="87" fillId="41" borderId="0" xfId="0" applyNumberFormat="1" applyFont="1" applyFill="1" applyAlignment="1">
      <alignment horizontal="center"/>
    </xf>
    <xf numFmtId="0" fontId="0" fillId="40" borderId="0" xfId="0" applyFill="1" applyAlignment="1">
      <alignment horizontal="center"/>
    </xf>
    <xf numFmtId="0" fontId="98" fillId="41" borderId="1" xfId="16" applyFont="1" applyFill="1" applyBorder="1" applyAlignment="1">
      <alignment horizontal="center" vertical="center" wrapText="1"/>
    </xf>
    <xf numFmtId="164" fontId="98" fillId="41" borderId="1" xfId="16" applyNumberFormat="1" applyFont="1" applyFill="1" applyBorder="1" applyAlignment="1">
      <alignment horizontal="center" vertical="center" wrapText="1"/>
    </xf>
    <xf numFmtId="0" fontId="0" fillId="0" borderId="13" xfId="0" applyBorder="1"/>
    <xf numFmtId="0" fontId="8" fillId="35" borderId="5" xfId="16" applyFont="1" applyFill="1" applyBorder="1" applyAlignment="1">
      <alignment horizontal="center" vertical="center" wrapText="1"/>
    </xf>
    <xf numFmtId="0" fontId="8" fillId="35" borderId="3" xfId="16" applyFont="1" applyFill="1" applyBorder="1" applyAlignment="1">
      <alignment horizontal="center" vertical="center" wrapText="1"/>
    </xf>
    <xf numFmtId="0" fontId="8" fillId="35" borderId="4" xfId="16" applyFont="1" applyFill="1" applyBorder="1" applyAlignment="1">
      <alignment horizontal="center" vertical="center" wrapText="1"/>
    </xf>
    <xf numFmtId="0" fontId="12" fillId="0" borderId="3" xfId="1" applyBorder="1" applyAlignment="1" applyProtection="1">
      <alignment horizontal="center" vertical="center" wrapText="1"/>
    </xf>
    <xf numFmtId="164" fontId="21" fillId="0" borderId="3" xfId="2" applyFont="1" applyBorder="1" applyAlignment="1">
      <alignment horizontal="center" vertical="center"/>
    </xf>
    <xf numFmtId="164" fontId="21" fillId="0" borderId="4" xfId="2" applyFont="1" applyBorder="1" applyAlignment="1">
      <alignment horizontal="center" vertical="center"/>
    </xf>
    <xf numFmtId="0" fontId="12" fillId="0" borderId="4" xfId="1" applyBorder="1" applyAlignment="1" applyProtection="1">
      <alignment horizontal="center" vertical="center" wrapText="1"/>
    </xf>
    <xf numFmtId="0" fontId="12" fillId="0" borderId="5" xfId="1" applyBorder="1" applyAlignment="1" applyProtection="1">
      <alignment horizontal="center" vertical="center" wrapText="1"/>
    </xf>
    <xf numFmtId="164" fontId="21" fillId="0" borderId="75" xfId="2" applyFont="1" applyBorder="1" applyAlignment="1">
      <alignment horizontal="center" vertical="center"/>
    </xf>
    <xf numFmtId="0" fontId="12" fillId="0" borderId="4" xfId="1" applyBorder="1" applyAlignment="1" applyProtection="1">
      <alignment horizontal="center" vertical="center" wrapText="1"/>
    </xf>
    <xf numFmtId="4" fontId="13" fillId="44" borderId="7" xfId="0" applyNumberFormat="1" applyFont="1" applyFill="1" applyBorder="1" applyAlignment="1">
      <alignment horizontal="center" vertical="center"/>
    </xf>
    <xf numFmtId="164" fontId="0" fillId="0" borderId="0" xfId="2" applyFont="1" applyAlignment="1">
      <alignment horizontal="center" vertical="center"/>
    </xf>
    <xf numFmtId="164" fontId="0" fillId="0" borderId="0" xfId="2" applyFont="1" applyAlignment="1">
      <alignment vertical="center"/>
    </xf>
    <xf numFmtId="164" fontId="0" fillId="40" borderId="0" xfId="2" applyFont="1" applyFill="1" applyAlignment="1">
      <alignment vertical="center"/>
    </xf>
    <xf numFmtId="0" fontId="0" fillId="0" borderId="0" xfId="0" applyAlignment="1">
      <alignment horizontal="center" vertical="center"/>
    </xf>
    <xf numFmtId="49" fontId="16" fillId="31" borderId="1" xfId="0" applyNumberFormat="1" applyFont="1" applyFill="1" applyBorder="1" applyAlignment="1">
      <alignment horizontal="center" vertical="center"/>
    </xf>
    <xf numFmtId="0" fontId="13" fillId="34" borderId="0" xfId="0" applyFont="1" applyFill="1" applyAlignment="1">
      <alignment horizontal="center" vertical="center"/>
    </xf>
    <xf numFmtId="0" fontId="65" fillId="34" borderId="0" xfId="0" applyFont="1" applyFill="1" applyAlignment="1">
      <alignment horizontal="center" vertical="center"/>
    </xf>
    <xf numFmtId="17" fontId="14" fillId="34" borderId="64" xfId="0" applyNumberFormat="1" applyFont="1" applyFill="1" applyBorder="1" applyAlignment="1">
      <alignment horizontal="center" vertical="center" wrapText="1"/>
    </xf>
    <xf numFmtId="0" fontId="87" fillId="41" borderId="0" xfId="0" applyFont="1" applyFill="1" applyAlignment="1">
      <alignment horizontal="center" vertical="center"/>
    </xf>
    <xf numFmtId="0" fontId="7" fillId="0" borderId="0" xfId="0" applyFont="1" applyAlignment="1">
      <alignment horizontal="center" vertical="center"/>
    </xf>
    <xf numFmtId="0" fontId="73" fillId="0" borderId="1" xfId="0" applyNumberFormat="1" applyFont="1" applyBorder="1" applyAlignment="1">
      <alignment horizontal="center" vertical="center"/>
    </xf>
    <xf numFmtId="0" fontId="77" fillId="0" borderId="1" xfId="0" applyNumberFormat="1" applyFont="1" applyBorder="1" applyAlignment="1">
      <alignment horizontal="center" vertical="center"/>
    </xf>
    <xf numFmtId="0" fontId="73" fillId="0" borderId="0" xfId="0" applyNumberFormat="1" applyFont="1" applyAlignment="1">
      <alignment horizontal="center" vertical="center"/>
    </xf>
    <xf numFmtId="0" fontId="73" fillId="0" borderId="1" xfId="16" applyNumberFormat="1" applyFont="1" applyBorder="1" applyAlignment="1">
      <alignment horizontal="center" vertical="center"/>
    </xf>
    <xf numFmtId="0" fontId="16" fillId="31" borderId="1" xfId="12" applyNumberFormat="1" applyFont="1" applyFill="1" applyBorder="1" applyAlignment="1">
      <alignment horizontal="center" vertical="center" wrapText="1"/>
    </xf>
    <xf numFmtId="0" fontId="79" fillId="31" borderId="1" xfId="12" applyNumberFormat="1" applyFont="1" applyFill="1" applyBorder="1" applyAlignment="1">
      <alignment horizontal="center" vertical="center" wrapText="1"/>
    </xf>
    <xf numFmtId="0" fontId="80" fillId="0" borderId="0" xfId="0" applyNumberFormat="1" applyFont="1" applyAlignment="1">
      <alignment horizontal="center" vertical="center"/>
    </xf>
    <xf numFmtId="164" fontId="73" fillId="31" borderId="1" xfId="2" applyFont="1" applyFill="1" applyBorder="1" applyAlignment="1">
      <alignment horizontal="center" vertical="center" wrapText="1"/>
    </xf>
    <xf numFmtId="0" fontId="13" fillId="0" borderId="0" xfId="0" applyFont="1" applyFill="1" applyBorder="1" applyAlignment="1">
      <alignment horizontal="center" vertical="center"/>
    </xf>
    <xf numFmtId="0" fontId="13" fillId="0" borderId="0" xfId="0" applyFont="1" applyFill="1" applyBorder="1" applyAlignment="1">
      <alignment horizontal="center" vertical="center" wrapText="1"/>
    </xf>
    <xf numFmtId="0" fontId="70" fillId="0" borderId="0" xfId="12" applyFont="1" applyFill="1" applyBorder="1" applyAlignment="1">
      <alignment horizontal="left" vertical="center"/>
    </xf>
    <xf numFmtId="0" fontId="13" fillId="0" borderId="0" xfId="0" applyFont="1" applyFill="1" applyBorder="1" applyAlignment="1">
      <alignment horizontal="left" vertical="center"/>
    </xf>
    <xf numFmtId="0" fontId="0" fillId="0" borderId="0" xfId="0" applyAlignment="1">
      <alignment horizontal="center" vertical="center"/>
    </xf>
    <xf numFmtId="49" fontId="10" fillId="0" borderId="0" xfId="0" applyNumberFormat="1" applyFont="1" applyAlignment="1">
      <alignment horizontal="center" vertical="center"/>
    </xf>
    <xf numFmtId="0" fontId="15" fillId="40" borderId="3" xfId="0" applyFont="1" applyFill="1" applyBorder="1" applyAlignment="1">
      <alignment horizontal="left" vertical="center"/>
    </xf>
    <xf numFmtId="0" fontId="15" fillId="40" borderId="4" xfId="0" applyFont="1" applyFill="1" applyBorder="1" applyAlignment="1">
      <alignment horizontal="left" vertical="center"/>
    </xf>
    <xf numFmtId="0" fontId="15" fillId="40" borderId="5" xfId="0" applyFont="1" applyFill="1" applyBorder="1" applyAlignment="1">
      <alignment horizontal="left" vertical="center"/>
    </xf>
    <xf numFmtId="0" fontId="0" fillId="0" borderId="0" xfId="0" applyAlignment="1">
      <alignment horizontal="center" vertical="center"/>
    </xf>
    <xf numFmtId="0" fontId="82" fillId="41" borderId="1" xfId="0" applyFont="1" applyFill="1" applyBorder="1" applyAlignment="1">
      <alignment horizontal="center" vertical="center" wrapText="1"/>
    </xf>
    <xf numFmtId="49" fontId="16" fillId="31" borderId="4" xfId="0" applyNumberFormat="1"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49" fontId="8" fillId="32" borderId="69" xfId="0" applyNumberFormat="1" applyFont="1" applyFill="1" applyBorder="1" applyAlignment="1">
      <alignment horizontal="center" vertical="center"/>
    </xf>
    <xf numFmtId="0" fontId="7" fillId="32" borderId="10" xfId="0" applyFont="1" applyFill="1" applyBorder="1" applyAlignment="1">
      <alignment horizontal="center" vertical="center"/>
    </xf>
    <xf numFmtId="49" fontId="8" fillId="32" borderId="54" xfId="0" applyNumberFormat="1" applyFont="1" applyFill="1" applyBorder="1" applyAlignment="1">
      <alignment horizontal="center" vertical="center"/>
    </xf>
    <xf numFmtId="0" fontId="7" fillId="32" borderId="1" xfId="0" applyFont="1" applyFill="1" applyBorder="1" applyAlignment="1">
      <alignment horizontal="center" vertical="center"/>
    </xf>
    <xf numFmtId="2" fontId="9" fillId="32" borderId="0" xfId="0" applyNumberFormat="1" applyFont="1" applyFill="1" applyAlignment="1">
      <alignment horizontal="center"/>
    </xf>
    <xf numFmtId="2" fontId="9" fillId="31" borderId="0" xfId="0" applyNumberFormat="1" applyFont="1" applyFill="1" applyAlignment="1">
      <alignment horizontal="center" vertical="center"/>
    </xf>
    <xf numFmtId="0" fontId="0" fillId="31" borderId="12" xfId="0" applyFill="1" applyBorder="1" applyAlignment="1">
      <alignment horizontal="center" vertical="center"/>
    </xf>
    <xf numFmtId="4" fontId="16" fillId="31" borderId="13" xfId="0" applyNumberFormat="1" applyFont="1" applyFill="1" applyBorder="1" applyAlignment="1">
      <alignment horizontal="center" vertical="center"/>
    </xf>
    <xf numFmtId="0" fontId="79" fillId="0" borderId="1" xfId="12" applyFont="1" applyFill="1" applyBorder="1" applyAlignment="1">
      <alignment horizontal="center" vertical="center" wrapText="1"/>
    </xf>
    <xf numFmtId="49"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center" vertical="center" wrapText="1"/>
    </xf>
    <xf numFmtId="0" fontId="83" fillId="0" borderId="1" xfId="12" applyFont="1" applyFill="1" applyBorder="1" applyAlignment="1">
      <alignment horizontal="center" vertical="center" wrapText="1"/>
    </xf>
    <xf numFmtId="0" fontId="73" fillId="0" borderId="3" xfId="0" applyFont="1" applyBorder="1" applyAlignment="1">
      <alignment horizontal="center" vertical="center"/>
    </xf>
    <xf numFmtId="169" fontId="0" fillId="0" borderId="58" xfId="0" applyNumberFormat="1" applyBorder="1" applyAlignment="1">
      <alignment horizontal="center" vertical="center"/>
    </xf>
    <xf numFmtId="169" fontId="0" fillId="0" borderId="80" xfId="0" applyNumberFormat="1" applyBorder="1" applyAlignment="1">
      <alignment horizontal="center" vertical="center"/>
    </xf>
    <xf numFmtId="9" fontId="0" fillId="0" borderId="8" xfId="5" applyFont="1" applyBorder="1" applyAlignment="1">
      <alignment horizontal="center" vertical="center"/>
    </xf>
    <xf numFmtId="0" fontId="0" fillId="0" borderId="15" xfId="2" applyNumberFormat="1" applyFont="1" applyBorder="1"/>
    <xf numFmtId="49" fontId="0" fillId="0" borderId="0" xfId="0" applyNumberFormat="1" applyBorder="1" applyAlignment="1">
      <alignment horizontal="center"/>
    </xf>
    <xf numFmtId="49" fontId="16" fillId="0" borderId="0" xfId="0" applyNumberFormat="1" applyFont="1" applyBorder="1" applyAlignment="1">
      <alignment horizontal="center"/>
    </xf>
    <xf numFmtId="0" fontId="7" fillId="0" borderId="0" xfId="0" applyFont="1" applyBorder="1"/>
    <xf numFmtId="0" fontId="0" fillId="0" borderId="0" xfId="0" applyBorder="1"/>
    <xf numFmtId="0" fontId="0" fillId="0" borderId="68" xfId="0" applyBorder="1" applyAlignment="1">
      <alignment horizontal="center" vertical="center"/>
    </xf>
    <xf numFmtId="0" fontId="0" fillId="0" borderId="57" xfId="0" applyBorder="1" applyAlignment="1">
      <alignment horizontal="center" vertical="center"/>
    </xf>
    <xf numFmtId="0" fontId="13" fillId="0" borderId="0" xfId="0" applyFont="1" applyBorder="1"/>
    <xf numFmtId="0" fontId="11" fillId="0" borderId="0" xfId="0" applyFont="1" applyBorder="1"/>
    <xf numFmtId="0" fontId="11" fillId="0" borderId="0" xfId="2" applyNumberFormat="1" applyFont="1" applyFill="1" applyBorder="1" applyAlignment="1">
      <alignment horizontal="right"/>
    </xf>
    <xf numFmtId="0" fontId="11" fillId="0" borderId="0" xfId="0" applyFont="1" applyBorder="1" applyAlignment="1">
      <alignment horizontal="right"/>
    </xf>
    <xf numFmtId="2" fontId="35" fillId="0" borderId="0" xfId="5" applyNumberFormat="1" applyFont="1" applyFill="1" applyBorder="1" applyAlignment="1"/>
    <xf numFmtId="0" fontId="11" fillId="0" borderId="57" xfId="0" applyFont="1" applyBorder="1" applyAlignment="1">
      <alignment horizontal="center" vertical="center"/>
    </xf>
    <xf numFmtId="0" fontId="16" fillId="0" borderId="0" xfId="0" applyFont="1" applyBorder="1"/>
    <xf numFmtId="49" fontId="15" fillId="2" borderId="81" xfId="0" applyNumberFormat="1" applyFont="1" applyFill="1" applyBorder="1" applyAlignment="1">
      <alignment horizontal="center" vertical="center"/>
    </xf>
    <xf numFmtId="0" fontId="21" fillId="2" borderId="82" xfId="0" applyFont="1" applyFill="1" applyBorder="1" applyAlignment="1">
      <alignment horizontal="center" vertical="center" wrapText="1"/>
    </xf>
    <xf numFmtId="174" fontId="25" fillId="0" borderId="65" xfId="5" applyNumberFormat="1" applyFont="1" applyBorder="1" applyAlignment="1">
      <alignment horizontal="center" vertical="center"/>
    </xf>
    <xf numFmtId="49" fontId="15" fillId="40" borderId="54" xfId="0" applyNumberFormat="1" applyFont="1" applyFill="1" applyBorder="1" applyAlignment="1">
      <alignment horizontal="center"/>
    </xf>
    <xf numFmtId="49" fontId="16" fillId="31" borderId="54" xfId="0" applyNumberFormat="1" applyFont="1" applyFill="1" applyBorder="1" applyAlignment="1">
      <alignment horizontal="center" vertical="center"/>
    </xf>
    <xf numFmtId="49" fontId="82" fillId="41" borderId="54" xfId="0" applyNumberFormat="1" applyFont="1" applyFill="1" applyBorder="1" applyAlignment="1">
      <alignment horizontal="center"/>
    </xf>
    <xf numFmtId="49" fontId="16" fillId="0" borderId="54" xfId="0" applyNumberFormat="1" applyFont="1" applyBorder="1" applyAlignment="1">
      <alignment horizontal="center" vertical="center"/>
    </xf>
    <xf numFmtId="0" fontId="8" fillId="0" borderId="0" xfId="0" applyFont="1" applyBorder="1" applyAlignment="1">
      <alignment horizontal="center" vertical="center"/>
    </xf>
    <xf numFmtId="49" fontId="15" fillId="40" borderId="54" xfId="0" applyNumberFormat="1" applyFont="1" applyFill="1" applyBorder="1" applyAlignment="1">
      <alignment horizontal="center" vertical="center"/>
    </xf>
    <xf numFmtId="0" fontId="69" fillId="31" borderId="54" xfId="12" applyFont="1" applyFill="1" applyBorder="1" applyAlignment="1">
      <alignment horizontal="center" vertical="center" wrapText="1"/>
    </xf>
    <xf numFmtId="0" fontId="0" fillId="0" borderId="0" xfId="0" applyBorder="1" applyAlignment="1">
      <alignment horizontal="center" vertical="center" wrapText="1"/>
    </xf>
    <xf numFmtId="49" fontId="82" fillId="41" borderId="70" xfId="0" applyNumberFormat="1" applyFont="1" applyFill="1" applyBorder="1" applyAlignment="1">
      <alignment horizontal="center"/>
    </xf>
    <xf numFmtId="49" fontId="10" fillId="31" borderId="54" xfId="0" applyNumberFormat="1" applyFont="1" applyFill="1" applyBorder="1" applyAlignment="1">
      <alignment horizontal="center" vertical="center"/>
    </xf>
    <xf numFmtId="0" fontId="97" fillId="0" borderId="0" xfId="0" applyFont="1" applyBorder="1" applyAlignment="1">
      <alignment horizontal="center" vertical="center" wrapText="1"/>
    </xf>
    <xf numFmtId="0" fontId="8" fillId="0" borderId="0" xfId="0" applyFont="1" applyBorder="1" applyAlignment="1">
      <alignment horizontal="center" vertical="center" wrapText="1"/>
    </xf>
    <xf numFmtId="174" fontId="25" fillId="31" borderId="65" xfId="5" applyNumberFormat="1" applyFont="1" applyFill="1" applyBorder="1" applyAlignment="1">
      <alignment horizontal="center" vertical="center"/>
    </xf>
    <xf numFmtId="0" fontId="83" fillId="31" borderId="54" xfId="12" applyFont="1" applyFill="1" applyBorder="1" applyAlignment="1">
      <alignment horizontal="center" vertical="center" wrapText="1"/>
    </xf>
    <xf numFmtId="49" fontId="15" fillId="40" borderId="54" xfId="0" applyNumberFormat="1" applyFont="1" applyFill="1" applyBorder="1" applyAlignment="1">
      <alignment horizontal="left" vertical="center"/>
    </xf>
    <xf numFmtId="4" fontId="15" fillId="38" borderId="86" xfId="0" applyNumberFormat="1" applyFont="1" applyFill="1" applyBorder="1" applyAlignment="1">
      <alignment horizontal="right"/>
    </xf>
    <xf numFmtId="9" fontId="91" fillId="42" borderId="77" xfId="5" applyFont="1" applyFill="1" applyBorder="1" applyAlignment="1">
      <alignment horizontal="center" vertical="center"/>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58" xfId="0" applyFont="1" applyBorder="1" applyAlignment="1">
      <alignment horizontal="center" vertical="center" wrapText="1"/>
    </xf>
    <xf numFmtId="0" fontId="13" fillId="0" borderId="16" xfId="0" applyFont="1" applyBorder="1" applyAlignment="1">
      <alignment horizontal="center" vertical="center"/>
    </xf>
    <xf numFmtId="0" fontId="13" fillId="0" borderId="0" xfId="0" applyFont="1" applyAlignment="1">
      <alignment horizontal="center" vertical="center"/>
    </xf>
    <xf numFmtId="0" fontId="13" fillId="0" borderId="57" xfId="0" applyFont="1" applyBorder="1" applyAlignment="1">
      <alignment horizontal="center" vertical="center"/>
    </xf>
    <xf numFmtId="0" fontId="7" fillId="0" borderId="16" xfId="0" applyFont="1" applyBorder="1" applyAlignment="1">
      <alignment horizontal="center" wrapText="1"/>
    </xf>
    <xf numFmtId="0" fontId="19" fillId="0" borderId="0" xfId="0" applyFont="1" applyAlignment="1">
      <alignment horizontal="center" wrapText="1"/>
    </xf>
    <xf numFmtId="0" fontId="19" fillId="0" borderId="57" xfId="0" applyFont="1" applyBorder="1" applyAlignment="1">
      <alignment horizontal="center" wrapText="1"/>
    </xf>
    <xf numFmtId="0" fontId="23" fillId="0" borderId="46" xfId="0" applyFont="1" applyBorder="1" applyAlignment="1">
      <alignment horizontal="center" vertical="center"/>
    </xf>
    <xf numFmtId="0" fontId="23" fillId="0" borderId="47" xfId="0" applyFont="1" applyBorder="1" applyAlignment="1">
      <alignment horizontal="center" vertical="center"/>
    </xf>
    <xf numFmtId="0" fontId="23" fillId="0" borderId="50" xfId="0" applyFont="1" applyBorder="1" applyAlignment="1">
      <alignment horizontal="center" vertical="center"/>
    </xf>
    <xf numFmtId="49" fontId="15" fillId="44" borderId="70" xfId="0" applyNumberFormat="1" applyFont="1" applyFill="1" applyBorder="1" applyAlignment="1">
      <alignment horizontal="center" vertical="center"/>
    </xf>
    <xf numFmtId="49" fontId="15" fillId="44" borderId="4" xfId="0" applyNumberFormat="1" applyFont="1" applyFill="1" applyBorder="1" applyAlignment="1">
      <alignment horizontal="center" vertical="center"/>
    </xf>
    <xf numFmtId="49" fontId="15" fillId="44" borderId="5" xfId="0" applyNumberFormat="1" applyFont="1" applyFill="1" applyBorder="1" applyAlignment="1">
      <alignment horizontal="center" vertical="center"/>
    </xf>
    <xf numFmtId="0" fontId="82" fillId="41" borderId="3" xfId="0" applyFont="1" applyFill="1" applyBorder="1" applyAlignment="1">
      <alignment horizontal="left"/>
    </xf>
    <xf numFmtId="0" fontId="82" fillId="41" borderId="4" xfId="0" applyFont="1" applyFill="1" applyBorder="1" applyAlignment="1">
      <alignment horizontal="left"/>
    </xf>
    <xf numFmtId="0" fontId="82" fillId="41" borderId="5" xfId="0" applyFont="1" applyFill="1" applyBorder="1" applyAlignment="1">
      <alignment horizontal="left"/>
    </xf>
    <xf numFmtId="0" fontId="15" fillId="40" borderId="3" xfId="0" applyFont="1" applyFill="1" applyBorder="1" applyAlignment="1">
      <alignment horizontal="left"/>
    </xf>
    <xf numFmtId="0" fontId="15" fillId="40" borderId="4" xfId="0" applyFont="1" applyFill="1" applyBorder="1" applyAlignment="1">
      <alignment horizontal="left"/>
    </xf>
    <xf numFmtId="0" fontId="15" fillId="40" borderId="5" xfId="0" applyFont="1" applyFill="1" applyBorder="1" applyAlignment="1">
      <alignment horizontal="left"/>
    </xf>
    <xf numFmtId="0" fontId="15" fillId="40" borderId="3" xfId="0" applyFont="1" applyFill="1" applyBorder="1" applyAlignment="1">
      <alignment horizontal="left" vertical="center"/>
    </xf>
    <xf numFmtId="0" fontId="15" fillId="40" borderId="4" xfId="0" applyFont="1" applyFill="1" applyBorder="1" applyAlignment="1">
      <alignment horizontal="left" vertical="center"/>
    </xf>
    <xf numFmtId="0" fontId="15" fillId="40" borderId="5" xfId="0" applyFont="1" applyFill="1" applyBorder="1" applyAlignment="1">
      <alignment horizontal="left" vertical="center"/>
    </xf>
    <xf numFmtId="0" fontId="7" fillId="31" borderId="0" xfId="0" applyFont="1" applyFill="1" applyAlignment="1">
      <alignment horizontal="center" vertical="center"/>
    </xf>
    <xf numFmtId="49" fontId="17" fillId="0" borderId="83" xfId="0" applyNumberFormat="1" applyFont="1" applyBorder="1" applyAlignment="1">
      <alignment horizontal="left"/>
    </xf>
    <xf numFmtId="49" fontId="17" fillId="0" borderId="84" xfId="0" applyNumberFormat="1" applyFont="1" applyBorder="1" applyAlignment="1">
      <alignment horizontal="left"/>
    </xf>
    <xf numFmtId="49" fontId="17" fillId="0" borderId="85" xfId="0" applyNumberFormat="1" applyFont="1" applyBorder="1" applyAlignment="1">
      <alignment horizontal="left"/>
    </xf>
    <xf numFmtId="0" fontId="0" fillId="0" borderId="15" xfId="0" applyBorder="1" applyAlignment="1">
      <alignment horizontal="center" vertical="center"/>
    </xf>
    <xf numFmtId="0" fontId="0" fillId="0" borderId="58" xfId="0" applyBorder="1" applyAlignment="1">
      <alignment horizontal="center" vertical="center"/>
    </xf>
    <xf numFmtId="0" fontId="13" fillId="0" borderId="0" xfId="0" applyFont="1" applyBorder="1" applyAlignment="1">
      <alignment horizontal="center" vertical="center"/>
    </xf>
    <xf numFmtId="0" fontId="0" fillId="0" borderId="0" xfId="0" applyBorder="1" applyAlignment="1">
      <alignment horizontal="center"/>
    </xf>
    <xf numFmtId="0" fontId="0" fillId="0" borderId="57" xfId="0" applyBorder="1" applyAlignment="1">
      <alignment horizontal="center"/>
    </xf>
    <xf numFmtId="49" fontId="17" fillId="0" borderId="70" xfId="0" applyNumberFormat="1" applyFont="1" applyBorder="1" applyAlignment="1">
      <alignment horizontal="left"/>
    </xf>
    <xf numFmtId="49" fontId="17" fillId="0" borderId="4" xfId="0" applyNumberFormat="1" applyFont="1" applyBorder="1" applyAlignment="1">
      <alignment horizontal="left"/>
    </xf>
    <xf numFmtId="49" fontId="17" fillId="0" borderId="5" xfId="0" applyNumberFormat="1" applyFont="1" applyBorder="1" applyAlignment="1">
      <alignment horizontal="left"/>
    </xf>
    <xf numFmtId="169" fontId="13" fillId="34" borderId="1" xfId="0" applyNumberFormat="1" applyFont="1" applyFill="1" applyBorder="1" applyAlignment="1">
      <alignment horizontal="center" vertical="center"/>
    </xf>
    <xf numFmtId="0" fontId="13" fillId="33" borderId="54" xfId="0" applyFont="1" applyFill="1" applyBorder="1" applyAlignment="1">
      <alignment horizontal="center" vertical="center"/>
    </xf>
    <xf numFmtId="0" fontId="13" fillId="33" borderId="1" xfId="0" applyFont="1" applyFill="1" applyBorder="1" applyAlignment="1">
      <alignment horizontal="center" vertical="center"/>
    </xf>
    <xf numFmtId="0" fontId="13" fillId="34" borderId="1" xfId="0" applyFont="1" applyFill="1" applyBorder="1" applyAlignment="1">
      <alignment horizontal="center" vertical="center"/>
    </xf>
    <xf numFmtId="0" fontId="13" fillId="33" borderId="54" xfId="0" applyFont="1" applyFill="1" applyBorder="1" applyAlignment="1">
      <alignment horizontal="center" vertical="center" wrapText="1"/>
    </xf>
    <xf numFmtId="0" fontId="13" fillId="33" borderId="1" xfId="0" applyFont="1" applyFill="1" applyBorder="1" applyAlignment="1">
      <alignment horizontal="center" vertical="center" wrapText="1"/>
    </xf>
    <xf numFmtId="0" fontId="13" fillId="33" borderId="66" xfId="0" applyFont="1" applyFill="1" applyBorder="1" applyAlignment="1">
      <alignment horizontal="center" vertical="center" wrapText="1"/>
    </xf>
    <xf numFmtId="0" fontId="13" fillId="33" borderId="6" xfId="0" applyFont="1" applyFill="1" applyBorder="1" applyAlignment="1">
      <alignment horizontal="center" vertical="center" wrapText="1"/>
    </xf>
    <xf numFmtId="0" fontId="11" fillId="0" borderId="14" xfId="0" applyFont="1" applyBorder="1" applyAlignment="1">
      <alignment horizontal="center"/>
    </xf>
    <xf numFmtId="0" fontId="11" fillId="0" borderId="15" xfId="0" applyFont="1" applyBorder="1" applyAlignment="1">
      <alignment horizontal="center"/>
    </xf>
    <xf numFmtId="0" fontId="13" fillId="34" borderId="46" xfId="0" applyFont="1" applyFill="1" applyBorder="1" applyAlignment="1">
      <alignment horizontal="center" vertical="center"/>
    </xf>
    <xf numFmtId="0" fontId="13" fillId="34" borderId="47" xfId="0" applyFont="1" applyFill="1" applyBorder="1" applyAlignment="1">
      <alignment horizontal="center" vertical="center"/>
    </xf>
    <xf numFmtId="0" fontId="13" fillId="34" borderId="50" xfId="0" applyFont="1" applyFill="1" applyBorder="1" applyAlignment="1">
      <alignment horizontal="center" vertical="center"/>
    </xf>
    <xf numFmtId="0" fontId="13" fillId="34" borderId="3" xfId="0" applyFont="1" applyFill="1" applyBorder="1" applyAlignment="1">
      <alignment horizontal="center" vertical="center"/>
    </xf>
    <xf numFmtId="0" fontId="13" fillId="34" borderId="4" xfId="0" applyFont="1" applyFill="1" applyBorder="1" applyAlignment="1">
      <alignment horizontal="center" vertical="center"/>
    </xf>
    <xf numFmtId="0" fontId="13" fillId="34" borderId="75" xfId="0" applyFont="1" applyFill="1" applyBorder="1" applyAlignment="1">
      <alignment horizontal="center" vertical="center"/>
    </xf>
    <xf numFmtId="0" fontId="65" fillId="34" borderId="3" xfId="0" applyFont="1" applyFill="1" applyBorder="1" applyAlignment="1">
      <alignment horizontal="center" vertical="center"/>
    </xf>
    <xf numFmtId="0" fontId="65" fillId="34" borderId="4" xfId="0" applyFont="1" applyFill="1" applyBorder="1" applyAlignment="1">
      <alignment horizontal="center" vertical="center"/>
    </xf>
    <xf numFmtId="0" fontId="65" fillId="34" borderId="75" xfId="0" applyFont="1" applyFill="1" applyBorder="1" applyAlignment="1">
      <alignment horizontal="center" vertical="center"/>
    </xf>
    <xf numFmtId="169" fontId="84" fillId="34" borderId="17" xfId="0" applyNumberFormat="1" applyFont="1" applyFill="1" applyBorder="1" applyAlignment="1">
      <alignment horizontal="center" vertical="center"/>
    </xf>
    <xf numFmtId="169" fontId="84" fillId="34" borderId="18" xfId="0" applyNumberFormat="1" applyFont="1" applyFill="1" applyBorder="1" applyAlignment="1">
      <alignment horizontal="center" vertical="center"/>
    </xf>
    <xf numFmtId="0" fontId="13" fillId="33" borderId="17" xfId="0" applyFont="1" applyFill="1" applyBorder="1" applyAlignment="1">
      <alignment horizontal="center" vertical="center"/>
    </xf>
    <xf numFmtId="0" fontId="13" fillId="33" borderId="18" xfId="0" applyFont="1" applyFill="1" applyBorder="1" applyAlignment="1">
      <alignment horizontal="center" vertical="center"/>
    </xf>
    <xf numFmtId="0" fontId="13" fillId="33" borderId="3" xfId="0" applyFont="1" applyFill="1" applyBorder="1" applyAlignment="1">
      <alignment horizontal="center" vertical="center"/>
    </xf>
    <xf numFmtId="0" fontId="13" fillId="33" borderId="5" xfId="0" applyFont="1" applyFill="1" applyBorder="1" applyAlignment="1">
      <alignment horizontal="center" vertical="center"/>
    </xf>
    <xf numFmtId="0" fontId="70" fillId="33" borderId="3" xfId="12" applyFont="1" applyFill="1" applyBorder="1" applyAlignment="1">
      <alignment horizontal="center" vertical="center"/>
    </xf>
    <xf numFmtId="0" fontId="70" fillId="33" borderId="5" xfId="12" applyFont="1" applyFill="1" applyBorder="1" applyAlignment="1">
      <alignment horizontal="center" vertical="center"/>
    </xf>
    <xf numFmtId="0" fontId="14" fillId="34" borderId="48" xfId="2" applyNumberFormat="1" applyFont="1" applyFill="1" applyBorder="1" applyAlignment="1">
      <alignment horizontal="center" vertical="center" wrapText="1"/>
    </xf>
    <xf numFmtId="0" fontId="14" fillId="34" borderId="64" xfId="2" applyNumberFormat="1" applyFont="1" applyFill="1" applyBorder="1" applyAlignment="1">
      <alignment horizontal="center" vertical="center" wrapText="1"/>
    </xf>
    <xf numFmtId="17" fontId="14" fillId="34" borderId="48" xfId="0" applyNumberFormat="1" applyFont="1" applyFill="1" applyBorder="1" applyAlignment="1">
      <alignment horizontal="center" vertical="center"/>
    </xf>
    <xf numFmtId="17" fontId="14" fillId="34" borderId="79" xfId="0" applyNumberFormat="1" applyFont="1" applyFill="1" applyBorder="1" applyAlignment="1">
      <alignment horizontal="center" vertical="center"/>
    </xf>
    <xf numFmtId="2" fontId="10" fillId="3" borderId="0" xfId="0" applyNumberFormat="1" applyFont="1" applyFill="1" applyAlignment="1">
      <alignment horizontal="center" wrapText="1"/>
    </xf>
    <xf numFmtId="2" fontId="10" fillId="3" borderId="0" xfId="0" applyNumberFormat="1" applyFont="1" applyFill="1" applyAlignment="1">
      <alignment horizontal="center" vertical="center" wrapText="1"/>
    </xf>
    <xf numFmtId="0" fontId="10" fillId="0" borderId="0" xfId="0" applyFont="1" applyAlignment="1">
      <alignment horizontal="center" vertical="center" wrapText="1"/>
    </xf>
    <xf numFmtId="2" fontId="27" fillId="0" borderId="0" xfId="0" applyNumberFormat="1" applyFont="1" applyAlignment="1">
      <alignment horizontal="center" wrapText="1"/>
    </xf>
    <xf numFmtId="2" fontId="10" fillId="3" borderId="0" xfId="0" applyNumberFormat="1" applyFont="1" applyFill="1" applyAlignment="1">
      <alignment horizontal="center"/>
    </xf>
    <xf numFmtId="49" fontId="10" fillId="0" borderId="0" xfId="0" applyNumberFormat="1" applyFont="1" applyAlignment="1">
      <alignment horizontal="center" vertical="center"/>
    </xf>
    <xf numFmtId="4" fontId="10" fillId="0" borderId="0" xfId="0" applyNumberFormat="1" applyFont="1" applyAlignment="1">
      <alignment horizontal="center" wrapText="1"/>
    </xf>
    <xf numFmtId="2" fontId="10" fillId="31" borderId="0" xfId="0" applyNumberFormat="1" applyFont="1" applyFill="1" applyAlignment="1">
      <alignment horizontal="center" vertical="center"/>
    </xf>
    <xf numFmtId="2" fontId="10" fillId="30" borderId="0" xfId="0" applyNumberFormat="1" applyFont="1" applyFill="1" applyAlignment="1">
      <alignment horizontal="center" vertical="center" wrapText="1"/>
    </xf>
    <xf numFmtId="2" fontId="10" fillId="30" borderId="0" xfId="0" applyNumberFormat="1" applyFont="1" applyFill="1" applyAlignment="1">
      <alignment horizontal="center" wrapText="1"/>
    </xf>
    <xf numFmtId="2" fontId="10" fillId="3" borderId="0" xfId="0" applyNumberFormat="1" applyFont="1" applyFill="1" applyAlignment="1">
      <alignment horizontal="left" wrapText="1"/>
    </xf>
    <xf numFmtId="2" fontId="10" fillId="3" borderId="0" xfId="0" applyNumberFormat="1" applyFont="1" applyFill="1" applyAlignment="1">
      <alignment horizontal="left"/>
    </xf>
    <xf numFmtId="2" fontId="10" fillId="3" borderId="0" xfId="0" applyNumberFormat="1" applyFont="1" applyFill="1" applyAlignment="1">
      <alignment horizontal="left" vertical="center" wrapText="1"/>
    </xf>
    <xf numFmtId="4" fontId="27" fillId="0" borderId="0" xfId="0" applyNumberFormat="1" applyFont="1" applyAlignment="1">
      <alignment horizontal="center" wrapText="1"/>
    </xf>
    <xf numFmtId="0" fontId="10" fillId="0" borderId="0" xfId="0" applyFont="1" applyAlignment="1">
      <alignment horizontal="center" wrapText="1"/>
    </xf>
    <xf numFmtId="0" fontId="59" fillId="31" borderId="0" xfId="0" applyFont="1" applyFill="1" applyAlignment="1">
      <alignment horizontal="center" wrapText="1"/>
    </xf>
    <xf numFmtId="0" fontId="0" fillId="0" borderId="0" xfId="0" applyAlignment="1">
      <alignment horizontal="center" vertical="center"/>
    </xf>
    <xf numFmtId="0" fontId="65" fillId="34" borderId="1" xfId="0" applyFont="1" applyFill="1" applyBorder="1" applyAlignment="1">
      <alignment horizontal="center" vertical="center"/>
    </xf>
    <xf numFmtId="49" fontId="15" fillId="44" borderId="7" xfId="0" applyNumberFormat="1" applyFont="1" applyFill="1" applyBorder="1" applyAlignment="1">
      <alignment horizontal="center" vertical="center"/>
    </xf>
    <xf numFmtId="49" fontId="15" fillId="44" borderId="0" xfId="0" applyNumberFormat="1" applyFont="1" applyFill="1" applyBorder="1" applyAlignment="1">
      <alignment horizontal="center" vertical="center"/>
    </xf>
    <xf numFmtId="169" fontId="84" fillId="34" borderId="44" xfId="0" applyNumberFormat="1" applyFont="1" applyFill="1" applyBorder="1" applyAlignment="1">
      <alignment horizontal="center" vertical="center"/>
    </xf>
    <xf numFmtId="0" fontId="82" fillId="41" borderId="3" xfId="0" applyFont="1" applyFill="1" applyBorder="1" applyAlignment="1">
      <alignment horizontal="center" vertical="center" wrapText="1"/>
    </xf>
    <xf numFmtId="0" fontId="82" fillId="41" borderId="4" xfId="0" applyFont="1" applyFill="1" applyBorder="1" applyAlignment="1">
      <alignment horizontal="center" vertical="center" wrapText="1"/>
    </xf>
    <xf numFmtId="0" fontId="73" fillId="31" borderId="3" xfId="16" applyFont="1" applyFill="1" applyBorder="1" applyAlignment="1">
      <alignment horizontal="center" vertical="center" wrapText="1"/>
    </xf>
    <xf numFmtId="0" fontId="73" fillId="31" borderId="4" xfId="16" applyFont="1" applyFill="1" applyBorder="1" applyAlignment="1">
      <alignment horizontal="center" vertical="center" wrapText="1"/>
    </xf>
    <xf numFmtId="0" fontId="73" fillId="31" borderId="5" xfId="16" applyFont="1" applyFill="1" applyBorder="1" applyAlignment="1">
      <alignment horizontal="center" vertical="center" wrapText="1"/>
    </xf>
    <xf numFmtId="0" fontId="92" fillId="31" borderId="3" xfId="0" applyFont="1" applyFill="1" applyBorder="1" applyAlignment="1">
      <alignment horizontal="center"/>
    </xf>
    <xf numFmtId="0" fontId="92" fillId="31" borderId="4" xfId="0" applyFont="1" applyFill="1" applyBorder="1" applyAlignment="1">
      <alignment horizontal="center"/>
    </xf>
    <xf numFmtId="0" fontId="92" fillId="31" borderId="5" xfId="0" applyFont="1" applyFill="1" applyBorder="1" applyAlignment="1">
      <alignment horizontal="center"/>
    </xf>
    <xf numFmtId="0" fontId="92" fillId="31" borderId="3" xfId="0" applyFont="1" applyFill="1" applyBorder="1" applyAlignment="1">
      <alignment horizontal="center" vertical="center"/>
    </xf>
    <xf numFmtId="0" fontId="92" fillId="31" borderId="4" xfId="0" applyFont="1" applyFill="1" applyBorder="1" applyAlignment="1">
      <alignment horizontal="center" vertical="center"/>
    </xf>
    <xf numFmtId="0" fontId="92" fillId="31" borderId="5" xfId="0" applyFont="1" applyFill="1" applyBorder="1" applyAlignment="1">
      <alignment horizontal="center" vertical="center"/>
    </xf>
    <xf numFmtId="0" fontId="93" fillId="41" borderId="3" xfId="0" applyFont="1" applyFill="1" applyBorder="1" applyAlignment="1">
      <alignment horizontal="center" vertical="center" wrapText="1"/>
    </xf>
    <xf numFmtId="0" fontId="93" fillId="41" borderId="4" xfId="0" applyFont="1" applyFill="1" applyBorder="1" applyAlignment="1">
      <alignment horizontal="center" vertical="center" wrapText="1"/>
    </xf>
    <xf numFmtId="0" fontId="93" fillId="41" borderId="5" xfId="0" applyFont="1" applyFill="1" applyBorder="1" applyAlignment="1">
      <alignment horizontal="center" vertical="center" wrapText="1"/>
    </xf>
    <xf numFmtId="0" fontId="93" fillId="41" borderId="1" xfId="0" applyFont="1" applyFill="1" applyBorder="1" applyAlignment="1">
      <alignment horizontal="center" vertical="center" wrapText="1"/>
    </xf>
    <xf numFmtId="0" fontId="82" fillId="41" borderId="1" xfId="0" applyFont="1" applyFill="1" applyBorder="1" applyAlignment="1">
      <alignment horizontal="center" vertical="center" wrapText="1"/>
    </xf>
    <xf numFmtId="0" fontId="82" fillId="41" borderId="5" xfId="0" applyFont="1" applyFill="1" applyBorder="1" applyAlignment="1">
      <alignment horizontal="center" vertical="center" wrapText="1"/>
    </xf>
    <xf numFmtId="0" fontId="98" fillId="41" borderId="1" xfId="16" applyFont="1" applyFill="1" applyBorder="1" applyAlignment="1">
      <alignment horizontal="center" vertical="center" wrapText="1"/>
    </xf>
    <xf numFmtId="0" fontId="0" fillId="0" borderId="44" xfId="0" applyBorder="1" applyAlignment="1">
      <alignment horizontal="center" vertical="center"/>
    </xf>
    <xf numFmtId="0" fontId="0" fillId="0" borderId="18" xfId="0" applyBorder="1" applyAlignment="1">
      <alignment horizontal="center" vertical="center"/>
    </xf>
    <xf numFmtId="0" fontId="13" fillId="0" borderId="9" xfId="0" applyFont="1" applyBorder="1" applyAlignment="1">
      <alignment horizontal="center" vertical="center"/>
    </xf>
    <xf numFmtId="169" fontId="84" fillId="34" borderId="48" xfId="0" applyNumberFormat="1" applyFont="1" applyFill="1" applyBorder="1" applyAlignment="1">
      <alignment horizontal="center" vertical="center"/>
    </xf>
    <xf numFmtId="169" fontId="84" fillId="34" borderId="49" xfId="0" applyNumberFormat="1" applyFont="1" applyFill="1" applyBorder="1" applyAlignment="1">
      <alignment horizontal="center" vertical="center"/>
    </xf>
    <xf numFmtId="0" fontId="71" fillId="34" borderId="62" xfId="0" applyFont="1" applyFill="1" applyBorder="1" applyAlignment="1">
      <alignment horizontal="center" vertical="center"/>
    </xf>
    <xf numFmtId="0" fontId="71" fillId="34" borderId="47" xfId="0" applyFont="1" applyFill="1" applyBorder="1" applyAlignment="1">
      <alignment horizontal="center" vertical="center"/>
    </xf>
    <xf numFmtId="0" fontId="71" fillId="34" borderId="63" xfId="0" applyFont="1" applyFill="1" applyBorder="1" applyAlignment="1">
      <alignment horizontal="center" vertical="center"/>
    </xf>
    <xf numFmtId="49" fontId="15" fillId="44" borderId="3" xfId="0" applyNumberFormat="1" applyFont="1" applyFill="1" applyBorder="1" applyAlignment="1">
      <alignment horizontal="center" vertical="center"/>
    </xf>
    <xf numFmtId="0" fontId="12" fillId="35" borderId="3" xfId="1" applyFill="1" applyBorder="1" applyAlignment="1" applyProtection="1">
      <alignment horizontal="left" vertical="center" wrapText="1"/>
    </xf>
    <xf numFmtId="0" fontId="12" fillId="35" borderId="4" xfId="1" applyFill="1" applyBorder="1" applyAlignment="1" applyProtection="1">
      <alignment horizontal="left" vertical="center" wrapText="1"/>
    </xf>
    <xf numFmtId="0" fontId="12" fillId="35" borderId="75" xfId="1" applyFill="1" applyBorder="1" applyAlignment="1" applyProtection="1">
      <alignment horizontal="left" vertical="center" wrapText="1"/>
    </xf>
    <xf numFmtId="0" fontId="74" fillId="31" borderId="70" xfId="16" applyFont="1" applyFill="1" applyBorder="1" applyAlignment="1">
      <alignment horizontal="center" vertical="center"/>
    </xf>
    <xf numFmtId="0" fontId="74" fillId="31" borderId="4" xfId="16" applyFont="1" applyFill="1" applyBorder="1" applyAlignment="1">
      <alignment horizontal="center" vertical="center"/>
    </xf>
    <xf numFmtId="0" fontId="74" fillId="31" borderId="75" xfId="16" applyFont="1" applyFill="1" applyBorder="1" applyAlignment="1">
      <alignment horizontal="center" vertical="center"/>
    </xf>
    <xf numFmtId="164" fontId="8" fillId="0" borderId="3" xfId="2" applyFont="1" applyBorder="1" applyAlignment="1">
      <alignment horizontal="center" vertical="center"/>
    </xf>
    <xf numFmtId="164" fontId="8" fillId="0" borderId="4" xfId="2" applyFont="1" applyBorder="1" applyAlignment="1">
      <alignment horizontal="center" vertical="center"/>
    </xf>
    <xf numFmtId="164" fontId="8" fillId="0" borderId="75" xfId="2" applyFont="1" applyBorder="1" applyAlignment="1">
      <alignment horizontal="center" vertical="center"/>
    </xf>
    <xf numFmtId="0" fontId="12" fillId="0" borderId="3" xfId="1" applyBorder="1" applyAlignment="1" applyProtection="1">
      <alignment horizontal="center" vertical="center"/>
    </xf>
    <xf numFmtId="0" fontId="12" fillId="0" borderId="4" xfId="1" applyBorder="1" applyAlignment="1" applyProtection="1">
      <alignment horizontal="center" vertical="center"/>
    </xf>
    <xf numFmtId="0" fontId="12" fillId="0" borderId="5" xfId="1" applyBorder="1" applyAlignment="1" applyProtection="1">
      <alignment horizontal="center" vertical="center"/>
    </xf>
    <xf numFmtId="0" fontId="8" fillId="35" borderId="3" xfId="16" applyFont="1" applyFill="1" applyBorder="1" applyAlignment="1">
      <alignment horizontal="center" vertical="center" wrapText="1"/>
    </xf>
    <xf numFmtId="0" fontId="8" fillId="35" borderId="4" xfId="16" applyFont="1" applyFill="1" applyBorder="1" applyAlignment="1">
      <alignment horizontal="center" vertical="center" wrapText="1"/>
    </xf>
    <xf numFmtId="0" fontId="8" fillId="35" borderId="5" xfId="16" applyFont="1" applyFill="1" applyBorder="1" applyAlignment="1">
      <alignment horizontal="center" vertical="center" wrapText="1"/>
    </xf>
    <xf numFmtId="164" fontId="21" fillId="0" borderId="3" xfId="2" applyFont="1" applyBorder="1" applyAlignment="1">
      <alignment horizontal="center" vertical="center"/>
    </xf>
    <xf numFmtId="164" fontId="21" fillId="0" borderId="5" xfId="2"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21" fillId="35" borderId="70" xfId="16" applyFont="1" applyFill="1" applyBorder="1" applyAlignment="1">
      <alignment horizontal="center" vertical="center" wrapText="1"/>
    </xf>
    <xf numFmtId="0" fontId="21" fillId="35" borderId="4" xfId="16" applyFont="1" applyFill="1" applyBorder="1" applyAlignment="1">
      <alignment horizontal="center" vertical="center" wrapText="1"/>
    </xf>
    <xf numFmtId="0" fontId="21" fillId="35" borderId="5" xfId="16" applyFont="1" applyFill="1" applyBorder="1" applyAlignment="1">
      <alignment horizontal="center" vertical="center" wrapText="1"/>
    </xf>
    <xf numFmtId="0" fontId="21" fillId="31" borderId="3" xfId="0" applyFont="1" applyFill="1" applyBorder="1" applyAlignment="1">
      <alignment horizontal="center" vertical="center"/>
    </xf>
    <xf numFmtId="0" fontId="21" fillId="31" borderId="5" xfId="0" applyFont="1" applyFill="1" applyBorder="1" applyAlignment="1">
      <alignment horizontal="center" vertical="center"/>
    </xf>
    <xf numFmtId="0" fontId="21" fillId="31" borderId="4" xfId="0" applyFont="1" applyFill="1" applyBorder="1" applyAlignment="1">
      <alignment horizontal="center" vertical="center"/>
    </xf>
    <xf numFmtId="0" fontId="74" fillId="31" borderId="3" xfId="16" applyFont="1" applyFill="1" applyBorder="1" applyAlignment="1">
      <alignment horizontal="center" vertical="center"/>
    </xf>
    <xf numFmtId="0" fontId="74" fillId="31" borderId="5" xfId="16" applyFont="1" applyFill="1" applyBorder="1" applyAlignment="1">
      <alignment horizontal="center" vertical="center"/>
    </xf>
    <xf numFmtId="0" fontId="12" fillId="0" borderId="3" xfId="1" applyBorder="1" applyAlignment="1" applyProtection="1">
      <alignment horizontal="center" vertical="center" wrapText="1"/>
    </xf>
    <xf numFmtId="0" fontId="12" fillId="0" borderId="4" xfId="1" applyBorder="1" applyAlignment="1" applyProtection="1">
      <alignment horizontal="center" vertical="center" wrapText="1"/>
    </xf>
    <xf numFmtId="0" fontId="12" fillId="0" borderId="5" xfId="1" applyBorder="1" applyAlignment="1" applyProtection="1">
      <alignment horizontal="center" vertical="center" wrapText="1"/>
    </xf>
    <xf numFmtId="164" fontId="21" fillId="0" borderId="4" xfId="2" applyFont="1" applyBorder="1" applyAlignment="1">
      <alignment horizontal="center" vertical="center"/>
    </xf>
    <xf numFmtId="164" fontId="21" fillId="0" borderId="75" xfId="2" applyFont="1" applyBorder="1" applyAlignment="1">
      <alignment horizontal="center" vertical="center"/>
    </xf>
    <xf numFmtId="0" fontId="8" fillId="35" borderId="1" xfId="16" applyFont="1" applyFill="1" applyBorder="1" applyAlignment="1">
      <alignment horizontal="center" vertical="center" wrapText="1"/>
    </xf>
    <xf numFmtId="0" fontId="12" fillId="0" borderId="1" xfId="1" applyBorder="1" applyAlignment="1" applyProtection="1">
      <alignment horizontal="center" vertical="center"/>
    </xf>
    <xf numFmtId="0" fontId="8" fillId="0" borderId="1" xfId="0" applyFont="1" applyBorder="1" applyAlignment="1">
      <alignment horizontal="center" vertical="center"/>
    </xf>
    <xf numFmtId="164" fontId="8" fillId="0" borderId="1" xfId="2" applyFont="1" applyBorder="1" applyAlignment="1">
      <alignment horizontal="center" vertical="center"/>
    </xf>
    <xf numFmtId="164" fontId="8" fillId="0" borderId="65" xfId="2" applyFont="1" applyBorder="1" applyAlignment="1">
      <alignment horizontal="center" vertical="center"/>
    </xf>
    <xf numFmtId="0" fontId="12" fillId="0" borderId="1" xfId="1" applyBorder="1" applyAlignment="1" applyProtection="1">
      <alignment horizontal="center" vertical="center" wrapText="1"/>
    </xf>
    <xf numFmtId="0" fontId="8" fillId="0" borderId="1" xfId="0" applyFont="1" applyBorder="1" applyAlignment="1">
      <alignment horizontal="center" vertical="center" wrapText="1"/>
    </xf>
    <xf numFmtId="164" fontId="21" fillId="0" borderId="1" xfId="2" applyFont="1" applyBorder="1" applyAlignment="1">
      <alignment horizontal="center" vertical="center"/>
    </xf>
    <xf numFmtId="164" fontId="21" fillId="0" borderId="65" xfId="2" applyFont="1" applyBorder="1" applyAlignment="1">
      <alignment horizontal="center" vertical="center"/>
    </xf>
    <xf numFmtId="0" fontId="12" fillId="35" borderId="1" xfId="1" applyFill="1" applyBorder="1" applyAlignment="1" applyProtection="1">
      <alignment horizontal="left" vertical="center" wrapText="1"/>
    </xf>
    <xf numFmtId="0" fontId="8" fillId="35" borderId="1" xfId="16" applyFont="1" applyFill="1" applyBorder="1" applyAlignment="1">
      <alignment horizontal="left" vertical="center" wrapText="1"/>
    </xf>
    <xf numFmtId="0" fontId="8" fillId="35" borderId="65" xfId="16" applyFont="1" applyFill="1" applyBorder="1" applyAlignment="1">
      <alignment horizontal="left" vertical="center" wrapText="1"/>
    </xf>
    <xf numFmtId="0" fontId="74" fillId="31" borderId="54" xfId="16" applyFont="1" applyFill="1" applyBorder="1" applyAlignment="1">
      <alignment horizontal="center" vertical="center"/>
    </xf>
    <xf numFmtId="0" fontId="74" fillId="31" borderId="1" xfId="16" applyFont="1" applyFill="1" applyBorder="1" applyAlignment="1">
      <alignment horizontal="center" vertical="center"/>
    </xf>
    <xf numFmtId="0" fontId="74" fillId="31" borderId="65" xfId="16" applyFont="1" applyFill="1" applyBorder="1" applyAlignment="1">
      <alignment horizontal="center" vertical="center"/>
    </xf>
    <xf numFmtId="0" fontId="13" fillId="39" borderId="3" xfId="0" applyFont="1" applyFill="1" applyBorder="1" applyAlignment="1">
      <alignment horizontal="center" wrapText="1"/>
    </xf>
    <xf numFmtId="0" fontId="13" fillId="39" borderId="4" xfId="0" applyFont="1" applyFill="1" applyBorder="1" applyAlignment="1">
      <alignment horizontal="center" wrapText="1"/>
    </xf>
    <xf numFmtId="0" fontId="13" fillId="39" borderId="5" xfId="0" applyFont="1" applyFill="1" applyBorder="1" applyAlignment="1">
      <alignment horizontal="center" wrapText="1"/>
    </xf>
    <xf numFmtId="0" fontId="10" fillId="43" borderId="1" xfId="0" applyFont="1" applyFill="1" applyBorder="1" applyAlignment="1">
      <alignment horizontal="center" vertical="center" wrapText="1"/>
    </xf>
    <xf numFmtId="0" fontId="21" fillId="31" borderId="1" xfId="0" applyFont="1" applyFill="1" applyBorder="1" applyAlignment="1">
      <alignment horizontal="center" vertical="center"/>
    </xf>
    <xf numFmtId="0" fontId="21" fillId="35" borderId="54" xfId="16" applyFont="1" applyFill="1" applyBorder="1" applyAlignment="1">
      <alignment horizontal="center" vertical="center" wrapText="1"/>
    </xf>
    <xf numFmtId="0" fontId="21" fillId="35" borderId="1" xfId="16" applyFont="1" applyFill="1" applyBorder="1" applyAlignment="1">
      <alignment horizontal="center" vertical="center" wrapText="1"/>
    </xf>
    <xf numFmtId="0" fontId="12" fillId="35" borderId="6" xfId="1" applyFill="1" applyBorder="1" applyAlignment="1" applyProtection="1">
      <alignment horizontal="left" vertical="center" wrapText="1"/>
    </xf>
    <xf numFmtId="0" fontId="8" fillId="35" borderId="6" xfId="16" applyFont="1" applyFill="1" applyBorder="1" applyAlignment="1">
      <alignment horizontal="left" vertical="center" wrapText="1"/>
    </xf>
    <xf numFmtId="0" fontId="8" fillId="35" borderId="55" xfId="16" applyFont="1" applyFill="1" applyBorder="1" applyAlignment="1">
      <alignment horizontal="left" vertical="center" wrapText="1"/>
    </xf>
    <xf numFmtId="0" fontId="10" fillId="43" borderId="0" xfId="0" applyFont="1" applyFill="1" applyAlignment="1">
      <alignment horizontal="center" vertical="center" wrapText="1"/>
    </xf>
    <xf numFmtId="0" fontId="74" fillId="31" borderId="0" xfId="16" applyFont="1" applyFill="1" applyAlignment="1">
      <alignment horizontal="center" vertical="center"/>
    </xf>
    <xf numFmtId="0" fontId="21" fillId="31" borderId="0" xfId="0" applyFont="1" applyFill="1" applyAlignment="1">
      <alignment horizontal="center" vertical="center"/>
    </xf>
    <xf numFmtId="0" fontId="10" fillId="43" borderId="10" xfId="0" applyFont="1" applyFill="1" applyBorder="1" applyAlignment="1">
      <alignment horizontal="center" vertical="center" wrapText="1"/>
    </xf>
    <xf numFmtId="0" fontId="13" fillId="34" borderId="72" xfId="0" applyFont="1" applyFill="1" applyBorder="1" applyAlignment="1">
      <alignment horizontal="center" vertical="center"/>
    </xf>
    <xf numFmtId="0" fontId="13" fillId="34" borderId="73" xfId="0" applyFont="1" applyFill="1" applyBorder="1" applyAlignment="1">
      <alignment horizontal="center" vertical="center"/>
    </xf>
    <xf numFmtId="0" fontId="13" fillId="34" borderId="74" xfId="0" applyFont="1" applyFill="1" applyBorder="1" applyAlignment="1">
      <alignment horizontal="center" vertical="center"/>
    </xf>
    <xf numFmtId="0" fontId="13" fillId="34" borderId="65" xfId="0" applyFont="1" applyFill="1" applyBorder="1" applyAlignment="1">
      <alignment horizontal="center" vertical="center"/>
    </xf>
    <xf numFmtId="0" fontId="13" fillId="34" borderId="3" xfId="0" applyFont="1" applyFill="1" applyBorder="1" applyAlignment="1">
      <alignment horizontal="center" vertical="center" wrapText="1"/>
    </xf>
    <xf numFmtId="0" fontId="13" fillId="34" borderId="4" xfId="0" applyFont="1" applyFill="1" applyBorder="1" applyAlignment="1">
      <alignment horizontal="center" vertical="center" wrapText="1"/>
    </xf>
    <xf numFmtId="0" fontId="13" fillId="34" borderId="5" xfId="0" applyFont="1" applyFill="1" applyBorder="1" applyAlignment="1">
      <alignment horizontal="center" vertical="center" wrapText="1"/>
    </xf>
    <xf numFmtId="0" fontId="23" fillId="35" borderId="1" xfId="16" applyFont="1" applyFill="1" applyBorder="1" applyAlignment="1">
      <alignment horizontal="center" vertical="center" wrapText="1"/>
    </xf>
    <xf numFmtId="0" fontId="21" fillId="35" borderId="0" xfId="16" applyFont="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164" fontId="21" fillId="0" borderId="0" xfId="2" applyFont="1" applyBorder="1" applyAlignment="1">
      <alignment horizontal="center" vertical="center"/>
    </xf>
    <xf numFmtId="0" fontId="8" fillId="35" borderId="0" xfId="16" applyFont="1" applyFill="1" applyAlignment="1">
      <alignment horizontal="center" vertical="center" wrapText="1"/>
    </xf>
    <xf numFmtId="0" fontId="12" fillId="0" borderId="0" xfId="1" applyBorder="1" applyAlignment="1" applyProtection="1">
      <alignment horizontal="center" vertical="center"/>
    </xf>
    <xf numFmtId="164" fontId="8" fillId="0" borderId="0" xfId="2" applyFont="1" applyBorder="1" applyAlignment="1">
      <alignment horizontal="center" vertical="center"/>
    </xf>
    <xf numFmtId="0" fontId="74" fillId="31" borderId="47" xfId="16" applyFont="1" applyFill="1" applyBorder="1" applyAlignment="1">
      <alignment horizontal="center" vertical="center"/>
    </xf>
    <xf numFmtId="0" fontId="74" fillId="31" borderId="63" xfId="16" applyFont="1" applyFill="1" applyBorder="1" applyAlignment="1">
      <alignment horizontal="center" vertical="center"/>
    </xf>
    <xf numFmtId="0" fontId="21" fillId="31" borderId="62" xfId="0" applyFont="1" applyFill="1" applyBorder="1" applyAlignment="1">
      <alignment horizontal="center" vertical="center"/>
    </xf>
    <xf numFmtId="0" fontId="21" fillId="31" borderId="47" xfId="0" applyFont="1" applyFill="1" applyBorder="1" applyAlignment="1">
      <alignment horizontal="center" vertical="center"/>
    </xf>
    <xf numFmtId="0" fontId="21" fillId="31" borderId="63" xfId="0" applyFont="1" applyFill="1" applyBorder="1" applyAlignment="1">
      <alignment horizontal="center" vertical="center"/>
    </xf>
    <xf numFmtId="0" fontId="21" fillId="31" borderId="52" xfId="0" applyFont="1" applyFill="1" applyBorder="1" applyAlignment="1">
      <alignment horizontal="center" vertical="center"/>
    </xf>
    <xf numFmtId="0" fontId="12" fillId="0" borderId="0" xfId="1" applyBorder="1" applyAlignment="1" applyProtection="1">
      <alignment horizontal="center" vertical="center" wrapText="1"/>
    </xf>
    <xf numFmtId="0" fontId="12" fillId="35" borderId="0" xfId="1" applyFill="1" applyBorder="1" applyAlignment="1" applyProtection="1">
      <alignment horizontal="left" vertical="center" wrapText="1"/>
    </xf>
    <xf numFmtId="0" fontId="8" fillId="35" borderId="0" xfId="16" applyFont="1" applyFill="1" applyAlignment="1">
      <alignment horizontal="left" vertical="center" wrapText="1"/>
    </xf>
    <xf numFmtId="0" fontId="21" fillId="35" borderId="11" xfId="16" applyFont="1" applyFill="1" applyBorder="1" applyAlignment="1">
      <alignment horizontal="center" vertical="center" wrapText="1"/>
    </xf>
    <xf numFmtId="0" fontId="21" fillId="35" borderId="12" xfId="16" applyFont="1" applyFill="1" applyBorder="1" applyAlignment="1">
      <alignment horizontal="center" vertical="center" wrapText="1"/>
    </xf>
    <xf numFmtId="0" fontId="21" fillId="35" borderId="13" xfId="16"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xf>
    <xf numFmtId="0" fontId="8" fillId="0" borderId="13" xfId="0" applyFont="1" applyBorder="1" applyAlignment="1">
      <alignment horizontal="center" vertical="center"/>
    </xf>
    <xf numFmtId="164" fontId="21" fillId="0" borderId="11" xfId="2" applyFont="1" applyBorder="1" applyAlignment="1">
      <alignment horizontal="center" vertical="center"/>
    </xf>
    <xf numFmtId="164" fontId="21" fillId="0" borderId="13" xfId="2" applyFont="1" applyBorder="1" applyAlignment="1">
      <alignment horizontal="center" vertical="center"/>
    </xf>
    <xf numFmtId="164" fontId="8" fillId="0" borderId="5" xfId="2" applyFont="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35" borderId="4" xfId="16" applyFont="1" applyFill="1" applyBorder="1" applyAlignment="1">
      <alignment horizontal="left" vertical="center" wrapText="1"/>
    </xf>
    <xf numFmtId="0" fontId="8" fillId="35" borderId="5" xfId="16" applyFont="1" applyFill="1" applyBorder="1" applyAlignment="1">
      <alignment horizontal="left" vertical="center" wrapText="1"/>
    </xf>
    <xf numFmtId="0" fontId="74" fillId="31" borderId="59" xfId="16" applyFont="1" applyFill="1" applyBorder="1" applyAlignment="1">
      <alignment horizontal="center" vertical="center"/>
    </xf>
    <xf numFmtId="0" fontId="10" fillId="43" borderId="46" xfId="0" applyFont="1" applyFill="1" applyBorder="1" applyAlignment="1">
      <alignment horizontal="center" vertical="center" wrapText="1"/>
    </xf>
    <xf numFmtId="0" fontId="10" fillId="43" borderId="47" xfId="0" applyFont="1" applyFill="1" applyBorder="1" applyAlignment="1">
      <alignment horizontal="center" vertical="center" wrapText="1"/>
    </xf>
    <xf numFmtId="0" fontId="10" fillId="43" borderId="50" xfId="0" applyFont="1" applyFill="1" applyBorder="1" applyAlignment="1">
      <alignment horizontal="center" vertical="center" wrapText="1"/>
    </xf>
    <xf numFmtId="0" fontId="74" fillId="31" borderId="12" xfId="16" applyFont="1" applyFill="1" applyBorder="1" applyAlignment="1">
      <alignment horizontal="center" vertical="center"/>
    </xf>
    <xf numFmtId="0" fontId="74" fillId="31" borderId="13" xfId="16" applyFont="1" applyFill="1" applyBorder="1" applyAlignment="1">
      <alignment horizontal="center" vertical="center"/>
    </xf>
    <xf numFmtId="0" fontId="21" fillId="31" borderId="11" xfId="0" applyFont="1" applyFill="1" applyBorder="1" applyAlignment="1">
      <alignment horizontal="center" vertical="center"/>
    </xf>
    <xf numFmtId="0" fontId="21" fillId="31" borderId="12" xfId="0" applyFont="1" applyFill="1" applyBorder="1" applyAlignment="1">
      <alignment horizontal="center" vertical="center"/>
    </xf>
    <xf numFmtId="0" fontId="21" fillId="31" borderId="13" xfId="0" applyFont="1" applyFill="1" applyBorder="1" applyAlignment="1">
      <alignment horizontal="center" vertical="center"/>
    </xf>
    <xf numFmtId="0" fontId="21" fillId="31" borderId="10" xfId="0" applyFont="1" applyFill="1" applyBorder="1" applyAlignment="1">
      <alignment horizontal="center" vertical="center"/>
    </xf>
    <xf numFmtId="0" fontId="21" fillId="35" borderId="3" xfId="16" applyFont="1" applyFill="1" applyBorder="1" applyAlignment="1">
      <alignment horizontal="center" vertical="center" wrapText="1"/>
    </xf>
    <xf numFmtId="0" fontId="8" fillId="0" borderId="3" xfId="0" applyFont="1" applyBorder="1" applyAlignment="1">
      <alignment horizontal="center" vertical="center" wrapText="1"/>
    </xf>
    <xf numFmtId="49" fontId="15" fillId="44" borderId="17" xfId="0" applyNumberFormat="1" applyFont="1" applyFill="1" applyBorder="1" applyAlignment="1">
      <alignment horizontal="center" vertical="center"/>
    </xf>
    <xf numFmtId="49" fontId="15" fillId="44" borderId="44" xfId="0" applyNumberFormat="1" applyFont="1" applyFill="1" applyBorder="1" applyAlignment="1">
      <alignment horizontal="center" vertical="center"/>
    </xf>
    <xf numFmtId="49" fontId="15" fillId="44" borderId="78" xfId="0" applyNumberFormat="1" applyFont="1" applyFill="1" applyBorder="1" applyAlignment="1">
      <alignment horizontal="center" vertical="center"/>
    </xf>
    <xf numFmtId="49" fontId="15" fillId="44" borderId="48" xfId="0" applyNumberFormat="1" applyFont="1" applyFill="1" applyBorder="1" applyAlignment="1">
      <alignment horizontal="center" vertical="center"/>
    </xf>
    <xf numFmtId="49" fontId="15" fillId="44" borderId="49" xfId="0" applyNumberFormat="1" applyFont="1" applyFill="1" applyBorder="1" applyAlignment="1">
      <alignment horizontal="center" vertical="center"/>
    </xf>
    <xf numFmtId="49" fontId="15" fillId="44" borderId="79" xfId="0" applyNumberFormat="1" applyFont="1" applyFill="1" applyBorder="1" applyAlignment="1">
      <alignment horizontal="center" vertical="center"/>
    </xf>
    <xf numFmtId="49" fontId="26" fillId="0" borderId="1" xfId="0" applyNumberFormat="1" applyFont="1" applyBorder="1" applyAlignment="1">
      <alignment horizontal="left"/>
    </xf>
    <xf numFmtId="0" fontId="26" fillId="0" borderId="1" xfId="0" applyFont="1" applyBorder="1" applyAlignment="1">
      <alignment horizontal="left"/>
    </xf>
    <xf numFmtId="4" fontId="26" fillId="0" borderId="3" xfId="0" applyNumberFormat="1" applyFont="1" applyBorder="1" applyAlignment="1">
      <alignment horizontal="right"/>
    </xf>
    <xf numFmtId="4" fontId="26" fillId="0" borderId="5" xfId="0" applyNumberFormat="1" applyFont="1" applyBorder="1" applyAlignment="1">
      <alignment horizontal="right"/>
    </xf>
    <xf numFmtId="0" fontId="18" fillId="0" borderId="0" xfId="0" applyFont="1" applyAlignment="1">
      <alignment horizontal="left" wrapText="1"/>
    </xf>
    <xf numFmtId="0" fontId="26" fillId="0" borderId="7" xfId="0" applyFont="1" applyBorder="1" applyAlignment="1">
      <alignment horizontal="left"/>
    </xf>
    <xf numFmtId="0" fontId="26" fillId="0" borderId="0" xfId="0" applyFont="1" applyAlignment="1">
      <alignment horizontal="left"/>
    </xf>
    <xf numFmtId="0" fontId="26" fillId="0" borderId="9"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3" xfId="0" applyFont="1" applyBorder="1" applyAlignment="1">
      <alignment horizontal="left"/>
    </xf>
    <xf numFmtId="0" fontId="11" fillId="0" borderId="6" xfId="0" applyFont="1" applyBorder="1" applyAlignment="1">
      <alignment horizontal="center" vertical="center"/>
    </xf>
    <xf numFmtId="0" fontId="11" fillId="0" borderId="10"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1" xfId="0" applyFont="1" applyBorder="1" applyAlignment="1">
      <alignment horizontal="center" vertical="center"/>
    </xf>
    <xf numFmtId="0" fontId="11" fillId="0" borderId="13"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0" fillId="0" borderId="3" xfId="0" applyBorder="1" applyAlignment="1">
      <alignment horizontal="left"/>
    </xf>
    <xf numFmtId="0" fontId="0" fillId="0" borderId="5" xfId="0" applyBorder="1" applyAlignment="1">
      <alignment horizontal="left"/>
    </xf>
    <xf numFmtId="4" fontId="0" fillId="0" borderId="3" xfId="0" applyNumberFormat="1" applyBorder="1" applyAlignment="1">
      <alignment horizontal="right"/>
    </xf>
    <xf numFmtId="4" fontId="0" fillId="0" borderId="5" xfId="0" applyNumberFormat="1" applyBorder="1" applyAlignment="1">
      <alignment horizontal="right"/>
    </xf>
    <xf numFmtId="0" fontId="26" fillId="3" borderId="3" xfId="0" applyFont="1" applyFill="1" applyBorder="1" applyAlignment="1">
      <alignment horizontal="left"/>
    </xf>
    <xf numFmtId="0" fontId="26" fillId="3" borderId="5" xfId="0" applyFont="1" applyFill="1" applyBorder="1" applyAlignment="1">
      <alignment horizontal="left"/>
    </xf>
    <xf numFmtId="4" fontId="26" fillId="0" borderId="3" xfId="0" applyNumberFormat="1" applyFont="1" applyBorder="1" applyAlignment="1">
      <alignment horizontal="right" wrapText="1"/>
    </xf>
    <xf numFmtId="4" fontId="26" fillId="0" borderId="5" xfId="0" applyNumberFormat="1" applyFont="1" applyBorder="1" applyAlignment="1">
      <alignment horizontal="right" wrapText="1"/>
    </xf>
  </cellXfs>
  <cellStyles count="150">
    <cellStyle name="20% - Accent1" xfId="27"/>
    <cellStyle name="20% - Accent2" xfId="28"/>
    <cellStyle name="20% - Accent3" xfId="29"/>
    <cellStyle name="20% - Accent4" xfId="30"/>
    <cellStyle name="20% - Accent5" xfId="31"/>
    <cellStyle name="20% - Accent6" xfId="32"/>
    <cellStyle name="20% - Ênfase1 2" xfId="33"/>
    <cellStyle name="20% - Ênfase2 2" xfId="34"/>
    <cellStyle name="20% - Ênfase3 2" xfId="35"/>
    <cellStyle name="20% - Ênfase4 2" xfId="36"/>
    <cellStyle name="20% - Ênfase5 2" xfId="37"/>
    <cellStyle name="20% - Ênfase6 2" xfId="38"/>
    <cellStyle name="40% - Accent1" xfId="39"/>
    <cellStyle name="40% - Accent2" xfId="40"/>
    <cellStyle name="40% - Accent3" xfId="41"/>
    <cellStyle name="40% - Accent4" xfId="42"/>
    <cellStyle name="40% - Accent5" xfId="43"/>
    <cellStyle name="40% - Accent6" xfId="44"/>
    <cellStyle name="40% - Ênfase1 2" xfId="45"/>
    <cellStyle name="40% - Ênfase2 2" xfId="46"/>
    <cellStyle name="40% - Ênfase3 2" xfId="47"/>
    <cellStyle name="40% - Ênfase4 2" xfId="48"/>
    <cellStyle name="40% - Ênfase5 2" xfId="49"/>
    <cellStyle name="40% - Ênfase6 2" xfId="50"/>
    <cellStyle name="60% - Accent1" xfId="51"/>
    <cellStyle name="60% - Accent2" xfId="52"/>
    <cellStyle name="60% - Accent3" xfId="53"/>
    <cellStyle name="60% - Accent4" xfId="54"/>
    <cellStyle name="60% - Accent5" xfId="55"/>
    <cellStyle name="60% - Accent6" xfId="56"/>
    <cellStyle name="60% - Ênfase1 2" xfId="57"/>
    <cellStyle name="60% - Ênfase2 2" xfId="58"/>
    <cellStyle name="60% - Ênfase3 2" xfId="59"/>
    <cellStyle name="60% - Ênfase4 2" xfId="60"/>
    <cellStyle name="60% - Ênfase5 2" xfId="61"/>
    <cellStyle name="60% - Ênfase6 2" xfId="62"/>
    <cellStyle name="Accent1" xfId="63"/>
    <cellStyle name="Accent2" xfId="64"/>
    <cellStyle name="Accent3" xfId="65"/>
    <cellStyle name="Accent4" xfId="66"/>
    <cellStyle name="Accent5" xfId="67"/>
    <cellStyle name="Accent6" xfId="68"/>
    <cellStyle name="Bad" xfId="69"/>
    <cellStyle name="Bom 2" xfId="70"/>
    <cellStyle name="Calculation" xfId="71"/>
    <cellStyle name="Cálculo 2" xfId="72"/>
    <cellStyle name="Célula de Verificação 2" xfId="73"/>
    <cellStyle name="Célula Vinculada 2" xfId="74"/>
    <cellStyle name="Check Cell" xfId="75"/>
    <cellStyle name="Ênfase1 2" xfId="76"/>
    <cellStyle name="Ênfase2 2" xfId="77"/>
    <cellStyle name="Ênfase3 2" xfId="78"/>
    <cellStyle name="Ênfase4 2" xfId="79"/>
    <cellStyle name="Ênfase5 2" xfId="80"/>
    <cellStyle name="Ênfase6 2" xfId="81"/>
    <cellStyle name="Entrada 2" xfId="82"/>
    <cellStyle name="Excel Built-in Normal" xfId="112"/>
    <cellStyle name="Excel Built-in Normal 1" xfId="113"/>
    <cellStyle name="Excel Built-in Normal 2" xfId="114"/>
    <cellStyle name="Excel Built-in Separador de milhares_CCBS - PSF" xfId="115"/>
    <cellStyle name="Explanatory Text" xfId="83"/>
    <cellStyle name="Good" xfId="84"/>
    <cellStyle name="Heading 1" xfId="85"/>
    <cellStyle name="Heading 2" xfId="86"/>
    <cellStyle name="Heading 3" xfId="87"/>
    <cellStyle name="Heading 4" xfId="88"/>
    <cellStyle name="Hiperlink" xfId="1" builtinId="8"/>
    <cellStyle name="Incorreto 2" xfId="89"/>
    <cellStyle name="Input" xfId="90"/>
    <cellStyle name="Linked Cell" xfId="91"/>
    <cellStyle name="Moeda" xfId="2" builtinId="4"/>
    <cellStyle name="Moeda 2" xfId="3"/>
    <cellStyle name="Moeda 2 2" xfId="13"/>
    <cellStyle name="Moeda 2 3" xfId="117"/>
    <cellStyle name="Moeda 3" xfId="10"/>
    <cellStyle name="Moeda 3 2" xfId="17"/>
    <cellStyle name="Moeda 4" xfId="23"/>
    <cellStyle name="Moeda 4 2" xfId="118"/>
    <cellStyle name="Moeda 5" xfId="116"/>
    <cellStyle name="Neutra 2" xfId="92"/>
    <cellStyle name="Neutral" xfId="93"/>
    <cellStyle name="Normal" xfId="0" builtinId="0"/>
    <cellStyle name="Normal 2" xfId="9"/>
    <cellStyle name="Normal 2 2" xfId="16"/>
    <cellStyle name="Normal 2 3" xfId="108"/>
    <cellStyle name="Normal 2 4" xfId="110"/>
    <cellStyle name="Normal 3" xfId="4"/>
    <cellStyle name="Normal 3 2" xfId="14"/>
    <cellStyle name="Normal 3 2 2" xfId="26"/>
    <cellStyle name="Normal 3 2 2 2" xfId="111"/>
    <cellStyle name="Normal 3 2 3" xfId="20"/>
    <cellStyle name="Normal 3 2 4" xfId="120"/>
    <cellStyle name="Normal 3 3" xfId="24"/>
    <cellStyle name="Normal 3 4" xfId="19"/>
    <cellStyle name="Normal 3 5" xfId="119"/>
    <cellStyle name="Normal 4" xfId="12"/>
    <cellStyle name="Normal 4 2" xfId="121"/>
    <cellStyle name="Normal 5" xfId="22"/>
    <cellStyle name="Normal 6" xfId="21"/>
    <cellStyle name="Nota 2" xfId="94"/>
    <cellStyle name="Note" xfId="95"/>
    <cellStyle name="Output" xfId="96"/>
    <cellStyle name="Porcentagem" xfId="5" builtinId="5"/>
    <cellStyle name="Porcentagem 2" xfId="25"/>
    <cellStyle name="Porcentagem 2 2" xfId="123"/>
    <cellStyle name="Porcentagem 2 2 2" xfId="124"/>
    <cellStyle name="Porcentagem 2 3" xfId="125"/>
    <cellStyle name="Porcentagem 2_ORÇAMENTO matureia corrigido (DEZ 2009)" xfId="126"/>
    <cellStyle name="Porcentagem 3" xfId="127"/>
    <cellStyle name="Porcentagem 4" xfId="122"/>
    <cellStyle name="Porcentagem 5" xfId="147"/>
    <cellStyle name="Porcentagem 6" xfId="148"/>
    <cellStyle name="Porcentagem 7" xfId="149"/>
    <cellStyle name="Saída 2" xfId="97"/>
    <cellStyle name="Separador de milhares 2" xfId="128"/>
    <cellStyle name="Separador de milhares 2 2" xfId="129"/>
    <cellStyle name="Separador de milhares 2 2 2" xfId="130"/>
    <cellStyle name="Separador de milhares 2 2 2 2" xfId="131"/>
    <cellStyle name="Separador de milhares 2 2 2 2 2" xfId="132"/>
    <cellStyle name="Separador de milhares 2_ORÇAMENTO matureia corrigido (DEZ 2009)" xfId="133"/>
    <cellStyle name="Separador de milhares 3" xfId="134"/>
    <cellStyle name="Separador de milhares 4" xfId="135"/>
    <cellStyle name="Separador de milhares 4 2" xfId="136"/>
    <cellStyle name="Separador de milhares 5" xfId="137"/>
    <cellStyle name="Separador de milhares 6" xfId="138"/>
    <cellStyle name="Separador de milhares 6 2" xfId="139"/>
    <cellStyle name="Texto de Aviso 2" xfId="98"/>
    <cellStyle name="Texto Explicativo 2" xfId="99"/>
    <cellStyle name="Title" xfId="100"/>
    <cellStyle name="Título 1 1" xfId="140"/>
    <cellStyle name="Título 1 1 1" xfId="141"/>
    <cellStyle name="Título 1 2" xfId="102"/>
    <cellStyle name="Título 2 2" xfId="103"/>
    <cellStyle name="Título 3 2" xfId="104"/>
    <cellStyle name="Título 4 2" xfId="105"/>
    <cellStyle name="Título 5" xfId="101"/>
    <cellStyle name="Total 2" xfId="106"/>
    <cellStyle name="Vírgula" xfId="109" builtinId="3"/>
    <cellStyle name="Vírgula 2" xfId="6"/>
    <cellStyle name="Vírgula 2 2" xfId="15"/>
    <cellStyle name="Vírgula 2 3" xfId="143"/>
    <cellStyle name="Vírgula 3" xfId="11"/>
    <cellStyle name="Vírgula 3 2" xfId="18"/>
    <cellStyle name="Vírgula 4" xfId="7"/>
    <cellStyle name="Vírgula 4 2" xfId="8"/>
    <cellStyle name="Vírgula 4 2 2" xfId="145"/>
    <cellStyle name="Vírgula 4 3" xfId="144"/>
    <cellStyle name="Vírgula 5" xfId="146"/>
    <cellStyle name="Vírgula 6" xfId="142"/>
    <cellStyle name="Warning Text" xfId="1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2.jpe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38100</xdr:rowOff>
    </xdr:from>
    <xdr:to>
      <xdr:col>2</xdr:col>
      <xdr:colOff>95250</xdr:colOff>
      <xdr:row>3</xdr:row>
      <xdr:rowOff>177662</xdr:rowOff>
    </xdr:to>
    <xdr:pic>
      <xdr:nvPicPr>
        <xdr:cNvPr id="4" name="Imagem 2">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38100"/>
          <a:ext cx="695325" cy="634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781527</xdr:colOff>
      <xdr:row>1</xdr:row>
      <xdr:rowOff>40958</xdr:rowOff>
    </xdr:from>
    <xdr:to>
      <xdr:col>7</xdr:col>
      <xdr:colOff>106207</xdr:colOff>
      <xdr:row>4</xdr:row>
      <xdr:rowOff>28164</xdr:rowOff>
    </xdr:to>
    <xdr:sp macro="" textlink="">
      <xdr:nvSpPr>
        <xdr:cNvPr id="6" name="Text Box 5">
          <a:extLst>
            <a:ext uri="{FF2B5EF4-FFF2-40B4-BE49-F238E27FC236}">
              <a16:creationId xmlns:a16="http://schemas.microsoft.com/office/drawing/2014/main" xmlns="" id="{00000000-0008-0000-0100-000006000000}"/>
            </a:ext>
          </a:extLst>
        </xdr:cNvPr>
        <xdr:cNvSpPr txBox="1">
          <a:spLocks noChangeArrowheads="1"/>
        </xdr:cNvSpPr>
      </xdr:nvSpPr>
      <xdr:spPr bwMode="auto">
        <a:xfrm>
          <a:off x="2465547" y="208598"/>
          <a:ext cx="5969320" cy="490126"/>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itchFamily="34" charset="0"/>
              <a:cs typeface="Arial"/>
            </a:rPr>
            <a:t>ESTADO DA PARAÍBA</a:t>
          </a:r>
        </a:p>
        <a:p>
          <a:pPr algn="ctr" rtl="0">
            <a:defRPr sz="1000"/>
          </a:pPr>
          <a:r>
            <a:rPr lang="pt-BR" sz="1100" b="1" i="0" u="none" strike="noStrike" baseline="0">
              <a:solidFill>
                <a:srgbClr val="000000"/>
              </a:solidFill>
              <a:latin typeface="Arial Black" pitchFamily="34" charset="0"/>
              <a:cs typeface="Arial"/>
            </a:rPr>
            <a:t>PREFEITURA MUNICIPAL DE PATOS</a:t>
          </a:r>
        </a:p>
      </xdr:txBody>
    </xdr:sp>
    <xdr:clientData/>
  </xdr:twoCellAnchor>
  <xdr:twoCellAnchor editAs="oneCell">
    <xdr:from>
      <xdr:col>0</xdr:col>
      <xdr:colOff>392905</xdr:colOff>
      <xdr:row>0</xdr:row>
      <xdr:rowOff>54354</xdr:rowOff>
    </xdr:from>
    <xdr:to>
      <xdr:col>1</xdr:col>
      <xdr:colOff>554830</xdr:colOff>
      <xdr:row>4</xdr:row>
      <xdr:rowOff>133350</xdr:rowOff>
    </xdr:to>
    <xdr:pic>
      <xdr:nvPicPr>
        <xdr:cNvPr id="5" name="Imagem 2">
          <a:extLst>
            <a:ext uri="{FF2B5EF4-FFF2-40B4-BE49-F238E27FC236}">
              <a16:creationId xmlns:a16="http://schemas.microsoft.com/office/drawing/2014/main" xmlns=""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2905" y="54354"/>
          <a:ext cx="816769" cy="745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354807</xdr:colOff>
      <xdr:row>1</xdr:row>
      <xdr:rowOff>71438</xdr:rowOff>
    </xdr:from>
    <xdr:to>
      <xdr:col>6</xdr:col>
      <xdr:colOff>471967</xdr:colOff>
      <xdr:row>4</xdr:row>
      <xdr:rowOff>58644</xdr:rowOff>
    </xdr:to>
    <xdr:sp macro="" textlink="">
      <xdr:nvSpPr>
        <xdr:cNvPr id="10" name="Text Box 5">
          <a:extLst>
            <a:ext uri="{FF2B5EF4-FFF2-40B4-BE49-F238E27FC236}">
              <a16:creationId xmlns:a16="http://schemas.microsoft.com/office/drawing/2014/main" xmlns="" id="{00000000-0008-0000-0300-00000A000000}"/>
            </a:ext>
          </a:extLst>
        </xdr:cNvPr>
        <xdr:cNvSpPr txBox="1">
          <a:spLocks noChangeArrowheads="1"/>
        </xdr:cNvSpPr>
      </xdr:nvSpPr>
      <xdr:spPr bwMode="auto">
        <a:xfrm>
          <a:off x="1697832" y="233363"/>
          <a:ext cx="5336860" cy="472981"/>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itchFamily="34" charset="0"/>
              <a:cs typeface="Arial"/>
            </a:rPr>
            <a:t>ESTADO DA PARAÍBA</a:t>
          </a:r>
        </a:p>
        <a:p>
          <a:pPr algn="ctr" rtl="0">
            <a:defRPr sz="1000"/>
          </a:pPr>
          <a:r>
            <a:rPr lang="pt-BR" sz="1100" b="1" i="0" u="none" strike="noStrike" baseline="0">
              <a:solidFill>
                <a:srgbClr val="000000"/>
              </a:solidFill>
              <a:latin typeface="Arial Black" pitchFamily="34" charset="0"/>
              <a:cs typeface="Arial"/>
            </a:rPr>
            <a:t>PREFEITURA MUNICIPAL DE PATOS</a:t>
          </a:r>
        </a:p>
      </xdr:txBody>
    </xdr:sp>
    <xdr:clientData/>
  </xdr:twoCellAnchor>
  <xdr:twoCellAnchor editAs="oneCell">
    <xdr:from>
      <xdr:col>0</xdr:col>
      <xdr:colOff>370493</xdr:colOff>
      <xdr:row>0</xdr:row>
      <xdr:rowOff>155207</xdr:rowOff>
    </xdr:from>
    <xdr:to>
      <xdr:col>1</xdr:col>
      <xdr:colOff>532418</xdr:colOff>
      <xdr:row>4</xdr:row>
      <xdr:rowOff>44824</xdr:rowOff>
    </xdr:to>
    <xdr:pic>
      <xdr:nvPicPr>
        <xdr:cNvPr id="11" name="Imagem 2">
          <a:extLst>
            <a:ext uri="{FF2B5EF4-FFF2-40B4-BE49-F238E27FC236}">
              <a16:creationId xmlns:a16="http://schemas.microsoft.com/office/drawing/2014/main" xmlns="" id="{00000000-0008-0000-03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0493" y="155207"/>
          <a:ext cx="711013" cy="651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104775</xdr:colOff>
      <xdr:row>1</xdr:row>
      <xdr:rowOff>95250</xdr:rowOff>
    </xdr:from>
    <xdr:to>
      <xdr:col>7</xdr:col>
      <xdr:colOff>0</xdr:colOff>
      <xdr:row>4</xdr:row>
      <xdr:rowOff>82456</xdr:rowOff>
    </xdr:to>
    <xdr:sp macro="" textlink="">
      <xdr:nvSpPr>
        <xdr:cNvPr id="2" name="Text Box 5">
          <a:extLst>
            <a:ext uri="{FF2B5EF4-FFF2-40B4-BE49-F238E27FC236}">
              <a16:creationId xmlns:a16="http://schemas.microsoft.com/office/drawing/2014/main" xmlns="" id="{00000000-0008-0000-0400-000002000000}"/>
            </a:ext>
          </a:extLst>
        </xdr:cNvPr>
        <xdr:cNvSpPr txBox="1">
          <a:spLocks noChangeArrowheads="1"/>
        </xdr:cNvSpPr>
      </xdr:nvSpPr>
      <xdr:spPr bwMode="auto">
        <a:xfrm>
          <a:off x="2057400" y="257175"/>
          <a:ext cx="4970148" cy="472981"/>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itchFamily="34" charset="0"/>
              <a:cs typeface="Arial"/>
            </a:rPr>
            <a:t>ESTADO DA PARAÍBA</a:t>
          </a:r>
        </a:p>
        <a:p>
          <a:pPr algn="ctr" rtl="0">
            <a:defRPr sz="1000"/>
          </a:pPr>
          <a:r>
            <a:rPr lang="pt-BR" sz="1100" b="1" i="0" u="none" strike="noStrike" baseline="0">
              <a:solidFill>
                <a:srgbClr val="000000"/>
              </a:solidFill>
              <a:latin typeface="Arial Black" pitchFamily="34" charset="0"/>
              <a:cs typeface="Arial"/>
            </a:rPr>
            <a:t>PREFEITURA MUNICIPAL DE PATOS</a:t>
          </a:r>
        </a:p>
      </xdr:txBody>
    </xdr:sp>
    <xdr:clientData/>
  </xdr:twoCellAnchor>
  <xdr:twoCellAnchor editAs="oneCell">
    <xdr:from>
      <xdr:col>0</xdr:col>
      <xdr:colOff>392905</xdr:colOff>
      <xdr:row>0</xdr:row>
      <xdr:rowOff>54354</xdr:rowOff>
    </xdr:from>
    <xdr:to>
      <xdr:col>1</xdr:col>
      <xdr:colOff>316705</xdr:colOff>
      <xdr:row>4</xdr:row>
      <xdr:rowOff>133350</xdr:rowOff>
    </xdr:to>
    <xdr:pic>
      <xdr:nvPicPr>
        <xdr:cNvPr id="3" name="Imagem 2">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2905" y="54354"/>
          <a:ext cx="823913" cy="7266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937513</xdr:colOff>
      <xdr:row>1</xdr:row>
      <xdr:rowOff>4203</xdr:rowOff>
    </xdr:from>
    <xdr:to>
      <xdr:col>8</xdr:col>
      <xdr:colOff>449556</xdr:colOff>
      <xdr:row>3</xdr:row>
      <xdr:rowOff>148291</xdr:rowOff>
    </xdr:to>
    <xdr:sp macro="" textlink="">
      <xdr:nvSpPr>
        <xdr:cNvPr id="3" name="Text Box 5">
          <a:extLst>
            <a:ext uri="{FF2B5EF4-FFF2-40B4-BE49-F238E27FC236}">
              <a16:creationId xmlns:a16="http://schemas.microsoft.com/office/drawing/2014/main" xmlns="" id="{00000000-0008-0000-0500-000003000000}"/>
            </a:ext>
          </a:extLst>
        </xdr:cNvPr>
        <xdr:cNvSpPr txBox="1">
          <a:spLocks noChangeArrowheads="1"/>
        </xdr:cNvSpPr>
      </xdr:nvSpPr>
      <xdr:spPr bwMode="auto">
        <a:xfrm>
          <a:off x="2813938" y="204228"/>
          <a:ext cx="2998193" cy="467938"/>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itchFamily="34" charset="0"/>
              <a:cs typeface="Arial"/>
            </a:rPr>
            <a:t>ESTADO DA PARAÍBA</a:t>
          </a:r>
        </a:p>
        <a:p>
          <a:pPr algn="ctr" rtl="0">
            <a:defRPr sz="1000"/>
          </a:pPr>
          <a:r>
            <a:rPr lang="pt-BR" sz="1100" b="1" i="0" u="none" strike="noStrike" baseline="0">
              <a:solidFill>
                <a:srgbClr val="000000"/>
              </a:solidFill>
              <a:latin typeface="Arial Black" pitchFamily="34" charset="0"/>
              <a:cs typeface="Arial"/>
            </a:rPr>
            <a:t>PREFEITURA MUNICIPAL DE PATOS</a:t>
          </a:r>
        </a:p>
      </xdr:txBody>
    </xdr:sp>
    <xdr:clientData/>
  </xdr:twoCellAnchor>
  <xdr:twoCellAnchor editAs="oneCell">
    <xdr:from>
      <xdr:col>0</xdr:col>
      <xdr:colOff>392905</xdr:colOff>
      <xdr:row>0</xdr:row>
      <xdr:rowOff>54354</xdr:rowOff>
    </xdr:from>
    <xdr:to>
      <xdr:col>1</xdr:col>
      <xdr:colOff>486250</xdr:colOff>
      <xdr:row>4</xdr:row>
      <xdr:rowOff>133350</xdr:rowOff>
    </xdr:to>
    <xdr:pic>
      <xdr:nvPicPr>
        <xdr:cNvPr id="4" name="Imagem 2">
          <a:extLst>
            <a:ext uri="{FF2B5EF4-FFF2-40B4-BE49-F238E27FC236}">
              <a16:creationId xmlns:a16="http://schemas.microsoft.com/office/drawing/2014/main" xmlns=""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2905" y="54354"/>
          <a:ext cx="750570" cy="764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xdr:colOff>
      <xdr:row>27</xdr:row>
      <xdr:rowOff>77321</xdr:rowOff>
    </xdr:from>
    <xdr:to>
      <xdr:col>12</xdr:col>
      <xdr:colOff>1562100</xdr:colOff>
      <xdr:row>49</xdr:row>
      <xdr:rowOff>31751</xdr:rowOff>
    </xdr:to>
    <xdr:pic>
      <xdr:nvPicPr>
        <xdr:cNvPr id="16" name="Imagem 15">
          <a:extLst>
            <a:ext uri="{FF2B5EF4-FFF2-40B4-BE49-F238E27FC236}">
              <a16:creationId xmlns:a16="http://schemas.microsoft.com/office/drawing/2014/main" xmlns="" id="{00000000-0008-0000-0500-00001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 y="11634321"/>
          <a:ext cx="9147175" cy="3494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56</xdr:row>
      <xdr:rowOff>19051</xdr:rowOff>
    </xdr:from>
    <xdr:to>
      <xdr:col>12</xdr:col>
      <xdr:colOff>1562100</xdr:colOff>
      <xdr:row>76</xdr:row>
      <xdr:rowOff>15875</xdr:rowOff>
    </xdr:to>
    <xdr:pic>
      <xdr:nvPicPr>
        <xdr:cNvPr id="17" name="Imagem 16">
          <a:extLst>
            <a:ext uri="{FF2B5EF4-FFF2-40B4-BE49-F238E27FC236}">
              <a16:creationId xmlns:a16="http://schemas.microsoft.com/office/drawing/2014/main" xmlns="" id="{00000000-0008-0000-05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6957676"/>
          <a:ext cx="9166225" cy="3505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82</xdr:row>
      <xdr:rowOff>81641</xdr:rowOff>
    </xdr:from>
    <xdr:to>
      <xdr:col>12</xdr:col>
      <xdr:colOff>1571625</xdr:colOff>
      <xdr:row>103</xdr:row>
      <xdr:rowOff>0</xdr:rowOff>
    </xdr:to>
    <xdr:pic>
      <xdr:nvPicPr>
        <xdr:cNvPr id="20" name="Imagem 19">
          <a:extLst>
            <a:ext uri="{FF2B5EF4-FFF2-40B4-BE49-F238E27FC236}">
              <a16:creationId xmlns:a16="http://schemas.microsoft.com/office/drawing/2014/main" xmlns="" id="{00000000-0008-0000-0500-000014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1798641"/>
          <a:ext cx="9175750" cy="344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3174</xdr:colOff>
      <xdr:row>110</xdr:row>
      <xdr:rowOff>47252</xdr:rowOff>
    </xdr:from>
    <xdr:to>
      <xdr:col>12</xdr:col>
      <xdr:colOff>1571624</xdr:colOff>
      <xdr:row>130</xdr:row>
      <xdr:rowOff>123453</xdr:rowOff>
    </xdr:to>
    <xdr:pic>
      <xdr:nvPicPr>
        <xdr:cNvPr id="22" name="Imagem 21">
          <a:extLst>
            <a:ext uri="{FF2B5EF4-FFF2-40B4-BE49-F238E27FC236}">
              <a16:creationId xmlns:a16="http://schemas.microsoft.com/office/drawing/2014/main" xmlns="" id="{00000000-0008-0000-0500-000016000000}"/>
            </a:ext>
          </a:extLst>
        </xdr:cNvPr>
        <xdr:cNvPicPr>
          <a:picLocks noChangeAspect="1"/>
        </xdr:cNvPicPr>
      </xdr:nvPicPr>
      <xdr:blipFill>
        <a:blip xmlns:r="http://schemas.openxmlformats.org/officeDocument/2006/relationships" r:embed="rId5"/>
        <a:stretch>
          <a:fillRect/>
        </a:stretch>
      </xdr:blipFill>
      <xdr:spPr>
        <a:xfrm>
          <a:off x="3174" y="25796502"/>
          <a:ext cx="9172575" cy="3679826"/>
        </a:xfrm>
        <a:prstGeom prst="rect">
          <a:avLst/>
        </a:prstGeom>
      </xdr:spPr>
    </xdr:pic>
    <xdr:clientData/>
  </xdr:twoCellAnchor>
  <xdr:twoCellAnchor editAs="oneCell">
    <xdr:from>
      <xdr:col>0</xdr:col>
      <xdr:colOff>304800</xdr:colOff>
      <xdr:row>9</xdr:row>
      <xdr:rowOff>174624</xdr:rowOff>
    </xdr:from>
    <xdr:to>
      <xdr:col>12</xdr:col>
      <xdr:colOff>1244726</xdr:colOff>
      <xdr:row>18</xdr:row>
      <xdr:rowOff>134831</xdr:rowOff>
    </xdr:to>
    <xdr:pic>
      <xdr:nvPicPr>
        <xdr:cNvPr id="8" name="Imagem 7"/>
        <xdr:cNvPicPr>
          <a:picLocks noChangeAspect="1"/>
        </xdr:cNvPicPr>
      </xdr:nvPicPr>
      <xdr:blipFill rotWithShape="1">
        <a:blip xmlns:r="http://schemas.openxmlformats.org/officeDocument/2006/relationships" r:embed="rId6"/>
        <a:srcRect t="1485" b="23274"/>
        <a:stretch/>
      </xdr:blipFill>
      <xdr:spPr>
        <a:xfrm>
          <a:off x="304800" y="2274357"/>
          <a:ext cx="8763126" cy="29142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19050</xdr:colOff>
      <xdr:row>1</xdr:row>
      <xdr:rowOff>19050</xdr:rowOff>
    </xdr:from>
    <xdr:to>
      <xdr:col>2</xdr:col>
      <xdr:colOff>990600</xdr:colOff>
      <xdr:row>2</xdr:row>
      <xdr:rowOff>133350</xdr:rowOff>
    </xdr:to>
    <xdr:pic>
      <xdr:nvPicPr>
        <xdr:cNvPr id="13599" name="Imagem 2" descr="http://intoo.com.br/blog/wp-content/uploads/2014/05/caixa-3d-positivo.jpg">
          <a:extLst>
            <a:ext uri="{FF2B5EF4-FFF2-40B4-BE49-F238E27FC236}">
              <a16:creationId xmlns:a16="http://schemas.microsoft.com/office/drawing/2014/main" xmlns="" id="{00000000-0008-0000-0600-00001F3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275" y="180975"/>
          <a:ext cx="12858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xdr:colOff>
      <xdr:row>21</xdr:row>
      <xdr:rowOff>121921</xdr:rowOff>
    </xdr:from>
    <xdr:to>
      <xdr:col>4</xdr:col>
      <xdr:colOff>523875</xdr:colOff>
      <xdr:row>24</xdr:row>
      <xdr:rowOff>83345</xdr:rowOff>
    </xdr:to>
    <xdr:sp macro="" textlink="">
      <xdr:nvSpPr>
        <xdr:cNvPr id="4" name="CaixaDeTexto 3">
          <a:extLst>
            <a:ext uri="{FF2B5EF4-FFF2-40B4-BE49-F238E27FC236}">
              <a16:creationId xmlns:a16="http://schemas.microsoft.com/office/drawing/2014/main" xmlns="" id="{00000000-0008-0000-0600-000004000000}"/>
            </a:ext>
          </a:extLst>
        </xdr:cNvPr>
        <xdr:cNvSpPr txBox="1"/>
      </xdr:nvSpPr>
      <xdr:spPr>
        <a:xfrm>
          <a:off x="273845" y="3920015"/>
          <a:ext cx="2869405" cy="46148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800" u="sng"/>
            <a:t>Assunção - PB,</a:t>
          </a:r>
          <a:r>
            <a:rPr lang="pt-BR" sz="800" u="sng" baseline="0"/>
            <a:t>  </a:t>
          </a:r>
          <a:r>
            <a:rPr lang="pt-BR" sz="800" u="none" baseline="0"/>
            <a:t>____________/______________/2019</a:t>
          </a:r>
          <a:endParaRPr lang="pt-BR" sz="800" u="sng"/>
        </a:p>
        <a:p>
          <a:r>
            <a:rPr lang="pt-BR" sz="800" b="1"/>
            <a:t>Local/Data</a:t>
          </a:r>
        </a:p>
        <a:p>
          <a:endParaRPr lang="pt-BR" sz="800"/>
        </a:p>
      </xdr:txBody>
    </xdr:sp>
    <xdr:clientData/>
  </xdr:twoCellAnchor>
  <xdr:twoCellAnchor>
    <xdr:from>
      <xdr:col>1</xdr:col>
      <xdr:colOff>9525</xdr:colOff>
      <xdr:row>26</xdr:row>
      <xdr:rowOff>19050</xdr:rowOff>
    </xdr:from>
    <xdr:to>
      <xdr:col>7</xdr:col>
      <xdr:colOff>219075</xdr:colOff>
      <xdr:row>36</xdr:row>
      <xdr:rowOff>134658</xdr:rowOff>
    </xdr:to>
    <xdr:sp macro="" textlink="">
      <xdr:nvSpPr>
        <xdr:cNvPr id="5" name="CaixaDeTexto 4">
          <a:extLst>
            <a:ext uri="{FF2B5EF4-FFF2-40B4-BE49-F238E27FC236}">
              <a16:creationId xmlns:a16="http://schemas.microsoft.com/office/drawing/2014/main" xmlns="" id="{00000000-0008-0000-0600-000005000000}"/>
            </a:ext>
          </a:extLst>
        </xdr:cNvPr>
        <xdr:cNvSpPr txBox="1"/>
      </xdr:nvSpPr>
      <xdr:spPr>
        <a:xfrm>
          <a:off x="285750" y="6076950"/>
          <a:ext cx="5334000" cy="172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lang="pt-BR" sz="800" u="sng"/>
            <a:t>__________________________________________</a:t>
          </a:r>
        </a:p>
        <a:p>
          <a:pPr>
            <a:lnSpc>
              <a:spcPts val="1100"/>
            </a:lnSpc>
          </a:pPr>
          <a:r>
            <a:rPr lang="pt-BR" sz="800" b="1"/>
            <a:t>Assinatura do representante</a:t>
          </a:r>
          <a:r>
            <a:rPr lang="pt-BR" sz="800" b="1" baseline="0"/>
            <a:t> da equipe técnica</a:t>
          </a:r>
        </a:p>
        <a:p>
          <a:pPr>
            <a:lnSpc>
              <a:spcPts val="1100"/>
            </a:lnSpc>
          </a:pPr>
          <a:r>
            <a:rPr lang="pt-BR" sz="800" b="1" baseline="0"/>
            <a:t>Nome: </a:t>
          </a:r>
          <a:r>
            <a:rPr lang="pt-BR" sz="800" b="0" baseline="0"/>
            <a:t>Ádney José Duarte de Souza</a:t>
          </a:r>
        </a:p>
        <a:p>
          <a:pPr>
            <a:lnSpc>
              <a:spcPts val="1100"/>
            </a:lnSpc>
          </a:pPr>
          <a:r>
            <a:rPr lang="pt-BR" sz="800" b="1" baseline="0"/>
            <a:t>Cargo: </a:t>
          </a:r>
          <a:r>
            <a:rPr lang="pt-BR" sz="800" b="0" baseline="0"/>
            <a:t>Engenheiro Civil</a:t>
          </a:r>
        </a:p>
        <a:p>
          <a:pPr>
            <a:lnSpc>
              <a:spcPts val="900"/>
            </a:lnSpc>
          </a:pPr>
          <a:r>
            <a:rPr lang="pt-BR" sz="800" b="1" baseline="0"/>
            <a:t>CREA: </a:t>
          </a:r>
          <a:r>
            <a:rPr lang="pt-BR" sz="800" b="0" baseline="0"/>
            <a:t>160.190.012-0</a:t>
          </a:r>
        </a:p>
        <a:p>
          <a:pPr>
            <a:lnSpc>
              <a:spcPts val="900"/>
            </a:lnSpc>
          </a:pPr>
          <a:endParaRPr lang="pt-BR" sz="800" b="1" baseline="0"/>
        </a:p>
        <a:p>
          <a:endParaRPr lang="pt-BR" sz="800"/>
        </a:p>
      </xdr:txBody>
    </xdr:sp>
    <xdr:clientData/>
  </xdr:twoCellAnchor>
  <xdr:twoCellAnchor>
    <xdr:from>
      <xdr:col>4</xdr:col>
      <xdr:colOff>514350</xdr:colOff>
      <xdr:row>26</xdr:row>
      <xdr:rowOff>60325</xdr:rowOff>
    </xdr:from>
    <xdr:to>
      <xdr:col>8</xdr:col>
      <xdr:colOff>273050</xdr:colOff>
      <xdr:row>32</xdr:row>
      <xdr:rowOff>60325</xdr:rowOff>
    </xdr:to>
    <xdr:sp macro="" textlink="">
      <xdr:nvSpPr>
        <xdr:cNvPr id="6" name="CaixaDeTexto 5">
          <a:extLst>
            <a:ext uri="{FF2B5EF4-FFF2-40B4-BE49-F238E27FC236}">
              <a16:creationId xmlns:a16="http://schemas.microsoft.com/office/drawing/2014/main" xmlns="" id="{00000000-0008-0000-0600-000006000000}"/>
            </a:ext>
          </a:extLst>
        </xdr:cNvPr>
        <xdr:cNvSpPr txBox="1"/>
      </xdr:nvSpPr>
      <xdr:spPr>
        <a:xfrm>
          <a:off x="3149600" y="6013450"/>
          <a:ext cx="3140075" cy="952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800" u="sng"/>
            <a:t>__________________________________________</a:t>
          </a:r>
        </a:p>
        <a:p>
          <a:r>
            <a:rPr lang="pt-BR" sz="800" b="1"/>
            <a:t>Assinatura do agente executor</a:t>
          </a:r>
          <a:endParaRPr lang="pt-BR" sz="800" b="1" baseline="0"/>
        </a:p>
        <a:p>
          <a:r>
            <a:rPr lang="pt-BR" sz="800" b="1" baseline="0"/>
            <a:t>Nome: </a:t>
          </a:r>
          <a:r>
            <a:rPr lang="pt-BR" sz="800" b="0" i="0">
              <a:solidFill>
                <a:schemeClr val="dk1"/>
              </a:solidFill>
              <a:effectLst/>
              <a:latin typeface="+mn-lt"/>
              <a:ea typeface="+mn-ea"/>
              <a:cs typeface="+mn-cs"/>
            </a:rPr>
            <a:t>Luiz Waldvogel de Oliveira Santos</a:t>
          </a:r>
        </a:p>
        <a:p>
          <a:r>
            <a:rPr lang="pt-BR" sz="800" b="1" baseline="0"/>
            <a:t>Cargo: </a:t>
          </a:r>
          <a:r>
            <a:rPr lang="pt-BR" sz="800" b="0" baseline="0"/>
            <a:t>Prefeita Constitucional </a:t>
          </a:r>
        </a:p>
        <a:p>
          <a:endParaRPr lang="pt-BR" sz="800"/>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compraled.com.br/refletor-holofote-led-800w-smd-ip66-a-prova-dagua-branco-frio-6000k?utm_source=Site&amp;utm_medium=GoogleMerchant&amp;utm_campaign=GoogleMerchant" TargetMode="External"/><Relationship Id="rId13" Type="http://schemas.openxmlformats.org/officeDocument/2006/relationships/drawing" Target="../drawings/drawing5.xml"/><Relationship Id="rId3" Type="http://schemas.openxmlformats.org/officeDocument/2006/relationships/hyperlink" Target="https://www.ferreiracosta.com/Produto/538/impermeabilizante-sikatop-108-4kg-sika?region_id=666666&amp;gclid=Cj0KCQjw1N2TBhCOARIsAGVHQc4txKXQzGtTg2s1qiW9rzAcHjewJEKlhd8YLnJTywQWlWXWoyQLrFoaAoSIEALw_wcB" TargetMode="External"/><Relationship Id="rId7" Type="http://schemas.openxmlformats.org/officeDocument/2006/relationships/hyperlink" Target="mailto:acsonov.alex@br.sika.com" TargetMode="External"/><Relationship Id="rId12" Type="http://schemas.openxmlformats.org/officeDocument/2006/relationships/printerSettings" Target="../printerSettings/printerSettings5.bin"/><Relationship Id="rId2" Type="http://schemas.openxmlformats.org/officeDocument/2006/relationships/hyperlink" Target="mailto:vendas1@distribuidorsika.com.br" TargetMode="External"/><Relationship Id="rId1" Type="http://schemas.openxmlformats.org/officeDocument/2006/relationships/hyperlink" Target="https://distribuidorsika.com.br/sika-top-108-armatec-4kg-824?gclid=Cj0KCQjw1N2TBhCOARIsAGVHQc7oul29KZZ79EX_RZFf0GOrLHO3xJXwVtelm-Z_WVir7XmhSualdKkaAk_SEALw_wcB" TargetMode="External"/><Relationship Id="rId6" Type="http://schemas.openxmlformats.org/officeDocument/2006/relationships/hyperlink" Target="https://bra.sika.com/" TargetMode="External"/><Relationship Id="rId11" Type="http://schemas.openxmlformats.org/officeDocument/2006/relationships/hyperlink" Target="mailto:comercial@sustentaled.com.br" TargetMode="External"/><Relationship Id="rId5" Type="http://schemas.openxmlformats.org/officeDocument/2006/relationships/hyperlink" Target="mailto:sac@ismafer.com.br" TargetMode="External"/><Relationship Id="rId10" Type="http://schemas.openxmlformats.org/officeDocument/2006/relationships/hyperlink" Target="https://www.sustentaled.com.br/refletor-holofote-led-800w-smd-ip66-a-prova-dagua-branco-frio-6000k?utm_source=Site&amp;utm_medium=GoogleMerchant&amp;utm_campaign=GoogleMerchant&amp;gclid=Cj0KCQjw1N2TBhCOARIsAGVHQc6RTycokTK0J6ZZfr6Eah_5zMYUG6w1MAgzo86KKHI85WEgB_8NFekaArbWEALw_wcB" TargetMode="External"/><Relationship Id="rId4" Type="http://schemas.openxmlformats.org/officeDocument/2006/relationships/hyperlink" Target="https://www.linkedin.com/company/ferreiracosta/?original_referer=https%3A%2F%2Fwww.ferreiracosta.com%2F" TargetMode="External"/><Relationship Id="rId9" Type="http://schemas.openxmlformats.org/officeDocument/2006/relationships/hyperlink" Target="mailto:comercial@compraled.com.br"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pageSetUpPr fitToPage="1"/>
  </sheetPr>
  <dimension ref="B1:F22"/>
  <sheetViews>
    <sheetView showGridLines="0" view="pageBreakPreview" zoomScaleSheetLayoutView="100" workbookViewId="0">
      <selection activeCell="C27" sqref="C27"/>
    </sheetView>
  </sheetViews>
  <sheetFormatPr defaultRowHeight="13.2" x14ac:dyDescent="0.25"/>
  <cols>
    <col min="3" max="3" width="58" customWidth="1"/>
    <col min="4" max="4" width="9.5546875" customWidth="1"/>
    <col min="5" max="5" width="12.109375" customWidth="1"/>
  </cols>
  <sheetData>
    <row r="1" spans="2:6" ht="12.75" customHeight="1" x14ac:dyDescent="0.25">
      <c r="B1" s="542" t="s">
        <v>16</v>
      </c>
      <c r="C1" s="543"/>
      <c r="D1" s="543"/>
      <c r="E1" s="544"/>
    </row>
    <row r="2" spans="2:6" ht="12.75" customHeight="1" x14ac:dyDescent="0.25">
      <c r="B2" s="545" t="s">
        <v>93</v>
      </c>
      <c r="C2" s="546"/>
      <c r="D2" s="546"/>
      <c r="E2" s="547"/>
      <c r="F2" s="20"/>
    </row>
    <row r="3" spans="2:6" ht="13.8" thickBot="1" x14ac:dyDescent="0.3">
      <c r="B3" s="548" t="s">
        <v>94</v>
      </c>
      <c r="C3" s="549"/>
      <c r="D3" s="549"/>
      <c r="E3" s="550"/>
    </row>
    <row r="4" spans="2:6" ht="14.4" thickBot="1" x14ac:dyDescent="0.3">
      <c r="B4" s="551" t="s">
        <v>17</v>
      </c>
      <c r="C4" s="552"/>
      <c r="D4" s="552"/>
      <c r="E4" s="553"/>
    </row>
    <row r="5" spans="2:6" ht="15.6" x14ac:dyDescent="0.25">
      <c r="B5" s="21"/>
      <c r="C5" s="22"/>
      <c r="D5" s="22"/>
      <c r="E5" s="22"/>
    </row>
    <row r="6" spans="2:6" x14ac:dyDescent="0.25">
      <c r="B6" s="23" t="s">
        <v>0</v>
      </c>
      <c r="C6" s="24" t="s">
        <v>1</v>
      </c>
      <c r="D6" s="25"/>
      <c r="E6" s="23" t="s">
        <v>18</v>
      </c>
    </row>
    <row r="7" spans="2:6" x14ac:dyDescent="0.25">
      <c r="B7" s="26" t="s">
        <v>19</v>
      </c>
      <c r="C7" s="27" t="s">
        <v>20</v>
      </c>
      <c r="D7" s="22"/>
      <c r="E7" s="28">
        <v>5.5</v>
      </c>
    </row>
    <row r="8" spans="2:6" x14ac:dyDescent="0.25">
      <c r="B8" s="29"/>
      <c r="C8" s="30"/>
      <c r="D8" s="22"/>
      <c r="E8" s="31"/>
    </row>
    <row r="9" spans="2:6" x14ac:dyDescent="0.25">
      <c r="B9" s="32" t="s">
        <v>21</v>
      </c>
      <c r="C9" s="34" t="s">
        <v>22</v>
      </c>
      <c r="D9" s="22"/>
      <c r="E9" s="33">
        <v>1</v>
      </c>
    </row>
    <row r="10" spans="2:6" x14ac:dyDescent="0.25">
      <c r="B10" s="32"/>
      <c r="C10" s="34"/>
      <c r="D10" s="22"/>
      <c r="E10" s="33"/>
    </row>
    <row r="11" spans="2:6" x14ac:dyDescent="0.25">
      <c r="B11" s="32" t="s">
        <v>23</v>
      </c>
      <c r="C11" s="34" t="s">
        <v>24</v>
      </c>
      <c r="D11" s="22"/>
      <c r="E11" s="33">
        <v>1.27</v>
      </c>
    </row>
    <row r="12" spans="2:6" x14ac:dyDescent="0.25">
      <c r="B12" s="29"/>
      <c r="C12" s="22"/>
      <c r="D12" s="22"/>
      <c r="E12" s="31"/>
    </row>
    <row r="13" spans="2:6" x14ac:dyDescent="0.25">
      <c r="B13" s="32" t="s">
        <v>25</v>
      </c>
      <c r="C13" s="27" t="s">
        <v>26</v>
      </c>
      <c r="D13" s="22"/>
      <c r="E13" s="33">
        <v>1.36</v>
      </c>
    </row>
    <row r="14" spans="2:6" x14ac:dyDescent="0.25">
      <c r="B14" s="29"/>
      <c r="C14" s="30"/>
      <c r="D14" s="22"/>
      <c r="E14" s="31"/>
    </row>
    <row r="15" spans="2:6" x14ac:dyDescent="0.25">
      <c r="B15" s="32" t="s">
        <v>27</v>
      </c>
      <c r="C15" s="27" t="s">
        <v>28</v>
      </c>
      <c r="D15" s="22"/>
      <c r="E15" s="33">
        <v>7.32</v>
      </c>
    </row>
    <row r="16" spans="2:6" x14ac:dyDescent="0.25">
      <c r="B16" s="29"/>
      <c r="C16" s="30"/>
      <c r="D16" s="22"/>
      <c r="E16" s="31"/>
    </row>
    <row r="17" spans="2:5" x14ac:dyDescent="0.25">
      <c r="B17" s="32" t="s">
        <v>29</v>
      </c>
      <c r="C17" s="27" t="s">
        <v>30</v>
      </c>
      <c r="D17" s="22"/>
      <c r="E17" s="35">
        <f>D18+D19+D20</f>
        <v>6.15</v>
      </c>
    </row>
    <row r="18" spans="2:5" x14ac:dyDescent="0.25">
      <c r="B18" s="29"/>
      <c r="C18" s="30" t="s">
        <v>31</v>
      </c>
      <c r="D18" s="36">
        <v>0.65</v>
      </c>
      <c r="E18" s="31"/>
    </row>
    <row r="19" spans="2:5" x14ac:dyDescent="0.25">
      <c r="B19" s="29"/>
      <c r="C19" s="30" t="s">
        <v>32</v>
      </c>
      <c r="D19" s="37">
        <v>3</v>
      </c>
      <c r="E19" s="31"/>
    </row>
    <row r="20" spans="2:5" x14ac:dyDescent="0.25">
      <c r="B20" s="29"/>
      <c r="C20" s="30" t="s">
        <v>33</v>
      </c>
      <c r="D20" s="37">
        <v>2.5</v>
      </c>
      <c r="E20" s="31"/>
    </row>
    <row r="21" spans="2:5" x14ac:dyDescent="0.25">
      <c r="B21" s="38"/>
      <c r="C21" s="22" t="s">
        <v>34</v>
      </c>
      <c r="D21" s="36">
        <v>0</v>
      </c>
      <c r="E21" s="39"/>
    </row>
    <row r="22" spans="2:5" x14ac:dyDescent="0.25">
      <c r="B22" s="40" t="s">
        <v>35</v>
      </c>
      <c r="C22" s="41" t="s">
        <v>36</v>
      </c>
      <c r="D22" s="25"/>
      <c r="E22" s="42">
        <f>(((1+E7/100+E9/100+E11/100))*((1+E13/100)*(1+E15/100))/(1-E17/100)-1)</f>
        <v>0.24913929877890229</v>
      </c>
    </row>
  </sheetData>
  <mergeCells count="4">
    <mergeCell ref="B1:E1"/>
    <mergeCell ref="B2:E2"/>
    <mergeCell ref="B3:E3"/>
    <mergeCell ref="B4:E4"/>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rgb="FF00B050"/>
    <pageSetUpPr fitToPage="1"/>
  </sheetPr>
  <dimension ref="A1:N176"/>
  <sheetViews>
    <sheetView showGridLines="0" zoomScaleNormal="100" zoomScaleSheetLayoutView="85" workbookViewId="0">
      <selection activeCell="D1" sqref="D1"/>
    </sheetView>
  </sheetViews>
  <sheetFormatPr defaultRowHeight="13.2" x14ac:dyDescent="0.25"/>
  <cols>
    <col min="1" max="1" width="9.88671875" style="1" customWidth="1"/>
    <col min="2" max="2" width="14.6640625" style="1" customWidth="1"/>
    <col min="3" max="3" width="15.5546875" style="96" customWidth="1"/>
    <col min="4" max="4" width="49.44140625" style="88" customWidth="1"/>
    <col min="5" max="5" width="8.33203125" style="88" customWidth="1"/>
    <col min="6" max="6" width="12" customWidth="1"/>
    <col min="7" max="7" width="11.5546875" style="338" customWidth="1"/>
    <col min="8" max="8" width="14.33203125" customWidth="1"/>
    <col min="9" max="9" width="18" customWidth="1"/>
    <col min="10" max="10" width="12.33203125" style="181" customWidth="1"/>
    <col min="11" max="11" width="14.5546875" customWidth="1"/>
    <col min="12" max="12" width="13" bestFit="1" customWidth="1"/>
    <col min="14" max="14" width="13.88671875" bestFit="1" customWidth="1"/>
  </cols>
  <sheetData>
    <row r="1" spans="1:11" x14ac:dyDescent="0.25">
      <c r="A1" s="391"/>
      <c r="B1" s="392"/>
      <c r="C1" s="393"/>
      <c r="D1" s="395"/>
      <c r="E1" s="395"/>
      <c r="F1" s="394"/>
      <c r="G1" s="508"/>
      <c r="H1" s="570"/>
      <c r="I1" s="570"/>
      <c r="J1" s="571"/>
    </row>
    <row r="2" spans="1:11" x14ac:dyDescent="0.25">
      <c r="A2" s="396"/>
      <c r="B2" s="509"/>
      <c r="C2" s="510"/>
      <c r="D2" s="511"/>
      <c r="E2" s="511"/>
      <c r="F2" s="512"/>
      <c r="G2" s="339"/>
      <c r="H2" s="572"/>
      <c r="I2" s="572"/>
      <c r="J2" s="547"/>
    </row>
    <row r="3" spans="1:11" x14ac:dyDescent="0.25">
      <c r="A3" s="396"/>
      <c r="B3" s="509"/>
      <c r="C3" s="510"/>
      <c r="D3" s="511"/>
      <c r="E3" s="511"/>
      <c r="F3" s="512"/>
      <c r="G3" s="341"/>
      <c r="H3" s="512"/>
      <c r="I3" s="573"/>
      <c r="J3" s="574"/>
    </row>
    <row r="4" spans="1:11" x14ac:dyDescent="0.25">
      <c r="A4" s="396"/>
      <c r="B4" s="509"/>
      <c r="C4" s="510"/>
      <c r="D4" s="511"/>
      <c r="E4" s="511"/>
      <c r="F4" s="512"/>
      <c r="G4" s="341"/>
      <c r="H4" s="512"/>
      <c r="I4" s="573"/>
      <c r="J4" s="574"/>
    </row>
    <row r="5" spans="1:11" ht="13.8" thickBot="1" x14ac:dyDescent="0.3">
      <c r="A5" s="408"/>
      <c r="B5" s="95"/>
      <c r="C5" s="97"/>
      <c r="D5" s="107"/>
      <c r="E5" s="107"/>
      <c r="F5" s="94"/>
      <c r="G5" s="340"/>
      <c r="H5" s="94"/>
      <c r="I5" s="94"/>
      <c r="J5" s="513"/>
    </row>
    <row r="6" spans="1:11" ht="13.8" thickTop="1" x14ac:dyDescent="0.25">
      <c r="A6" s="396"/>
      <c r="B6" s="509"/>
      <c r="C6" s="510"/>
      <c r="D6" s="511"/>
      <c r="E6" s="511"/>
      <c r="F6" s="512"/>
      <c r="G6" s="341"/>
      <c r="H6" s="512"/>
      <c r="I6" s="512"/>
      <c r="J6" s="514"/>
    </row>
    <row r="7" spans="1:11" ht="20.100000000000001" customHeight="1" x14ac:dyDescent="0.25">
      <c r="A7" s="579" t="s">
        <v>336</v>
      </c>
      <c r="B7" s="580"/>
      <c r="C7" s="581" t="s">
        <v>344</v>
      </c>
      <c r="D7" s="581"/>
      <c r="E7" s="603" t="s">
        <v>342</v>
      </c>
      <c r="F7" s="604"/>
      <c r="G7" s="591" t="s">
        <v>343</v>
      </c>
      <c r="H7" s="592"/>
      <c r="I7" s="592"/>
      <c r="J7" s="593"/>
      <c r="K7">
        <v>342045.94</v>
      </c>
    </row>
    <row r="8" spans="1:11" ht="21.75" customHeight="1" x14ac:dyDescent="0.25">
      <c r="A8" s="579" t="s">
        <v>338</v>
      </c>
      <c r="B8" s="580"/>
      <c r="C8" s="578">
        <v>911877.39</v>
      </c>
      <c r="D8" s="578"/>
      <c r="E8" s="601" t="s">
        <v>339</v>
      </c>
      <c r="F8" s="602"/>
      <c r="G8" s="591" t="s">
        <v>340</v>
      </c>
      <c r="H8" s="592"/>
      <c r="I8" s="592"/>
      <c r="J8" s="593"/>
    </row>
    <row r="9" spans="1:11" ht="31.5" customHeight="1" x14ac:dyDescent="0.25">
      <c r="A9" s="582"/>
      <c r="B9" s="583"/>
      <c r="C9" s="578"/>
      <c r="D9" s="578"/>
      <c r="E9" s="601" t="s">
        <v>341</v>
      </c>
      <c r="F9" s="602"/>
      <c r="G9" s="594" t="s">
        <v>337</v>
      </c>
      <c r="H9" s="595"/>
      <c r="I9" s="595"/>
      <c r="J9" s="596"/>
    </row>
    <row r="10" spans="1:11" ht="31.5" customHeight="1" thickBot="1" x14ac:dyDescent="0.3">
      <c r="A10" s="584" t="s">
        <v>1007</v>
      </c>
      <c r="B10" s="585"/>
      <c r="C10" s="597">
        <f>I15</f>
        <v>567377.32999999996</v>
      </c>
      <c r="D10" s="598"/>
      <c r="E10" s="599" t="s">
        <v>683</v>
      </c>
      <c r="F10" s="600"/>
      <c r="G10" s="605" t="s">
        <v>935</v>
      </c>
      <c r="H10" s="606"/>
      <c r="I10" s="607">
        <v>44958</v>
      </c>
      <c r="J10" s="608"/>
      <c r="K10">
        <v>496894.31</v>
      </c>
    </row>
    <row r="11" spans="1:11" ht="20.100000000000001" customHeight="1" thickBot="1" x14ac:dyDescent="0.3">
      <c r="A11" s="588" t="s">
        <v>8</v>
      </c>
      <c r="B11" s="589"/>
      <c r="C11" s="589"/>
      <c r="D11" s="589"/>
      <c r="E11" s="589"/>
      <c r="F11" s="589"/>
      <c r="G11" s="589"/>
      <c r="H11" s="589"/>
      <c r="I11" s="589"/>
      <c r="J11" s="590"/>
    </row>
    <row r="12" spans="1:11" ht="12" customHeight="1" x14ac:dyDescent="0.25">
      <c r="A12" s="586" t="s">
        <v>789</v>
      </c>
      <c r="B12" s="587"/>
      <c r="C12" s="587"/>
      <c r="D12" s="587"/>
      <c r="E12" s="515"/>
      <c r="F12" s="516"/>
      <c r="G12" s="517"/>
      <c r="H12" s="518" t="s">
        <v>12</v>
      </c>
      <c r="I12" s="519">
        <f>ROUND((BDI!$E$22)*100,2)</f>
        <v>24.91</v>
      </c>
      <c r="J12" s="520"/>
    </row>
    <row r="13" spans="1:11" ht="4.6500000000000004" customHeight="1" thickBot="1" x14ac:dyDescent="0.3">
      <c r="A13" s="416"/>
      <c r="B13" s="512"/>
      <c r="C13" s="521"/>
      <c r="D13" s="511"/>
      <c r="E13" s="511"/>
      <c r="F13" s="512"/>
      <c r="G13" s="341"/>
      <c r="H13" s="512"/>
      <c r="I13" s="512"/>
      <c r="J13" s="514"/>
    </row>
    <row r="14" spans="1:11" ht="43.5" customHeight="1" thickTop="1" thickBot="1" x14ac:dyDescent="0.3">
      <c r="A14" s="522" t="s">
        <v>0</v>
      </c>
      <c r="B14" s="3" t="s">
        <v>79</v>
      </c>
      <c r="C14" s="3" t="s">
        <v>10</v>
      </c>
      <c r="D14" s="108" t="s">
        <v>1</v>
      </c>
      <c r="E14" s="108" t="s">
        <v>2</v>
      </c>
      <c r="F14" s="4" t="s">
        <v>3</v>
      </c>
      <c r="G14" s="342" t="s">
        <v>14</v>
      </c>
      <c r="H14" s="5" t="s">
        <v>15</v>
      </c>
      <c r="I14" s="5" t="s">
        <v>7</v>
      </c>
      <c r="J14" s="523" t="s">
        <v>791</v>
      </c>
      <c r="K14" s="505"/>
    </row>
    <row r="15" spans="1:11" ht="29.25" customHeight="1" thickTop="1" thickBot="1" x14ac:dyDescent="0.3">
      <c r="A15" s="575" t="s">
        <v>371</v>
      </c>
      <c r="B15" s="576"/>
      <c r="C15" s="576"/>
      <c r="D15" s="576"/>
      <c r="E15" s="576"/>
      <c r="F15" s="576"/>
      <c r="G15" s="576"/>
      <c r="H15" s="577"/>
      <c r="I15" s="431">
        <f>ROUND((I16),2)</f>
        <v>567377.32999999996</v>
      </c>
      <c r="J15" s="524">
        <f t="shared" ref="J15:J28" si="0">I15/$I$15</f>
        <v>1</v>
      </c>
      <c r="K15" s="506"/>
    </row>
    <row r="16" spans="1:11" ht="50.25" customHeight="1" thickTop="1" x14ac:dyDescent="0.25">
      <c r="A16" s="554" t="s">
        <v>894</v>
      </c>
      <c r="B16" s="555"/>
      <c r="C16" s="555"/>
      <c r="D16" s="555"/>
      <c r="E16" s="555"/>
      <c r="F16" s="555"/>
      <c r="G16" s="555"/>
      <c r="H16" s="556"/>
      <c r="I16" s="458">
        <f>I17+I60++I98+I109+I115+I162</f>
        <v>567377.32999999996</v>
      </c>
      <c r="J16" s="524">
        <f t="shared" si="0"/>
        <v>1</v>
      </c>
    </row>
    <row r="17" spans="1:14" s="295" customFormat="1" ht="30" customHeight="1" x14ac:dyDescent="0.25">
      <c r="A17" s="527" t="s">
        <v>222</v>
      </c>
      <c r="B17" s="557" t="s">
        <v>682</v>
      </c>
      <c r="C17" s="558"/>
      <c r="D17" s="558"/>
      <c r="E17" s="558"/>
      <c r="F17" s="558"/>
      <c r="G17" s="558"/>
      <c r="H17" s="559"/>
      <c r="I17" s="432">
        <f>I18+I22+I26+I29</f>
        <v>115078.78</v>
      </c>
      <c r="J17" s="524">
        <f t="shared" si="0"/>
        <v>0.20282583373572577</v>
      </c>
      <c r="K17" s="376"/>
      <c r="L17" s="296"/>
      <c r="N17" s="297"/>
    </row>
    <row r="18" spans="1:14" s="290" customFormat="1" ht="30" customHeight="1" x14ac:dyDescent="0.25">
      <c r="A18" s="525" t="s">
        <v>4</v>
      </c>
      <c r="B18" s="560" t="s">
        <v>90</v>
      </c>
      <c r="C18" s="561"/>
      <c r="D18" s="561"/>
      <c r="E18" s="561"/>
      <c r="F18" s="561"/>
      <c r="G18" s="561"/>
      <c r="H18" s="562"/>
      <c r="I18" s="433">
        <f>ROUND((SUM(I19:I21)),2)</f>
        <v>4704.42</v>
      </c>
      <c r="J18" s="524">
        <f>I18/$I$15</f>
        <v>8.2915191553388293E-3</v>
      </c>
      <c r="K18" s="294"/>
    </row>
    <row r="19" spans="1:14" ht="52.8" x14ac:dyDescent="0.25">
      <c r="A19" s="528" t="s">
        <v>145</v>
      </c>
      <c r="B19" s="182" t="s">
        <v>11</v>
      </c>
      <c r="C19" s="490" t="s">
        <v>696</v>
      </c>
      <c r="D19" s="347" t="s">
        <v>88</v>
      </c>
      <c r="E19" s="489" t="s">
        <v>275</v>
      </c>
      <c r="F19" s="186">
        <v>12</v>
      </c>
      <c r="G19" s="188">
        <v>20.239999999999998</v>
      </c>
      <c r="H19" s="188">
        <f>ROUND(((($I$12/100)+1)*G19),2)</f>
        <v>25.28</v>
      </c>
      <c r="I19" s="186">
        <f>ROUND((H19*F19),2)</f>
        <v>303.36</v>
      </c>
      <c r="J19" s="524">
        <f t="shared" si="0"/>
        <v>5.3467063973105871E-4</v>
      </c>
      <c r="K19" s="459"/>
    </row>
    <row r="20" spans="1:14" ht="52.8" x14ac:dyDescent="0.25">
      <c r="A20" s="528" t="s">
        <v>146</v>
      </c>
      <c r="B20" s="182" t="s">
        <v>11</v>
      </c>
      <c r="C20" s="490" t="s">
        <v>697</v>
      </c>
      <c r="D20" s="347" t="s">
        <v>248</v>
      </c>
      <c r="E20" s="489" t="s">
        <v>275</v>
      </c>
      <c r="F20" s="186">
        <v>103</v>
      </c>
      <c r="G20" s="188">
        <v>24.83</v>
      </c>
      <c r="H20" s="188">
        <f>ROUND(((($I$12/100)+1)*G20),2)</f>
        <v>31.02</v>
      </c>
      <c r="I20" s="186">
        <f>ROUND((H20*F20),2)</f>
        <v>3195.06</v>
      </c>
      <c r="J20" s="524">
        <f t="shared" si="0"/>
        <v>5.6312789233225096E-3</v>
      </c>
      <c r="K20" s="459"/>
    </row>
    <row r="21" spans="1:14" ht="43.5" customHeight="1" x14ac:dyDescent="0.25">
      <c r="A21" s="528" t="s">
        <v>147</v>
      </c>
      <c r="B21" s="182" t="s">
        <v>11</v>
      </c>
      <c r="C21" s="529">
        <v>97599</v>
      </c>
      <c r="D21" s="347" t="s">
        <v>580</v>
      </c>
      <c r="E21" s="489" t="s">
        <v>275</v>
      </c>
      <c r="F21" s="186">
        <v>40</v>
      </c>
      <c r="G21" s="188">
        <v>24.14</v>
      </c>
      <c r="H21" s="186">
        <f>ROUND(((($I$12/100)+1)*G21),2)</f>
        <v>30.15</v>
      </c>
      <c r="I21" s="186">
        <f>ROUND((H21*F21),2)</f>
        <v>1206</v>
      </c>
      <c r="J21" s="524">
        <f t="shared" si="0"/>
        <v>2.1255695922852611E-3</v>
      </c>
      <c r="K21" s="459"/>
    </row>
    <row r="22" spans="1:14" s="290" customFormat="1" ht="30" customHeight="1" x14ac:dyDescent="0.25">
      <c r="A22" s="525" t="s">
        <v>6</v>
      </c>
      <c r="B22" s="560" t="s">
        <v>422</v>
      </c>
      <c r="C22" s="561"/>
      <c r="D22" s="561"/>
      <c r="E22" s="561"/>
      <c r="F22" s="561"/>
      <c r="G22" s="561"/>
      <c r="H22" s="562"/>
      <c r="I22" s="293">
        <f>ROUND((SUM(I23:I25)),2)</f>
        <v>3061.24</v>
      </c>
      <c r="J22" s="524">
        <f t="shared" si="0"/>
        <v>5.3954217733725805E-3</v>
      </c>
    </row>
    <row r="23" spans="1:14" ht="24.75" customHeight="1" x14ac:dyDescent="0.25">
      <c r="A23" s="528" t="s">
        <v>162</v>
      </c>
      <c r="B23" s="185" t="s">
        <v>354</v>
      </c>
      <c r="C23" s="183">
        <f>'CPU '!B16</f>
        <v>17</v>
      </c>
      <c r="D23" s="347" t="s">
        <v>253</v>
      </c>
      <c r="E23" s="489" t="s">
        <v>275</v>
      </c>
      <c r="F23" s="186">
        <f>MEMÓRIA_!B34</f>
        <v>6</v>
      </c>
      <c r="G23" s="187">
        <f>ROUND('CPU '!H16,2)</f>
        <v>203.07</v>
      </c>
      <c r="H23" s="186">
        <f>ROUND(((($I$12/100)+1)*G23),2)</f>
        <v>253.65</v>
      </c>
      <c r="I23" s="234">
        <f>TRUNC((H23*F23),2)</f>
        <v>1521.9</v>
      </c>
      <c r="J23" s="524">
        <f t="shared" si="0"/>
        <v>2.6823419257868482E-3</v>
      </c>
    </row>
    <row r="24" spans="1:14" ht="24" customHeight="1" x14ac:dyDescent="0.25">
      <c r="A24" s="528" t="s">
        <v>375</v>
      </c>
      <c r="B24" s="185" t="s">
        <v>354</v>
      </c>
      <c r="C24" s="183">
        <f>'CPU '!B23</f>
        <v>18</v>
      </c>
      <c r="D24" s="347" t="s">
        <v>92</v>
      </c>
      <c r="E24" s="489" t="s">
        <v>275</v>
      </c>
      <c r="F24" s="186">
        <f>MEMÓRIA_!B34</f>
        <v>6</v>
      </c>
      <c r="G24" s="187">
        <f>'CPU '!H23</f>
        <v>135.61000000000001</v>
      </c>
      <c r="H24" s="186">
        <f>ROUND(((($I$12/100)+1)*G24),2)</f>
        <v>169.39</v>
      </c>
      <c r="I24" s="234">
        <f>TRUNC((H24*F24),2)</f>
        <v>1016.34</v>
      </c>
      <c r="J24" s="524">
        <f t="shared" si="0"/>
        <v>1.79129469272239E-3</v>
      </c>
    </row>
    <row r="25" spans="1:14" ht="26.4" x14ac:dyDescent="0.25">
      <c r="A25" s="528" t="s">
        <v>376</v>
      </c>
      <c r="B25" s="185" t="s">
        <v>354</v>
      </c>
      <c r="C25" s="183">
        <f>'CPU '!B30</f>
        <v>19</v>
      </c>
      <c r="D25" s="347" t="s">
        <v>89</v>
      </c>
      <c r="E25" s="489" t="s">
        <v>275</v>
      </c>
      <c r="F25" s="186">
        <f>MEMÓRIA_!B41</f>
        <v>1</v>
      </c>
      <c r="G25" s="187">
        <f>'CPU '!H30</f>
        <v>418.7</v>
      </c>
      <c r="H25" s="186">
        <f>ROUND(((($I$12/100)+1)*G25),2)</f>
        <v>523</v>
      </c>
      <c r="I25" s="234">
        <f>TRUNC((H25*F25),2)</f>
        <v>523</v>
      </c>
      <c r="J25" s="524">
        <f t="shared" si="0"/>
        <v>9.217851548633429E-4</v>
      </c>
    </row>
    <row r="26" spans="1:14" s="290" customFormat="1" ht="30" customHeight="1" x14ac:dyDescent="0.25">
      <c r="A26" s="525" t="s">
        <v>173</v>
      </c>
      <c r="B26" s="560" t="s">
        <v>429</v>
      </c>
      <c r="C26" s="561"/>
      <c r="D26" s="561"/>
      <c r="E26" s="561"/>
      <c r="F26" s="561"/>
      <c r="G26" s="561"/>
      <c r="H26" s="562"/>
      <c r="I26" s="293">
        <f>ROUND((SUM(I27:I28)),2)</f>
        <v>56319.17</v>
      </c>
      <c r="J26" s="524">
        <f t="shared" si="0"/>
        <v>9.9262284589340222E-2</v>
      </c>
    </row>
    <row r="27" spans="1:14" ht="53.25" customHeight="1" x14ac:dyDescent="0.25">
      <c r="A27" s="526" t="s">
        <v>178</v>
      </c>
      <c r="B27" s="185" t="s">
        <v>354</v>
      </c>
      <c r="C27" s="215">
        <f>'CPU '!B36</f>
        <v>20</v>
      </c>
      <c r="D27" s="348" t="str">
        <f>'CPU '!C36</f>
        <v xml:space="preserve"> Guarda-corpo em tubo de aço galvanizado (h=90 cm), com barras superior e laterais (contornos) de (1.1/2") e barra verticais quadrada (3/4") a cada 15cm - chumbados com parabolt - conforme PPCI</v>
      </c>
      <c r="E27" s="489" t="s">
        <v>276</v>
      </c>
      <c r="F27" s="186">
        <v>72.45</v>
      </c>
      <c r="G27" s="222">
        <f>'CPU '!H36</f>
        <v>477.73</v>
      </c>
      <c r="H27" s="186">
        <f>ROUND(((($I$12/100)+1)*G27),2)</f>
        <v>596.73</v>
      </c>
      <c r="I27" s="234">
        <f>ROUND((H27*F27),2)</f>
        <v>43233.09</v>
      </c>
      <c r="J27" s="524">
        <f t="shared" si="0"/>
        <v>7.6198127267439464E-2</v>
      </c>
      <c r="K27" s="88"/>
    </row>
    <row r="28" spans="1:14" ht="36.75" customHeight="1" x14ac:dyDescent="0.25">
      <c r="A28" s="526" t="s">
        <v>180</v>
      </c>
      <c r="B28" s="182" t="s">
        <v>11</v>
      </c>
      <c r="C28" s="215">
        <v>99855</v>
      </c>
      <c r="D28" s="348" t="s">
        <v>279</v>
      </c>
      <c r="E28" s="489" t="s">
        <v>276</v>
      </c>
      <c r="F28" s="186">
        <v>104.23</v>
      </c>
      <c r="G28" s="188">
        <v>100.51</v>
      </c>
      <c r="H28" s="186">
        <f>ROUND(((($I$12/100)+1)*G28),2)</f>
        <v>125.55</v>
      </c>
      <c r="I28" s="234">
        <f>ROUND((H28*F28),2)</f>
        <v>13086.08</v>
      </c>
      <c r="J28" s="524">
        <f t="shared" si="0"/>
        <v>2.3064157321900754E-2</v>
      </c>
      <c r="K28" s="460"/>
    </row>
    <row r="29" spans="1:14" s="290" customFormat="1" ht="23.25" customHeight="1" x14ac:dyDescent="0.25">
      <c r="A29" s="530" t="s">
        <v>175</v>
      </c>
      <c r="B29" s="563" t="s">
        <v>608</v>
      </c>
      <c r="C29" s="564"/>
      <c r="D29" s="564"/>
      <c r="E29" s="564"/>
      <c r="F29" s="564"/>
      <c r="G29" s="564"/>
      <c r="H29" s="565"/>
      <c r="I29" s="292">
        <f>ROUND((SUM(I30:I59)),2)</f>
        <v>50993.95</v>
      </c>
      <c r="J29" s="524">
        <f t="shared" ref="J29:J66" si="1">I29/$I$15</f>
        <v>8.9876608217674125E-2</v>
      </c>
    </row>
    <row r="30" spans="1:14" ht="90" customHeight="1" x14ac:dyDescent="0.25">
      <c r="A30" s="531" t="s">
        <v>181</v>
      </c>
      <c r="B30" s="434" t="s">
        <v>11</v>
      </c>
      <c r="C30" s="238">
        <v>104473</v>
      </c>
      <c r="D30" s="532" t="s">
        <v>796</v>
      </c>
      <c r="E30" s="238" t="s">
        <v>275</v>
      </c>
      <c r="F30" s="222">
        <v>45</v>
      </c>
      <c r="G30" s="222">
        <v>130.1</v>
      </c>
      <c r="H30" s="222">
        <f t="shared" ref="H30:H59" si="2">ROUND(((($I$12/100)+1)*G30),2)</f>
        <v>162.51</v>
      </c>
      <c r="I30" s="229">
        <f t="shared" ref="I30:I59" si="3">ROUND((H30*F30),2)</f>
        <v>7312.95</v>
      </c>
      <c r="J30" s="524">
        <f t="shared" si="1"/>
        <v>1.2889041583667082E-2</v>
      </c>
      <c r="K30" s="460"/>
    </row>
    <row r="31" spans="1:14" ht="66" customHeight="1" x14ac:dyDescent="0.25">
      <c r="A31" s="531" t="s">
        <v>196</v>
      </c>
      <c r="B31" s="238" t="s">
        <v>11</v>
      </c>
      <c r="C31" s="238">
        <v>91844</v>
      </c>
      <c r="D31" s="238" t="s">
        <v>656</v>
      </c>
      <c r="E31" s="238" t="s">
        <v>276</v>
      </c>
      <c r="F31" s="222">
        <v>670.5</v>
      </c>
      <c r="G31" s="222">
        <v>6.5</v>
      </c>
      <c r="H31" s="222">
        <f t="shared" si="2"/>
        <v>8.1199999999999992</v>
      </c>
      <c r="I31" s="229">
        <f t="shared" si="3"/>
        <v>5444.46</v>
      </c>
      <c r="J31" s="524">
        <f t="shared" si="1"/>
        <v>9.5958363369928797E-3</v>
      </c>
      <c r="K31" s="460"/>
    </row>
    <row r="32" spans="1:14" ht="66" customHeight="1" x14ac:dyDescent="0.25">
      <c r="A32" s="531" t="s">
        <v>197</v>
      </c>
      <c r="B32" s="238" t="s">
        <v>11</v>
      </c>
      <c r="C32" s="238">
        <v>91846</v>
      </c>
      <c r="D32" s="238" t="s">
        <v>620</v>
      </c>
      <c r="E32" s="238" t="s">
        <v>276</v>
      </c>
      <c r="F32" s="222">
        <v>65.5</v>
      </c>
      <c r="G32" s="222">
        <v>9.42</v>
      </c>
      <c r="H32" s="222">
        <f t="shared" si="2"/>
        <v>11.77</v>
      </c>
      <c r="I32" s="229">
        <f t="shared" si="3"/>
        <v>770.94</v>
      </c>
      <c r="J32" s="524">
        <f t="shared" si="1"/>
        <v>1.3587782930981752E-3</v>
      </c>
      <c r="K32" s="460"/>
    </row>
    <row r="33" spans="1:11" ht="56.25" customHeight="1" x14ac:dyDescent="0.25">
      <c r="A33" s="531" t="s">
        <v>869</v>
      </c>
      <c r="B33" s="238" t="s">
        <v>11</v>
      </c>
      <c r="C33" s="226">
        <v>91866</v>
      </c>
      <c r="D33" s="238" t="s">
        <v>621</v>
      </c>
      <c r="E33" s="238" t="s">
        <v>276</v>
      </c>
      <c r="F33" s="222">
        <v>1</v>
      </c>
      <c r="G33" s="222">
        <v>7.64</v>
      </c>
      <c r="H33" s="222">
        <f t="shared" si="2"/>
        <v>9.5399999999999991</v>
      </c>
      <c r="I33" s="229">
        <f t="shared" si="3"/>
        <v>9.5399999999999991</v>
      </c>
      <c r="J33" s="524">
        <f t="shared" si="1"/>
        <v>1.6814207222555049E-5</v>
      </c>
      <c r="K33" s="460"/>
    </row>
    <row r="34" spans="1:11" ht="66" customHeight="1" x14ac:dyDescent="0.25">
      <c r="A34" s="531" t="s">
        <v>870</v>
      </c>
      <c r="B34" s="238" t="s">
        <v>11</v>
      </c>
      <c r="C34" s="226" t="s">
        <v>617</v>
      </c>
      <c r="D34" s="238" t="s">
        <v>622</v>
      </c>
      <c r="E34" s="238" t="s">
        <v>276</v>
      </c>
      <c r="F34" s="222">
        <v>1</v>
      </c>
      <c r="G34" s="222">
        <v>9.35</v>
      </c>
      <c r="H34" s="222">
        <f t="shared" si="2"/>
        <v>11.68</v>
      </c>
      <c r="I34" s="229">
        <f t="shared" si="3"/>
        <v>11.68</v>
      </c>
      <c r="J34" s="524">
        <f t="shared" si="1"/>
        <v>2.0585947626775996E-5</v>
      </c>
      <c r="K34" s="460"/>
    </row>
    <row r="35" spans="1:11" ht="66" customHeight="1" x14ac:dyDescent="0.25">
      <c r="A35" s="531" t="s">
        <v>871</v>
      </c>
      <c r="B35" s="238" t="s">
        <v>11</v>
      </c>
      <c r="C35" s="226" t="s">
        <v>618</v>
      </c>
      <c r="D35" s="238" t="s">
        <v>623</v>
      </c>
      <c r="E35" s="238" t="s">
        <v>276</v>
      </c>
      <c r="F35" s="222">
        <v>114.2</v>
      </c>
      <c r="G35" s="222">
        <v>13.27</v>
      </c>
      <c r="H35" s="222">
        <f t="shared" si="2"/>
        <v>16.579999999999998</v>
      </c>
      <c r="I35" s="229">
        <f t="shared" si="3"/>
        <v>1893.44</v>
      </c>
      <c r="J35" s="524">
        <f t="shared" si="1"/>
        <v>3.3371795097981798E-3</v>
      </c>
      <c r="K35" s="460"/>
    </row>
    <row r="36" spans="1:11" ht="66" customHeight="1" x14ac:dyDescent="0.25">
      <c r="A36" s="531" t="s">
        <v>872</v>
      </c>
      <c r="B36" s="238" t="s">
        <v>11</v>
      </c>
      <c r="C36" s="226" t="s">
        <v>619</v>
      </c>
      <c r="D36" s="238" t="s">
        <v>624</v>
      </c>
      <c r="E36" s="238" t="s">
        <v>276</v>
      </c>
      <c r="F36" s="222">
        <v>53.8</v>
      </c>
      <c r="G36" s="222">
        <v>17.12</v>
      </c>
      <c r="H36" s="222">
        <f t="shared" si="2"/>
        <v>21.38</v>
      </c>
      <c r="I36" s="229">
        <f t="shared" si="3"/>
        <v>1150.24</v>
      </c>
      <c r="J36" s="524">
        <f t="shared" si="1"/>
        <v>2.0272928423135978E-3</v>
      </c>
      <c r="K36" s="460"/>
    </row>
    <row r="37" spans="1:11" ht="46.5" customHeight="1" x14ac:dyDescent="0.25">
      <c r="A37" s="531" t="s">
        <v>873</v>
      </c>
      <c r="B37" s="238" t="s">
        <v>11</v>
      </c>
      <c r="C37" s="238">
        <v>93008</v>
      </c>
      <c r="D37" s="238" t="s">
        <v>616</v>
      </c>
      <c r="E37" s="238" t="s">
        <v>276</v>
      </c>
      <c r="F37" s="222">
        <v>22.7</v>
      </c>
      <c r="G37" s="222">
        <v>17.46</v>
      </c>
      <c r="H37" s="222">
        <f t="shared" si="2"/>
        <v>21.81</v>
      </c>
      <c r="I37" s="229">
        <f t="shared" si="3"/>
        <v>495.09</v>
      </c>
      <c r="J37" s="524">
        <f t="shared" si="1"/>
        <v>8.7259390501203142E-4</v>
      </c>
      <c r="K37" s="460"/>
    </row>
    <row r="38" spans="1:11" ht="42" customHeight="1" x14ac:dyDescent="0.25">
      <c r="A38" s="531" t="s">
        <v>874</v>
      </c>
      <c r="B38" s="500" t="s">
        <v>354</v>
      </c>
      <c r="C38" s="227">
        <v>21</v>
      </c>
      <c r="D38" s="227" t="s">
        <v>700</v>
      </c>
      <c r="E38" s="227" t="s">
        <v>275</v>
      </c>
      <c r="F38" s="222">
        <v>4</v>
      </c>
      <c r="G38" s="222">
        <f>'CPU '!H47</f>
        <v>7.29</v>
      </c>
      <c r="H38" s="222">
        <f t="shared" si="2"/>
        <v>9.11</v>
      </c>
      <c r="I38" s="229">
        <f t="shared" si="3"/>
        <v>36.44</v>
      </c>
      <c r="J38" s="524">
        <f t="shared" si="1"/>
        <v>6.4225336602715511E-5</v>
      </c>
    </row>
    <row r="39" spans="1:11" ht="66" customHeight="1" x14ac:dyDescent="0.25">
      <c r="A39" s="531" t="s">
        <v>875</v>
      </c>
      <c r="B39" s="238" t="s">
        <v>11</v>
      </c>
      <c r="C39" s="238">
        <v>91899</v>
      </c>
      <c r="D39" s="238" t="s">
        <v>626</v>
      </c>
      <c r="E39" s="238" t="s">
        <v>275</v>
      </c>
      <c r="F39" s="222">
        <v>2</v>
      </c>
      <c r="G39" s="222">
        <v>8.19</v>
      </c>
      <c r="H39" s="222">
        <f t="shared" si="2"/>
        <v>10.23</v>
      </c>
      <c r="I39" s="229">
        <f t="shared" si="3"/>
        <v>20.46</v>
      </c>
      <c r="J39" s="524">
        <f t="shared" si="1"/>
        <v>3.6060658257177814E-5</v>
      </c>
      <c r="K39" s="460"/>
    </row>
    <row r="40" spans="1:11" ht="66" customHeight="1" x14ac:dyDescent="0.25">
      <c r="A40" s="531" t="s">
        <v>876</v>
      </c>
      <c r="B40" s="238" t="s">
        <v>11</v>
      </c>
      <c r="C40" s="238">
        <v>91878</v>
      </c>
      <c r="D40" s="238" t="s">
        <v>629</v>
      </c>
      <c r="E40" s="238" t="s">
        <v>275</v>
      </c>
      <c r="F40" s="222">
        <v>2</v>
      </c>
      <c r="G40" s="222">
        <v>9.91</v>
      </c>
      <c r="H40" s="222">
        <f t="shared" si="2"/>
        <v>12.38</v>
      </c>
      <c r="I40" s="229">
        <f t="shared" si="3"/>
        <v>24.76</v>
      </c>
      <c r="J40" s="524">
        <f t="shared" si="1"/>
        <v>4.3639388975939525E-5</v>
      </c>
      <c r="K40" s="460"/>
    </row>
    <row r="41" spans="1:11" ht="66" customHeight="1" x14ac:dyDescent="0.25">
      <c r="A41" s="531" t="s">
        <v>877</v>
      </c>
      <c r="B41" s="238" t="s">
        <v>11</v>
      </c>
      <c r="C41" s="238">
        <v>91880</v>
      </c>
      <c r="D41" s="238" t="s">
        <v>627</v>
      </c>
      <c r="E41" s="238" t="s">
        <v>275</v>
      </c>
      <c r="F41" s="222">
        <v>37</v>
      </c>
      <c r="G41" s="222">
        <v>7.63</v>
      </c>
      <c r="H41" s="222">
        <f t="shared" si="2"/>
        <v>9.5299999999999994</v>
      </c>
      <c r="I41" s="229">
        <f t="shared" si="3"/>
        <v>352.61</v>
      </c>
      <c r="J41" s="524">
        <f t="shared" si="1"/>
        <v>6.2147354389362024E-4</v>
      </c>
      <c r="K41" s="460"/>
    </row>
    <row r="42" spans="1:11" ht="66" customHeight="1" x14ac:dyDescent="0.25">
      <c r="A42" s="531" t="s">
        <v>878</v>
      </c>
      <c r="B42" s="238" t="s">
        <v>11</v>
      </c>
      <c r="C42" s="238">
        <v>91881</v>
      </c>
      <c r="D42" s="238" t="s">
        <v>628</v>
      </c>
      <c r="E42" s="238" t="s">
        <v>275</v>
      </c>
      <c r="F42" s="222">
        <v>16</v>
      </c>
      <c r="G42" s="222">
        <v>9.6300000000000008</v>
      </c>
      <c r="H42" s="222">
        <f t="shared" si="2"/>
        <v>12.03</v>
      </c>
      <c r="I42" s="229">
        <f t="shared" si="3"/>
        <v>192.48</v>
      </c>
      <c r="J42" s="524">
        <f t="shared" si="1"/>
        <v>3.3924513691796607E-4</v>
      </c>
      <c r="K42" s="460"/>
    </row>
    <row r="43" spans="1:11" ht="66" customHeight="1" x14ac:dyDescent="0.25">
      <c r="A43" s="531" t="s">
        <v>879</v>
      </c>
      <c r="B43" s="238" t="s">
        <v>11</v>
      </c>
      <c r="C43" s="238">
        <v>93013</v>
      </c>
      <c r="D43" s="238" t="s">
        <v>630</v>
      </c>
      <c r="E43" s="238" t="s">
        <v>275</v>
      </c>
      <c r="F43" s="222">
        <v>7</v>
      </c>
      <c r="G43" s="222">
        <v>10.95</v>
      </c>
      <c r="H43" s="222">
        <f t="shared" si="2"/>
        <v>13.68</v>
      </c>
      <c r="I43" s="229">
        <f t="shared" si="3"/>
        <v>95.76</v>
      </c>
      <c r="J43" s="524">
        <f t="shared" si="1"/>
        <v>1.6877657061130732E-4</v>
      </c>
      <c r="K43" s="460"/>
    </row>
    <row r="44" spans="1:11" ht="66" customHeight="1" x14ac:dyDescent="0.25">
      <c r="A44" s="531" t="s">
        <v>880</v>
      </c>
      <c r="B44" s="238" t="s">
        <v>11</v>
      </c>
      <c r="C44" s="238">
        <v>2638</v>
      </c>
      <c r="D44" s="238" t="s">
        <v>797</v>
      </c>
      <c r="E44" s="238" t="s">
        <v>275</v>
      </c>
      <c r="F44" s="222">
        <v>10</v>
      </c>
      <c r="G44" s="222">
        <v>2.42</v>
      </c>
      <c r="H44" s="222">
        <f t="shared" si="2"/>
        <v>3.02</v>
      </c>
      <c r="I44" s="229">
        <f t="shared" si="3"/>
        <v>30.2</v>
      </c>
      <c r="J44" s="524">
        <f t="shared" si="1"/>
        <v>5.3227364582931082E-5</v>
      </c>
      <c r="K44" s="460"/>
    </row>
    <row r="45" spans="1:11" ht="66" customHeight="1" x14ac:dyDescent="0.25">
      <c r="A45" s="531" t="s">
        <v>881</v>
      </c>
      <c r="B45" s="238" t="s">
        <v>11</v>
      </c>
      <c r="C45" s="238">
        <v>2644</v>
      </c>
      <c r="D45" s="238" t="s">
        <v>798</v>
      </c>
      <c r="E45" s="238" t="s">
        <v>275</v>
      </c>
      <c r="F45" s="222">
        <v>2</v>
      </c>
      <c r="G45" s="222">
        <v>6.23</v>
      </c>
      <c r="H45" s="222">
        <f t="shared" si="2"/>
        <v>7.78</v>
      </c>
      <c r="I45" s="229">
        <f t="shared" si="3"/>
        <v>15.56</v>
      </c>
      <c r="J45" s="524">
        <f t="shared" si="1"/>
        <v>2.7424430228821448E-5</v>
      </c>
      <c r="K45" s="460"/>
    </row>
    <row r="46" spans="1:11" ht="66" customHeight="1" x14ac:dyDescent="0.25">
      <c r="A46" s="531" t="s">
        <v>882</v>
      </c>
      <c r="B46" s="238" t="s">
        <v>11</v>
      </c>
      <c r="C46" s="238">
        <v>91927</v>
      </c>
      <c r="D46" s="238" t="s">
        <v>601</v>
      </c>
      <c r="E46" s="238" t="s">
        <v>276</v>
      </c>
      <c r="F46" s="222">
        <v>1033.8</v>
      </c>
      <c r="G46" s="222">
        <v>4.29</v>
      </c>
      <c r="H46" s="222">
        <f t="shared" si="2"/>
        <v>5.36</v>
      </c>
      <c r="I46" s="229">
        <f t="shared" si="3"/>
        <v>5541.17</v>
      </c>
      <c r="J46" s="524">
        <f t="shared" si="1"/>
        <v>9.766287278344379E-3</v>
      </c>
      <c r="K46" s="460"/>
    </row>
    <row r="47" spans="1:11" ht="66" customHeight="1" x14ac:dyDescent="0.25">
      <c r="A47" s="531" t="s">
        <v>883</v>
      </c>
      <c r="B47" s="238" t="s">
        <v>11</v>
      </c>
      <c r="C47" s="238">
        <v>91929</v>
      </c>
      <c r="D47" s="238" t="s">
        <v>615</v>
      </c>
      <c r="E47" s="238" t="s">
        <v>276</v>
      </c>
      <c r="F47" s="222">
        <v>2228.5</v>
      </c>
      <c r="G47" s="222">
        <v>6.35</v>
      </c>
      <c r="H47" s="222">
        <f t="shared" si="2"/>
        <v>7.93</v>
      </c>
      <c r="I47" s="229">
        <f t="shared" si="3"/>
        <v>17672.009999999998</v>
      </c>
      <c r="J47" s="524">
        <f t="shared" si="1"/>
        <v>3.1146838383549796E-2</v>
      </c>
      <c r="K47" s="460"/>
    </row>
    <row r="48" spans="1:11" ht="66" customHeight="1" x14ac:dyDescent="0.25">
      <c r="A48" s="531" t="s">
        <v>884</v>
      </c>
      <c r="B48" s="238" t="s">
        <v>11</v>
      </c>
      <c r="C48" s="238">
        <v>91931</v>
      </c>
      <c r="D48" s="238" t="s">
        <v>602</v>
      </c>
      <c r="E48" s="238" t="s">
        <v>276</v>
      </c>
      <c r="F48" s="222">
        <v>665</v>
      </c>
      <c r="G48" s="222">
        <v>8.9600000000000009</v>
      </c>
      <c r="H48" s="222">
        <f t="shared" si="2"/>
        <v>11.19</v>
      </c>
      <c r="I48" s="229">
        <f t="shared" si="3"/>
        <v>7441.35</v>
      </c>
      <c r="J48" s="524">
        <f t="shared" si="1"/>
        <v>1.311534600792034E-2</v>
      </c>
      <c r="K48" s="460"/>
    </row>
    <row r="49" spans="1:11" ht="66" customHeight="1" x14ac:dyDescent="0.25">
      <c r="A49" s="531" t="s">
        <v>936</v>
      </c>
      <c r="B49" s="238" t="s">
        <v>11</v>
      </c>
      <c r="C49" s="238">
        <v>91935</v>
      </c>
      <c r="D49" s="238" t="s">
        <v>613</v>
      </c>
      <c r="E49" s="238" t="s">
        <v>276</v>
      </c>
      <c r="F49" s="222">
        <v>30.6</v>
      </c>
      <c r="G49" s="222">
        <v>22.56</v>
      </c>
      <c r="H49" s="222">
        <f t="shared" si="2"/>
        <v>28.18</v>
      </c>
      <c r="I49" s="229">
        <f t="shared" si="3"/>
        <v>862.31</v>
      </c>
      <c r="J49" s="524">
        <f t="shared" si="1"/>
        <v>1.5198175083942814E-3</v>
      </c>
      <c r="K49" s="460"/>
    </row>
    <row r="50" spans="1:11" ht="66" customHeight="1" x14ac:dyDescent="0.25">
      <c r="A50" s="531" t="s">
        <v>885</v>
      </c>
      <c r="B50" s="238" t="s">
        <v>11</v>
      </c>
      <c r="C50" s="238" t="s">
        <v>654</v>
      </c>
      <c r="D50" s="238" t="s">
        <v>640</v>
      </c>
      <c r="E50" s="238" t="s">
        <v>275</v>
      </c>
      <c r="F50" s="222">
        <v>5</v>
      </c>
      <c r="G50" s="222">
        <v>42.81</v>
      </c>
      <c r="H50" s="222">
        <f t="shared" si="2"/>
        <v>53.47</v>
      </c>
      <c r="I50" s="229">
        <f t="shared" si="3"/>
        <v>267.35000000000002</v>
      </c>
      <c r="J50" s="524">
        <f t="shared" si="1"/>
        <v>4.7120317620021941E-4</v>
      </c>
      <c r="K50" s="460"/>
    </row>
    <row r="51" spans="1:11" ht="66" customHeight="1" x14ac:dyDescent="0.25">
      <c r="A51" s="531" t="s">
        <v>886</v>
      </c>
      <c r="B51" s="227" t="s">
        <v>11</v>
      </c>
      <c r="C51" s="227" t="s">
        <v>655</v>
      </c>
      <c r="D51" s="227" t="s">
        <v>639</v>
      </c>
      <c r="E51" s="227" t="s">
        <v>275</v>
      </c>
      <c r="F51" s="222">
        <v>3</v>
      </c>
      <c r="G51" s="222">
        <v>68.39</v>
      </c>
      <c r="H51" s="222">
        <f t="shared" si="2"/>
        <v>85.43</v>
      </c>
      <c r="I51" s="229">
        <f t="shared" si="3"/>
        <v>256.29000000000002</v>
      </c>
      <c r="J51" s="524">
        <f t="shared" si="1"/>
        <v>4.5170997579335791E-4</v>
      </c>
      <c r="K51" s="460"/>
    </row>
    <row r="52" spans="1:11" ht="66" customHeight="1" x14ac:dyDescent="0.25">
      <c r="A52" s="531" t="s">
        <v>887</v>
      </c>
      <c r="B52" s="227" t="s">
        <v>11</v>
      </c>
      <c r="C52" s="227">
        <v>93653</v>
      </c>
      <c r="D52" s="227" t="s">
        <v>605</v>
      </c>
      <c r="E52" s="227" t="s">
        <v>275</v>
      </c>
      <c r="F52" s="222">
        <v>6</v>
      </c>
      <c r="G52" s="222">
        <v>10.4</v>
      </c>
      <c r="H52" s="222">
        <f t="shared" si="2"/>
        <v>12.99</v>
      </c>
      <c r="I52" s="229">
        <f t="shared" si="3"/>
        <v>77.94</v>
      </c>
      <c r="J52" s="524">
        <f t="shared" si="1"/>
        <v>1.3736890051634597E-4</v>
      </c>
      <c r="K52" s="460"/>
    </row>
    <row r="53" spans="1:11" ht="66" customHeight="1" x14ac:dyDescent="0.25">
      <c r="A53" s="531" t="s">
        <v>888</v>
      </c>
      <c r="B53" s="238" t="s">
        <v>11</v>
      </c>
      <c r="C53" s="238">
        <v>93655</v>
      </c>
      <c r="D53" s="238" t="s">
        <v>606</v>
      </c>
      <c r="E53" s="238" t="s">
        <v>275</v>
      </c>
      <c r="F53" s="222">
        <v>1</v>
      </c>
      <c r="G53" s="222">
        <v>11.9</v>
      </c>
      <c r="H53" s="222">
        <f t="shared" si="2"/>
        <v>14.86</v>
      </c>
      <c r="I53" s="229">
        <f t="shared" si="3"/>
        <v>14.86</v>
      </c>
      <c r="J53" s="524">
        <f t="shared" si="1"/>
        <v>2.6190683367627678E-5</v>
      </c>
      <c r="K53" s="460"/>
    </row>
    <row r="54" spans="1:11" ht="66" customHeight="1" x14ac:dyDescent="0.25">
      <c r="A54" s="531" t="s">
        <v>889</v>
      </c>
      <c r="B54" s="238" t="s">
        <v>11</v>
      </c>
      <c r="C54" s="238">
        <v>93656</v>
      </c>
      <c r="D54" s="238" t="s">
        <v>607</v>
      </c>
      <c r="E54" s="238" t="s">
        <v>275</v>
      </c>
      <c r="F54" s="222">
        <v>1</v>
      </c>
      <c r="G54" s="222">
        <v>11.9</v>
      </c>
      <c r="H54" s="222">
        <f t="shared" si="2"/>
        <v>14.86</v>
      </c>
      <c r="I54" s="229">
        <f t="shared" si="3"/>
        <v>14.86</v>
      </c>
      <c r="J54" s="524">
        <f t="shared" si="1"/>
        <v>2.6190683367627678E-5</v>
      </c>
      <c r="K54" s="460"/>
    </row>
    <row r="55" spans="1:11" ht="66" customHeight="1" x14ac:dyDescent="0.25">
      <c r="A55" s="531" t="s">
        <v>890</v>
      </c>
      <c r="B55" s="463" t="s">
        <v>11</v>
      </c>
      <c r="C55" s="463" t="s">
        <v>634</v>
      </c>
      <c r="D55" s="238" t="s">
        <v>633</v>
      </c>
      <c r="E55" s="238" t="s">
        <v>275</v>
      </c>
      <c r="F55" s="222">
        <v>1</v>
      </c>
      <c r="G55" s="222">
        <v>84.93</v>
      </c>
      <c r="H55" s="222">
        <f t="shared" si="2"/>
        <v>106.09</v>
      </c>
      <c r="I55" s="229">
        <f t="shared" si="3"/>
        <v>106.09</v>
      </c>
      <c r="J55" s="524">
        <f t="shared" si="1"/>
        <v>1.8698314929149534E-4</v>
      </c>
      <c r="K55" s="460"/>
    </row>
    <row r="56" spans="1:11" ht="55.2" customHeight="1" x14ac:dyDescent="0.25">
      <c r="A56" s="531" t="s">
        <v>937</v>
      </c>
      <c r="B56" s="501" t="s">
        <v>354</v>
      </c>
      <c r="C56" s="258">
        <f>'CPU '!B55</f>
        <v>22</v>
      </c>
      <c r="D56" s="227" t="s">
        <v>637</v>
      </c>
      <c r="E56" s="227" t="s">
        <v>275</v>
      </c>
      <c r="F56" s="222">
        <v>1</v>
      </c>
      <c r="G56" s="222">
        <f>'CPU '!H55</f>
        <v>228.74</v>
      </c>
      <c r="H56" s="222">
        <f t="shared" si="2"/>
        <v>285.72000000000003</v>
      </c>
      <c r="I56" s="229">
        <f t="shared" si="3"/>
        <v>285.72000000000003</v>
      </c>
      <c r="J56" s="524">
        <f t="shared" si="1"/>
        <v>5.0358021882897588E-4</v>
      </c>
    </row>
    <row r="57" spans="1:11" ht="66" customHeight="1" x14ac:dyDescent="0.25">
      <c r="A57" s="531" t="s">
        <v>891</v>
      </c>
      <c r="B57" s="463" t="s">
        <v>11</v>
      </c>
      <c r="C57" s="463" t="s">
        <v>636</v>
      </c>
      <c r="D57" s="349" t="s">
        <v>635</v>
      </c>
      <c r="E57" s="463" t="s">
        <v>275</v>
      </c>
      <c r="F57" s="222">
        <v>1</v>
      </c>
      <c r="G57" s="222">
        <v>365.28</v>
      </c>
      <c r="H57" s="222">
        <f t="shared" si="2"/>
        <v>456.27</v>
      </c>
      <c r="I57" s="229">
        <f t="shared" si="3"/>
        <v>456.27</v>
      </c>
      <c r="J57" s="524">
        <f t="shared" si="1"/>
        <v>8.0417382908125714E-4</v>
      </c>
      <c r="K57" s="460"/>
    </row>
    <row r="58" spans="1:11" ht="41.25" customHeight="1" x14ac:dyDescent="0.25">
      <c r="A58" s="531" t="s">
        <v>892</v>
      </c>
      <c r="B58" s="463" t="s">
        <v>11</v>
      </c>
      <c r="C58" s="463" t="s">
        <v>641</v>
      </c>
      <c r="D58" s="349" t="s">
        <v>642</v>
      </c>
      <c r="E58" s="463" t="s">
        <v>275</v>
      </c>
      <c r="F58" s="222">
        <v>1</v>
      </c>
      <c r="G58" s="222">
        <v>67.959999999999994</v>
      </c>
      <c r="H58" s="222">
        <f t="shared" si="2"/>
        <v>84.89</v>
      </c>
      <c r="I58" s="229">
        <f t="shared" si="3"/>
        <v>84.89</v>
      </c>
      <c r="J58" s="524">
        <f t="shared" si="1"/>
        <v>1.4961824435248409E-4</v>
      </c>
      <c r="K58" s="460"/>
    </row>
    <row r="59" spans="1:11" ht="66" customHeight="1" x14ac:dyDescent="0.25">
      <c r="A59" s="531" t="s">
        <v>893</v>
      </c>
      <c r="B59" s="463" t="s">
        <v>11</v>
      </c>
      <c r="C59" s="463" t="s">
        <v>644</v>
      </c>
      <c r="D59" s="349" t="s">
        <v>643</v>
      </c>
      <c r="E59" s="463" t="s">
        <v>275</v>
      </c>
      <c r="F59" s="222">
        <v>1</v>
      </c>
      <c r="G59" s="222">
        <v>45.02</v>
      </c>
      <c r="H59" s="222">
        <f t="shared" si="2"/>
        <v>56.23</v>
      </c>
      <c r="I59" s="229">
        <f t="shared" si="3"/>
        <v>56.23</v>
      </c>
      <c r="J59" s="524">
        <f t="shared" si="1"/>
        <v>9.9105122864179301E-5</v>
      </c>
      <c r="K59" s="460"/>
    </row>
    <row r="60" spans="1:11" s="295" customFormat="1" ht="30" customHeight="1" x14ac:dyDescent="0.25">
      <c r="A60" s="533" t="s">
        <v>177</v>
      </c>
      <c r="B60" s="281" t="s">
        <v>423</v>
      </c>
      <c r="C60" s="282"/>
      <c r="D60" s="350"/>
      <c r="E60" s="282"/>
      <c r="F60" s="282"/>
      <c r="G60" s="343"/>
      <c r="H60" s="283"/>
      <c r="I60" s="285">
        <f>ROUND((SUM(I61,I70,I75,I83,I86,I91)),2)</f>
        <v>133188.22</v>
      </c>
      <c r="J60" s="524">
        <f t="shared" si="1"/>
        <v>0.23474364053283556</v>
      </c>
      <c r="K60" s="443">
        <f>(I61+I70+I75+I83+I86+I91)</f>
        <v>133188.22</v>
      </c>
    </row>
    <row r="61" spans="1:11" s="290" customFormat="1" ht="30" customHeight="1" x14ac:dyDescent="0.25">
      <c r="A61" s="525" t="s">
        <v>198</v>
      </c>
      <c r="B61" s="286" t="s">
        <v>589</v>
      </c>
      <c r="C61" s="287"/>
      <c r="D61" s="351"/>
      <c r="E61" s="287"/>
      <c r="F61" s="287"/>
      <c r="G61" s="344"/>
      <c r="H61" s="288"/>
      <c r="I61" s="293">
        <f>ROUND((SUM(I62:I69)),2)</f>
        <v>2270.44</v>
      </c>
      <c r="J61" s="524">
        <f t="shared" si="1"/>
        <v>4.0016403193268227E-3</v>
      </c>
      <c r="K61" s="444"/>
    </row>
    <row r="62" spans="1:11" ht="44.25" customHeight="1" x14ac:dyDescent="0.25">
      <c r="A62" s="534" t="s">
        <v>895</v>
      </c>
      <c r="B62" s="182" t="s">
        <v>11</v>
      </c>
      <c r="C62" s="183">
        <v>97622</v>
      </c>
      <c r="D62" s="490" t="s">
        <v>215</v>
      </c>
      <c r="E62" s="489" t="s">
        <v>581</v>
      </c>
      <c r="F62" s="186">
        <f>ROUND(MEMÓRIA_!B132,2)</f>
        <v>1.37</v>
      </c>
      <c r="G62" s="186">
        <v>45.09</v>
      </c>
      <c r="H62" s="186">
        <f t="shared" ref="H62:H69" si="4">ROUND(((($I$12/100)+1)*G62),2)</f>
        <v>56.32</v>
      </c>
      <c r="I62" s="234">
        <f t="shared" ref="I62:I69" si="5">ROUND((H62*F62),2)</f>
        <v>77.16</v>
      </c>
      <c r="J62" s="524">
        <f t="shared" si="1"/>
        <v>1.3599415401387293E-4</v>
      </c>
      <c r="K62" s="459"/>
    </row>
    <row r="63" spans="1:11" ht="30" customHeight="1" x14ac:dyDescent="0.25">
      <c r="A63" s="534" t="s">
        <v>896</v>
      </c>
      <c r="B63" s="182" t="s">
        <v>11</v>
      </c>
      <c r="C63" s="183">
        <v>97645</v>
      </c>
      <c r="D63" s="490" t="s">
        <v>165</v>
      </c>
      <c r="E63" s="489" t="s">
        <v>582</v>
      </c>
      <c r="F63" s="186">
        <f>MEMÓRIA_!B135</f>
        <v>0.72</v>
      </c>
      <c r="G63" s="186">
        <v>29.24</v>
      </c>
      <c r="H63" s="186">
        <f t="shared" si="4"/>
        <v>36.520000000000003</v>
      </c>
      <c r="I63" s="234">
        <f t="shared" si="5"/>
        <v>26.29</v>
      </c>
      <c r="J63" s="524">
        <f t="shared" si="1"/>
        <v>4.6336007115405899E-5</v>
      </c>
      <c r="K63" s="460"/>
    </row>
    <row r="64" spans="1:11" ht="30" customHeight="1" x14ac:dyDescent="0.25">
      <c r="A64" s="534" t="s">
        <v>897</v>
      </c>
      <c r="B64" s="182" t="s">
        <v>11</v>
      </c>
      <c r="C64" s="183">
        <v>97644</v>
      </c>
      <c r="D64" s="490" t="s">
        <v>166</v>
      </c>
      <c r="E64" s="489" t="s">
        <v>582</v>
      </c>
      <c r="F64" s="186">
        <f>MEMÓRIA_!B142</f>
        <v>10</v>
      </c>
      <c r="G64" s="186">
        <v>7.34</v>
      </c>
      <c r="H64" s="186">
        <f t="shared" si="4"/>
        <v>9.17</v>
      </c>
      <c r="I64" s="234">
        <f t="shared" si="5"/>
        <v>91.7</v>
      </c>
      <c r="J64" s="524">
        <f t="shared" si="1"/>
        <v>1.6162083881638347E-4</v>
      </c>
      <c r="K64" s="460"/>
    </row>
    <row r="65" spans="1:11" ht="30" customHeight="1" x14ac:dyDescent="0.25">
      <c r="A65" s="534" t="s">
        <v>898</v>
      </c>
      <c r="B65" s="182" t="s">
        <v>11</v>
      </c>
      <c r="C65" s="183">
        <v>97666</v>
      </c>
      <c r="D65" s="490" t="s">
        <v>214</v>
      </c>
      <c r="E65" s="489" t="s">
        <v>275</v>
      </c>
      <c r="F65" s="186">
        <f>MEMÓRIA_!B146</f>
        <v>8</v>
      </c>
      <c r="G65" s="186">
        <v>7.08</v>
      </c>
      <c r="H65" s="186">
        <f t="shared" si="4"/>
        <v>8.84</v>
      </c>
      <c r="I65" s="234">
        <f t="shared" si="5"/>
        <v>70.72</v>
      </c>
      <c r="J65" s="524">
        <f t="shared" si="1"/>
        <v>1.2464368289089029E-4</v>
      </c>
      <c r="K65" s="460"/>
    </row>
    <row r="66" spans="1:11" ht="38.25" customHeight="1" x14ac:dyDescent="0.25">
      <c r="A66" s="534" t="s">
        <v>899</v>
      </c>
      <c r="B66" s="182" t="s">
        <v>11</v>
      </c>
      <c r="C66" s="183">
        <v>97629</v>
      </c>
      <c r="D66" s="490" t="s">
        <v>237</v>
      </c>
      <c r="E66" s="489" t="s">
        <v>581</v>
      </c>
      <c r="F66" s="186">
        <f>ROUND(MEMÓRIA_!B151,2)</f>
        <v>2.13</v>
      </c>
      <c r="G66" s="186">
        <v>102.69</v>
      </c>
      <c r="H66" s="186">
        <f t="shared" si="4"/>
        <v>128.27000000000001</v>
      </c>
      <c r="I66" s="234">
        <f t="shared" si="5"/>
        <v>273.22000000000003</v>
      </c>
      <c r="J66" s="524">
        <f t="shared" si="1"/>
        <v>4.8154902487908719E-4</v>
      </c>
      <c r="K66" s="460"/>
    </row>
    <row r="67" spans="1:11" ht="39.75" customHeight="1" x14ac:dyDescent="0.25">
      <c r="A67" s="534" t="s">
        <v>952</v>
      </c>
      <c r="B67" s="182" t="s">
        <v>11</v>
      </c>
      <c r="C67" s="183">
        <v>97631</v>
      </c>
      <c r="D67" s="490" t="s">
        <v>521</v>
      </c>
      <c r="E67" s="489" t="s">
        <v>582</v>
      </c>
      <c r="F67" s="186">
        <f>ROUND(MEMÓRIA_!B168,2)</f>
        <v>298.92</v>
      </c>
      <c r="G67" s="186">
        <v>2.63</v>
      </c>
      <c r="H67" s="186">
        <f t="shared" si="4"/>
        <v>3.29</v>
      </c>
      <c r="I67" s="234">
        <f t="shared" si="5"/>
        <v>983.45</v>
      </c>
      <c r="J67" s="524">
        <f t="shared" ref="J67:J108" si="6">I67/$I$15</f>
        <v>1.7333262152014429E-3</v>
      </c>
      <c r="K67" s="460"/>
    </row>
    <row r="68" spans="1:11" ht="71.25" customHeight="1" x14ac:dyDescent="0.25">
      <c r="A68" s="534" t="s">
        <v>900</v>
      </c>
      <c r="B68" s="501" t="s">
        <v>354</v>
      </c>
      <c r="C68" s="183">
        <v>23</v>
      </c>
      <c r="D68" s="490" t="s">
        <v>579</v>
      </c>
      <c r="E68" s="221" t="s">
        <v>581</v>
      </c>
      <c r="F68" s="222">
        <f>MEMÓRIA_!B171</f>
        <v>9.4717310000000001</v>
      </c>
      <c r="G68" s="186">
        <f>'CPU '!H64</f>
        <v>17.27</v>
      </c>
      <c r="H68" s="222">
        <f t="shared" si="4"/>
        <v>21.57</v>
      </c>
      <c r="I68" s="229">
        <f t="shared" si="5"/>
        <v>204.31</v>
      </c>
      <c r="J68" s="524">
        <f t="shared" si="6"/>
        <v>3.6009545887214075E-4</v>
      </c>
    </row>
    <row r="69" spans="1:11" ht="55.5" customHeight="1" x14ac:dyDescent="0.25">
      <c r="A69" s="534" t="s">
        <v>901</v>
      </c>
      <c r="B69" s="463" t="s">
        <v>11</v>
      </c>
      <c r="C69" s="223" t="s">
        <v>531</v>
      </c>
      <c r="D69" s="348" t="s">
        <v>530</v>
      </c>
      <c r="E69" s="221" t="s">
        <v>532</v>
      </c>
      <c r="F69" s="222">
        <f>MEMÓRIA_!B173</f>
        <v>189.40461999999999</v>
      </c>
      <c r="G69" s="186">
        <v>2.2999999999999998</v>
      </c>
      <c r="H69" s="222">
        <f t="shared" si="4"/>
        <v>2.87</v>
      </c>
      <c r="I69" s="229">
        <f t="shared" si="5"/>
        <v>543.59</v>
      </c>
      <c r="J69" s="524">
        <f t="shared" si="6"/>
        <v>9.5807493753759969E-4</v>
      </c>
      <c r="K69" s="460"/>
    </row>
    <row r="70" spans="1:11" s="290" customFormat="1" ht="30" customHeight="1" x14ac:dyDescent="0.25">
      <c r="A70" s="525" t="s">
        <v>200</v>
      </c>
      <c r="B70" s="286" t="s">
        <v>424</v>
      </c>
      <c r="C70" s="287"/>
      <c r="D70" s="351"/>
      <c r="E70" s="287"/>
      <c r="F70" s="287"/>
      <c r="G70" s="288"/>
      <c r="H70" s="288"/>
      <c r="I70" s="293">
        <f>ROUND((SUM(I71:I74)),2)</f>
        <v>3830.95</v>
      </c>
      <c r="J70" s="524">
        <f t="shared" si="6"/>
        <v>6.752032196986087E-3</v>
      </c>
    </row>
    <row r="71" spans="1:11" ht="74.25" customHeight="1" x14ac:dyDescent="0.25">
      <c r="A71" s="528" t="s">
        <v>950</v>
      </c>
      <c r="B71" s="182" t="s">
        <v>11</v>
      </c>
      <c r="C71" s="183">
        <v>101964</v>
      </c>
      <c r="D71" s="490" t="s">
        <v>404</v>
      </c>
      <c r="E71" s="489" t="s">
        <v>582</v>
      </c>
      <c r="F71" s="186">
        <f>ROUND(MEMÓRIA_!B177,2)</f>
        <v>14.18</v>
      </c>
      <c r="G71" s="186">
        <v>155.43</v>
      </c>
      <c r="H71" s="186">
        <f t="shared" ref="H71:H74" si="7">ROUND(((($I$12/100)+1)*G71),2)</f>
        <v>194.15</v>
      </c>
      <c r="I71" s="234">
        <f t="shared" ref="I71:I74" si="8">ROUND((H71*F71),2)</f>
        <v>2753.05</v>
      </c>
      <c r="J71" s="524">
        <f t="shared" si="6"/>
        <v>4.8522382802992856E-3</v>
      </c>
      <c r="K71" s="460"/>
    </row>
    <row r="72" spans="1:11" ht="65.25" customHeight="1" x14ac:dyDescent="0.25">
      <c r="A72" s="528" t="s">
        <v>951</v>
      </c>
      <c r="B72" s="182" t="s">
        <v>11</v>
      </c>
      <c r="C72" s="185" t="s">
        <v>243</v>
      </c>
      <c r="D72" s="347" t="s">
        <v>244</v>
      </c>
      <c r="E72" s="489" t="s">
        <v>582</v>
      </c>
      <c r="F72" s="186">
        <f>ROUND(MEMÓRIA_!B179,2)</f>
        <v>14.18</v>
      </c>
      <c r="G72" s="186">
        <v>5.66</v>
      </c>
      <c r="H72" s="186">
        <f t="shared" si="7"/>
        <v>7.07</v>
      </c>
      <c r="I72" s="234">
        <f t="shared" si="8"/>
        <v>100.25</v>
      </c>
      <c r="J72" s="524">
        <f t="shared" si="6"/>
        <v>1.7669017547810732E-4</v>
      </c>
      <c r="K72" s="460"/>
    </row>
    <row r="73" spans="1:11" ht="84" customHeight="1" x14ac:dyDescent="0.25">
      <c r="A73" s="528" t="s">
        <v>902</v>
      </c>
      <c r="B73" s="182" t="s">
        <v>11</v>
      </c>
      <c r="C73" s="185" t="s">
        <v>599</v>
      </c>
      <c r="D73" s="347" t="s">
        <v>598</v>
      </c>
      <c r="E73" s="489" t="s">
        <v>582</v>
      </c>
      <c r="F73" s="186">
        <f>ROUND(MEMÓRIA_!B181,2)</f>
        <v>14.18</v>
      </c>
      <c r="G73" s="186">
        <v>31.81</v>
      </c>
      <c r="H73" s="186">
        <f t="shared" si="7"/>
        <v>39.729999999999997</v>
      </c>
      <c r="I73" s="234">
        <f t="shared" si="8"/>
        <v>563.37</v>
      </c>
      <c r="J73" s="524">
        <f t="shared" si="6"/>
        <v>9.9293709884390349E-4</v>
      </c>
      <c r="K73" s="460"/>
    </row>
    <row r="74" spans="1:11" ht="42" customHeight="1" x14ac:dyDescent="0.25">
      <c r="A74" s="528" t="s">
        <v>903</v>
      </c>
      <c r="B74" s="182" t="s">
        <v>11</v>
      </c>
      <c r="C74" s="185" t="s">
        <v>97</v>
      </c>
      <c r="D74" s="347" t="s">
        <v>236</v>
      </c>
      <c r="E74" s="489" t="s">
        <v>582</v>
      </c>
      <c r="F74" s="186">
        <f>MEMÓRIA_!B183</f>
        <v>28.356000000000002</v>
      </c>
      <c r="G74" s="186">
        <v>11.7</v>
      </c>
      <c r="H74" s="186">
        <f t="shared" si="7"/>
        <v>14.61</v>
      </c>
      <c r="I74" s="234">
        <f t="shared" si="8"/>
        <v>414.28</v>
      </c>
      <c r="J74" s="524">
        <f t="shared" si="6"/>
        <v>7.30166642364791E-4</v>
      </c>
      <c r="K74" s="460"/>
    </row>
    <row r="75" spans="1:11" s="290" customFormat="1" ht="30" customHeight="1" x14ac:dyDescent="0.25">
      <c r="A75" s="525" t="s">
        <v>204</v>
      </c>
      <c r="B75" s="286" t="s">
        <v>374</v>
      </c>
      <c r="C75" s="287"/>
      <c r="D75" s="351"/>
      <c r="E75" s="287"/>
      <c r="F75" s="287"/>
      <c r="G75" s="344"/>
      <c r="H75" s="288"/>
      <c r="I75" s="293">
        <f>ROUND((SUM(I76:I82)),2)</f>
        <v>90365.2</v>
      </c>
      <c r="J75" s="524">
        <f t="shared" si="6"/>
        <v>0.15926825980163853</v>
      </c>
    </row>
    <row r="76" spans="1:11" ht="29.25" customHeight="1" x14ac:dyDescent="0.25">
      <c r="A76" s="528" t="s">
        <v>945</v>
      </c>
      <c r="B76" s="501" t="s">
        <v>354</v>
      </c>
      <c r="C76" s="184">
        <f>'CPU '!B70</f>
        <v>24</v>
      </c>
      <c r="D76" s="535" t="s">
        <v>523</v>
      </c>
      <c r="E76" s="489" t="s">
        <v>582</v>
      </c>
      <c r="F76" s="186">
        <f>ROUND(MEMÓRIA_!B190,2)</f>
        <v>2675.24</v>
      </c>
      <c r="G76" s="186">
        <f>'CPU '!H70</f>
        <v>3.5</v>
      </c>
      <c r="H76" s="186">
        <f t="shared" ref="H76:H82" si="9">ROUND(((($I$12/100)+1)*G76),2)</f>
        <v>4.37</v>
      </c>
      <c r="I76" s="234">
        <f t="shared" ref="I76:I82" si="10">ROUND((H76*F76),2)</f>
        <v>11690.8</v>
      </c>
      <c r="J76" s="524">
        <f t="shared" si="6"/>
        <v>2.06049825783487E-2</v>
      </c>
    </row>
    <row r="77" spans="1:11" ht="30" customHeight="1" x14ac:dyDescent="0.25">
      <c r="A77" s="528" t="s">
        <v>946</v>
      </c>
      <c r="B77" s="182" t="s">
        <v>11</v>
      </c>
      <c r="C77" s="184">
        <v>88495</v>
      </c>
      <c r="D77" s="491" t="s">
        <v>235</v>
      </c>
      <c r="E77" s="489" t="s">
        <v>582</v>
      </c>
      <c r="F77" s="186">
        <f>ROUND(MEMÓRIA_!B234,2)</f>
        <v>1123.3</v>
      </c>
      <c r="G77" s="186">
        <v>10.09</v>
      </c>
      <c r="H77" s="186">
        <f t="shared" si="9"/>
        <v>12.6</v>
      </c>
      <c r="I77" s="234">
        <f t="shared" si="10"/>
        <v>14153.58</v>
      </c>
      <c r="J77" s="524">
        <f t="shared" si="6"/>
        <v>2.4945621285221251E-2</v>
      </c>
      <c r="K77" s="460"/>
    </row>
    <row r="78" spans="1:11" ht="69.75" customHeight="1" x14ac:dyDescent="0.25">
      <c r="A78" s="528" t="s">
        <v>947</v>
      </c>
      <c r="B78" s="182" t="s">
        <v>11</v>
      </c>
      <c r="C78" s="185" t="s">
        <v>243</v>
      </c>
      <c r="D78" s="347" t="s">
        <v>244</v>
      </c>
      <c r="E78" s="489" t="s">
        <v>582</v>
      </c>
      <c r="F78" s="186">
        <f>ROUND(MEMÓRIA_!B238,2)</f>
        <v>298.92</v>
      </c>
      <c r="G78" s="186">
        <v>5.2</v>
      </c>
      <c r="H78" s="186">
        <f t="shared" si="9"/>
        <v>6.5</v>
      </c>
      <c r="I78" s="234">
        <f t="shared" si="10"/>
        <v>1942.98</v>
      </c>
      <c r="J78" s="524">
        <f t="shared" si="6"/>
        <v>3.4244935376603787E-3</v>
      </c>
      <c r="K78" s="460"/>
    </row>
    <row r="79" spans="1:11" ht="81.75" customHeight="1" x14ac:dyDescent="0.25">
      <c r="A79" s="528" t="s">
        <v>948</v>
      </c>
      <c r="B79" s="182" t="s">
        <v>11</v>
      </c>
      <c r="C79" s="185" t="s">
        <v>599</v>
      </c>
      <c r="D79" s="347" t="s">
        <v>598</v>
      </c>
      <c r="E79" s="489" t="s">
        <v>582</v>
      </c>
      <c r="F79" s="186">
        <f>ROUND(MEMÓRIA_!B240,2)</f>
        <v>298.92</v>
      </c>
      <c r="G79" s="186">
        <v>31.81</v>
      </c>
      <c r="H79" s="186">
        <f t="shared" si="9"/>
        <v>39.729999999999997</v>
      </c>
      <c r="I79" s="234">
        <f t="shared" si="10"/>
        <v>11876.09</v>
      </c>
      <c r="J79" s="524">
        <f t="shared" si="6"/>
        <v>2.093155537250669E-2</v>
      </c>
      <c r="K79" s="460"/>
    </row>
    <row r="80" spans="1:11" ht="38.25" customHeight="1" x14ac:dyDescent="0.25">
      <c r="A80" s="528" t="s">
        <v>949</v>
      </c>
      <c r="B80" s="182" t="s">
        <v>11</v>
      </c>
      <c r="C80" s="184">
        <v>88489</v>
      </c>
      <c r="D80" s="491" t="s">
        <v>236</v>
      </c>
      <c r="E80" s="489" t="s">
        <v>582</v>
      </c>
      <c r="F80" s="186">
        <f>ROUND(MEMÓRIA_!B248,2)</f>
        <v>2341.46</v>
      </c>
      <c r="G80" s="186">
        <v>11.7</v>
      </c>
      <c r="H80" s="186">
        <f t="shared" si="9"/>
        <v>14.61</v>
      </c>
      <c r="I80" s="234">
        <f t="shared" si="10"/>
        <v>34208.730000000003</v>
      </c>
      <c r="J80" s="524">
        <f t="shared" si="6"/>
        <v>6.0292733232750077E-2</v>
      </c>
      <c r="K80" s="460"/>
    </row>
    <row r="81" spans="1:11" ht="30" customHeight="1" x14ac:dyDescent="0.25">
      <c r="A81" s="528" t="s">
        <v>904</v>
      </c>
      <c r="B81" s="182" t="s">
        <v>11</v>
      </c>
      <c r="C81" s="184">
        <v>88496</v>
      </c>
      <c r="D81" s="491" t="s">
        <v>234</v>
      </c>
      <c r="E81" s="489" t="s">
        <v>582</v>
      </c>
      <c r="F81" s="186">
        <f>MEMÓRIA_!B261</f>
        <v>344.97</v>
      </c>
      <c r="G81" s="186">
        <v>24.91</v>
      </c>
      <c r="H81" s="186">
        <f t="shared" si="9"/>
        <v>31.12</v>
      </c>
      <c r="I81" s="234">
        <f t="shared" si="10"/>
        <v>10735.47</v>
      </c>
      <c r="J81" s="524">
        <f t="shared" si="6"/>
        <v>1.8921217737056927E-2</v>
      </c>
      <c r="K81" s="460"/>
    </row>
    <row r="82" spans="1:11" ht="43.5" customHeight="1" x14ac:dyDescent="0.25">
      <c r="A82" s="528" t="s">
        <v>905</v>
      </c>
      <c r="B82" s="182" t="s">
        <v>11</v>
      </c>
      <c r="C82" s="184">
        <v>88488</v>
      </c>
      <c r="D82" s="491" t="s">
        <v>238</v>
      </c>
      <c r="E82" s="489" t="s">
        <v>582</v>
      </c>
      <c r="F82" s="186">
        <f>MEMÓRIA_!B267</f>
        <v>344.97</v>
      </c>
      <c r="G82" s="186">
        <v>13.36</v>
      </c>
      <c r="H82" s="186">
        <f t="shared" si="9"/>
        <v>16.690000000000001</v>
      </c>
      <c r="I82" s="234">
        <f t="shared" si="10"/>
        <v>5757.55</v>
      </c>
      <c r="J82" s="524">
        <f t="shared" si="6"/>
        <v>1.0147656058094532E-2</v>
      </c>
      <c r="K82" s="460"/>
    </row>
    <row r="83" spans="1:11" s="290" customFormat="1" ht="30" customHeight="1" x14ac:dyDescent="0.25">
      <c r="A83" s="525" t="s">
        <v>207</v>
      </c>
      <c r="B83" s="286" t="s">
        <v>403</v>
      </c>
      <c r="C83" s="287"/>
      <c r="D83" s="351"/>
      <c r="E83" s="287"/>
      <c r="F83" s="287"/>
      <c r="G83" s="344"/>
      <c r="H83" s="288"/>
      <c r="I83" s="293">
        <f>ROUND((SUM(I84:I85)),2)</f>
        <v>12373.69</v>
      </c>
      <c r="J83" s="524">
        <f t="shared" si="6"/>
        <v>2.1808573141263859E-2</v>
      </c>
    </row>
    <row r="84" spans="1:11" ht="43.5" customHeight="1" x14ac:dyDescent="0.25">
      <c r="A84" s="528" t="s">
        <v>906</v>
      </c>
      <c r="B84" s="182" t="s">
        <v>11</v>
      </c>
      <c r="C84" s="184">
        <v>91341</v>
      </c>
      <c r="D84" s="491" t="s">
        <v>179</v>
      </c>
      <c r="E84" s="489" t="s">
        <v>582</v>
      </c>
      <c r="F84" s="186">
        <f>MEMÓRIA_!B273</f>
        <v>10</v>
      </c>
      <c r="G84" s="186">
        <v>933.98</v>
      </c>
      <c r="H84" s="186">
        <f>ROUND(((($I$12/100)+1)*G84),2)</f>
        <v>1166.6300000000001</v>
      </c>
      <c r="I84" s="234">
        <f>ROUND((H84*F84),2)</f>
        <v>11666.3</v>
      </c>
      <c r="J84" s="524">
        <f t="shared" si="6"/>
        <v>2.0561801438206916E-2</v>
      </c>
      <c r="K84" s="460">
        <v>932.71</v>
      </c>
    </row>
    <row r="85" spans="1:11" ht="78" customHeight="1" x14ac:dyDescent="0.25">
      <c r="A85" s="528" t="s">
        <v>907</v>
      </c>
      <c r="B85" s="182" t="s">
        <v>11</v>
      </c>
      <c r="C85" s="184">
        <v>94570</v>
      </c>
      <c r="D85" s="491" t="s">
        <v>273</v>
      </c>
      <c r="E85" s="489" t="s">
        <v>582</v>
      </c>
      <c r="F85" s="186">
        <f>MEMÓRIA_!B276</f>
        <v>0.72</v>
      </c>
      <c r="G85" s="186">
        <v>786.55</v>
      </c>
      <c r="H85" s="186">
        <f>ROUND(((($I$12/100)+1)*G85),2)</f>
        <v>982.48</v>
      </c>
      <c r="I85" s="234">
        <f>ROUND((H85*F85),2)</f>
        <v>707.39</v>
      </c>
      <c r="J85" s="524">
        <f t="shared" si="6"/>
        <v>1.246771703056941E-3</v>
      </c>
      <c r="K85" s="460">
        <v>784.82</v>
      </c>
    </row>
    <row r="86" spans="1:11" s="290" customFormat="1" ht="30" customHeight="1" x14ac:dyDescent="0.25">
      <c r="A86" s="525" t="s">
        <v>908</v>
      </c>
      <c r="B86" s="286" t="s">
        <v>231</v>
      </c>
      <c r="C86" s="287"/>
      <c r="D86" s="351"/>
      <c r="E86" s="287"/>
      <c r="F86" s="287"/>
      <c r="G86" s="344"/>
      <c r="H86" s="288"/>
      <c r="I86" s="293">
        <f>ROUND((SUM(I87:I90)),2)</f>
        <v>17179.439999999999</v>
      </c>
      <c r="J86" s="524">
        <f t="shared" si="6"/>
        <v>3.0278685967238064E-2</v>
      </c>
    </row>
    <row r="87" spans="1:11" ht="30" customHeight="1" x14ac:dyDescent="0.25">
      <c r="A87" s="528" t="s">
        <v>909</v>
      </c>
      <c r="B87" s="502" t="s">
        <v>354</v>
      </c>
      <c r="C87" s="184">
        <f>'CPU '!B76</f>
        <v>25</v>
      </c>
      <c r="D87" s="491" t="s">
        <v>182</v>
      </c>
      <c r="E87" s="489" t="s">
        <v>425</v>
      </c>
      <c r="F87" s="186">
        <f>MEMÓRIA_!B288</f>
        <v>34</v>
      </c>
      <c r="G87" s="187">
        <f>'CPU '!H76</f>
        <v>78.23</v>
      </c>
      <c r="H87" s="186">
        <f>ROUND(((($I$12/100)+1)*G87),2)</f>
        <v>97.72</v>
      </c>
      <c r="I87" s="234">
        <f>ROUND((H87*F87),2)</f>
        <v>3322.48</v>
      </c>
      <c r="J87" s="524">
        <f t="shared" si="6"/>
        <v>5.8558561019700951E-3</v>
      </c>
    </row>
    <row r="88" spans="1:11" ht="30" customHeight="1" x14ac:dyDescent="0.25">
      <c r="A88" s="528" t="s">
        <v>910</v>
      </c>
      <c r="B88" s="502" t="s">
        <v>354</v>
      </c>
      <c r="C88" s="184">
        <f>'CPU '!B83</f>
        <v>26</v>
      </c>
      <c r="D88" s="491" t="s">
        <v>191</v>
      </c>
      <c r="E88" s="489" t="s">
        <v>425</v>
      </c>
      <c r="F88" s="186">
        <f>MEMÓRIA_!B299</f>
        <v>34</v>
      </c>
      <c r="G88" s="187">
        <f>'CPU '!H83</f>
        <v>103</v>
      </c>
      <c r="H88" s="186">
        <f>ROUND(((($I$12/100)+1)*G88),2)</f>
        <v>128.66</v>
      </c>
      <c r="I88" s="234">
        <f>ROUND((H88*F88),2)</f>
        <v>4374.4399999999996</v>
      </c>
      <c r="J88" s="524">
        <f t="shared" si="6"/>
        <v>7.7099308849720872E-3</v>
      </c>
    </row>
    <row r="89" spans="1:11" ht="58.5" customHeight="1" x14ac:dyDescent="0.25">
      <c r="A89" s="528" t="s">
        <v>911</v>
      </c>
      <c r="B89" s="501" t="s">
        <v>354</v>
      </c>
      <c r="C89" s="184">
        <f>'CPU '!B90</f>
        <v>27</v>
      </c>
      <c r="D89" s="491" t="s">
        <v>239</v>
      </c>
      <c r="E89" s="489" t="s">
        <v>275</v>
      </c>
      <c r="F89" s="186">
        <f>MEMÓRIA_!B302</f>
        <v>2</v>
      </c>
      <c r="G89" s="187">
        <f>'CPU '!H90</f>
        <v>2824.85</v>
      </c>
      <c r="H89" s="186">
        <f>ROUND(((($I$12/100)+1)*G89),2)</f>
        <v>3528.52</v>
      </c>
      <c r="I89" s="234">
        <f>ROUND((H89*F89),2)</f>
        <v>7057.04</v>
      </c>
      <c r="J89" s="524">
        <f t="shared" si="6"/>
        <v>1.2438001356169801E-2</v>
      </c>
      <c r="K89" s="153"/>
    </row>
    <row r="90" spans="1:11" ht="51.75" customHeight="1" x14ac:dyDescent="0.25">
      <c r="A90" s="528" t="s">
        <v>912</v>
      </c>
      <c r="B90" s="501" t="s">
        <v>354</v>
      </c>
      <c r="C90" s="184">
        <v>28</v>
      </c>
      <c r="D90" s="491" t="s">
        <v>240</v>
      </c>
      <c r="E90" s="489" t="s">
        <v>275</v>
      </c>
      <c r="F90" s="186">
        <f>MEMÓRIA_!B304</f>
        <v>1</v>
      </c>
      <c r="G90" s="187">
        <f>'CPU '!H105</f>
        <v>1941.78</v>
      </c>
      <c r="H90" s="186">
        <f>ROUND(((($I$12/100)+1)*G90),2)</f>
        <v>2425.48</v>
      </c>
      <c r="I90" s="234">
        <f>ROUND((H90*F90),2)</f>
        <v>2425.48</v>
      </c>
      <c r="J90" s="524">
        <f t="shared" si="6"/>
        <v>4.2748976241260821E-3</v>
      </c>
      <c r="K90" s="153"/>
    </row>
    <row r="91" spans="1:11" s="290" customFormat="1" ht="30" customHeight="1" x14ac:dyDescent="0.25">
      <c r="A91" s="525" t="s">
        <v>913</v>
      </c>
      <c r="B91" s="286" t="s">
        <v>414</v>
      </c>
      <c r="C91" s="287"/>
      <c r="D91" s="351"/>
      <c r="E91" s="287"/>
      <c r="F91" s="287"/>
      <c r="G91" s="344"/>
      <c r="H91" s="288"/>
      <c r="I91" s="293">
        <f>ROUND((SUM(I92:I97)),2)</f>
        <v>7168.5</v>
      </c>
      <c r="J91" s="524">
        <f t="shared" si="6"/>
        <v>1.2634449106382168E-2</v>
      </c>
    </row>
    <row r="92" spans="1:11" ht="30" customHeight="1" x14ac:dyDescent="0.25">
      <c r="A92" s="528" t="s">
        <v>914</v>
      </c>
      <c r="B92" s="502" t="s">
        <v>354</v>
      </c>
      <c r="C92" s="184">
        <v>29</v>
      </c>
      <c r="D92" s="491" t="s">
        <v>199</v>
      </c>
      <c r="E92" s="489" t="s">
        <v>425</v>
      </c>
      <c r="F92" s="186">
        <f>MEMÓRIA_!B310</f>
        <v>7</v>
      </c>
      <c r="G92" s="187">
        <f>'CPU '!H120</f>
        <v>98.37</v>
      </c>
      <c r="H92" s="186">
        <f t="shared" ref="H92:H97" si="11">ROUND(((($I$12/100)+1)*G92),2)</f>
        <v>122.87</v>
      </c>
      <c r="I92" s="234">
        <f t="shared" ref="I92:I97" si="12">ROUND((H92*F92),2)</f>
        <v>860.09</v>
      </c>
      <c r="J92" s="524">
        <f t="shared" si="6"/>
        <v>1.5159047683487813E-3</v>
      </c>
    </row>
    <row r="93" spans="1:11" ht="42.75" customHeight="1" x14ac:dyDescent="0.25">
      <c r="A93" s="528" t="s">
        <v>915</v>
      </c>
      <c r="B93" s="502" t="s">
        <v>354</v>
      </c>
      <c r="C93" s="184">
        <v>30</v>
      </c>
      <c r="D93" s="491" t="s">
        <v>792</v>
      </c>
      <c r="E93" s="489" t="s">
        <v>425</v>
      </c>
      <c r="F93" s="186">
        <f>MEMÓRIA_!B321</f>
        <v>30</v>
      </c>
      <c r="G93" s="187">
        <f>'CPU '!H128</f>
        <v>129.11000000000001</v>
      </c>
      <c r="H93" s="186">
        <f t="shared" si="11"/>
        <v>161.27000000000001</v>
      </c>
      <c r="I93" s="234">
        <f t="shared" si="12"/>
        <v>4838.1000000000004</v>
      </c>
      <c r="J93" s="524">
        <f t="shared" si="6"/>
        <v>8.527129555916519E-3</v>
      </c>
    </row>
    <row r="94" spans="1:11" ht="30" customHeight="1" x14ac:dyDescent="0.25">
      <c r="A94" s="528" t="s">
        <v>916</v>
      </c>
      <c r="B94" s="502" t="s">
        <v>354</v>
      </c>
      <c r="C94" s="184">
        <v>31</v>
      </c>
      <c r="D94" s="491" t="s">
        <v>205</v>
      </c>
      <c r="E94" s="489" t="s">
        <v>425</v>
      </c>
      <c r="F94" s="186">
        <f>MEMÓRIA_!B325</f>
        <v>2</v>
      </c>
      <c r="G94" s="187">
        <f>'CPU '!H139</f>
        <v>105.4</v>
      </c>
      <c r="H94" s="186">
        <f t="shared" si="11"/>
        <v>131.66</v>
      </c>
      <c r="I94" s="234">
        <f t="shared" si="12"/>
        <v>263.32</v>
      </c>
      <c r="J94" s="524">
        <f t="shared" si="6"/>
        <v>4.6410031927077524E-4</v>
      </c>
    </row>
    <row r="95" spans="1:11" ht="30" customHeight="1" x14ac:dyDescent="0.25">
      <c r="A95" s="528" t="s">
        <v>917</v>
      </c>
      <c r="B95" s="502" t="s">
        <v>354</v>
      </c>
      <c r="C95" s="184">
        <v>32</v>
      </c>
      <c r="D95" s="491" t="s">
        <v>409</v>
      </c>
      <c r="E95" s="489" t="s">
        <v>425</v>
      </c>
      <c r="F95" s="186">
        <f>MEMÓRIA_!B330</f>
        <v>5</v>
      </c>
      <c r="G95" s="187">
        <f>'CPU '!H147</f>
        <v>104.44</v>
      </c>
      <c r="H95" s="186">
        <f t="shared" si="11"/>
        <v>130.46</v>
      </c>
      <c r="I95" s="234">
        <f t="shared" si="12"/>
        <v>652.29999999999995</v>
      </c>
      <c r="J95" s="524">
        <f t="shared" si="6"/>
        <v>1.1496758250809916E-3</v>
      </c>
    </row>
    <row r="96" spans="1:11" ht="30" customHeight="1" x14ac:dyDescent="0.25">
      <c r="A96" s="528" t="s">
        <v>918</v>
      </c>
      <c r="B96" s="502" t="s">
        <v>354</v>
      </c>
      <c r="C96" s="184">
        <v>33</v>
      </c>
      <c r="D96" s="491" t="s">
        <v>410</v>
      </c>
      <c r="E96" s="489" t="s">
        <v>425</v>
      </c>
      <c r="F96" s="186">
        <f>MEMÓRIA_!B335</f>
        <v>3</v>
      </c>
      <c r="G96" s="187">
        <f>'CPU '!H155</f>
        <v>112.63</v>
      </c>
      <c r="H96" s="186">
        <f t="shared" si="11"/>
        <v>140.69</v>
      </c>
      <c r="I96" s="234">
        <f t="shared" si="12"/>
        <v>422.07</v>
      </c>
      <c r="J96" s="524">
        <f t="shared" si="6"/>
        <v>7.4389648243436163E-4</v>
      </c>
    </row>
    <row r="97" spans="1:11" ht="30" customHeight="1" x14ac:dyDescent="0.25">
      <c r="A97" s="528" t="s">
        <v>919</v>
      </c>
      <c r="B97" s="502" t="s">
        <v>354</v>
      </c>
      <c r="C97" s="184">
        <v>34</v>
      </c>
      <c r="D97" s="491" t="s">
        <v>497</v>
      </c>
      <c r="E97" s="489" t="s">
        <v>425</v>
      </c>
      <c r="F97" s="186">
        <f>MEMÓRIA_!B339</f>
        <v>1</v>
      </c>
      <c r="G97" s="187">
        <f>'CPU '!H163</f>
        <v>106.17</v>
      </c>
      <c r="H97" s="186">
        <f t="shared" si="11"/>
        <v>132.62</v>
      </c>
      <c r="I97" s="234">
        <f t="shared" si="12"/>
        <v>132.62</v>
      </c>
      <c r="J97" s="524">
        <f t="shared" si="6"/>
        <v>2.337421553307391E-4</v>
      </c>
    </row>
    <row r="98" spans="1:11" s="295" customFormat="1" ht="21.75" customHeight="1" x14ac:dyDescent="0.25">
      <c r="A98" s="527" t="s">
        <v>224</v>
      </c>
      <c r="B98" s="281" t="s">
        <v>592</v>
      </c>
      <c r="C98" s="282"/>
      <c r="D98" s="350"/>
      <c r="E98" s="282"/>
      <c r="F98" s="282"/>
      <c r="G98" s="343"/>
      <c r="H98" s="283"/>
      <c r="I98" s="284">
        <f>ROUND((SUM(I99:I108)),2)</f>
        <v>72355.34</v>
      </c>
      <c r="J98" s="524">
        <f t="shared" si="6"/>
        <v>0.12752596230801114</v>
      </c>
      <c r="K98" s="375">
        <f>SUM(I99:I108)</f>
        <v>72355.34</v>
      </c>
    </row>
    <row r="99" spans="1:11" ht="27.75" customHeight="1" x14ac:dyDescent="0.25">
      <c r="A99" s="528" t="s">
        <v>225</v>
      </c>
      <c r="B99" s="182" t="s">
        <v>11</v>
      </c>
      <c r="C99" s="182" t="s">
        <v>242</v>
      </c>
      <c r="D99" s="347" t="s">
        <v>521</v>
      </c>
      <c r="E99" s="183" t="s">
        <v>582</v>
      </c>
      <c r="F99" s="186">
        <f>ROUND(MEMÓRIA_!B452,2)</f>
        <v>681.36</v>
      </c>
      <c r="G99" s="186">
        <v>2.63</v>
      </c>
      <c r="H99" s="186">
        <f t="shared" ref="H99:H108" si="13">ROUND(((($I$12/100)+1)*G99),2)</f>
        <v>3.29</v>
      </c>
      <c r="I99" s="234">
        <f t="shared" ref="I99:I108" si="14">ROUND((H99*F99),2)</f>
        <v>2241.67</v>
      </c>
      <c r="J99" s="524">
        <f t="shared" si="6"/>
        <v>3.9509333233317592E-3</v>
      </c>
      <c r="K99" s="460"/>
    </row>
    <row r="100" spans="1:11" ht="52.5" customHeight="1" x14ac:dyDescent="0.25">
      <c r="A100" s="528" t="s">
        <v>226</v>
      </c>
      <c r="B100" s="501" t="s">
        <v>354</v>
      </c>
      <c r="C100" s="183">
        <f>'CPU '!B64</f>
        <v>23</v>
      </c>
      <c r="D100" s="490" t="s">
        <v>579</v>
      </c>
      <c r="E100" s="221" t="s">
        <v>581</v>
      </c>
      <c r="F100" s="222">
        <f>ROUND(MEMÓRIA_!B456,2)</f>
        <v>13.63</v>
      </c>
      <c r="G100" s="186">
        <f>'CPU '!H64</f>
        <v>17.27</v>
      </c>
      <c r="H100" s="222">
        <f t="shared" si="13"/>
        <v>21.57</v>
      </c>
      <c r="I100" s="229">
        <f t="shared" si="14"/>
        <v>294</v>
      </c>
      <c r="J100" s="524">
        <f t="shared" si="6"/>
        <v>5.1817368170138211E-4</v>
      </c>
    </row>
    <row r="101" spans="1:11" ht="47.25" customHeight="1" x14ac:dyDescent="0.25">
      <c r="A101" s="528" t="s">
        <v>227</v>
      </c>
      <c r="B101" s="463" t="s">
        <v>11</v>
      </c>
      <c r="C101" s="223" t="s">
        <v>531</v>
      </c>
      <c r="D101" s="348" t="s">
        <v>530</v>
      </c>
      <c r="E101" s="221" t="s">
        <v>532</v>
      </c>
      <c r="F101" s="222">
        <f>ROUND(MEMÓRIA_!B458,2)</f>
        <v>272.54000000000002</v>
      </c>
      <c r="G101" s="186">
        <v>2.2999999999999998</v>
      </c>
      <c r="H101" s="222">
        <f t="shared" si="13"/>
        <v>2.87</v>
      </c>
      <c r="I101" s="229">
        <f t="shared" si="14"/>
        <v>782.19</v>
      </c>
      <c r="J101" s="524">
        <f t="shared" si="6"/>
        <v>1.3786063676530752E-3</v>
      </c>
      <c r="K101" s="460"/>
    </row>
    <row r="102" spans="1:11" ht="76.5" customHeight="1" x14ac:dyDescent="0.25">
      <c r="A102" s="528" t="s">
        <v>228</v>
      </c>
      <c r="B102" s="182" t="s">
        <v>11</v>
      </c>
      <c r="C102" s="185" t="s">
        <v>243</v>
      </c>
      <c r="D102" s="347" t="s">
        <v>244</v>
      </c>
      <c r="E102" s="183" t="s">
        <v>582</v>
      </c>
      <c r="F102" s="186">
        <f>ROUND(MEMÓRIA_!B462,2)</f>
        <v>681.36</v>
      </c>
      <c r="G102" s="186">
        <v>5.66</v>
      </c>
      <c r="H102" s="186">
        <f t="shared" si="13"/>
        <v>7.07</v>
      </c>
      <c r="I102" s="234">
        <f t="shared" si="14"/>
        <v>4817.22</v>
      </c>
      <c r="J102" s="524">
        <f t="shared" si="6"/>
        <v>8.4903286495426264E-3</v>
      </c>
      <c r="K102" s="460"/>
    </row>
    <row r="103" spans="1:11" ht="70.5" customHeight="1" x14ac:dyDescent="0.25">
      <c r="A103" s="528" t="s">
        <v>229</v>
      </c>
      <c r="B103" s="182" t="s">
        <v>11</v>
      </c>
      <c r="C103" s="183" t="s">
        <v>368</v>
      </c>
      <c r="D103" s="348" t="s">
        <v>548</v>
      </c>
      <c r="E103" s="183" t="s">
        <v>582</v>
      </c>
      <c r="F103" s="186">
        <f>ROUND(MEMÓRIA_!B474,2)</f>
        <v>422.66</v>
      </c>
      <c r="G103" s="186">
        <v>33.39</v>
      </c>
      <c r="H103" s="186">
        <f t="shared" si="13"/>
        <v>41.71</v>
      </c>
      <c r="I103" s="234">
        <f t="shared" si="14"/>
        <v>17629.150000000001</v>
      </c>
      <c r="J103" s="524">
        <f t="shared" si="6"/>
        <v>3.1071297825734423E-2</v>
      </c>
      <c r="K103" s="460"/>
    </row>
    <row r="104" spans="1:11" ht="24.75" customHeight="1" x14ac:dyDescent="0.25">
      <c r="A104" s="528" t="s">
        <v>230</v>
      </c>
      <c r="B104" s="501" t="s">
        <v>354</v>
      </c>
      <c r="C104" s="224">
        <f>'CPU '!B70</f>
        <v>24</v>
      </c>
      <c r="D104" s="536" t="s">
        <v>556</v>
      </c>
      <c r="E104" s="489" t="s">
        <v>582</v>
      </c>
      <c r="F104" s="186">
        <f>ROUND(MEMÓRIA_!B486,2)</f>
        <v>432.76</v>
      </c>
      <c r="G104" s="186">
        <f>'CPU '!H70</f>
        <v>3.5</v>
      </c>
      <c r="H104" s="186">
        <f t="shared" si="13"/>
        <v>4.37</v>
      </c>
      <c r="I104" s="234">
        <f t="shared" si="14"/>
        <v>1891.16</v>
      </c>
      <c r="J104" s="524">
        <f t="shared" si="6"/>
        <v>3.3331610200217202E-3</v>
      </c>
    </row>
    <row r="105" spans="1:11" ht="38.25" customHeight="1" x14ac:dyDescent="0.25">
      <c r="A105" s="528" t="s">
        <v>920</v>
      </c>
      <c r="B105" s="182" t="s">
        <v>11</v>
      </c>
      <c r="C105" s="185" t="s">
        <v>97</v>
      </c>
      <c r="D105" s="348" t="s">
        <v>236</v>
      </c>
      <c r="E105" s="183" t="s">
        <v>582</v>
      </c>
      <c r="F105" s="186">
        <f>ROUND(MEMÓRIA_!B571,2)</f>
        <v>1701.03</v>
      </c>
      <c r="G105" s="186">
        <v>11.7</v>
      </c>
      <c r="H105" s="186">
        <f t="shared" si="13"/>
        <v>14.61</v>
      </c>
      <c r="I105" s="234">
        <f t="shared" si="14"/>
        <v>24852.05</v>
      </c>
      <c r="J105" s="524">
        <f t="shared" si="6"/>
        <v>4.3801626688186504E-2</v>
      </c>
      <c r="K105" s="460"/>
    </row>
    <row r="106" spans="1:11" ht="51.75" customHeight="1" x14ac:dyDescent="0.25">
      <c r="A106" s="528" t="s">
        <v>921</v>
      </c>
      <c r="B106" s="501" t="s">
        <v>354</v>
      </c>
      <c r="C106" s="223" t="s">
        <v>942</v>
      </c>
      <c r="D106" s="348" t="s">
        <v>806</v>
      </c>
      <c r="E106" s="258" t="s">
        <v>582</v>
      </c>
      <c r="F106" s="222">
        <f>MEMÓRIA_!B578</f>
        <v>168</v>
      </c>
      <c r="G106" s="222">
        <f>'CPU '!H171</f>
        <v>58.22</v>
      </c>
      <c r="H106" s="222">
        <f t="shared" si="13"/>
        <v>72.72</v>
      </c>
      <c r="I106" s="229">
        <f t="shared" si="14"/>
        <v>12216.96</v>
      </c>
      <c r="J106" s="537">
        <f t="shared" si="6"/>
        <v>2.1532337219042574E-2</v>
      </c>
      <c r="K106" s="435"/>
    </row>
    <row r="107" spans="1:11" ht="30" customHeight="1" x14ac:dyDescent="0.25">
      <c r="A107" s="528" t="s">
        <v>922</v>
      </c>
      <c r="B107" s="182" t="s">
        <v>11</v>
      </c>
      <c r="C107" s="185" t="s">
        <v>120</v>
      </c>
      <c r="D107" s="347" t="s">
        <v>246</v>
      </c>
      <c r="E107" s="183" t="s">
        <v>582</v>
      </c>
      <c r="F107" s="186">
        <f>MEMÓRIA_!B585</f>
        <v>151.94</v>
      </c>
      <c r="G107" s="186">
        <v>7.83</v>
      </c>
      <c r="H107" s="186">
        <f t="shared" si="13"/>
        <v>9.7799999999999994</v>
      </c>
      <c r="I107" s="234">
        <f t="shared" si="14"/>
        <v>1485.97</v>
      </c>
      <c r="J107" s="524">
        <f t="shared" si="6"/>
        <v>2.6190154618972884E-3</v>
      </c>
      <c r="K107" s="460"/>
    </row>
    <row r="108" spans="1:11" ht="66" customHeight="1" x14ac:dyDescent="0.25">
      <c r="A108" s="528" t="s">
        <v>923</v>
      </c>
      <c r="B108" s="182" t="s">
        <v>11</v>
      </c>
      <c r="C108" s="185" t="s">
        <v>459</v>
      </c>
      <c r="D108" s="348" t="s">
        <v>458</v>
      </c>
      <c r="E108" s="183" t="s">
        <v>582</v>
      </c>
      <c r="F108" s="186">
        <f>MEMÓRIA_!B592</f>
        <v>235.62</v>
      </c>
      <c r="G108" s="186">
        <v>20.88</v>
      </c>
      <c r="H108" s="186">
        <f t="shared" si="13"/>
        <v>26.08</v>
      </c>
      <c r="I108" s="234">
        <f t="shared" si="14"/>
        <v>6144.97</v>
      </c>
      <c r="J108" s="524">
        <f t="shared" si="6"/>
        <v>1.0830482070899802E-2</v>
      </c>
      <c r="K108" s="460"/>
    </row>
    <row r="109" spans="1:11" s="295" customFormat="1" x14ac:dyDescent="0.25">
      <c r="A109" s="527" t="s">
        <v>953</v>
      </c>
      <c r="B109" s="281" t="s">
        <v>233</v>
      </c>
      <c r="C109" s="282"/>
      <c r="D109" s="350"/>
      <c r="E109" s="282"/>
      <c r="F109" s="282"/>
      <c r="G109" s="343"/>
      <c r="H109" s="283"/>
      <c r="I109" s="284">
        <f>ROUND((SUM(I110)),2)</f>
        <v>11250.73</v>
      </c>
      <c r="J109" s="524">
        <f t="shared" ref="J109:J161" si="15">I109/$I$15</f>
        <v>1.9829361176626498E-2</v>
      </c>
      <c r="K109" s="375"/>
    </row>
    <row r="110" spans="1:11" s="290" customFormat="1" ht="18.75" customHeight="1" x14ac:dyDescent="0.25">
      <c r="A110" s="525" t="s">
        <v>954</v>
      </c>
      <c r="B110" s="286" t="s">
        <v>578</v>
      </c>
      <c r="C110" s="287"/>
      <c r="D110" s="351"/>
      <c r="E110" s="287"/>
      <c r="F110" s="287"/>
      <c r="G110" s="344"/>
      <c r="H110" s="288"/>
      <c r="I110" s="289">
        <f>ROUND((SUM(I111:I114)),2)</f>
        <v>11250.73</v>
      </c>
      <c r="J110" s="524">
        <f t="shared" si="15"/>
        <v>1.9829361176626498E-2</v>
      </c>
    </row>
    <row r="111" spans="1:11" ht="26.25" customHeight="1" x14ac:dyDescent="0.25">
      <c r="A111" s="526" t="s">
        <v>958</v>
      </c>
      <c r="B111" s="502" t="s">
        <v>354</v>
      </c>
      <c r="C111" s="219">
        <f>'CPU '!B177</f>
        <v>36</v>
      </c>
      <c r="D111" s="490" t="s">
        <v>583</v>
      </c>
      <c r="E111" s="183" t="s">
        <v>582</v>
      </c>
      <c r="F111" s="222">
        <f>ROUND(MEMÓRIA_!B599,2)</f>
        <v>175.3</v>
      </c>
      <c r="G111" s="186">
        <f>'CPU '!H177</f>
        <v>19.48</v>
      </c>
      <c r="H111" s="222">
        <f>ROUND(((($I$12/100)+1)*G111),2)</f>
        <v>24.33</v>
      </c>
      <c r="I111" s="229">
        <f>ROUND((H111*F111),2)</f>
        <v>4265.05</v>
      </c>
      <c r="J111" s="524">
        <f t="shared" si="15"/>
        <v>7.5171315004778222E-3</v>
      </c>
    </row>
    <row r="112" spans="1:11" ht="58.5" customHeight="1" x14ac:dyDescent="0.25">
      <c r="A112" s="526" t="s">
        <v>959</v>
      </c>
      <c r="B112" s="463" t="s">
        <v>11</v>
      </c>
      <c r="C112" s="258">
        <v>98681</v>
      </c>
      <c r="D112" s="349" t="s">
        <v>498</v>
      </c>
      <c r="E112" s="183" t="s">
        <v>582</v>
      </c>
      <c r="F112" s="222">
        <f>ROUND(MEMÓRIA_!B603,2)</f>
        <v>175.3</v>
      </c>
      <c r="G112" s="186">
        <v>30.64</v>
      </c>
      <c r="H112" s="222">
        <f>ROUND(((($I$12/100)+1)*G112),2)</f>
        <v>38.270000000000003</v>
      </c>
      <c r="I112" s="229">
        <f>ROUND((H112*F112),2)</f>
        <v>6708.73</v>
      </c>
      <c r="J112" s="524">
        <f t="shared" si="15"/>
        <v>1.1824106542994942E-2</v>
      </c>
      <c r="K112" s="460"/>
    </row>
    <row r="113" spans="1:11" ht="27" customHeight="1" x14ac:dyDescent="0.25">
      <c r="A113" s="526" t="s">
        <v>960</v>
      </c>
      <c r="B113" s="501" t="s">
        <v>354</v>
      </c>
      <c r="C113" s="259">
        <f>'CPU '!B64</f>
        <v>23</v>
      </c>
      <c r="D113" s="348" t="s">
        <v>579</v>
      </c>
      <c r="E113" s="221" t="s">
        <v>581</v>
      </c>
      <c r="F113" s="222">
        <f>ROUND(MEMÓRIA_!B605,2)</f>
        <v>3.51</v>
      </c>
      <c r="G113" s="186">
        <f>'CPU '!H64</f>
        <v>17.27</v>
      </c>
      <c r="H113" s="222">
        <f>ROUND(((($I$12/100)+1)*G113),2)</f>
        <v>21.57</v>
      </c>
      <c r="I113" s="229">
        <f>ROUND((H113*F113),2)</f>
        <v>75.709999999999994</v>
      </c>
      <c r="J113" s="524">
        <f t="shared" si="15"/>
        <v>1.3343853551568582E-4</v>
      </c>
    </row>
    <row r="114" spans="1:11" ht="58.5" customHeight="1" x14ac:dyDescent="0.25">
      <c r="A114" s="526" t="s">
        <v>961</v>
      </c>
      <c r="B114" s="463" t="s">
        <v>11</v>
      </c>
      <c r="C114" s="223" t="s">
        <v>531</v>
      </c>
      <c r="D114" s="348" t="s">
        <v>530</v>
      </c>
      <c r="E114" s="221" t="s">
        <v>532</v>
      </c>
      <c r="F114" s="222">
        <f>ROUND(MEMÓRIA_!B607,2)</f>
        <v>70.12</v>
      </c>
      <c r="G114" s="186">
        <v>2.2999999999999998</v>
      </c>
      <c r="H114" s="222">
        <f>ROUND(((($I$12/100)+1)*G114),2)</f>
        <v>2.87</v>
      </c>
      <c r="I114" s="229">
        <f>ROUND((H114*F114),2)</f>
        <v>201.24</v>
      </c>
      <c r="J114" s="524">
        <f t="shared" si="15"/>
        <v>3.5468459763804807E-4</v>
      </c>
      <c r="K114" s="460"/>
    </row>
    <row r="115" spans="1:11" s="295" customFormat="1" x14ac:dyDescent="0.25">
      <c r="A115" s="527" t="s">
        <v>924</v>
      </c>
      <c r="B115" s="281" t="s">
        <v>232</v>
      </c>
      <c r="C115" s="282"/>
      <c r="D115" s="350"/>
      <c r="E115" s="282"/>
      <c r="F115" s="282"/>
      <c r="G115" s="343"/>
      <c r="H115" s="283"/>
      <c r="I115" s="285">
        <f>ROUND((SUM(I116+I130+I148+I153)),2)</f>
        <v>120733.93</v>
      </c>
      <c r="J115" s="524">
        <f t="shared" si="15"/>
        <v>0.21279301025298281</v>
      </c>
      <c r="K115" s="375"/>
    </row>
    <row r="116" spans="1:11" s="290" customFormat="1" x14ac:dyDescent="0.25">
      <c r="A116" s="525" t="s">
        <v>925</v>
      </c>
      <c r="B116" s="286" t="s">
        <v>309</v>
      </c>
      <c r="C116" s="287"/>
      <c r="D116" s="351"/>
      <c r="E116" s="287"/>
      <c r="F116" s="287"/>
      <c r="G116" s="344"/>
      <c r="H116" s="288"/>
      <c r="I116" s="293">
        <f>ROUND((SUM(I117:I129)),2)</f>
        <v>32536.02</v>
      </c>
      <c r="J116" s="524">
        <f t="shared" si="15"/>
        <v>5.7344589358196606E-2</v>
      </c>
    </row>
    <row r="117" spans="1:11" ht="52.8" x14ac:dyDescent="0.25">
      <c r="A117" s="538" t="s">
        <v>926</v>
      </c>
      <c r="B117" s="255" t="s">
        <v>11</v>
      </c>
      <c r="C117" s="255">
        <v>103328</v>
      </c>
      <c r="D117" s="352" t="s">
        <v>795</v>
      </c>
      <c r="E117" s="183" t="s">
        <v>582</v>
      </c>
      <c r="F117" s="222">
        <f>ROUND(MEMÓRIA_!B631,2)</f>
        <v>144.41999999999999</v>
      </c>
      <c r="G117" s="186">
        <v>74.86</v>
      </c>
      <c r="H117" s="222">
        <f t="shared" ref="H117:H129" si="16">ROUND(((($I$12/100)+1)*G117),2)</f>
        <v>93.51</v>
      </c>
      <c r="I117" s="229">
        <f t="shared" ref="I117:I129" si="17">ROUND((H117*F117),2)</f>
        <v>13504.71</v>
      </c>
      <c r="J117" s="524">
        <f t="shared" si="15"/>
        <v>2.3801990819760106E-2</v>
      </c>
      <c r="K117" s="460"/>
    </row>
    <row r="118" spans="1:11" ht="39.6" x14ac:dyDescent="0.25">
      <c r="A118" s="538" t="s">
        <v>927</v>
      </c>
      <c r="B118" s="255" t="s">
        <v>11</v>
      </c>
      <c r="C118" s="255">
        <v>97622</v>
      </c>
      <c r="D118" s="352" t="s">
        <v>215</v>
      </c>
      <c r="E118" s="255" t="s">
        <v>581</v>
      </c>
      <c r="F118" s="222">
        <f>MEMÓRIA_!B639</f>
        <v>6.4079999999999995</v>
      </c>
      <c r="G118" s="186">
        <v>45.09</v>
      </c>
      <c r="H118" s="222">
        <f t="shared" si="16"/>
        <v>56.32</v>
      </c>
      <c r="I118" s="229">
        <f t="shared" si="17"/>
        <v>360.9</v>
      </c>
      <c r="J118" s="524">
        <f t="shared" si="15"/>
        <v>6.360846317211863E-4</v>
      </c>
      <c r="K118" s="460"/>
    </row>
    <row r="119" spans="1:11" ht="39.6" x14ac:dyDescent="0.25">
      <c r="A119" s="538" t="s">
        <v>928</v>
      </c>
      <c r="B119" s="255" t="s">
        <v>11</v>
      </c>
      <c r="C119" s="255">
        <v>94963</v>
      </c>
      <c r="D119" s="352" t="s">
        <v>406</v>
      </c>
      <c r="E119" s="255" t="s">
        <v>581</v>
      </c>
      <c r="F119" s="222">
        <f>MEMÓRIA_!B647</f>
        <v>0.60200000000000009</v>
      </c>
      <c r="G119" s="186">
        <v>420.53</v>
      </c>
      <c r="H119" s="222">
        <f t="shared" si="16"/>
        <v>525.28</v>
      </c>
      <c r="I119" s="229">
        <f t="shared" si="17"/>
        <v>316.22000000000003</v>
      </c>
      <c r="J119" s="524">
        <f t="shared" si="15"/>
        <v>5.5733633206670428E-4</v>
      </c>
      <c r="K119" s="460"/>
    </row>
    <row r="120" spans="1:11" ht="66.75" customHeight="1" x14ac:dyDescent="0.25">
      <c r="A120" s="538" t="s">
        <v>929</v>
      </c>
      <c r="B120" s="255" t="s">
        <v>11</v>
      </c>
      <c r="C120" s="255">
        <v>92415</v>
      </c>
      <c r="D120" s="352" t="s">
        <v>597</v>
      </c>
      <c r="E120" s="183" t="s">
        <v>582</v>
      </c>
      <c r="F120" s="222">
        <f>MEMÓRIA_!B656</f>
        <v>1.4620000000000002</v>
      </c>
      <c r="G120" s="186">
        <v>118.47</v>
      </c>
      <c r="H120" s="222">
        <f t="shared" si="16"/>
        <v>147.97999999999999</v>
      </c>
      <c r="I120" s="229">
        <f t="shared" si="17"/>
        <v>216.35</v>
      </c>
      <c r="J120" s="524">
        <f t="shared" si="15"/>
        <v>3.813159048846735E-4</v>
      </c>
      <c r="K120" s="460"/>
    </row>
    <row r="121" spans="1:11" ht="40.5" customHeight="1" x14ac:dyDescent="0.25">
      <c r="A121" s="538" t="s">
        <v>963</v>
      </c>
      <c r="B121" s="255" t="s">
        <v>11</v>
      </c>
      <c r="C121" s="255">
        <v>103670</v>
      </c>
      <c r="D121" s="352" t="s">
        <v>794</v>
      </c>
      <c r="E121" s="255" t="s">
        <v>581</v>
      </c>
      <c r="F121" s="222">
        <f>ROUND(MEMÓRIA_!B660,2)</f>
        <v>0.6</v>
      </c>
      <c r="G121" s="186">
        <v>236.6</v>
      </c>
      <c r="H121" s="222">
        <f t="shared" si="16"/>
        <v>295.54000000000002</v>
      </c>
      <c r="I121" s="229">
        <f t="shared" si="17"/>
        <v>177.32</v>
      </c>
      <c r="J121" s="524">
        <f t="shared" si="15"/>
        <v>3.1252570489554105E-4</v>
      </c>
      <c r="K121" s="460"/>
    </row>
    <row r="122" spans="1:11" ht="26.4" x14ac:dyDescent="0.25">
      <c r="A122" s="538" t="s">
        <v>964</v>
      </c>
      <c r="B122" s="502" t="s">
        <v>354</v>
      </c>
      <c r="C122" s="224">
        <f>'CPU '!B181</f>
        <v>37</v>
      </c>
      <c r="D122" s="352" t="s">
        <v>407</v>
      </c>
      <c r="E122" s="255" t="s">
        <v>581</v>
      </c>
      <c r="F122" s="222">
        <f>ROUND(MEMÓRIA_!B665,2)</f>
        <v>1.44</v>
      </c>
      <c r="G122" s="186">
        <f>'CPU '!H181</f>
        <v>83.26</v>
      </c>
      <c r="H122" s="222">
        <f t="shared" si="16"/>
        <v>104</v>
      </c>
      <c r="I122" s="229">
        <f t="shared" si="17"/>
        <v>149.76</v>
      </c>
      <c r="J122" s="524">
        <f t="shared" si="15"/>
        <v>2.6395132847482645E-4</v>
      </c>
      <c r="K122" s="460"/>
    </row>
    <row r="123" spans="1:11" ht="26.4" x14ac:dyDescent="0.25">
      <c r="A123" s="538" t="s">
        <v>965</v>
      </c>
      <c r="B123" s="255" t="s">
        <v>11</v>
      </c>
      <c r="C123" s="255" t="s">
        <v>285</v>
      </c>
      <c r="D123" s="352" t="s">
        <v>286</v>
      </c>
      <c r="E123" s="183" t="s">
        <v>582</v>
      </c>
      <c r="F123" s="222">
        <f>ROUND(MEMÓRIA_!B672,2)</f>
        <v>4.6500000000000004</v>
      </c>
      <c r="G123" s="186">
        <v>17.190000000000001</v>
      </c>
      <c r="H123" s="222">
        <f t="shared" si="16"/>
        <v>21.47</v>
      </c>
      <c r="I123" s="229">
        <f t="shared" si="17"/>
        <v>99.84</v>
      </c>
      <c r="J123" s="524">
        <f t="shared" si="15"/>
        <v>1.7596755231655099E-4</v>
      </c>
      <c r="K123" s="460"/>
    </row>
    <row r="124" spans="1:11" ht="39.6" x14ac:dyDescent="0.25">
      <c r="A124" s="538" t="s">
        <v>966</v>
      </c>
      <c r="B124" s="255" t="s">
        <v>11</v>
      </c>
      <c r="C124" s="255">
        <v>92803</v>
      </c>
      <c r="D124" s="352" t="s">
        <v>810</v>
      </c>
      <c r="E124" s="258" t="s">
        <v>363</v>
      </c>
      <c r="F124" s="222">
        <f>MEMÓRIA_!B676</f>
        <v>142.05808000000002</v>
      </c>
      <c r="G124" s="222">
        <v>10.34</v>
      </c>
      <c r="H124" s="222">
        <f t="shared" si="16"/>
        <v>12.92</v>
      </c>
      <c r="I124" s="229">
        <f t="shared" si="17"/>
        <v>1835.39</v>
      </c>
      <c r="J124" s="537">
        <f t="shared" si="15"/>
        <v>3.2348666450948971E-3</v>
      </c>
      <c r="K124" s="460"/>
    </row>
    <row r="125" spans="1:11" ht="39.6" x14ac:dyDescent="0.25">
      <c r="A125" s="538" t="s">
        <v>967</v>
      </c>
      <c r="B125" s="255" t="s">
        <v>11</v>
      </c>
      <c r="C125" s="255">
        <v>94965</v>
      </c>
      <c r="D125" s="352" t="s">
        <v>811</v>
      </c>
      <c r="E125" s="258" t="s">
        <v>581</v>
      </c>
      <c r="F125" s="222">
        <f>MEMÓRIA_!B679</f>
        <v>1.6879199999999999</v>
      </c>
      <c r="G125" s="222">
        <v>475.18</v>
      </c>
      <c r="H125" s="222">
        <f t="shared" si="16"/>
        <v>593.54999999999995</v>
      </c>
      <c r="I125" s="229">
        <f t="shared" si="17"/>
        <v>1001.86</v>
      </c>
      <c r="J125" s="537">
        <f t="shared" si="15"/>
        <v>1.765773757650839E-3</v>
      </c>
      <c r="K125" s="460"/>
    </row>
    <row r="126" spans="1:11" ht="39.6" x14ac:dyDescent="0.25">
      <c r="A126" s="538" t="s">
        <v>968</v>
      </c>
      <c r="B126" s="255" t="s">
        <v>11</v>
      </c>
      <c r="C126" s="255">
        <v>103670</v>
      </c>
      <c r="D126" s="352" t="s">
        <v>283</v>
      </c>
      <c r="E126" s="258" t="s">
        <v>581</v>
      </c>
      <c r="F126" s="222">
        <f>MEMÓRIA_!B682</f>
        <v>1.6879199999999999</v>
      </c>
      <c r="G126" s="222">
        <v>236.6</v>
      </c>
      <c r="H126" s="222">
        <f t="shared" si="16"/>
        <v>295.54000000000002</v>
      </c>
      <c r="I126" s="229">
        <f t="shared" si="17"/>
        <v>498.85</v>
      </c>
      <c r="J126" s="537">
        <f t="shared" si="15"/>
        <v>8.7922088815215805E-4</v>
      </c>
      <c r="K126" s="460"/>
    </row>
    <row r="127" spans="1:11" ht="52.8" x14ac:dyDescent="0.25">
      <c r="A127" s="538" t="s">
        <v>969</v>
      </c>
      <c r="B127" s="255" t="s">
        <v>11</v>
      </c>
      <c r="C127" s="255">
        <v>92415</v>
      </c>
      <c r="D127" s="352" t="s">
        <v>812</v>
      </c>
      <c r="E127" s="258" t="s">
        <v>582</v>
      </c>
      <c r="F127" s="222">
        <f>MEMÓRIA_!B685</f>
        <v>34.103200000000001</v>
      </c>
      <c r="G127" s="222">
        <v>118.47</v>
      </c>
      <c r="H127" s="222">
        <f t="shared" si="16"/>
        <v>147.97999999999999</v>
      </c>
      <c r="I127" s="229">
        <f t="shared" si="17"/>
        <v>5046.59</v>
      </c>
      <c r="J127" s="537">
        <f t="shared" si="15"/>
        <v>8.8945922460455032E-3</v>
      </c>
      <c r="K127" s="460"/>
    </row>
    <row r="128" spans="1:11" ht="39.6" x14ac:dyDescent="0.25">
      <c r="A128" s="538" t="s">
        <v>970</v>
      </c>
      <c r="B128" s="255" t="s">
        <v>11</v>
      </c>
      <c r="C128" s="255">
        <v>92800</v>
      </c>
      <c r="D128" s="352" t="s">
        <v>813</v>
      </c>
      <c r="E128" s="258" t="s">
        <v>363</v>
      </c>
      <c r="F128" s="222">
        <f>MEMÓRIA_!B688</f>
        <v>19.714874666666667</v>
      </c>
      <c r="G128" s="222">
        <v>10.66</v>
      </c>
      <c r="H128" s="222">
        <f t="shared" si="16"/>
        <v>13.32</v>
      </c>
      <c r="I128" s="229">
        <f t="shared" si="17"/>
        <v>262.60000000000002</v>
      </c>
      <c r="J128" s="537">
        <f t="shared" si="15"/>
        <v>4.628313224992617E-4</v>
      </c>
      <c r="K128" s="460"/>
    </row>
    <row r="129" spans="1:11" ht="52.8" x14ac:dyDescent="0.25">
      <c r="A129" s="538" t="s">
        <v>971</v>
      </c>
      <c r="B129" s="503" t="s">
        <v>354</v>
      </c>
      <c r="C129" s="255">
        <f>'CPU '!B185</f>
        <v>38</v>
      </c>
      <c r="D129" s="352" t="s">
        <v>814</v>
      </c>
      <c r="E129" s="258" t="s">
        <v>582</v>
      </c>
      <c r="F129" s="222">
        <f>MEMÓRIA_!B691</f>
        <v>43.721400000000003</v>
      </c>
      <c r="G129" s="222">
        <f>'CPU '!H185</f>
        <v>166</v>
      </c>
      <c r="H129" s="222">
        <f t="shared" si="16"/>
        <v>207.35</v>
      </c>
      <c r="I129" s="229">
        <f t="shared" si="17"/>
        <v>9065.6299999999992</v>
      </c>
      <c r="J129" s="537">
        <f t="shared" si="15"/>
        <v>1.5978132224634355E-2</v>
      </c>
    </row>
    <row r="130" spans="1:11" s="290" customFormat="1" x14ac:dyDescent="0.25">
      <c r="A130" s="525" t="s">
        <v>972</v>
      </c>
      <c r="B130" s="286" t="s">
        <v>308</v>
      </c>
      <c r="C130" s="287"/>
      <c r="D130" s="351"/>
      <c r="E130" s="287"/>
      <c r="F130" s="287"/>
      <c r="G130" s="344"/>
      <c r="H130" s="288"/>
      <c r="I130" s="293">
        <f>ROUND((SUM(I131:I147)),2)</f>
        <v>11005.57</v>
      </c>
      <c r="J130" s="524">
        <f t="shared" si="15"/>
        <v>1.9397267775926121E-2</v>
      </c>
      <c r="K130" s="291"/>
    </row>
    <row r="131" spans="1:11" ht="26.4" x14ac:dyDescent="0.25">
      <c r="A131" s="531" t="s">
        <v>973</v>
      </c>
      <c r="B131" s="502" t="s">
        <v>354</v>
      </c>
      <c r="C131" s="238">
        <f>'CPU '!B120</f>
        <v>29</v>
      </c>
      <c r="D131" s="238" t="s">
        <v>199</v>
      </c>
      <c r="E131" s="238" t="s">
        <v>425</v>
      </c>
      <c r="F131" s="222">
        <f>MEMÓRIA_!B694</f>
        <v>8</v>
      </c>
      <c r="G131" s="186">
        <f>'CPU '!H120</f>
        <v>98.37</v>
      </c>
      <c r="H131" s="222">
        <f t="shared" ref="H131:H147" si="18">ROUND(((($I$12/100)+1)*G131),2)</f>
        <v>122.87</v>
      </c>
      <c r="I131" s="229">
        <f t="shared" ref="I131:I147" si="19">ROUND((H131*F131),2)</f>
        <v>982.96</v>
      </c>
      <c r="J131" s="524">
        <f t="shared" si="15"/>
        <v>1.7324625923986073E-3</v>
      </c>
    </row>
    <row r="132" spans="1:11" ht="48.75" customHeight="1" x14ac:dyDescent="0.25">
      <c r="A132" s="531" t="s">
        <v>974</v>
      </c>
      <c r="B132" s="502" t="s">
        <v>354</v>
      </c>
      <c r="C132" s="238">
        <f>'CPU '!B128</f>
        <v>30</v>
      </c>
      <c r="D132" s="227" t="s">
        <v>792</v>
      </c>
      <c r="E132" s="238" t="s">
        <v>425</v>
      </c>
      <c r="F132" s="222">
        <f>MEMÓRIA_!B696</f>
        <v>11</v>
      </c>
      <c r="G132" s="186">
        <f>'CPU '!H128</f>
        <v>129.11000000000001</v>
      </c>
      <c r="H132" s="222">
        <f t="shared" si="18"/>
        <v>161.27000000000001</v>
      </c>
      <c r="I132" s="229">
        <f t="shared" si="19"/>
        <v>1773.97</v>
      </c>
      <c r="J132" s="524">
        <f t="shared" si="15"/>
        <v>3.1266141705027237E-3</v>
      </c>
    </row>
    <row r="133" spans="1:11" ht="26.4" x14ac:dyDescent="0.25">
      <c r="A133" s="531" t="s">
        <v>975</v>
      </c>
      <c r="B133" s="502" t="s">
        <v>354</v>
      </c>
      <c r="C133" s="238">
        <f>'CPU '!B139</f>
        <v>31</v>
      </c>
      <c r="D133" s="238" t="s">
        <v>205</v>
      </c>
      <c r="E133" s="238" t="s">
        <v>425</v>
      </c>
      <c r="F133" s="222">
        <f>MEMÓRIA_!B698</f>
        <v>1</v>
      </c>
      <c r="G133" s="186">
        <f>'CPU '!H139</f>
        <v>105.4</v>
      </c>
      <c r="H133" s="222">
        <f t="shared" si="18"/>
        <v>131.66</v>
      </c>
      <c r="I133" s="229">
        <f t="shared" si="19"/>
        <v>131.66</v>
      </c>
      <c r="J133" s="524">
        <f t="shared" si="15"/>
        <v>2.3205015963538762E-4</v>
      </c>
    </row>
    <row r="134" spans="1:11" ht="26.4" x14ac:dyDescent="0.25">
      <c r="A134" s="531" t="s">
        <v>976</v>
      </c>
      <c r="B134" s="502" t="s">
        <v>354</v>
      </c>
      <c r="C134" s="238">
        <f>'CPU '!B147</f>
        <v>32</v>
      </c>
      <c r="D134" s="238" t="s">
        <v>206</v>
      </c>
      <c r="E134" s="238" t="s">
        <v>425</v>
      </c>
      <c r="F134" s="222">
        <f>MEMÓRIA_!B700</f>
        <v>20</v>
      </c>
      <c r="G134" s="186">
        <f>'CPU '!H147</f>
        <v>104.44</v>
      </c>
      <c r="H134" s="222">
        <f t="shared" si="18"/>
        <v>130.46</v>
      </c>
      <c r="I134" s="229">
        <f t="shared" si="19"/>
        <v>2609.1999999999998</v>
      </c>
      <c r="J134" s="524">
        <f t="shared" si="15"/>
        <v>4.5987033003239662E-3</v>
      </c>
    </row>
    <row r="135" spans="1:11" ht="26.4" x14ac:dyDescent="0.25">
      <c r="A135" s="531" t="s">
        <v>977</v>
      </c>
      <c r="B135" s="502" t="s">
        <v>354</v>
      </c>
      <c r="C135" s="238">
        <f>'CPU '!B155</f>
        <v>33</v>
      </c>
      <c r="D135" s="238" t="s">
        <v>208</v>
      </c>
      <c r="E135" s="238" t="s">
        <v>425</v>
      </c>
      <c r="F135" s="222">
        <f>MEMÓRIA_!B702</f>
        <v>2</v>
      </c>
      <c r="G135" s="186">
        <f>'CPU '!H155</f>
        <v>112.63</v>
      </c>
      <c r="H135" s="222">
        <f t="shared" si="18"/>
        <v>140.69</v>
      </c>
      <c r="I135" s="229">
        <f t="shared" si="19"/>
        <v>281.38</v>
      </c>
      <c r="J135" s="524">
        <f t="shared" si="15"/>
        <v>4.9593098828957442E-4</v>
      </c>
    </row>
    <row r="136" spans="1:11" ht="26.4" x14ac:dyDescent="0.25">
      <c r="A136" s="531" t="s">
        <v>978</v>
      </c>
      <c r="B136" s="502" t="s">
        <v>354</v>
      </c>
      <c r="C136" s="238">
        <f>'CPU '!B217</f>
        <v>42</v>
      </c>
      <c r="D136" s="238" t="s">
        <v>288</v>
      </c>
      <c r="E136" s="238" t="s">
        <v>425</v>
      </c>
      <c r="F136" s="222">
        <f>MEMÓRIA_!B704</f>
        <v>2</v>
      </c>
      <c r="G136" s="186">
        <f>'CPU '!H217</f>
        <v>127.73</v>
      </c>
      <c r="H136" s="222">
        <f t="shared" si="18"/>
        <v>159.55000000000001</v>
      </c>
      <c r="I136" s="229">
        <f t="shared" si="19"/>
        <v>319.10000000000002</v>
      </c>
      <c r="J136" s="524">
        <f t="shared" si="15"/>
        <v>5.6241231915275856E-4</v>
      </c>
    </row>
    <row r="137" spans="1:11" ht="92.4" x14ac:dyDescent="0.25">
      <c r="A137" s="531" t="s">
        <v>979</v>
      </c>
      <c r="B137" s="434" t="s">
        <v>11</v>
      </c>
      <c r="C137" s="238">
        <v>104473</v>
      </c>
      <c r="D137" s="532" t="s">
        <v>800</v>
      </c>
      <c r="E137" s="238" t="s">
        <v>275</v>
      </c>
      <c r="F137" s="222">
        <f>MEMÓRIA_!B706</f>
        <v>5</v>
      </c>
      <c r="G137" s="186">
        <v>130.1</v>
      </c>
      <c r="H137" s="222">
        <f t="shared" si="18"/>
        <v>162.51</v>
      </c>
      <c r="I137" s="229">
        <f t="shared" si="19"/>
        <v>812.55</v>
      </c>
      <c r="J137" s="524">
        <f t="shared" si="15"/>
        <v>1.4321157315185646E-3</v>
      </c>
      <c r="K137" s="460"/>
    </row>
    <row r="138" spans="1:11" ht="60.75" customHeight="1" x14ac:dyDescent="0.25">
      <c r="A138" s="531" t="s">
        <v>980</v>
      </c>
      <c r="B138" s="227" t="s">
        <v>11</v>
      </c>
      <c r="C138" s="227">
        <v>97585</v>
      </c>
      <c r="D138" s="348" t="s">
        <v>782</v>
      </c>
      <c r="E138" s="221" t="s">
        <v>275</v>
      </c>
      <c r="F138" s="222">
        <f>MEMÓRIA_!B708</f>
        <v>5</v>
      </c>
      <c r="G138" s="186">
        <v>112.65</v>
      </c>
      <c r="H138" s="222">
        <f t="shared" si="18"/>
        <v>140.71</v>
      </c>
      <c r="I138" s="229">
        <f t="shared" si="19"/>
        <v>703.55</v>
      </c>
      <c r="J138" s="524">
        <f t="shared" si="15"/>
        <v>1.2400037202755351E-3</v>
      </c>
      <c r="K138" s="460"/>
    </row>
    <row r="139" spans="1:11" ht="81.75" customHeight="1" x14ac:dyDescent="0.25">
      <c r="A139" s="531" t="s">
        <v>981</v>
      </c>
      <c r="B139" s="434" t="s">
        <v>11</v>
      </c>
      <c r="C139" s="227">
        <v>104475</v>
      </c>
      <c r="D139" s="532" t="s">
        <v>799</v>
      </c>
      <c r="E139" s="238" t="s">
        <v>275</v>
      </c>
      <c r="F139" s="222">
        <f>MEMÓRIA_!B710</f>
        <v>6</v>
      </c>
      <c r="G139" s="186">
        <v>115.32</v>
      </c>
      <c r="H139" s="222">
        <f t="shared" si="18"/>
        <v>144.05000000000001</v>
      </c>
      <c r="I139" s="229">
        <f t="shared" si="19"/>
        <v>864.3</v>
      </c>
      <c r="J139" s="524">
        <f t="shared" si="15"/>
        <v>1.5233248744711038E-3</v>
      </c>
      <c r="K139" s="460"/>
    </row>
    <row r="140" spans="1:11" ht="57" customHeight="1" x14ac:dyDescent="0.25">
      <c r="A140" s="531" t="s">
        <v>982</v>
      </c>
      <c r="B140" s="238" t="s">
        <v>11</v>
      </c>
      <c r="C140" s="238">
        <v>91844</v>
      </c>
      <c r="D140" s="238" t="s">
        <v>603</v>
      </c>
      <c r="E140" s="238" t="s">
        <v>276</v>
      </c>
      <c r="F140" s="222">
        <f>MEMÓRIA_!B712</f>
        <v>62.8</v>
      </c>
      <c r="G140" s="186">
        <v>6.5</v>
      </c>
      <c r="H140" s="222">
        <f t="shared" si="18"/>
        <v>8.1199999999999992</v>
      </c>
      <c r="I140" s="229">
        <f t="shared" si="19"/>
        <v>509.94</v>
      </c>
      <c r="J140" s="524">
        <f t="shared" si="15"/>
        <v>8.987669634244992E-4</v>
      </c>
      <c r="K140" s="460"/>
    </row>
    <row r="141" spans="1:11" ht="57.75" customHeight="1" x14ac:dyDescent="0.25">
      <c r="A141" s="531" t="s">
        <v>983</v>
      </c>
      <c r="B141" s="238" t="s">
        <v>11</v>
      </c>
      <c r="C141" s="238">
        <v>91925</v>
      </c>
      <c r="D141" s="238" t="s">
        <v>600</v>
      </c>
      <c r="E141" s="238" t="s">
        <v>276</v>
      </c>
      <c r="F141" s="222">
        <f>MEMÓRIA_!B714</f>
        <v>98.2</v>
      </c>
      <c r="G141" s="186">
        <v>3.19</v>
      </c>
      <c r="H141" s="222">
        <f t="shared" si="18"/>
        <v>3.98</v>
      </c>
      <c r="I141" s="229">
        <f t="shared" si="19"/>
        <v>390.84</v>
      </c>
      <c r="J141" s="524">
        <f t="shared" si="15"/>
        <v>6.8885374746995975E-4</v>
      </c>
      <c r="K141" s="460"/>
    </row>
    <row r="142" spans="1:11" ht="57.75" customHeight="1" x14ac:dyDescent="0.25">
      <c r="A142" s="531" t="s">
        <v>984</v>
      </c>
      <c r="B142" s="238" t="s">
        <v>11</v>
      </c>
      <c r="C142" s="238">
        <v>91927</v>
      </c>
      <c r="D142" s="238" t="s">
        <v>601</v>
      </c>
      <c r="E142" s="238" t="s">
        <v>276</v>
      </c>
      <c r="F142" s="222">
        <f>MEMÓRIA_!B716</f>
        <v>115.8</v>
      </c>
      <c r="G142" s="186">
        <v>4.29</v>
      </c>
      <c r="H142" s="222">
        <f t="shared" si="18"/>
        <v>5.36</v>
      </c>
      <c r="I142" s="229">
        <f t="shared" si="19"/>
        <v>620.69000000000005</v>
      </c>
      <c r="J142" s="524">
        <f t="shared" si="15"/>
        <v>1.0939633418205132E-3</v>
      </c>
      <c r="K142" s="460"/>
    </row>
    <row r="143" spans="1:11" ht="57.75" customHeight="1" x14ac:dyDescent="0.25">
      <c r="A143" s="531" t="s">
        <v>985</v>
      </c>
      <c r="B143" s="238" t="s">
        <v>11</v>
      </c>
      <c r="C143" s="238">
        <v>91931</v>
      </c>
      <c r="D143" s="238" t="s">
        <v>602</v>
      </c>
      <c r="E143" s="238" t="s">
        <v>276</v>
      </c>
      <c r="F143" s="222">
        <f>MEMÓRIA_!B718</f>
        <v>60.5</v>
      </c>
      <c r="G143" s="186">
        <v>8.9600000000000009</v>
      </c>
      <c r="H143" s="222">
        <f t="shared" si="18"/>
        <v>11.19</v>
      </c>
      <c r="I143" s="229">
        <f t="shared" si="19"/>
        <v>677</v>
      </c>
      <c r="J143" s="524">
        <f t="shared" si="15"/>
        <v>1.1932094643259717E-3</v>
      </c>
      <c r="K143" s="460"/>
    </row>
    <row r="144" spans="1:11" ht="57.75" customHeight="1" x14ac:dyDescent="0.25">
      <c r="A144" s="531" t="s">
        <v>986</v>
      </c>
      <c r="B144" s="238" t="s">
        <v>11</v>
      </c>
      <c r="C144" s="238">
        <v>93653</v>
      </c>
      <c r="D144" s="238" t="s">
        <v>605</v>
      </c>
      <c r="E144" s="238" t="s">
        <v>275</v>
      </c>
      <c r="F144" s="222">
        <f>MEMÓRIA_!B720</f>
        <v>1</v>
      </c>
      <c r="G144" s="186">
        <v>10.4</v>
      </c>
      <c r="H144" s="222">
        <f t="shared" si="18"/>
        <v>12.99</v>
      </c>
      <c r="I144" s="229">
        <f t="shared" si="19"/>
        <v>12.99</v>
      </c>
      <c r="J144" s="524">
        <f t="shared" si="15"/>
        <v>2.289481675272433E-5</v>
      </c>
      <c r="K144" s="460"/>
    </row>
    <row r="145" spans="1:11" ht="57.75" customHeight="1" x14ac:dyDescent="0.25">
      <c r="A145" s="531" t="s">
        <v>987</v>
      </c>
      <c r="B145" s="238" t="s">
        <v>11</v>
      </c>
      <c r="C145" s="238">
        <v>93655</v>
      </c>
      <c r="D145" s="238" t="s">
        <v>606</v>
      </c>
      <c r="E145" s="238" t="s">
        <v>275</v>
      </c>
      <c r="F145" s="222">
        <f>MEMÓRIA_!B722</f>
        <v>1</v>
      </c>
      <c r="G145" s="186">
        <v>11.9</v>
      </c>
      <c r="H145" s="222">
        <f t="shared" si="18"/>
        <v>14.86</v>
      </c>
      <c r="I145" s="229">
        <f t="shared" si="19"/>
        <v>14.86</v>
      </c>
      <c r="J145" s="524">
        <f t="shared" si="15"/>
        <v>2.6190683367627678E-5</v>
      </c>
      <c r="K145" s="460"/>
    </row>
    <row r="146" spans="1:11" ht="57.75" customHeight="1" x14ac:dyDescent="0.25">
      <c r="A146" s="531" t="s">
        <v>988</v>
      </c>
      <c r="B146" s="238" t="s">
        <v>11</v>
      </c>
      <c r="C146" s="238">
        <v>93656</v>
      </c>
      <c r="D146" s="238" t="s">
        <v>607</v>
      </c>
      <c r="E146" s="238" t="s">
        <v>275</v>
      </c>
      <c r="F146" s="222">
        <f>MEMÓRIA_!B724</f>
        <v>1</v>
      </c>
      <c r="G146" s="186">
        <v>11.9</v>
      </c>
      <c r="H146" s="222">
        <f t="shared" si="18"/>
        <v>14.86</v>
      </c>
      <c r="I146" s="229">
        <f t="shared" si="19"/>
        <v>14.86</v>
      </c>
      <c r="J146" s="524">
        <f t="shared" si="15"/>
        <v>2.6190683367627678E-5</v>
      </c>
      <c r="K146" s="460"/>
    </row>
    <row r="147" spans="1:11" ht="57.75" customHeight="1" x14ac:dyDescent="0.25">
      <c r="A147" s="531" t="s">
        <v>989</v>
      </c>
      <c r="B147" s="501" t="s">
        <v>354</v>
      </c>
      <c r="C147" s="258">
        <f>'CPU '!B55</f>
        <v>22</v>
      </c>
      <c r="D147" s="354" t="s">
        <v>637</v>
      </c>
      <c r="E147" s="227" t="s">
        <v>275</v>
      </c>
      <c r="F147" s="222">
        <f>MEMÓRIA_!B726</f>
        <v>1</v>
      </c>
      <c r="G147" s="186">
        <f>'CPU '!H55</f>
        <v>228.74</v>
      </c>
      <c r="H147" s="222">
        <f t="shared" si="18"/>
        <v>285.72000000000003</v>
      </c>
      <c r="I147" s="229">
        <f t="shared" si="19"/>
        <v>285.72000000000003</v>
      </c>
      <c r="J147" s="524">
        <f t="shared" si="15"/>
        <v>5.0358021882897588E-4</v>
      </c>
    </row>
    <row r="148" spans="1:11" s="290" customFormat="1" x14ac:dyDescent="0.25">
      <c r="A148" s="539" t="s">
        <v>990</v>
      </c>
      <c r="B148" s="483" t="s">
        <v>319</v>
      </c>
      <c r="C148" s="484"/>
      <c r="D148" s="353"/>
      <c r="E148" s="484"/>
      <c r="F148" s="484"/>
      <c r="G148" s="345"/>
      <c r="H148" s="485"/>
      <c r="I148" s="292">
        <f>ROUND((SUM(I149:I152)),2)</f>
        <v>38617.53</v>
      </c>
      <c r="J148" s="524">
        <f t="shared" si="15"/>
        <v>6.8063223463651609E-2</v>
      </c>
    </row>
    <row r="149" spans="1:11" ht="39.6" x14ac:dyDescent="0.25">
      <c r="A149" s="538" t="s">
        <v>962</v>
      </c>
      <c r="B149" s="255" t="s">
        <v>11</v>
      </c>
      <c r="C149" s="255" t="s">
        <v>293</v>
      </c>
      <c r="D149" s="352" t="s">
        <v>179</v>
      </c>
      <c r="E149" s="255" t="s">
        <v>582</v>
      </c>
      <c r="F149" s="222">
        <f>MEMÓRIA_!B739</f>
        <v>19.760000000000002</v>
      </c>
      <c r="G149" s="186">
        <v>933.98</v>
      </c>
      <c r="H149" s="222">
        <f>ROUND(((($I$12/100)+1)*G149),2)</f>
        <v>1166.6300000000001</v>
      </c>
      <c r="I149" s="229">
        <f>ROUND((H149*F149),2)</f>
        <v>23052.61</v>
      </c>
      <c r="J149" s="524">
        <f t="shared" si="15"/>
        <v>4.0630121756891492E-2</v>
      </c>
      <c r="K149" s="460"/>
    </row>
    <row r="150" spans="1:11" ht="29.25" customHeight="1" x14ac:dyDescent="0.25">
      <c r="A150" s="538" t="s">
        <v>991</v>
      </c>
      <c r="B150" s="502" t="s">
        <v>354</v>
      </c>
      <c r="C150" s="260">
        <f>'CPU '!B225</f>
        <v>43</v>
      </c>
      <c r="D150" s="280" t="s">
        <v>499</v>
      </c>
      <c r="E150" s="260" t="s">
        <v>582</v>
      </c>
      <c r="F150" s="222">
        <f>ROUND(MEMÓRIA_!B748,2)</f>
        <v>31.28</v>
      </c>
      <c r="G150" s="186">
        <f>'CPU '!H225</f>
        <v>366.57</v>
      </c>
      <c r="H150" s="222">
        <f>ROUND(((($I$12/100)+1)*G150),2)</f>
        <v>457.88</v>
      </c>
      <c r="I150" s="229">
        <f>ROUND((H150*F150),2)</f>
        <v>14322.49</v>
      </c>
      <c r="J150" s="524">
        <f t="shared" si="15"/>
        <v>2.5243324402827304E-2</v>
      </c>
    </row>
    <row r="151" spans="1:11" ht="26.4" x14ac:dyDescent="0.25">
      <c r="A151" s="538" t="s">
        <v>992</v>
      </c>
      <c r="B151" s="255" t="s">
        <v>11</v>
      </c>
      <c r="C151" s="255" t="s">
        <v>294</v>
      </c>
      <c r="D151" s="352" t="s">
        <v>165</v>
      </c>
      <c r="E151" s="255" t="s">
        <v>582</v>
      </c>
      <c r="F151" s="222">
        <f>ROUND(MEMÓRIA_!B759,2)</f>
        <v>31.03</v>
      </c>
      <c r="G151" s="186">
        <v>29.24</v>
      </c>
      <c r="H151" s="222">
        <f>ROUND(((($I$12/100)+1)*G151),2)</f>
        <v>36.520000000000003</v>
      </c>
      <c r="I151" s="229">
        <f>ROUND((H151*F151),2)</f>
        <v>1133.22</v>
      </c>
      <c r="J151" s="524">
        <f t="shared" si="15"/>
        <v>1.9972951686314292E-3</v>
      </c>
      <c r="K151" s="460"/>
    </row>
    <row r="152" spans="1:11" ht="26.4" x14ac:dyDescent="0.25">
      <c r="A152" s="538" t="s">
        <v>993</v>
      </c>
      <c r="B152" s="255" t="s">
        <v>11</v>
      </c>
      <c r="C152" s="255" t="s">
        <v>295</v>
      </c>
      <c r="D152" s="352" t="s">
        <v>166</v>
      </c>
      <c r="E152" s="255" t="s">
        <v>582</v>
      </c>
      <c r="F152" s="222">
        <f>ROUND(MEMÓRIA_!B770,2)</f>
        <v>11.91</v>
      </c>
      <c r="G152" s="186">
        <v>7.34</v>
      </c>
      <c r="H152" s="222">
        <f>ROUND(((($I$12/100)+1)*G152),2)</f>
        <v>9.17</v>
      </c>
      <c r="I152" s="229">
        <f>ROUND((H152*F152),2)</f>
        <v>109.21</v>
      </c>
      <c r="J152" s="524">
        <f t="shared" si="15"/>
        <v>1.9248213530138753E-4</v>
      </c>
      <c r="K152" s="460"/>
    </row>
    <row r="153" spans="1:11" s="290" customFormat="1" x14ac:dyDescent="0.25">
      <c r="A153" s="525" t="s">
        <v>994</v>
      </c>
      <c r="B153" s="286" t="s">
        <v>326</v>
      </c>
      <c r="C153" s="287"/>
      <c r="D153" s="351"/>
      <c r="E153" s="287"/>
      <c r="F153" s="287"/>
      <c r="G153" s="344"/>
      <c r="H153" s="288"/>
      <c r="I153" s="289">
        <f>ROUND((SUM(I154:I161)),2)</f>
        <v>38574.81</v>
      </c>
      <c r="J153" s="524">
        <f t="shared" si="15"/>
        <v>6.7987929655208473E-2</v>
      </c>
      <c r="K153" s="461"/>
    </row>
    <row r="154" spans="1:11" ht="67.5" customHeight="1" x14ac:dyDescent="0.25">
      <c r="A154" s="531" t="s">
        <v>995</v>
      </c>
      <c r="B154" s="238" t="s">
        <v>11</v>
      </c>
      <c r="C154" s="238" t="s">
        <v>297</v>
      </c>
      <c r="D154" s="238" t="s">
        <v>298</v>
      </c>
      <c r="E154" s="238" t="s">
        <v>582</v>
      </c>
      <c r="F154" s="222">
        <f>ROUND(MEMÓRIA_!B775,2)</f>
        <v>288.83999999999997</v>
      </c>
      <c r="G154" s="186">
        <v>5.66</v>
      </c>
      <c r="H154" s="222">
        <f t="shared" ref="H154:H161" si="20">ROUND(((($I$12/100)+1)*G154),2)</f>
        <v>7.07</v>
      </c>
      <c r="I154" s="229">
        <f t="shared" ref="I154:I161" si="21">ROUND((H154*F154),2)</f>
        <v>2042.1</v>
      </c>
      <c r="J154" s="524">
        <f t="shared" si="15"/>
        <v>3.5991920932054158E-3</v>
      </c>
      <c r="K154" s="460"/>
    </row>
    <row r="155" spans="1:11" ht="66" x14ac:dyDescent="0.25">
      <c r="A155" s="531" t="s">
        <v>996</v>
      </c>
      <c r="B155" s="238" t="s">
        <v>11</v>
      </c>
      <c r="C155" s="238" t="s">
        <v>299</v>
      </c>
      <c r="D155" s="238" t="s">
        <v>247</v>
      </c>
      <c r="E155" s="238" t="s">
        <v>582</v>
      </c>
      <c r="F155" s="222">
        <f>ROUND(MEMÓRIA_!B778,2)</f>
        <v>288.83999999999997</v>
      </c>
      <c r="G155" s="186">
        <v>20.399999999999999</v>
      </c>
      <c r="H155" s="222">
        <f t="shared" si="20"/>
        <v>25.48</v>
      </c>
      <c r="I155" s="229">
        <f t="shared" si="21"/>
        <v>7359.64</v>
      </c>
      <c r="J155" s="524">
        <f t="shared" si="15"/>
        <v>1.2971332499308708E-2</v>
      </c>
      <c r="K155" s="460"/>
    </row>
    <row r="156" spans="1:11" ht="26.4" x14ac:dyDescent="0.25">
      <c r="A156" s="531" t="s">
        <v>997</v>
      </c>
      <c r="B156" s="238" t="s">
        <v>11</v>
      </c>
      <c r="C156" s="238" t="s">
        <v>300</v>
      </c>
      <c r="D156" s="238" t="s">
        <v>235</v>
      </c>
      <c r="E156" s="238" t="s">
        <v>582</v>
      </c>
      <c r="F156" s="222">
        <f>ROUND(MEMÓRIA_!B778,2)</f>
        <v>288.83999999999997</v>
      </c>
      <c r="G156" s="186">
        <v>10.09</v>
      </c>
      <c r="H156" s="222">
        <f t="shared" si="20"/>
        <v>12.6</v>
      </c>
      <c r="I156" s="229">
        <f t="shared" si="21"/>
        <v>3639.38</v>
      </c>
      <c r="J156" s="524">
        <f t="shared" si="15"/>
        <v>6.4143909309876731E-3</v>
      </c>
      <c r="K156" s="460"/>
    </row>
    <row r="157" spans="1:11" ht="26.4" x14ac:dyDescent="0.25">
      <c r="A157" s="531" t="s">
        <v>998</v>
      </c>
      <c r="B157" s="238" t="s">
        <v>11</v>
      </c>
      <c r="C157" s="238" t="s">
        <v>301</v>
      </c>
      <c r="D157" s="238" t="s">
        <v>236</v>
      </c>
      <c r="E157" s="238" t="s">
        <v>582</v>
      </c>
      <c r="F157" s="222">
        <f>ROUND(MEMÓRIA_!B785,2)</f>
        <v>304.44</v>
      </c>
      <c r="G157" s="186">
        <v>11.7</v>
      </c>
      <c r="H157" s="222">
        <f t="shared" si="20"/>
        <v>14.61</v>
      </c>
      <c r="I157" s="229">
        <f t="shared" si="21"/>
        <v>4447.87</v>
      </c>
      <c r="J157" s="524">
        <f t="shared" si="15"/>
        <v>7.8393509307113137E-3</v>
      </c>
      <c r="K157" s="460"/>
    </row>
    <row r="158" spans="1:11" ht="26.4" x14ac:dyDescent="0.25">
      <c r="A158" s="531" t="s">
        <v>999</v>
      </c>
      <c r="B158" s="238" t="s">
        <v>11</v>
      </c>
      <c r="C158" s="238" t="s">
        <v>302</v>
      </c>
      <c r="D158" s="238" t="s">
        <v>303</v>
      </c>
      <c r="E158" s="238" t="s">
        <v>582</v>
      </c>
      <c r="F158" s="222">
        <f>MEMÓRIA_!B795</f>
        <v>77.819999999999993</v>
      </c>
      <c r="G158" s="186">
        <v>18.059999999999999</v>
      </c>
      <c r="H158" s="222">
        <f t="shared" si="20"/>
        <v>22.56</v>
      </c>
      <c r="I158" s="229">
        <f t="shared" si="21"/>
        <v>1755.62</v>
      </c>
      <c r="J158" s="524">
        <f t="shared" si="15"/>
        <v>3.0942723777842868E-3</v>
      </c>
      <c r="K158" s="460"/>
    </row>
    <row r="159" spans="1:11" ht="26.4" x14ac:dyDescent="0.25">
      <c r="A159" s="531" t="s">
        <v>1000</v>
      </c>
      <c r="B159" s="238" t="s">
        <v>11</v>
      </c>
      <c r="C159" s="238" t="s">
        <v>304</v>
      </c>
      <c r="D159" s="238" t="s">
        <v>238</v>
      </c>
      <c r="E159" s="238" t="s">
        <v>582</v>
      </c>
      <c r="F159" s="222">
        <f>MEMÓRIA_!B798</f>
        <v>77.819999999999993</v>
      </c>
      <c r="G159" s="186">
        <v>13.36</v>
      </c>
      <c r="H159" s="222">
        <f t="shared" si="20"/>
        <v>16.690000000000001</v>
      </c>
      <c r="I159" s="229">
        <f t="shared" si="21"/>
        <v>1298.82</v>
      </c>
      <c r="J159" s="524">
        <f t="shared" si="15"/>
        <v>2.2891644260795547E-3</v>
      </c>
      <c r="K159" s="460"/>
    </row>
    <row r="160" spans="1:11" ht="52.8" x14ac:dyDescent="0.25">
      <c r="A160" s="531" t="s">
        <v>1001</v>
      </c>
      <c r="B160" s="238" t="s">
        <v>11</v>
      </c>
      <c r="C160" s="238">
        <v>87258</v>
      </c>
      <c r="D160" s="238" t="s">
        <v>413</v>
      </c>
      <c r="E160" s="238" t="s">
        <v>582</v>
      </c>
      <c r="F160" s="222">
        <f>MEMÓRIA_!B800</f>
        <v>77.819999999999993</v>
      </c>
      <c r="G160" s="186">
        <v>155.72999999999999</v>
      </c>
      <c r="H160" s="222">
        <f t="shared" si="20"/>
        <v>194.52</v>
      </c>
      <c r="I160" s="229">
        <f t="shared" si="21"/>
        <v>15137.55</v>
      </c>
      <c r="J160" s="524">
        <f t="shared" si="15"/>
        <v>2.6679863998091007E-2</v>
      </c>
      <c r="K160" s="460"/>
    </row>
    <row r="161" spans="1:11" ht="39.6" x14ac:dyDescent="0.25">
      <c r="A161" s="531" t="s">
        <v>1002</v>
      </c>
      <c r="B161" s="182" t="s">
        <v>11</v>
      </c>
      <c r="C161" s="489" t="s">
        <v>681</v>
      </c>
      <c r="D161" s="490" t="s">
        <v>680</v>
      </c>
      <c r="E161" s="489" t="s">
        <v>276</v>
      </c>
      <c r="F161" s="222">
        <f>MEMÓRIA_!B802</f>
        <v>138.66</v>
      </c>
      <c r="G161" s="186">
        <v>16.71</v>
      </c>
      <c r="H161" s="222">
        <f t="shared" si="20"/>
        <v>20.87</v>
      </c>
      <c r="I161" s="229">
        <f t="shared" si="21"/>
        <v>2893.83</v>
      </c>
      <c r="J161" s="524">
        <f t="shared" si="15"/>
        <v>5.1003623990405122E-3</v>
      </c>
      <c r="K161" s="460"/>
    </row>
    <row r="162" spans="1:11" s="295" customFormat="1" x14ac:dyDescent="0.25">
      <c r="A162" s="527" t="s">
        <v>930</v>
      </c>
      <c r="B162" s="281" t="s">
        <v>570</v>
      </c>
      <c r="C162" s="282"/>
      <c r="D162" s="350"/>
      <c r="E162" s="282"/>
      <c r="F162" s="282"/>
      <c r="G162" s="343"/>
      <c r="H162" s="283"/>
      <c r="I162" s="285">
        <f>ROUND((SUM(I163:I170)),2)</f>
        <v>114770.33</v>
      </c>
      <c r="J162" s="524">
        <f t="shared" ref="J162:J170" si="22">I162/$I$15</f>
        <v>0.20228219199381831</v>
      </c>
      <c r="K162" s="375"/>
    </row>
    <row r="163" spans="1:11" ht="46.5" customHeight="1" x14ac:dyDescent="0.25">
      <c r="A163" s="526" t="s">
        <v>931</v>
      </c>
      <c r="B163" s="463" t="s">
        <v>11</v>
      </c>
      <c r="C163" s="223" t="s">
        <v>307</v>
      </c>
      <c r="D163" s="348" t="s">
        <v>306</v>
      </c>
      <c r="E163" s="221" t="s">
        <v>582</v>
      </c>
      <c r="F163" s="222">
        <f>ROUND(MEMÓRIA_!B808,2)</f>
        <v>282.33999999999997</v>
      </c>
      <c r="G163" s="186">
        <v>234.78</v>
      </c>
      <c r="H163" s="222">
        <f t="shared" ref="H163:H170" si="23">ROUND(((($I$12/100)+1)*G163),2)</f>
        <v>293.26</v>
      </c>
      <c r="I163" s="229">
        <f t="shared" ref="I163:I170" si="24">ROUND((H163*F163),2)</f>
        <v>82799.03</v>
      </c>
      <c r="J163" s="524">
        <f t="shared" si="22"/>
        <v>0.14593291910341219</v>
      </c>
      <c r="K163" s="460"/>
    </row>
    <row r="164" spans="1:11" ht="69.75" customHeight="1" x14ac:dyDescent="0.25">
      <c r="A164" s="526" t="s">
        <v>932</v>
      </c>
      <c r="B164" s="502" t="s">
        <v>354</v>
      </c>
      <c r="C164" s="238">
        <f>'CPU '!B199</f>
        <v>39</v>
      </c>
      <c r="D164" s="348" t="s">
        <v>587</v>
      </c>
      <c r="E164" s="221" t="s">
        <v>276</v>
      </c>
      <c r="F164" s="222">
        <f>MEMÓRIA_!B812</f>
        <v>166.07999999999998</v>
      </c>
      <c r="G164" s="186">
        <f>'CPU '!H199</f>
        <v>103.29</v>
      </c>
      <c r="H164" s="222">
        <f t="shared" si="23"/>
        <v>129.02000000000001</v>
      </c>
      <c r="I164" s="229">
        <f t="shared" si="24"/>
        <v>21427.64</v>
      </c>
      <c r="J164" s="524">
        <f t="shared" si="22"/>
        <v>3.7766119418271439E-2</v>
      </c>
    </row>
    <row r="165" spans="1:11" ht="54" customHeight="1" x14ac:dyDescent="0.25">
      <c r="A165" s="526" t="s">
        <v>933</v>
      </c>
      <c r="B165" s="502" t="s">
        <v>354</v>
      </c>
      <c r="C165" s="238">
        <f>'CPU '!B206</f>
        <v>40</v>
      </c>
      <c r="D165" s="348" t="s">
        <v>564</v>
      </c>
      <c r="E165" s="221" t="s">
        <v>276</v>
      </c>
      <c r="F165" s="222">
        <f>MEMÓRIA_!B816</f>
        <v>56.099999999999994</v>
      </c>
      <c r="G165" s="186">
        <f>'CPU '!H206</f>
        <v>48.2</v>
      </c>
      <c r="H165" s="222">
        <f t="shared" si="23"/>
        <v>60.21</v>
      </c>
      <c r="I165" s="229">
        <f t="shared" si="24"/>
        <v>3377.78</v>
      </c>
      <c r="J165" s="524">
        <f t="shared" si="22"/>
        <v>5.9533221040044028E-3</v>
      </c>
    </row>
    <row r="166" spans="1:11" ht="31.5" customHeight="1" x14ac:dyDescent="0.25">
      <c r="A166" s="526" t="s">
        <v>934</v>
      </c>
      <c r="B166" s="223" t="s">
        <v>11</v>
      </c>
      <c r="C166" s="238">
        <v>90439</v>
      </c>
      <c r="D166" s="348" t="s">
        <v>430</v>
      </c>
      <c r="E166" s="221" t="s">
        <v>275</v>
      </c>
      <c r="F166" s="222">
        <f>MEMÓRIA_!B819</f>
        <v>72</v>
      </c>
      <c r="G166" s="186">
        <v>51.24</v>
      </c>
      <c r="H166" s="222">
        <f t="shared" si="23"/>
        <v>64</v>
      </c>
      <c r="I166" s="229">
        <f t="shared" si="24"/>
        <v>4608</v>
      </c>
      <c r="J166" s="524">
        <f t="shared" si="22"/>
        <v>8.121579337686969E-3</v>
      </c>
    </row>
    <row r="167" spans="1:11" ht="50.25" customHeight="1" x14ac:dyDescent="0.25">
      <c r="A167" s="526" t="s">
        <v>1003</v>
      </c>
      <c r="B167" s="502" t="s">
        <v>354</v>
      </c>
      <c r="C167" s="238">
        <f>'CPU '!B213</f>
        <v>41</v>
      </c>
      <c r="D167" s="348" t="s">
        <v>420</v>
      </c>
      <c r="E167" s="221" t="s">
        <v>582</v>
      </c>
      <c r="F167" s="222">
        <f>ROUND(MEMÓRIA_!B824,2)</f>
        <v>0.93</v>
      </c>
      <c r="G167" s="186">
        <f>'CPU '!H213</f>
        <v>187.09</v>
      </c>
      <c r="H167" s="222">
        <f t="shared" si="23"/>
        <v>233.69</v>
      </c>
      <c r="I167" s="229">
        <f t="shared" si="24"/>
        <v>217.33</v>
      </c>
      <c r="J167" s="524">
        <f t="shared" si="22"/>
        <v>3.8304315049034481E-4</v>
      </c>
    </row>
    <row r="168" spans="1:11" ht="39.75" customHeight="1" x14ac:dyDescent="0.25">
      <c r="A168" s="526" t="s">
        <v>1004</v>
      </c>
      <c r="B168" s="223" t="s">
        <v>11</v>
      </c>
      <c r="C168" s="238">
        <v>43058</v>
      </c>
      <c r="D168" s="348" t="s">
        <v>428</v>
      </c>
      <c r="E168" s="221" t="s">
        <v>363</v>
      </c>
      <c r="F168" s="222">
        <f>ROUND(MEMÓRIA_!B830,2)</f>
        <v>17.329999999999998</v>
      </c>
      <c r="G168" s="186">
        <v>9.09</v>
      </c>
      <c r="H168" s="222">
        <f t="shared" si="23"/>
        <v>11.35</v>
      </c>
      <c r="I168" s="229">
        <f t="shared" si="24"/>
        <v>196.7</v>
      </c>
      <c r="J168" s="524">
        <f t="shared" si="22"/>
        <v>3.4668286799544848E-4</v>
      </c>
    </row>
    <row r="169" spans="1:11" ht="30.75" customHeight="1" x14ac:dyDescent="0.25">
      <c r="A169" s="526" t="s">
        <v>1005</v>
      </c>
      <c r="B169" s="223" t="s">
        <v>11</v>
      </c>
      <c r="C169" s="238" t="s">
        <v>565</v>
      </c>
      <c r="D169" s="348" t="s">
        <v>358</v>
      </c>
      <c r="E169" s="221" t="s">
        <v>363</v>
      </c>
      <c r="F169" s="222">
        <f>ROUND(MEMÓRIA_!B837,2)</f>
        <v>40.33</v>
      </c>
      <c r="G169" s="186">
        <v>9.0399999999999991</v>
      </c>
      <c r="H169" s="222">
        <f t="shared" si="23"/>
        <v>11.29</v>
      </c>
      <c r="I169" s="229">
        <f t="shared" si="24"/>
        <v>455.33</v>
      </c>
      <c r="J169" s="524">
        <f t="shared" si="22"/>
        <v>8.0251708329622548E-4</v>
      </c>
    </row>
    <row r="170" spans="1:11" ht="59.25" customHeight="1" x14ac:dyDescent="0.25">
      <c r="A170" s="526" t="s">
        <v>1006</v>
      </c>
      <c r="B170" s="227" t="s">
        <v>11</v>
      </c>
      <c r="C170" s="227">
        <v>97585</v>
      </c>
      <c r="D170" s="348" t="s">
        <v>782</v>
      </c>
      <c r="E170" s="221" t="s">
        <v>275</v>
      </c>
      <c r="F170" s="222">
        <f>MEMÓRIA_!B841</f>
        <v>12</v>
      </c>
      <c r="G170" s="186">
        <v>112.65</v>
      </c>
      <c r="H170" s="222">
        <f t="shared" si="23"/>
        <v>140.71</v>
      </c>
      <c r="I170" s="229">
        <f t="shared" si="24"/>
        <v>1688.52</v>
      </c>
      <c r="J170" s="524">
        <f t="shared" si="22"/>
        <v>2.9760089286612846E-3</v>
      </c>
    </row>
    <row r="171" spans="1:11" ht="30" customHeight="1" thickBot="1" x14ac:dyDescent="0.3">
      <c r="A171" s="567" t="s">
        <v>405</v>
      </c>
      <c r="B171" s="568"/>
      <c r="C171" s="568"/>
      <c r="D171" s="568"/>
      <c r="E171" s="568"/>
      <c r="F171" s="568"/>
      <c r="G171" s="568"/>
      <c r="H171" s="569"/>
      <c r="I171" s="540">
        <f>I15</f>
        <v>567377.32999999996</v>
      </c>
      <c r="J171" s="541">
        <f>I171/I171</f>
        <v>1</v>
      </c>
      <c r="K171" s="14">
        <v>209059.85</v>
      </c>
    </row>
    <row r="172" spans="1:11" ht="13.5" customHeight="1" x14ac:dyDescent="0.25">
      <c r="A172" s="2"/>
      <c r="B172" s="2"/>
      <c r="C172" s="99"/>
      <c r="D172" s="106"/>
      <c r="E172" s="106"/>
      <c r="F172" s="2"/>
      <c r="G172" s="346"/>
      <c r="H172" s="2"/>
      <c r="I172" s="2"/>
      <c r="J172" s="507"/>
      <c r="K172" s="14" t="e">
        <f>#REF!</f>
        <v>#REF!</v>
      </c>
    </row>
    <row r="173" spans="1:11" ht="21" customHeight="1" x14ac:dyDescent="0.25">
      <c r="B173" s="93"/>
      <c r="C173" s="6"/>
      <c r="G173" s="566" t="s">
        <v>427</v>
      </c>
      <c r="H173" s="566"/>
      <c r="I173" s="399">
        <v>911877.39</v>
      </c>
      <c r="J173" s="400"/>
      <c r="K173" s="14" t="e">
        <f>K171-K172</f>
        <v>#REF!</v>
      </c>
    </row>
    <row r="174" spans="1:11" ht="18.75" customHeight="1" x14ac:dyDescent="0.25">
      <c r="C174" s="6"/>
      <c r="G174" s="566" t="s">
        <v>584</v>
      </c>
      <c r="H174" s="566"/>
      <c r="I174" s="399">
        <f>I171-I173</f>
        <v>-344500.06000000006</v>
      </c>
      <c r="J174" s="400"/>
      <c r="K174" s="14" t="e">
        <f>K173-#REF!</f>
        <v>#REF!</v>
      </c>
    </row>
    <row r="175" spans="1:11" x14ac:dyDescent="0.25">
      <c r="H175" s="88"/>
      <c r="K175" s="14" t="e">
        <f>I171+K174</f>
        <v>#REF!</v>
      </c>
    </row>
    <row r="176" spans="1:11" x14ac:dyDescent="0.25">
      <c r="H176" s="88"/>
      <c r="K176" s="14" t="e">
        <f>K175-K171</f>
        <v>#REF!</v>
      </c>
    </row>
  </sheetData>
  <mergeCells count="33">
    <mergeCell ref="A12:D12"/>
    <mergeCell ref="A11:J11"/>
    <mergeCell ref="G7:J7"/>
    <mergeCell ref="G8:J8"/>
    <mergeCell ref="G9:J9"/>
    <mergeCell ref="C10:D10"/>
    <mergeCell ref="E10:F10"/>
    <mergeCell ref="E9:F9"/>
    <mergeCell ref="E8:F8"/>
    <mergeCell ref="E7:F7"/>
    <mergeCell ref="G10:H10"/>
    <mergeCell ref="I10:J10"/>
    <mergeCell ref="G174:H174"/>
    <mergeCell ref="G173:H173"/>
    <mergeCell ref="A171:H171"/>
    <mergeCell ref="H1:J1"/>
    <mergeCell ref="H2:J2"/>
    <mergeCell ref="I3:J3"/>
    <mergeCell ref="I4:J4"/>
    <mergeCell ref="B26:H26"/>
    <mergeCell ref="A15:H15"/>
    <mergeCell ref="C8:D8"/>
    <mergeCell ref="C9:D9"/>
    <mergeCell ref="A8:B8"/>
    <mergeCell ref="C7:D7"/>
    <mergeCell ref="A7:B7"/>
    <mergeCell ref="A9:B9"/>
    <mergeCell ref="A10:B10"/>
    <mergeCell ref="A16:H16"/>
    <mergeCell ref="B17:H17"/>
    <mergeCell ref="B22:H22"/>
    <mergeCell ref="B18:H18"/>
    <mergeCell ref="B29:H29"/>
  </mergeCells>
  <phoneticPr fontId="58" type="noConversion"/>
  <printOptions horizontalCentered="1"/>
  <pageMargins left="0.59055118110236227" right="0.15748031496062992" top="0.31496062992125984" bottom="0.78740157480314965" header="0.55118110236220474" footer="0.47244094488188981"/>
  <pageSetup paperSize="9" scale="58"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pageSetUpPr fitToPage="1"/>
  </sheetPr>
  <dimension ref="A1:T855"/>
  <sheetViews>
    <sheetView showGridLines="0" tabSelected="1" view="pageBreakPreview" topLeftCell="A4" zoomScale="85" zoomScaleNormal="115" zoomScaleSheetLayoutView="85" workbookViewId="0">
      <selection activeCell="K11" sqref="K11"/>
    </sheetView>
  </sheetViews>
  <sheetFormatPr defaultRowHeight="13.2" x14ac:dyDescent="0.25"/>
  <cols>
    <col min="1" max="1" width="8.33203125" style="1" customWidth="1"/>
    <col min="2" max="2" width="12.88671875" style="105" customWidth="1"/>
    <col min="3" max="3" width="14.88671875" customWidth="1"/>
    <col min="4" max="4" width="11.33203125" customWidth="1"/>
    <col min="5" max="5" width="27" customWidth="1"/>
    <col min="9" max="9" width="14.109375" customWidth="1"/>
    <col min="10" max="10" width="15.6640625" customWidth="1"/>
    <col min="17" max="17" width="9.109375" customWidth="1"/>
  </cols>
  <sheetData>
    <row r="1" spans="1:10" x14ac:dyDescent="0.25">
      <c r="B1" s="1"/>
      <c r="C1" s="96"/>
      <c r="E1" s="88"/>
      <c r="I1" s="625"/>
      <c r="J1" s="625"/>
    </row>
    <row r="2" spans="1:10" ht="22.5" customHeight="1" x14ac:dyDescent="0.25">
      <c r="B2" s="1"/>
      <c r="C2" s="96"/>
      <c r="E2" s="88"/>
      <c r="G2" s="15"/>
      <c r="I2" s="546"/>
      <c r="J2" s="546"/>
    </row>
    <row r="3" spans="1:10" x14ac:dyDescent="0.25">
      <c r="B3" s="1"/>
      <c r="C3" s="96"/>
      <c r="E3" s="88"/>
    </row>
    <row r="4" spans="1:10" x14ac:dyDescent="0.25">
      <c r="B4" s="1"/>
      <c r="C4" s="96"/>
      <c r="E4" s="88"/>
    </row>
    <row r="5" spans="1:10" ht="13.8" thickBot="1" x14ac:dyDescent="0.3">
      <c r="A5" s="95"/>
      <c r="B5" s="95"/>
      <c r="C5" s="97"/>
      <c r="D5" s="94"/>
      <c r="E5" s="107"/>
      <c r="F5" s="94"/>
      <c r="G5" s="94"/>
      <c r="H5" s="94"/>
      <c r="I5" s="94"/>
      <c r="J5" s="94"/>
    </row>
    <row r="6" spans="1:10" ht="20.100000000000001" customHeight="1" thickTop="1" x14ac:dyDescent="0.25">
      <c r="B6" s="1"/>
      <c r="C6" s="96"/>
      <c r="E6" s="88"/>
      <c r="J6" s="267"/>
    </row>
    <row r="7" spans="1:10" ht="26.25" customHeight="1" x14ac:dyDescent="0.25">
      <c r="A7" s="580" t="s">
        <v>336</v>
      </c>
      <c r="B7" s="580"/>
      <c r="C7" s="581" t="s">
        <v>344</v>
      </c>
      <c r="D7" s="581"/>
      <c r="E7" s="581"/>
      <c r="F7" s="603" t="s">
        <v>342</v>
      </c>
      <c r="G7" s="604"/>
      <c r="H7" s="581" t="s">
        <v>343</v>
      </c>
      <c r="I7" s="581"/>
      <c r="J7" s="581"/>
    </row>
    <row r="8" spans="1:10" ht="20.100000000000001" customHeight="1" x14ac:dyDescent="0.25">
      <c r="A8" s="580" t="s">
        <v>338</v>
      </c>
      <c r="B8" s="580"/>
      <c r="C8" s="578">
        <f>ORÇAMENTO!C8</f>
        <v>911877.39</v>
      </c>
      <c r="D8" s="578"/>
      <c r="E8" s="578"/>
      <c r="F8" s="257" t="s">
        <v>339</v>
      </c>
      <c r="G8" s="257"/>
      <c r="H8" s="581" t="s">
        <v>340</v>
      </c>
      <c r="I8" s="581"/>
      <c r="J8" s="581"/>
    </row>
    <row r="9" spans="1:10" ht="20.100000000000001" customHeight="1" x14ac:dyDescent="0.25">
      <c r="A9" s="583"/>
      <c r="B9" s="583"/>
      <c r="C9" s="578"/>
      <c r="D9" s="578"/>
      <c r="E9" s="578"/>
      <c r="F9" s="257" t="s">
        <v>341</v>
      </c>
      <c r="G9" s="257"/>
      <c r="H9" s="626" t="s">
        <v>337</v>
      </c>
      <c r="I9" s="626"/>
      <c r="J9" s="626"/>
    </row>
    <row r="10" spans="1:10" ht="20.100000000000001" customHeight="1" thickBot="1" x14ac:dyDescent="0.3">
      <c r="A10" s="585" t="str">
        <f>ORÇAMENTO!A10</f>
        <v>TOTAL GERAL LOTE 3:</v>
      </c>
      <c r="B10" s="585"/>
      <c r="C10" s="597">
        <f>ORÇAMENTO!C10</f>
        <v>567377.32999999996</v>
      </c>
      <c r="D10" s="629"/>
      <c r="E10" s="629"/>
      <c r="F10" s="629"/>
      <c r="G10" s="629"/>
      <c r="H10" s="629"/>
      <c r="I10" s="629"/>
      <c r="J10" s="629"/>
    </row>
    <row r="11" spans="1:10" ht="20.100000000000001" customHeight="1" thickBot="1" x14ac:dyDescent="0.3">
      <c r="A11" s="588" t="s">
        <v>646</v>
      </c>
      <c r="B11" s="589"/>
      <c r="C11" s="589"/>
      <c r="D11" s="589"/>
      <c r="E11" s="589"/>
      <c r="F11" s="589"/>
      <c r="G11" s="589"/>
      <c r="H11" s="589"/>
      <c r="I11" s="589"/>
      <c r="J11" s="590"/>
    </row>
    <row r="12" spans="1:10" ht="20.100000000000001" customHeight="1" x14ac:dyDescent="0.25">
      <c r="A12" s="266"/>
      <c r="B12" s="266"/>
      <c r="C12" s="266"/>
      <c r="D12" s="266"/>
      <c r="E12" s="266"/>
      <c r="F12" s="266"/>
      <c r="G12" s="266"/>
      <c r="H12" s="266"/>
      <c r="I12" s="266"/>
      <c r="J12" s="266"/>
    </row>
    <row r="13" spans="1:10" ht="34.799999999999997" customHeight="1" x14ac:dyDescent="0.25">
      <c r="A13" s="627" t="s">
        <v>894</v>
      </c>
      <c r="B13" s="628"/>
      <c r="C13" s="628"/>
      <c r="D13" s="628"/>
      <c r="E13" s="628"/>
      <c r="F13" s="628"/>
      <c r="G13" s="628"/>
      <c r="H13" s="628"/>
      <c r="I13" s="628"/>
      <c r="J13" s="628"/>
    </row>
    <row r="14" spans="1:10" s="295" customFormat="1" ht="18" customHeight="1" x14ac:dyDescent="0.3">
      <c r="A14" s="298" t="s">
        <v>222</v>
      </c>
      <c r="B14" s="299" t="s">
        <v>80</v>
      </c>
      <c r="C14" s="301"/>
      <c r="D14" s="301"/>
      <c r="E14" s="302"/>
      <c r="F14" s="300"/>
      <c r="G14" s="300"/>
      <c r="H14" s="300"/>
      <c r="I14" s="300"/>
    </row>
    <row r="15" spans="1:10" s="290" customFormat="1" ht="18" customHeight="1" x14ac:dyDescent="0.3">
      <c r="A15" s="304" t="s">
        <v>4</v>
      </c>
      <c r="B15" s="305" t="s">
        <v>549</v>
      </c>
      <c r="C15" s="306"/>
      <c r="D15" s="306"/>
      <c r="E15" s="307"/>
      <c r="F15" s="308"/>
      <c r="G15" s="308"/>
      <c r="H15" s="308"/>
      <c r="I15" s="308"/>
    </row>
    <row r="16" spans="1:10" ht="33.75" customHeight="1" x14ac:dyDescent="0.25">
      <c r="A16" s="172" t="s">
        <v>145</v>
      </c>
      <c r="B16" s="610" t="s">
        <v>88</v>
      </c>
      <c r="C16" s="610"/>
      <c r="D16" s="610"/>
      <c r="E16" s="610"/>
      <c r="F16" s="610"/>
      <c r="G16" s="610"/>
      <c r="H16" s="610"/>
      <c r="I16" s="610"/>
      <c r="J16" s="610"/>
    </row>
    <row r="17" spans="1:10" ht="18" customHeight="1" x14ac:dyDescent="0.25">
      <c r="A17" s="482" t="s">
        <v>9</v>
      </c>
      <c r="B17" s="191">
        <v>12</v>
      </c>
      <c r="C17" s="148" t="s">
        <v>251</v>
      </c>
      <c r="D17" s="148"/>
      <c r="E17" s="148"/>
      <c r="F17" s="198"/>
      <c r="G17" s="198"/>
      <c r="H17" s="198"/>
      <c r="I17" s="198"/>
      <c r="J17" s="199"/>
    </row>
    <row r="18" spans="1:10" ht="18" customHeight="1" x14ac:dyDescent="0.25">
      <c r="A18" s="482"/>
      <c r="B18" s="193"/>
      <c r="C18" s="482"/>
      <c r="D18" s="482"/>
      <c r="E18" s="482"/>
      <c r="F18" s="192"/>
      <c r="G18" s="192"/>
      <c r="H18" s="192"/>
      <c r="I18" s="192"/>
      <c r="J18" s="481"/>
    </row>
    <row r="19" spans="1:10" ht="34.5" customHeight="1" x14ac:dyDescent="0.25">
      <c r="A19" s="172" t="s">
        <v>146</v>
      </c>
      <c r="B19" s="610" t="s">
        <v>248</v>
      </c>
      <c r="C19" s="610"/>
      <c r="D19" s="610"/>
      <c r="E19" s="610"/>
      <c r="F19" s="610"/>
      <c r="G19" s="610"/>
      <c r="H19" s="610"/>
      <c r="I19" s="610"/>
      <c r="J19" s="610"/>
    </row>
    <row r="20" spans="1:10" ht="18" customHeight="1" x14ac:dyDescent="0.25">
      <c r="A20" s="482" t="s">
        <v>9</v>
      </c>
      <c r="B20" s="191">
        <v>103</v>
      </c>
      <c r="C20" s="148" t="s">
        <v>250</v>
      </c>
      <c r="D20" s="190"/>
      <c r="E20" s="190"/>
      <c r="F20" s="192"/>
      <c r="G20" s="194"/>
      <c r="H20" s="194"/>
      <c r="I20" s="194"/>
      <c r="J20" s="195"/>
    </row>
    <row r="21" spans="1:10" ht="18" customHeight="1" x14ac:dyDescent="0.25">
      <c r="A21" s="482"/>
      <c r="B21" s="193"/>
      <c r="C21" s="482"/>
      <c r="D21" s="482"/>
      <c r="E21" s="482"/>
      <c r="F21" s="192"/>
      <c r="G21" s="192"/>
      <c r="H21" s="192"/>
      <c r="I21" s="192"/>
      <c r="J21" s="481"/>
    </row>
    <row r="22" spans="1:10" ht="29.25" customHeight="1" x14ac:dyDescent="0.25">
      <c r="A22" s="172" t="s">
        <v>147</v>
      </c>
      <c r="B22" s="610" t="s">
        <v>580</v>
      </c>
      <c r="C22" s="610"/>
      <c r="D22" s="610"/>
      <c r="E22" s="610"/>
      <c r="F22" s="610"/>
      <c r="G22" s="610"/>
      <c r="H22" s="610"/>
      <c r="I22" s="610"/>
      <c r="J22" s="610"/>
    </row>
    <row r="23" spans="1:10" ht="18" customHeight="1" x14ac:dyDescent="0.25">
      <c r="A23" s="482" t="s">
        <v>9</v>
      </c>
      <c r="B23" s="193">
        <v>18</v>
      </c>
      <c r="C23" s="200" t="s">
        <v>81</v>
      </c>
      <c r="D23" s="148"/>
      <c r="E23" s="148"/>
      <c r="F23" s="198"/>
      <c r="G23" s="198"/>
      <c r="H23" s="198"/>
      <c r="I23" s="198"/>
      <c r="J23" s="199"/>
    </row>
    <row r="24" spans="1:10" ht="18" customHeight="1" x14ac:dyDescent="0.25">
      <c r="A24" s="482" t="s">
        <v>9</v>
      </c>
      <c r="B24" s="193">
        <v>16</v>
      </c>
      <c r="C24" s="200" t="s">
        <v>82</v>
      </c>
      <c r="D24" s="148"/>
      <c r="E24" s="148"/>
      <c r="F24" s="198"/>
      <c r="G24" s="198"/>
      <c r="H24" s="198"/>
      <c r="I24" s="198"/>
      <c r="J24" s="199"/>
    </row>
    <row r="25" spans="1:10" ht="18" customHeight="1" x14ac:dyDescent="0.25">
      <c r="A25" s="482" t="s">
        <v>9</v>
      </c>
      <c r="B25" s="193">
        <v>6</v>
      </c>
      <c r="C25" s="200" t="s">
        <v>83</v>
      </c>
      <c r="D25" s="148"/>
      <c r="E25" s="148"/>
      <c r="F25" s="198"/>
      <c r="G25" s="198"/>
      <c r="H25" s="198"/>
      <c r="I25" s="198"/>
      <c r="J25" s="199"/>
    </row>
    <row r="26" spans="1:10" ht="18" customHeight="1" x14ac:dyDescent="0.25">
      <c r="A26" s="482" t="s">
        <v>9</v>
      </c>
      <c r="B26" s="191">
        <f>B23+B24+B25</f>
        <v>40</v>
      </c>
      <c r="C26" s="190"/>
      <c r="D26" s="190"/>
      <c r="E26" s="190"/>
      <c r="F26" s="192"/>
      <c r="G26" s="192"/>
      <c r="H26" s="192"/>
      <c r="I26" s="192"/>
      <c r="J26" s="481"/>
    </row>
    <row r="27" spans="1:10" ht="18" customHeight="1" x14ac:dyDescent="0.25">
      <c r="A27" s="482"/>
      <c r="B27" s="196" t="s">
        <v>55</v>
      </c>
      <c r="C27" s="190"/>
      <c r="D27" s="197" t="s">
        <v>249</v>
      </c>
      <c r="E27" s="190"/>
      <c r="F27" s="192"/>
      <c r="G27" s="192"/>
      <c r="H27" s="192"/>
      <c r="I27" s="192"/>
      <c r="J27" s="481"/>
    </row>
    <row r="28" spans="1:10" ht="18" customHeight="1" x14ac:dyDescent="0.25">
      <c r="A28" s="482"/>
      <c r="B28" s="193"/>
      <c r="C28" s="482"/>
      <c r="D28" s="190"/>
      <c r="E28" s="482"/>
      <c r="F28" s="192"/>
      <c r="G28" s="192"/>
      <c r="H28" s="192"/>
      <c r="I28" s="192"/>
      <c r="J28" s="481"/>
    </row>
    <row r="29" spans="1:10" s="290" customFormat="1" ht="15.6" x14ac:dyDescent="0.3">
      <c r="A29" s="304" t="s">
        <v>6</v>
      </c>
      <c r="B29" s="305" t="s">
        <v>91</v>
      </c>
      <c r="C29" s="310"/>
      <c r="D29" s="310"/>
      <c r="E29" s="310"/>
    </row>
    <row r="30" spans="1:10" ht="15.6" x14ac:dyDescent="0.3">
      <c r="A30" s="120" t="s">
        <v>162</v>
      </c>
      <c r="B30" s="129" t="s">
        <v>253</v>
      </c>
      <c r="C30" s="118"/>
      <c r="D30" s="118"/>
      <c r="E30" s="118"/>
      <c r="F30" s="119"/>
      <c r="G30" s="119"/>
      <c r="H30" s="119"/>
      <c r="I30" s="119"/>
      <c r="J30" s="119"/>
    </row>
    <row r="31" spans="1:10" ht="15.6" x14ac:dyDescent="0.3">
      <c r="A31" s="8" t="s">
        <v>9</v>
      </c>
      <c r="B31" s="230">
        <v>1</v>
      </c>
      <c r="C31" s="102" t="s">
        <v>85</v>
      </c>
      <c r="D31" s="102"/>
      <c r="E31" s="102"/>
    </row>
    <row r="32" spans="1:10" ht="15.6" x14ac:dyDescent="0.3">
      <c r="A32" s="8" t="s">
        <v>9</v>
      </c>
      <c r="B32" s="230">
        <v>4</v>
      </c>
      <c r="C32" s="102" t="s">
        <v>84</v>
      </c>
      <c r="D32" s="102"/>
      <c r="E32" s="102"/>
    </row>
    <row r="33" spans="1:11" ht="15.6" x14ac:dyDescent="0.3">
      <c r="A33" s="8" t="s">
        <v>9</v>
      </c>
      <c r="B33" s="230">
        <v>1</v>
      </c>
      <c r="C33" s="102" t="s">
        <v>86</v>
      </c>
      <c r="D33" s="102"/>
      <c r="E33" s="102"/>
    </row>
    <row r="34" spans="1:11" ht="15.6" x14ac:dyDescent="0.3">
      <c r="A34" s="8" t="s">
        <v>9</v>
      </c>
      <c r="B34" s="242">
        <f>B33+B32+B31</f>
        <v>6</v>
      </c>
      <c r="C34" s="102"/>
      <c r="D34" s="102"/>
      <c r="E34" s="102"/>
    </row>
    <row r="35" spans="1:11" ht="15.6" x14ac:dyDescent="0.3">
      <c r="A35" s="12"/>
      <c r="B35" s="104" t="s">
        <v>55</v>
      </c>
      <c r="C35" s="13"/>
      <c r="D35" s="67" t="s">
        <v>252</v>
      </c>
      <c r="E35" s="11"/>
      <c r="F35" s="7"/>
      <c r="G35" s="7"/>
      <c r="H35" s="7"/>
      <c r="I35" s="7"/>
    </row>
    <row r="36" spans="1:11" ht="15.6" x14ac:dyDescent="0.3">
      <c r="A36" s="8"/>
      <c r="B36" s="16"/>
      <c r="C36" s="102"/>
      <c r="D36" s="102"/>
      <c r="E36" s="102"/>
    </row>
    <row r="37" spans="1:11" ht="15.6" x14ac:dyDescent="0.3">
      <c r="A37" s="120" t="s">
        <v>375</v>
      </c>
      <c r="B37" s="129" t="s">
        <v>92</v>
      </c>
      <c r="C37" s="118"/>
      <c r="D37" s="118"/>
      <c r="E37" s="118"/>
      <c r="F37" s="119"/>
      <c r="G37" s="119"/>
      <c r="H37" s="119"/>
      <c r="I37" s="119"/>
      <c r="J37" s="119"/>
    </row>
    <row r="38" spans="1:11" ht="15.6" x14ac:dyDescent="0.3">
      <c r="A38" s="8" t="s">
        <v>9</v>
      </c>
      <c r="B38" s="100">
        <f>B34</f>
        <v>6</v>
      </c>
      <c r="C38" s="13" t="s">
        <v>357</v>
      </c>
      <c r="D38" s="102"/>
      <c r="E38" s="102"/>
    </row>
    <row r="39" spans="1:11" ht="15.6" x14ac:dyDescent="0.3">
      <c r="A39" s="8"/>
      <c r="B39" s="16"/>
      <c r="C39" s="102"/>
      <c r="D39" s="102"/>
      <c r="E39" s="102"/>
    </row>
    <row r="40" spans="1:11" ht="15.6" x14ac:dyDescent="0.3">
      <c r="A40" s="120" t="s">
        <v>376</v>
      </c>
      <c r="B40" s="129" t="s">
        <v>89</v>
      </c>
      <c r="C40" s="118"/>
      <c r="D40" s="118"/>
      <c r="E40" s="118"/>
      <c r="F40" s="119"/>
      <c r="G40" s="119"/>
      <c r="H40" s="119"/>
      <c r="I40" s="119"/>
      <c r="J40" s="119"/>
    </row>
    <row r="41" spans="1:11" ht="15.6" x14ac:dyDescent="0.3">
      <c r="A41" s="8" t="s">
        <v>9</v>
      </c>
      <c r="B41" s="100">
        <v>1</v>
      </c>
      <c r="C41" s="13" t="s">
        <v>357</v>
      </c>
      <c r="D41" s="102"/>
      <c r="E41" s="102"/>
    </row>
    <row r="42" spans="1:11" ht="15.6" x14ac:dyDescent="0.3">
      <c r="A42" s="8"/>
      <c r="B42" s="16"/>
      <c r="C42" s="102"/>
      <c r="D42" s="102"/>
      <c r="E42" s="102"/>
    </row>
    <row r="43" spans="1:11" s="290" customFormat="1" ht="15.6" x14ac:dyDescent="0.3">
      <c r="A43" s="304" t="s">
        <v>173</v>
      </c>
      <c r="B43" s="305" t="s">
        <v>95</v>
      </c>
      <c r="C43" s="310"/>
      <c r="D43" s="310"/>
      <c r="E43" s="310"/>
      <c r="G43" s="291"/>
    </row>
    <row r="44" spans="1:11" ht="36" customHeight="1" x14ac:dyDescent="0.25">
      <c r="A44" s="172" t="s">
        <v>178</v>
      </c>
      <c r="B44" s="610" t="str">
        <f>'CPU '!C36</f>
        <v xml:space="preserve"> Guarda-corpo em tubo de aço galvanizado (h=90 cm), com barras superior e laterais (contornos) de (1.1/2") e barra verticais quadrada (3/4") a cada 15cm - chumbados com parabolt - conforme PPCI</v>
      </c>
      <c r="C44" s="610"/>
      <c r="D44" s="610"/>
      <c r="E44" s="610"/>
      <c r="F44" s="610"/>
      <c r="G44" s="610"/>
      <c r="H44" s="610"/>
      <c r="I44" s="610"/>
      <c r="J44" s="610"/>
    </row>
    <row r="45" spans="1:11" ht="15.6" x14ac:dyDescent="0.3">
      <c r="A45" s="8" t="s">
        <v>9</v>
      </c>
      <c r="B45" s="230">
        <v>2.6</v>
      </c>
      <c r="C45" s="102" t="s">
        <v>277</v>
      </c>
      <c r="E45" s="102"/>
      <c r="K45" s="88"/>
    </row>
    <row r="46" spans="1:11" ht="15.6" x14ac:dyDescent="0.3">
      <c r="A46" s="8" t="s">
        <v>9</v>
      </c>
      <c r="B46" s="230">
        <v>22</v>
      </c>
      <c r="C46" s="102" t="s">
        <v>278</v>
      </c>
      <c r="D46" s="102"/>
      <c r="E46" s="102"/>
      <c r="K46" s="88"/>
    </row>
    <row r="47" spans="1:11" ht="15.6" x14ac:dyDescent="0.3">
      <c r="A47" s="8" t="s">
        <v>9</v>
      </c>
      <c r="B47" s="230">
        <f>5*2+5.25</f>
        <v>15.25</v>
      </c>
      <c r="C47" s="102" t="s">
        <v>593</v>
      </c>
      <c r="D47" s="102"/>
      <c r="E47" s="102"/>
      <c r="K47" s="88"/>
    </row>
    <row r="48" spans="1:11" ht="15.6" x14ac:dyDescent="0.3">
      <c r="A48" s="103" t="s">
        <v>9</v>
      </c>
      <c r="B48" s="430">
        <f>B45*B46+B47</f>
        <v>72.45</v>
      </c>
      <c r="C48" s="102"/>
      <c r="D48" s="102"/>
      <c r="E48" s="102"/>
      <c r="K48" s="88"/>
    </row>
    <row r="49" spans="1:15" ht="15.6" x14ac:dyDescent="0.3">
      <c r="A49" s="8"/>
      <c r="B49" s="104" t="s">
        <v>647</v>
      </c>
      <c r="C49" s="13"/>
      <c r="D49" s="67"/>
      <c r="E49" s="102"/>
      <c r="K49" s="88"/>
    </row>
    <row r="50" spans="1:15" ht="15.6" x14ac:dyDescent="0.3">
      <c r="A50" s="120" t="s">
        <v>180</v>
      </c>
      <c r="B50" s="129" t="s">
        <v>279</v>
      </c>
      <c r="C50" s="118"/>
      <c r="D50" s="118"/>
      <c r="E50" s="118"/>
      <c r="F50" s="119"/>
      <c r="G50" s="119"/>
      <c r="H50" s="119"/>
      <c r="I50" s="119"/>
      <c r="J50" s="119"/>
    </row>
    <row r="51" spans="1:15" ht="15.6" x14ac:dyDescent="0.3">
      <c r="A51" s="130" t="s">
        <v>9</v>
      </c>
      <c r="B51" s="243">
        <v>9</v>
      </c>
      <c r="C51" s="9" t="s">
        <v>571</v>
      </c>
      <c r="D51" s="254"/>
      <c r="E51" s="254"/>
      <c r="F51" s="128"/>
      <c r="G51" s="128"/>
      <c r="H51" s="128"/>
      <c r="I51" s="128"/>
      <c r="J51" s="128"/>
    </row>
    <row r="52" spans="1:15" ht="15.6" x14ac:dyDescent="0.3">
      <c r="A52" s="8" t="s">
        <v>9</v>
      </c>
      <c r="B52" s="230">
        <v>4.72</v>
      </c>
      <c r="C52" s="9" t="s">
        <v>572</v>
      </c>
      <c r="D52" s="9"/>
      <c r="E52" s="9"/>
      <c r="O52" s="173"/>
    </row>
    <row r="53" spans="1:15" ht="15.6" x14ac:dyDescent="0.3">
      <c r="A53" s="8" t="s">
        <v>9</v>
      </c>
      <c r="B53" s="230">
        <f>2.48+1.75+0.45</f>
        <v>4.6800000000000006</v>
      </c>
      <c r="C53" s="9" t="s">
        <v>571</v>
      </c>
      <c r="D53" s="9"/>
      <c r="E53" s="9"/>
      <c r="O53" s="173"/>
    </row>
    <row r="54" spans="1:15" ht="15.6" x14ac:dyDescent="0.3">
      <c r="A54" s="8" t="s">
        <v>9</v>
      </c>
      <c r="B54" s="230">
        <f>4.95</f>
        <v>4.95</v>
      </c>
      <c r="C54" s="9" t="s">
        <v>573</v>
      </c>
      <c r="D54" s="9"/>
      <c r="E54" s="9"/>
      <c r="O54" s="173"/>
    </row>
    <row r="55" spans="1:15" ht="15.6" x14ac:dyDescent="0.3">
      <c r="A55" s="8" t="s">
        <v>9</v>
      </c>
      <c r="B55" s="230">
        <v>3.28</v>
      </c>
      <c r="C55" s="9" t="s">
        <v>574</v>
      </c>
      <c r="D55" s="9"/>
      <c r="E55" s="9"/>
      <c r="O55" s="173"/>
    </row>
    <row r="56" spans="1:15" ht="15.6" x14ac:dyDescent="0.3">
      <c r="A56" s="8" t="s">
        <v>9</v>
      </c>
      <c r="B56" s="230">
        <v>4.25</v>
      </c>
      <c r="C56" s="9" t="s">
        <v>574</v>
      </c>
      <c r="D56" s="9"/>
      <c r="E56" s="9"/>
      <c r="O56" s="173"/>
    </row>
    <row r="57" spans="1:15" ht="15.6" x14ac:dyDescent="0.3">
      <c r="A57" s="8" t="s">
        <v>9</v>
      </c>
      <c r="B57" s="230">
        <v>13.03</v>
      </c>
      <c r="C57" s="9" t="s">
        <v>576</v>
      </c>
      <c r="D57" s="9"/>
      <c r="E57" s="9"/>
      <c r="O57" s="173"/>
    </row>
    <row r="58" spans="1:15" ht="15.6" x14ac:dyDescent="0.3">
      <c r="A58" s="8" t="s">
        <v>9</v>
      </c>
      <c r="B58" s="230">
        <v>8.42</v>
      </c>
      <c r="C58" s="9" t="s">
        <v>575</v>
      </c>
      <c r="D58" s="9"/>
      <c r="E58" s="9"/>
      <c r="O58" s="173"/>
    </row>
    <row r="59" spans="1:15" ht="15.6" x14ac:dyDescent="0.3">
      <c r="A59" s="103" t="s">
        <v>9</v>
      </c>
      <c r="B59" s="496">
        <f>B51+B52+B53+B54+B55+B56+B57*2+B58</f>
        <v>65.36</v>
      </c>
      <c r="C59" s="10"/>
      <c r="D59" s="10"/>
      <c r="E59" s="10"/>
      <c r="O59" s="173"/>
    </row>
    <row r="60" spans="1:15" ht="15.6" x14ac:dyDescent="0.3">
      <c r="A60" s="8"/>
      <c r="B60" s="104" t="s">
        <v>577</v>
      </c>
      <c r="C60" s="13"/>
      <c r="D60" s="67"/>
      <c r="E60" s="102"/>
      <c r="O60" s="173"/>
    </row>
    <row r="61" spans="1:15" s="290" customFormat="1" ht="15.6" x14ac:dyDescent="0.3">
      <c r="A61" s="304" t="s">
        <v>175</v>
      </c>
      <c r="B61" s="305" t="s">
        <v>609</v>
      </c>
      <c r="C61" s="306"/>
      <c r="D61" s="306"/>
      <c r="E61" s="306"/>
    </row>
    <row r="62" spans="1:15" ht="31.5" customHeight="1" x14ac:dyDescent="0.3">
      <c r="A62" s="172" t="s">
        <v>181</v>
      </c>
      <c r="B62" s="609" t="s">
        <v>638</v>
      </c>
      <c r="C62" s="609"/>
      <c r="D62" s="609"/>
      <c r="E62" s="609"/>
      <c r="F62" s="609"/>
      <c r="G62" s="609"/>
      <c r="H62" s="609"/>
      <c r="I62" s="609"/>
      <c r="J62" s="609"/>
    </row>
    <row r="63" spans="1:15" ht="15.6" x14ac:dyDescent="0.3">
      <c r="A63" s="8" t="s">
        <v>9</v>
      </c>
      <c r="B63" s="230">
        <f>20+20+5</f>
        <v>45</v>
      </c>
      <c r="C63" s="9" t="s">
        <v>610</v>
      </c>
      <c r="D63" s="102"/>
      <c r="E63" s="88"/>
      <c r="F63" s="88"/>
      <c r="G63" s="88"/>
      <c r="H63" s="88"/>
      <c r="I63" s="88"/>
      <c r="J63" s="88"/>
    </row>
    <row r="64" spans="1:15" ht="34.5" customHeight="1" x14ac:dyDescent="0.3">
      <c r="A64" s="172" t="s">
        <v>196</v>
      </c>
      <c r="B64" s="609" t="s">
        <v>603</v>
      </c>
      <c r="C64" s="609"/>
      <c r="D64" s="609"/>
      <c r="E64" s="609"/>
      <c r="F64" s="609"/>
      <c r="G64" s="609"/>
      <c r="H64" s="609"/>
      <c r="I64" s="609"/>
      <c r="J64" s="609"/>
    </row>
    <row r="65" spans="1:10" ht="15.6" x14ac:dyDescent="0.3">
      <c r="A65" s="8" t="s">
        <v>9</v>
      </c>
      <c r="B65" s="230">
        <f>348.3+291.4+30.8</f>
        <v>670.5</v>
      </c>
      <c r="C65" s="9" t="s">
        <v>610</v>
      </c>
      <c r="D65" s="102"/>
      <c r="E65" s="88"/>
      <c r="F65" s="88"/>
      <c r="G65" s="88"/>
      <c r="H65" s="88"/>
      <c r="I65" s="88"/>
      <c r="J65" s="88"/>
    </row>
    <row r="66" spans="1:10" ht="38.25" customHeight="1" x14ac:dyDescent="0.3">
      <c r="A66" s="172" t="s">
        <v>197</v>
      </c>
      <c r="B66" s="609" t="s">
        <v>611</v>
      </c>
      <c r="C66" s="609"/>
      <c r="D66" s="609"/>
      <c r="E66" s="609"/>
      <c r="F66" s="609"/>
      <c r="G66" s="609"/>
      <c r="H66" s="609"/>
      <c r="I66" s="609"/>
      <c r="J66" s="609"/>
    </row>
    <row r="67" spans="1:10" ht="15.6" x14ac:dyDescent="0.3">
      <c r="A67" s="8" t="s">
        <v>9</v>
      </c>
      <c r="B67" s="16">
        <v>65.5</v>
      </c>
      <c r="C67" s="9" t="s">
        <v>610</v>
      </c>
      <c r="D67" s="102"/>
      <c r="E67" s="88"/>
      <c r="F67" s="88"/>
      <c r="G67" s="88"/>
      <c r="H67" s="88"/>
      <c r="I67" s="88"/>
      <c r="J67" s="88"/>
    </row>
    <row r="68" spans="1:10" ht="30.75" customHeight="1" x14ac:dyDescent="0.3">
      <c r="A68" s="172" t="s">
        <v>869</v>
      </c>
      <c r="B68" s="609" t="s">
        <v>621</v>
      </c>
      <c r="C68" s="609"/>
      <c r="D68" s="609"/>
      <c r="E68" s="609"/>
      <c r="F68" s="609"/>
      <c r="G68" s="609"/>
      <c r="H68" s="609"/>
      <c r="I68" s="609"/>
      <c r="J68" s="609"/>
    </row>
    <row r="69" spans="1:10" ht="15.6" x14ac:dyDescent="0.3">
      <c r="A69" s="8" t="s">
        <v>9</v>
      </c>
      <c r="B69" s="16">
        <v>1</v>
      </c>
      <c r="C69" s="9" t="s">
        <v>610</v>
      </c>
      <c r="D69" s="102"/>
      <c r="E69" s="88"/>
      <c r="F69" s="88"/>
      <c r="G69" s="88"/>
      <c r="H69" s="88"/>
      <c r="I69" s="88"/>
      <c r="J69" s="88"/>
    </row>
    <row r="70" spans="1:10" ht="37.5" customHeight="1" x14ac:dyDescent="0.3">
      <c r="A70" s="172" t="s">
        <v>870</v>
      </c>
      <c r="B70" s="609" t="s">
        <v>622</v>
      </c>
      <c r="C70" s="609"/>
      <c r="D70" s="609"/>
      <c r="E70" s="609"/>
      <c r="F70" s="609"/>
      <c r="G70" s="609"/>
      <c r="H70" s="609"/>
      <c r="I70" s="609"/>
      <c r="J70" s="609"/>
    </row>
    <row r="71" spans="1:10" ht="15.6" x14ac:dyDescent="0.3">
      <c r="A71" s="8" t="s">
        <v>9</v>
      </c>
      <c r="B71" s="16">
        <v>1</v>
      </c>
      <c r="C71" s="9" t="s">
        <v>610</v>
      </c>
      <c r="D71" s="102"/>
      <c r="E71" s="88"/>
      <c r="F71" s="88"/>
      <c r="G71" s="88"/>
      <c r="H71" s="88"/>
      <c r="I71" s="88"/>
      <c r="J71" s="88"/>
    </row>
    <row r="72" spans="1:10" ht="35.25" customHeight="1" x14ac:dyDescent="0.3">
      <c r="A72" s="172" t="s">
        <v>871</v>
      </c>
      <c r="B72" s="609" t="s">
        <v>623</v>
      </c>
      <c r="C72" s="609"/>
      <c r="D72" s="609"/>
      <c r="E72" s="609"/>
      <c r="F72" s="609"/>
      <c r="G72" s="609"/>
      <c r="H72" s="609"/>
      <c r="I72" s="609"/>
      <c r="J72" s="609"/>
    </row>
    <row r="73" spans="1:10" ht="15.6" x14ac:dyDescent="0.3">
      <c r="A73" s="8" t="s">
        <v>9</v>
      </c>
      <c r="B73" s="16">
        <v>114.2</v>
      </c>
      <c r="C73" s="9" t="s">
        <v>610</v>
      </c>
      <c r="D73" s="102"/>
      <c r="E73" s="88"/>
      <c r="F73" s="88"/>
      <c r="G73" s="88"/>
      <c r="H73" s="88"/>
      <c r="I73" s="88"/>
      <c r="J73" s="88"/>
    </row>
    <row r="74" spans="1:10" ht="33.75" customHeight="1" x14ac:dyDescent="0.3">
      <c r="A74" s="172" t="s">
        <v>872</v>
      </c>
      <c r="B74" s="609" t="s">
        <v>624</v>
      </c>
      <c r="C74" s="609"/>
      <c r="D74" s="609"/>
      <c r="E74" s="609"/>
      <c r="F74" s="609"/>
      <c r="G74" s="609"/>
      <c r="H74" s="609"/>
      <c r="I74" s="609"/>
      <c r="J74" s="609"/>
    </row>
    <row r="75" spans="1:10" ht="15.6" x14ac:dyDescent="0.3">
      <c r="A75" s="8" t="s">
        <v>9</v>
      </c>
      <c r="B75" s="16">
        <v>53.8</v>
      </c>
      <c r="C75" s="9" t="s">
        <v>610</v>
      </c>
      <c r="D75" s="102"/>
      <c r="E75" s="88"/>
      <c r="F75" s="88"/>
      <c r="G75" s="88"/>
      <c r="H75" s="88"/>
      <c r="I75" s="88"/>
      <c r="J75" s="88"/>
    </row>
    <row r="76" spans="1:10" ht="36" customHeight="1" x14ac:dyDescent="0.3">
      <c r="A76" s="172" t="s">
        <v>873</v>
      </c>
      <c r="B76" s="609" t="s">
        <v>616</v>
      </c>
      <c r="C76" s="609"/>
      <c r="D76" s="609"/>
      <c r="E76" s="609"/>
      <c r="F76" s="609"/>
      <c r="G76" s="609"/>
      <c r="H76" s="609"/>
      <c r="I76" s="609"/>
      <c r="J76" s="609"/>
    </row>
    <row r="77" spans="1:10" ht="15.6" x14ac:dyDescent="0.3">
      <c r="A77" s="8" t="s">
        <v>9</v>
      </c>
      <c r="B77" s="16">
        <v>22.7</v>
      </c>
      <c r="C77" s="9" t="s">
        <v>610</v>
      </c>
      <c r="D77" s="102"/>
      <c r="E77" s="88"/>
      <c r="F77" s="88"/>
      <c r="G77" s="88"/>
      <c r="H77" s="88"/>
      <c r="I77" s="88"/>
      <c r="J77" s="88"/>
    </row>
    <row r="78" spans="1:10" ht="15.6" x14ac:dyDescent="0.3">
      <c r="A78" s="172" t="s">
        <v>874</v>
      </c>
      <c r="B78" s="609" t="s">
        <v>625</v>
      </c>
      <c r="C78" s="609"/>
      <c r="D78" s="609"/>
      <c r="E78" s="609"/>
      <c r="F78" s="609"/>
      <c r="G78" s="609"/>
      <c r="H78" s="609"/>
      <c r="I78" s="609"/>
      <c r="J78" s="609"/>
    </row>
    <row r="79" spans="1:10" ht="15.6" x14ac:dyDescent="0.3">
      <c r="A79" s="8" t="s">
        <v>9</v>
      </c>
      <c r="B79" s="16">
        <v>4</v>
      </c>
      <c r="C79" s="9" t="s">
        <v>610</v>
      </c>
      <c r="D79" s="102"/>
      <c r="E79" s="88"/>
      <c r="F79" s="88"/>
      <c r="G79" s="88"/>
      <c r="H79" s="88"/>
      <c r="I79" s="88"/>
      <c r="J79" s="88"/>
    </row>
    <row r="80" spans="1:10" ht="36" customHeight="1" x14ac:dyDescent="0.3">
      <c r="A80" s="172" t="s">
        <v>875</v>
      </c>
      <c r="B80" s="609" t="s">
        <v>626</v>
      </c>
      <c r="C80" s="609"/>
      <c r="D80" s="609"/>
      <c r="E80" s="609"/>
      <c r="F80" s="609"/>
      <c r="G80" s="609"/>
      <c r="H80" s="609"/>
      <c r="I80" s="609"/>
      <c r="J80" s="609"/>
    </row>
    <row r="81" spans="1:10" ht="15.6" x14ac:dyDescent="0.3">
      <c r="A81" s="8" t="s">
        <v>9</v>
      </c>
      <c r="B81" s="16">
        <v>2</v>
      </c>
      <c r="C81" s="9" t="s">
        <v>610</v>
      </c>
      <c r="D81" s="102"/>
      <c r="E81" s="88"/>
      <c r="F81" s="88"/>
      <c r="G81" s="88"/>
      <c r="H81" s="88"/>
      <c r="I81" s="88"/>
      <c r="J81" s="88"/>
    </row>
    <row r="82" spans="1:10" ht="33.75" customHeight="1" x14ac:dyDescent="0.3">
      <c r="A82" s="172" t="s">
        <v>876</v>
      </c>
      <c r="B82" s="609" t="s">
        <v>629</v>
      </c>
      <c r="C82" s="609"/>
      <c r="D82" s="609"/>
      <c r="E82" s="609"/>
      <c r="F82" s="609"/>
      <c r="G82" s="609"/>
      <c r="H82" s="609"/>
      <c r="I82" s="609"/>
      <c r="J82" s="609"/>
    </row>
    <row r="83" spans="1:10" ht="15.6" x14ac:dyDescent="0.3">
      <c r="A83" s="8" t="s">
        <v>9</v>
      </c>
      <c r="B83" s="16">
        <v>2</v>
      </c>
      <c r="C83" s="9" t="s">
        <v>610</v>
      </c>
      <c r="D83" s="102"/>
      <c r="E83" s="88"/>
      <c r="F83" s="88"/>
      <c r="G83" s="88"/>
      <c r="H83" s="88"/>
      <c r="I83" s="88"/>
      <c r="J83" s="88"/>
    </row>
    <row r="84" spans="1:10" ht="30" customHeight="1" x14ac:dyDescent="0.3">
      <c r="A84" s="172" t="s">
        <v>877</v>
      </c>
      <c r="B84" s="609" t="s">
        <v>627</v>
      </c>
      <c r="C84" s="609"/>
      <c r="D84" s="609"/>
      <c r="E84" s="609"/>
      <c r="F84" s="609"/>
      <c r="G84" s="609"/>
      <c r="H84" s="609"/>
      <c r="I84" s="609"/>
      <c r="J84" s="609"/>
    </row>
    <row r="85" spans="1:10" ht="15.6" x14ac:dyDescent="0.3">
      <c r="A85" s="8" t="s">
        <v>9</v>
      </c>
      <c r="B85" s="16">
        <v>37</v>
      </c>
      <c r="C85" s="9" t="s">
        <v>610</v>
      </c>
      <c r="D85" s="102"/>
      <c r="E85" s="88"/>
      <c r="F85" s="88"/>
      <c r="G85" s="88"/>
      <c r="H85" s="88"/>
      <c r="I85" s="88"/>
      <c r="J85" s="88"/>
    </row>
    <row r="86" spans="1:10" ht="29.25" customHeight="1" x14ac:dyDescent="0.3">
      <c r="A86" s="172" t="s">
        <v>878</v>
      </c>
      <c r="B86" s="609" t="s">
        <v>628</v>
      </c>
      <c r="C86" s="609"/>
      <c r="D86" s="609"/>
      <c r="E86" s="609"/>
      <c r="F86" s="609"/>
      <c r="G86" s="609"/>
      <c r="H86" s="609"/>
      <c r="I86" s="609"/>
      <c r="J86" s="609"/>
    </row>
    <row r="87" spans="1:10" ht="15.6" x14ac:dyDescent="0.3">
      <c r="A87" s="8" t="s">
        <v>9</v>
      </c>
      <c r="B87" s="16">
        <v>16</v>
      </c>
      <c r="C87" s="9" t="s">
        <v>610</v>
      </c>
      <c r="D87" s="102"/>
      <c r="E87" s="88"/>
      <c r="F87" s="88"/>
      <c r="G87" s="88"/>
      <c r="H87" s="88"/>
      <c r="I87" s="88"/>
      <c r="J87" s="88"/>
    </row>
    <row r="88" spans="1:10" ht="32.25" customHeight="1" x14ac:dyDescent="0.3">
      <c r="A88" s="172" t="s">
        <v>879</v>
      </c>
      <c r="B88" s="609" t="s">
        <v>630</v>
      </c>
      <c r="C88" s="609"/>
      <c r="D88" s="609"/>
      <c r="E88" s="609"/>
      <c r="F88" s="609"/>
      <c r="G88" s="609"/>
      <c r="H88" s="609"/>
      <c r="I88" s="609"/>
      <c r="J88" s="609"/>
    </row>
    <row r="89" spans="1:10" ht="15.6" x14ac:dyDescent="0.3">
      <c r="A89" s="8" t="s">
        <v>9</v>
      </c>
      <c r="B89" s="16">
        <v>7</v>
      </c>
      <c r="C89" s="9" t="s">
        <v>610</v>
      </c>
      <c r="D89" s="102"/>
      <c r="E89" s="88"/>
      <c r="F89" s="88"/>
      <c r="G89" s="88"/>
      <c r="H89" s="88"/>
      <c r="I89" s="88"/>
      <c r="J89" s="88"/>
    </row>
    <row r="90" spans="1:10" ht="34.5" customHeight="1" x14ac:dyDescent="0.3">
      <c r="A90" s="172" t="s">
        <v>880</v>
      </c>
      <c r="B90" s="609" t="s">
        <v>631</v>
      </c>
      <c r="C90" s="609"/>
      <c r="D90" s="609"/>
      <c r="E90" s="609"/>
      <c r="F90" s="609"/>
      <c r="G90" s="609"/>
      <c r="H90" s="609"/>
      <c r="I90" s="609"/>
      <c r="J90" s="609"/>
    </row>
    <row r="91" spans="1:10" ht="15.6" x14ac:dyDescent="0.3">
      <c r="A91" s="8" t="s">
        <v>9</v>
      </c>
      <c r="B91" s="16">
        <v>10</v>
      </c>
      <c r="C91" s="9" t="s">
        <v>610</v>
      </c>
      <c r="D91" s="102"/>
      <c r="E91" s="88"/>
      <c r="F91" s="88"/>
      <c r="G91" s="88"/>
      <c r="H91" s="88"/>
      <c r="I91" s="88"/>
      <c r="J91" s="88"/>
    </row>
    <row r="92" spans="1:10" ht="30" customHeight="1" x14ac:dyDescent="0.3">
      <c r="A92" s="172" t="s">
        <v>881</v>
      </c>
      <c r="B92" s="609" t="s">
        <v>632</v>
      </c>
      <c r="C92" s="609"/>
      <c r="D92" s="609"/>
      <c r="E92" s="609"/>
      <c r="F92" s="609"/>
      <c r="G92" s="609"/>
      <c r="H92" s="609"/>
      <c r="I92" s="609"/>
      <c r="J92" s="609"/>
    </row>
    <row r="93" spans="1:10" ht="15.6" x14ac:dyDescent="0.3">
      <c r="A93" s="8" t="s">
        <v>9</v>
      </c>
      <c r="B93" s="16">
        <v>2</v>
      </c>
      <c r="C93" s="9" t="s">
        <v>610</v>
      </c>
      <c r="D93" s="102"/>
      <c r="E93" s="88"/>
      <c r="F93" s="88"/>
      <c r="G93" s="88"/>
      <c r="H93" s="88"/>
      <c r="I93" s="88"/>
      <c r="J93" s="88"/>
    </row>
    <row r="94" spans="1:10" ht="35.25" customHeight="1" x14ac:dyDescent="0.3">
      <c r="A94" s="172" t="s">
        <v>882</v>
      </c>
      <c r="B94" s="609" t="s">
        <v>601</v>
      </c>
      <c r="C94" s="609"/>
      <c r="D94" s="609"/>
      <c r="E94" s="609"/>
      <c r="F94" s="609"/>
      <c r="G94" s="609"/>
      <c r="H94" s="609"/>
      <c r="I94" s="609"/>
      <c r="J94" s="609"/>
    </row>
    <row r="95" spans="1:10" ht="15.6" x14ac:dyDescent="0.3">
      <c r="A95" s="8" t="s">
        <v>9</v>
      </c>
      <c r="B95" s="16">
        <f>941.5+92.3</f>
        <v>1033.8</v>
      </c>
      <c r="C95" s="9" t="s">
        <v>610</v>
      </c>
      <c r="D95" s="102"/>
      <c r="E95" s="88"/>
      <c r="F95" s="88"/>
      <c r="G95" s="88"/>
      <c r="H95" s="88"/>
      <c r="I95" s="88"/>
      <c r="J95" s="88"/>
    </row>
    <row r="96" spans="1:10" ht="30.75" customHeight="1" x14ac:dyDescent="0.3">
      <c r="A96" s="172" t="s">
        <v>883</v>
      </c>
      <c r="B96" s="609" t="s">
        <v>612</v>
      </c>
      <c r="C96" s="609"/>
      <c r="D96" s="609"/>
      <c r="E96" s="609"/>
      <c r="F96" s="609"/>
      <c r="G96" s="609"/>
      <c r="H96" s="609"/>
      <c r="I96" s="609"/>
      <c r="J96" s="609"/>
    </row>
    <row r="97" spans="1:10" ht="15.6" x14ac:dyDescent="0.3">
      <c r="A97" s="8" t="s">
        <v>9</v>
      </c>
      <c r="B97" s="16">
        <f>1295.7+932.8</f>
        <v>2228.5</v>
      </c>
      <c r="C97" s="9" t="s">
        <v>610</v>
      </c>
      <c r="D97" s="102"/>
      <c r="E97" s="88"/>
      <c r="F97" s="88"/>
      <c r="G97" s="88"/>
      <c r="H97" s="88"/>
      <c r="I97" s="88"/>
      <c r="J97" s="88"/>
    </row>
    <row r="98" spans="1:10" ht="33.75" customHeight="1" x14ac:dyDescent="0.3">
      <c r="A98" s="172" t="s">
        <v>884</v>
      </c>
      <c r="B98" s="609" t="s">
        <v>614</v>
      </c>
      <c r="C98" s="609"/>
      <c r="D98" s="609"/>
      <c r="E98" s="609"/>
      <c r="F98" s="609"/>
      <c r="G98" s="609"/>
      <c r="H98" s="609"/>
      <c r="I98" s="609"/>
      <c r="J98" s="609"/>
    </row>
    <row r="99" spans="1:10" ht="15.6" x14ac:dyDescent="0.3">
      <c r="A99" s="8" t="s">
        <v>9</v>
      </c>
      <c r="B99" s="16">
        <f>625+40</f>
        <v>665</v>
      </c>
      <c r="C99" s="9" t="s">
        <v>610</v>
      </c>
      <c r="D99" s="102"/>
      <c r="E99" s="88"/>
      <c r="F99" s="88"/>
      <c r="G99" s="88"/>
      <c r="H99" s="88"/>
      <c r="I99" s="88"/>
      <c r="J99" s="88"/>
    </row>
    <row r="100" spans="1:10" ht="31.5" customHeight="1" x14ac:dyDescent="0.3">
      <c r="A100" s="172" t="s">
        <v>936</v>
      </c>
      <c r="B100" s="609" t="s">
        <v>613</v>
      </c>
      <c r="C100" s="609"/>
      <c r="D100" s="609"/>
      <c r="E100" s="609"/>
      <c r="F100" s="609"/>
      <c r="G100" s="609"/>
      <c r="H100" s="609"/>
      <c r="I100" s="609"/>
      <c r="J100" s="609"/>
    </row>
    <row r="101" spans="1:10" ht="15.6" x14ac:dyDescent="0.3">
      <c r="A101" s="8" t="s">
        <v>9</v>
      </c>
      <c r="B101" s="16">
        <v>30.6</v>
      </c>
      <c r="C101" s="9" t="s">
        <v>610</v>
      </c>
      <c r="D101" s="102"/>
      <c r="E101" s="88"/>
      <c r="F101" s="88"/>
      <c r="G101" s="88"/>
      <c r="H101" s="88"/>
      <c r="I101" s="88"/>
      <c r="J101" s="88"/>
    </row>
    <row r="102" spans="1:10" ht="30.75" customHeight="1" x14ac:dyDescent="0.3">
      <c r="A102" s="172" t="s">
        <v>885</v>
      </c>
      <c r="B102" s="609" t="s">
        <v>640</v>
      </c>
      <c r="C102" s="609"/>
      <c r="D102" s="609"/>
      <c r="E102" s="609"/>
      <c r="F102" s="609"/>
      <c r="G102" s="609"/>
      <c r="H102" s="609"/>
      <c r="I102" s="609"/>
      <c r="J102" s="609"/>
    </row>
    <row r="103" spans="1:10" ht="15.6" x14ac:dyDescent="0.3">
      <c r="A103" s="8" t="s">
        <v>9</v>
      </c>
      <c r="B103" s="16">
        <f>3+1+1</f>
        <v>5</v>
      </c>
      <c r="C103" s="9" t="s">
        <v>610</v>
      </c>
      <c r="D103" s="102"/>
      <c r="E103" s="88"/>
      <c r="F103" s="88"/>
      <c r="G103" s="88"/>
      <c r="H103" s="88"/>
      <c r="I103" s="88"/>
      <c r="J103" s="88"/>
    </row>
    <row r="104" spans="1:10" ht="32.25" customHeight="1" x14ac:dyDescent="0.25">
      <c r="A104" s="172" t="s">
        <v>886</v>
      </c>
      <c r="B104" s="610" t="s">
        <v>639</v>
      </c>
      <c r="C104" s="610"/>
      <c r="D104" s="610"/>
      <c r="E104" s="610"/>
      <c r="F104" s="610"/>
      <c r="G104" s="610"/>
      <c r="H104" s="610"/>
      <c r="I104" s="610"/>
      <c r="J104" s="610"/>
    </row>
    <row r="105" spans="1:10" ht="15.6" x14ac:dyDescent="0.3">
      <c r="A105" s="8" t="s">
        <v>9</v>
      </c>
      <c r="B105" s="16">
        <v>3</v>
      </c>
      <c r="C105" s="9" t="s">
        <v>610</v>
      </c>
      <c r="D105" s="102"/>
      <c r="E105" s="88"/>
      <c r="F105" s="88"/>
      <c r="G105" s="88"/>
      <c r="H105" s="88"/>
      <c r="I105" s="88"/>
      <c r="J105" s="88"/>
    </row>
    <row r="106" spans="1:10" ht="15.6" x14ac:dyDescent="0.3">
      <c r="A106" s="172" t="s">
        <v>887</v>
      </c>
      <c r="B106" s="609" t="s">
        <v>605</v>
      </c>
      <c r="C106" s="609"/>
      <c r="D106" s="609"/>
      <c r="E106" s="609"/>
      <c r="F106" s="609"/>
      <c r="G106" s="609"/>
      <c r="H106" s="609"/>
      <c r="I106" s="609"/>
      <c r="J106" s="609"/>
    </row>
    <row r="107" spans="1:10" ht="15.6" x14ac:dyDescent="0.3">
      <c r="A107" s="8" t="s">
        <v>9</v>
      </c>
      <c r="B107" s="16">
        <v>6</v>
      </c>
      <c r="C107" s="9" t="s">
        <v>610</v>
      </c>
      <c r="D107" s="102"/>
      <c r="E107" s="88"/>
      <c r="F107" s="88"/>
      <c r="G107" s="88"/>
      <c r="H107" s="88"/>
      <c r="I107" s="88"/>
      <c r="J107" s="88"/>
    </row>
    <row r="108" spans="1:10" ht="15.6" x14ac:dyDescent="0.3">
      <c r="A108" s="172" t="s">
        <v>888</v>
      </c>
      <c r="B108" s="609" t="s">
        <v>606</v>
      </c>
      <c r="C108" s="609"/>
      <c r="D108" s="609"/>
      <c r="E108" s="609"/>
      <c r="F108" s="609"/>
      <c r="G108" s="609"/>
      <c r="H108" s="609"/>
      <c r="I108" s="609"/>
      <c r="J108" s="609"/>
    </row>
    <row r="109" spans="1:10" ht="15.6" x14ac:dyDescent="0.3">
      <c r="A109" s="8" t="s">
        <v>9</v>
      </c>
      <c r="B109" s="16">
        <v>1</v>
      </c>
      <c r="C109" s="9" t="s">
        <v>610</v>
      </c>
      <c r="D109" s="102"/>
      <c r="E109" s="88"/>
      <c r="F109" s="88"/>
      <c r="G109" s="88"/>
      <c r="H109" s="88"/>
      <c r="I109" s="88"/>
      <c r="J109" s="88"/>
    </row>
    <row r="110" spans="1:10" ht="15.6" x14ac:dyDescent="0.3">
      <c r="A110" s="172" t="s">
        <v>889</v>
      </c>
      <c r="B110" s="609" t="s">
        <v>607</v>
      </c>
      <c r="C110" s="609"/>
      <c r="D110" s="609"/>
      <c r="E110" s="609"/>
      <c r="F110" s="609"/>
      <c r="G110" s="609"/>
      <c r="H110" s="609"/>
      <c r="I110" s="609"/>
      <c r="J110" s="609"/>
    </row>
    <row r="111" spans="1:10" ht="15.6" x14ac:dyDescent="0.3">
      <c r="A111" s="8" t="s">
        <v>9</v>
      </c>
      <c r="B111" s="16">
        <v>1</v>
      </c>
      <c r="C111" s="9" t="s">
        <v>610</v>
      </c>
      <c r="D111" s="102"/>
      <c r="E111" s="88"/>
      <c r="F111" s="88"/>
      <c r="G111" s="88"/>
      <c r="H111" s="88"/>
      <c r="I111" s="88"/>
      <c r="J111" s="88"/>
    </row>
    <row r="112" spans="1:10" ht="15.6" x14ac:dyDescent="0.3">
      <c r="A112" s="172" t="s">
        <v>890</v>
      </c>
      <c r="B112" s="609" t="s">
        <v>633</v>
      </c>
      <c r="C112" s="609"/>
      <c r="D112" s="609"/>
      <c r="E112" s="609"/>
      <c r="F112" s="609"/>
      <c r="G112" s="609"/>
      <c r="H112" s="609"/>
      <c r="I112" s="609"/>
      <c r="J112" s="609"/>
    </row>
    <row r="113" spans="1:20" ht="15.6" x14ac:dyDescent="0.3">
      <c r="A113" s="8" t="s">
        <v>9</v>
      </c>
      <c r="B113" s="16">
        <v>1</v>
      </c>
      <c r="C113" s="9" t="s">
        <v>610</v>
      </c>
      <c r="D113" s="102"/>
      <c r="E113" s="88"/>
      <c r="F113" s="88"/>
      <c r="G113" s="88"/>
      <c r="H113" s="88"/>
      <c r="I113" s="88"/>
      <c r="J113" s="88"/>
    </row>
    <row r="114" spans="1:20" ht="30.75" customHeight="1" x14ac:dyDescent="0.3">
      <c r="A114" s="172" t="s">
        <v>937</v>
      </c>
      <c r="B114" s="609" t="s">
        <v>637</v>
      </c>
      <c r="C114" s="609"/>
      <c r="D114" s="609"/>
      <c r="E114" s="609"/>
      <c r="F114" s="609"/>
      <c r="G114" s="609"/>
      <c r="H114" s="609"/>
      <c r="I114" s="609"/>
      <c r="J114" s="609"/>
    </row>
    <row r="115" spans="1:20" ht="15.6" x14ac:dyDescent="0.3">
      <c r="A115" s="8" t="s">
        <v>9</v>
      </c>
      <c r="B115" s="16">
        <v>1</v>
      </c>
      <c r="C115" s="9" t="s">
        <v>610</v>
      </c>
      <c r="D115" s="102"/>
      <c r="E115" s="88"/>
      <c r="F115" s="88"/>
      <c r="G115" s="88"/>
      <c r="H115" s="88"/>
      <c r="I115" s="88"/>
      <c r="J115" s="88"/>
    </row>
    <row r="116" spans="1:20" ht="47.25" customHeight="1" x14ac:dyDescent="0.3">
      <c r="A116" s="172" t="s">
        <v>891</v>
      </c>
      <c r="B116" s="609" t="s">
        <v>635</v>
      </c>
      <c r="C116" s="609"/>
      <c r="D116" s="609"/>
      <c r="E116" s="609"/>
      <c r="F116" s="609"/>
      <c r="G116" s="609"/>
      <c r="H116" s="609"/>
      <c r="I116" s="609"/>
      <c r="J116" s="609"/>
    </row>
    <row r="117" spans="1:20" ht="15.6" x14ac:dyDescent="0.3">
      <c r="A117" s="8" t="s">
        <v>9</v>
      </c>
      <c r="B117" s="16">
        <v>1</v>
      </c>
      <c r="C117" s="9" t="s">
        <v>610</v>
      </c>
      <c r="D117" s="102"/>
      <c r="E117" s="88"/>
      <c r="F117" s="88"/>
      <c r="G117" s="88"/>
      <c r="H117" s="88"/>
      <c r="I117" s="88"/>
      <c r="J117" s="88"/>
    </row>
    <row r="118" spans="1:20" ht="15.6" x14ac:dyDescent="0.3">
      <c r="A118" s="172" t="s">
        <v>892</v>
      </c>
      <c r="B118" s="609" t="s">
        <v>642</v>
      </c>
      <c r="C118" s="609"/>
      <c r="D118" s="609"/>
      <c r="E118" s="609"/>
      <c r="F118" s="609"/>
      <c r="G118" s="609"/>
      <c r="H118" s="609"/>
      <c r="I118" s="609"/>
      <c r="J118" s="609"/>
    </row>
    <row r="119" spans="1:20" ht="15.6" x14ac:dyDescent="0.3">
      <c r="A119" s="8" t="s">
        <v>9</v>
      </c>
      <c r="B119" s="16">
        <v>1</v>
      </c>
      <c r="C119" s="9" t="s">
        <v>610</v>
      </c>
      <c r="D119" s="102"/>
      <c r="E119" s="88"/>
      <c r="F119" s="88"/>
      <c r="G119" s="88"/>
      <c r="H119" s="88"/>
      <c r="I119" s="88"/>
      <c r="J119" s="88"/>
    </row>
    <row r="120" spans="1:20" ht="36" customHeight="1" x14ac:dyDescent="0.3">
      <c r="A120" s="172" t="s">
        <v>893</v>
      </c>
      <c r="B120" s="609" t="s">
        <v>643</v>
      </c>
      <c r="C120" s="609"/>
      <c r="D120" s="609"/>
      <c r="E120" s="609"/>
      <c r="F120" s="609"/>
      <c r="G120" s="609"/>
      <c r="H120" s="609"/>
      <c r="I120" s="609"/>
      <c r="J120" s="609"/>
    </row>
    <row r="121" spans="1:20" ht="15.6" x14ac:dyDescent="0.3">
      <c r="A121" s="8" t="s">
        <v>9</v>
      </c>
      <c r="B121" s="16">
        <v>1</v>
      </c>
      <c r="C121" s="9" t="s">
        <v>610</v>
      </c>
      <c r="D121" s="102"/>
      <c r="E121" s="88"/>
      <c r="F121" s="88"/>
      <c r="G121" s="88"/>
      <c r="H121" s="88"/>
      <c r="I121" s="88"/>
      <c r="J121" s="88"/>
    </row>
    <row r="122" spans="1:20" s="295" customFormat="1" ht="15.6" x14ac:dyDescent="0.3">
      <c r="A122" s="298" t="s">
        <v>177</v>
      </c>
      <c r="B122" s="299" t="s">
        <v>98</v>
      </c>
      <c r="C122" s="303"/>
      <c r="D122" s="303"/>
      <c r="E122" s="303"/>
    </row>
    <row r="123" spans="1:20" s="290" customFormat="1" ht="15.6" x14ac:dyDescent="0.3">
      <c r="A123" s="304" t="s">
        <v>198</v>
      </c>
      <c r="B123" s="305" t="s">
        <v>163</v>
      </c>
      <c r="C123" s="310"/>
      <c r="D123" s="310"/>
      <c r="E123" s="310"/>
    </row>
    <row r="124" spans="1:20" ht="38.25" customHeight="1" x14ac:dyDescent="0.3">
      <c r="A124" s="172" t="s">
        <v>895</v>
      </c>
      <c r="B124" s="609" t="s">
        <v>215</v>
      </c>
      <c r="C124" s="609"/>
      <c r="D124" s="609"/>
      <c r="E124" s="609"/>
      <c r="F124" s="609"/>
      <c r="G124" s="609"/>
      <c r="H124" s="609"/>
      <c r="I124" s="609"/>
      <c r="J124" s="609"/>
    </row>
    <row r="125" spans="1:20" ht="15.6" x14ac:dyDescent="0.3">
      <c r="A125" s="130" t="s">
        <v>9</v>
      </c>
      <c r="B125" s="117">
        <v>2.4</v>
      </c>
      <c r="C125" s="102" t="s">
        <v>158</v>
      </c>
      <c r="D125" s="127"/>
      <c r="E125" s="127"/>
      <c r="F125" s="128"/>
      <c r="G125" s="128"/>
      <c r="H125" s="128"/>
      <c r="I125" s="128"/>
      <c r="J125" s="128"/>
      <c r="K125" s="130"/>
      <c r="L125" s="117"/>
      <c r="M125" s="102"/>
      <c r="N125" s="127"/>
      <c r="O125" s="127"/>
      <c r="P125" s="128"/>
      <c r="Q125" s="128"/>
      <c r="R125" s="128"/>
      <c r="S125" s="128"/>
      <c r="T125" s="128"/>
    </row>
    <row r="126" spans="1:20" ht="15.6" x14ac:dyDescent="0.3">
      <c r="A126" s="130" t="s">
        <v>9</v>
      </c>
      <c r="B126" s="117">
        <v>0.45</v>
      </c>
      <c r="C126" s="102" t="s">
        <v>159</v>
      </c>
      <c r="D126" s="127"/>
      <c r="E126" s="127"/>
      <c r="F126" s="128"/>
      <c r="G126" s="128"/>
      <c r="H126" s="128"/>
      <c r="I126" s="128"/>
      <c r="J126" s="128"/>
      <c r="K126" s="130"/>
      <c r="L126" s="117"/>
      <c r="M126" s="102"/>
      <c r="N126" s="127"/>
      <c r="O126" s="127"/>
      <c r="P126" s="128"/>
      <c r="Q126" s="128"/>
      <c r="R126" s="128"/>
      <c r="S126" s="128"/>
      <c r="T126" s="128"/>
    </row>
    <row r="127" spans="1:20" ht="15.6" x14ac:dyDescent="0.3">
      <c r="A127" s="130" t="s">
        <v>9</v>
      </c>
      <c r="B127" s="117">
        <v>1.43</v>
      </c>
      <c r="C127" s="102" t="s">
        <v>210</v>
      </c>
      <c r="D127" s="127"/>
      <c r="E127" s="127"/>
      <c r="F127" s="128"/>
      <c r="G127" s="128"/>
      <c r="H127" s="128"/>
      <c r="I127" s="128"/>
      <c r="J127" s="128"/>
      <c r="K127" s="130"/>
      <c r="L127" s="117"/>
      <c r="M127" s="102"/>
      <c r="N127" s="127"/>
      <c r="O127" s="127"/>
      <c r="P127" s="128"/>
      <c r="Q127" s="128"/>
      <c r="R127" s="128"/>
      <c r="S127" s="128"/>
      <c r="T127" s="128"/>
    </row>
    <row r="128" spans="1:20" ht="15.6" x14ac:dyDescent="0.3">
      <c r="A128" s="130" t="s">
        <v>9</v>
      </c>
      <c r="B128" s="117">
        <v>0.45</v>
      </c>
      <c r="C128" s="102" t="s">
        <v>211</v>
      </c>
      <c r="D128" s="127"/>
      <c r="E128" s="127"/>
      <c r="F128" s="128"/>
      <c r="G128" s="128"/>
      <c r="H128" s="128"/>
      <c r="I128" s="128"/>
      <c r="J128" s="128"/>
      <c r="K128" s="130"/>
      <c r="L128" s="117"/>
      <c r="M128" s="102"/>
      <c r="N128" s="127"/>
      <c r="O128" s="127"/>
      <c r="P128" s="128"/>
      <c r="Q128" s="128"/>
      <c r="R128" s="128"/>
      <c r="S128" s="128"/>
      <c r="T128" s="128"/>
    </row>
    <row r="129" spans="1:20" ht="15.6" x14ac:dyDescent="0.3">
      <c r="A129" s="130" t="s">
        <v>9</v>
      </c>
      <c r="B129" s="117">
        <v>0.45</v>
      </c>
      <c r="C129" s="102" t="s">
        <v>160</v>
      </c>
      <c r="D129" s="127"/>
      <c r="E129" s="127"/>
      <c r="F129" s="128"/>
      <c r="G129" s="128"/>
      <c r="H129" s="128"/>
      <c r="I129" s="128"/>
      <c r="J129" s="128"/>
      <c r="K129" s="130"/>
      <c r="L129" s="117"/>
      <c r="M129" s="102"/>
      <c r="N129" s="127"/>
      <c r="O129" s="127"/>
      <c r="P129" s="128"/>
      <c r="Q129" s="128"/>
      <c r="R129" s="128"/>
      <c r="S129" s="128"/>
      <c r="T129" s="128"/>
    </row>
    <row r="130" spans="1:20" ht="15.6" x14ac:dyDescent="0.3">
      <c r="A130" s="130" t="s">
        <v>9</v>
      </c>
      <c r="B130" s="117">
        <v>2.1</v>
      </c>
      <c r="C130" s="102" t="s">
        <v>372</v>
      </c>
      <c r="D130" s="127"/>
      <c r="E130" s="127"/>
      <c r="F130" s="128"/>
      <c r="G130" s="128"/>
      <c r="H130" s="128"/>
      <c r="I130" s="128"/>
      <c r="J130" s="128"/>
      <c r="K130" s="130"/>
      <c r="L130" s="117"/>
      <c r="M130" s="102"/>
      <c r="N130" s="127"/>
      <c r="O130" s="127"/>
      <c r="P130" s="128"/>
      <c r="Q130" s="128"/>
      <c r="R130" s="128"/>
      <c r="S130" s="128"/>
      <c r="T130" s="128"/>
    </row>
    <row r="131" spans="1:20" ht="15.6" x14ac:dyDescent="0.3">
      <c r="A131" s="130" t="s">
        <v>9</v>
      </c>
      <c r="B131" s="117">
        <v>0.05</v>
      </c>
      <c r="C131" s="102" t="s">
        <v>373</v>
      </c>
      <c r="D131" s="127"/>
      <c r="E131" s="127"/>
      <c r="F131" s="128"/>
      <c r="G131" s="128"/>
      <c r="H131" s="128"/>
      <c r="I131" s="128"/>
      <c r="J131" s="128"/>
      <c r="K131" s="130"/>
      <c r="L131" s="117"/>
      <c r="M131" s="102"/>
      <c r="N131" s="127"/>
      <c r="O131" s="127"/>
      <c r="P131" s="128"/>
      <c r="Q131" s="128"/>
      <c r="R131" s="128"/>
      <c r="S131" s="128"/>
      <c r="T131" s="128"/>
    </row>
    <row r="132" spans="1:20" ht="15.6" x14ac:dyDescent="0.3">
      <c r="A132" s="125" t="s">
        <v>9</v>
      </c>
      <c r="B132" s="126">
        <f>((((B125*B126*2)+(B127*B128))*B129)+(B130*B131))</f>
        <v>1.3665750000000001</v>
      </c>
      <c r="C132" s="127"/>
      <c r="D132" s="127"/>
      <c r="E132" s="127"/>
      <c r="F132" s="128"/>
      <c r="G132" s="128"/>
      <c r="H132" s="128"/>
      <c r="I132" s="128"/>
      <c r="J132" s="128"/>
      <c r="K132" s="125"/>
      <c r="L132" s="126"/>
      <c r="M132" s="127"/>
      <c r="N132" s="127"/>
      <c r="O132" s="127"/>
      <c r="P132" s="128"/>
      <c r="Q132" s="128"/>
      <c r="R132" s="128"/>
      <c r="S132" s="128"/>
      <c r="T132" s="128"/>
    </row>
    <row r="133" spans="1:20" ht="15.6" x14ac:dyDescent="0.3">
      <c r="A133" s="125"/>
      <c r="B133" s="104" t="s">
        <v>55</v>
      </c>
      <c r="C133" s="13"/>
      <c r="D133" s="67" t="s">
        <v>938</v>
      </c>
      <c r="E133" s="11"/>
      <c r="F133" s="128"/>
      <c r="G133" s="128"/>
      <c r="H133" s="128"/>
      <c r="I133" s="128"/>
      <c r="J133" s="128"/>
      <c r="K133" s="125"/>
      <c r="L133" s="104"/>
      <c r="M133" s="13"/>
      <c r="N133" s="67"/>
      <c r="O133" s="11"/>
      <c r="P133" s="128"/>
      <c r="Q133" s="128"/>
      <c r="R133" s="128"/>
      <c r="S133" s="128"/>
      <c r="T133" s="128"/>
    </row>
    <row r="134" spans="1:20" ht="15.6" x14ac:dyDescent="0.3">
      <c r="A134" s="120" t="s">
        <v>896</v>
      </c>
      <c r="B134" s="129" t="s">
        <v>165</v>
      </c>
      <c r="C134" s="121"/>
      <c r="D134" s="122"/>
      <c r="E134" s="123"/>
      <c r="F134" s="119"/>
      <c r="G134" s="119"/>
      <c r="H134" s="119"/>
      <c r="I134" s="119"/>
      <c r="J134" s="119"/>
    </row>
    <row r="135" spans="1:20" ht="15.6" x14ac:dyDescent="0.3">
      <c r="A135" s="125" t="s">
        <v>9</v>
      </c>
      <c r="B135" s="126">
        <v>0.72</v>
      </c>
      <c r="C135" s="137" t="s">
        <v>172</v>
      </c>
      <c r="D135" s="134"/>
      <c r="E135" s="135"/>
      <c r="F135" s="128"/>
      <c r="G135" s="128"/>
      <c r="H135" s="128"/>
      <c r="I135" s="128"/>
      <c r="J135" s="128"/>
    </row>
    <row r="136" spans="1:20" ht="15.6" x14ac:dyDescent="0.3">
      <c r="A136" s="120" t="s">
        <v>897</v>
      </c>
      <c r="B136" s="129" t="s">
        <v>166</v>
      </c>
      <c r="C136" s="121"/>
      <c r="D136" s="122"/>
      <c r="E136" s="123"/>
      <c r="F136" s="119"/>
      <c r="G136" s="119"/>
      <c r="H136" s="119"/>
      <c r="I136" s="119"/>
      <c r="J136" s="119"/>
    </row>
    <row r="137" spans="1:20" ht="15.6" x14ac:dyDescent="0.3">
      <c r="A137" s="130" t="s">
        <v>9</v>
      </c>
      <c r="B137" s="117"/>
      <c r="C137" s="137" t="s">
        <v>167</v>
      </c>
      <c r="D137" s="134"/>
      <c r="E137" s="135"/>
      <c r="F137" s="128"/>
      <c r="G137" s="128"/>
      <c r="H137" s="128"/>
      <c r="I137" s="128"/>
      <c r="J137" s="128"/>
      <c r="K137" s="130"/>
      <c r="L137" s="117"/>
      <c r="M137" s="137"/>
      <c r="N137" s="134"/>
      <c r="O137" s="135"/>
      <c r="P137" s="128"/>
      <c r="Q137" s="128"/>
      <c r="R137" s="128"/>
      <c r="S137" s="128"/>
      <c r="T137" s="128"/>
    </row>
    <row r="138" spans="1:20" ht="15.6" x14ac:dyDescent="0.3">
      <c r="A138" s="130" t="s">
        <v>9</v>
      </c>
      <c r="B138" s="117"/>
      <c r="C138" s="137" t="s">
        <v>168</v>
      </c>
      <c r="D138" s="134"/>
      <c r="E138" s="135"/>
      <c r="F138" s="128"/>
      <c r="G138" s="128"/>
      <c r="H138" s="128"/>
      <c r="I138" s="128"/>
      <c r="J138" s="128"/>
      <c r="K138" s="130"/>
      <c r="L138" s="117"/>
      <c r="M138" s="137"/>
      <c r="N138" s="134"/>
      <c r="O138" s="135"/>
      <c r="P138" s="128"/>
      <c r="Q138" s="128"/>
      <c r="R138" s="128"/>
      <c r="S138" s="128"/>
      <c r="T138" s="128"/>
    </row>
    <row r="139" spans="1:20" ht="15.6" x14ac:dyDescent="0.3">
      <c r="A139" s="130" t="s">
        <v>9</v>
      </c>
      <c r="B139" s="117"/>
      <c r="C139" s="137" t="s">
        <v>169</v>
      </c>
      <c r="D139" s="134"/>
      <c r="E139" s="135"/>
      <c r="F139" s="128"/>
      <c r="G139" s="128"/>
      <c r="H139" s="128"/>
      <c r="I139" s="128"/>
      <c r="J139" s="128"/>
      <c r="K139" s="130"/>
      <c r="L139" s="117"/>
      <c r="M139" s="137"/>
      <c r="N139" s="134"/>
      <c r="O139" s="135"/>
      <c r="P139" s="128"/>
      <c r="Q139" s="128"/>
      <c r="R139" s="128"/>
      <c r="S139" s="128"/>
      <c r="T139" s="128"/>
    </row>
    <row r="140" spans="1:20" ht="15.6" x14ac:dyDescent="0.3">
      <c r="A140" s="130" t="s">
        <v>9</v>
      </c>
      <c r="B140" s="117">
        <v>7.48</v>
      </c>
      <c r="C140" s="137" t="s">
        <v>170</v>
      </c>
      <c r="D140" s="134"/>
      <c r="E140" s="135"/>
      <c r="F140" s="128"/>
      <c r="G140" s="128"/>
      <c r="H140" s="128"/>
      <c r="I140" s="128"/>
      <c r="J140" s="128"/>
      <c r="K140" s="130"/>
      <c r="L140" s="117"/>
      <c r="M140" s="137"/>
      <c r="N140" s="134"/>
      <c r="O140" s="135"/>
      <c r="P140" s="128"/>
      <c r="Q140" s="128"/>
      <c r="R140" s="128"/>
      <c r="S140" s="128"/>
      <c r="T140" s="128"/>
    </row>
    <row r="141" spans="1:20" ht="15.6" x14ac:dyDescent="0.3">
      <c r="A141" s="130" t="s">
        <v>9</v>
      </c>
      <c r="B141" s="117">
        <v>2.52</v>
      </c>
      <c r="C141" s="137" t="s">
        <v>171</v>
      </c>
      <c r="D141" s="134"/>
      <c r="E141" s="135"/>
      <c r="F141" s="128"/>
      <c r="G141" s="128"/>
      <c r="H141" s="128"/>
      <c r="I141" s="128"/>
      <c r="J141" s="128"/>
      <c r="K141" s="130"/>
      <c r="L141" s="117"/>
      <c r="M141" s="137"/>
      <c r="N141" s="134"/>
      <c r="O141" s="135"/>
      <c r="P141" s="128"/>
      <c r="Q141" s="128"/>
      <c r="R141" s="128"/>
      <c r="S141" s="128"/>
      <c r="T141" s="128"/>
    </row>
    <row r="142" spans="1:20" ht="15.6" x14ac:dyDescent="0.3">
      <c r="A142" s="125" t="s">
        <v>9</v>
      </c>
      <c r="B142" s="126">
        <f>SUM(B140:B141)</f>
        <v>10</v>
      </c>
      <c r="C142" s="137"/>
      <c r="D142" s="134"/>
      <c r="E142" s="135"/>
      <c r="F142" s="128"/>
      <c r="G142" s="128"/>
      <c r="H142" s="128"/>
      <c r="I142" s="128"/>
      <c r="J142" s="128"/>
      <c r="K142" s="125"/>
      <c r="L142" s="126"/>
      <c r="M142" s="137"/>
      <c r="N142" s="134"/>
      <c r="O142" s="135"/>
      <c r="P142" s="128"/>
      <c r="Q142" s="128"/>
      <c r="R142" s="128"/>
      <c r="S142" s="128"/>
      <c r="T142" s="128"/>
    </row>
    <row r="143" spans="1:20" ht="15.6" x14ac:dyDescent="0.3">
      <c r="A143" s="130"/>
      <c r="B143" s="104"/>
      <c r="C143" s="13"/>
      <c r="D143" s="67"/>
      <c r="E143" s="11"/>
      <c r="F143" s="128"/>
      <c r="G143" s="128"/>
      <c r="H143" s="128"/>
      <c r="I143" s="128"/>
      <c r="J143" s="128"/>
      <c r="K143" s="130"/>
      <c r="L143" s="104"/>
      <c r="M143" s="13"/>
      <c r="N143" s="67"/>
      <c r="O143" s="11"/>
      <c r="P143" s="128"/>
      <c r="Q143" s="128"/>
      <c r="R143" s="128"/>
      <c r="S143" s="128"/>
      <c r="T143" s="128"/>
    </row>
    <row r="144" spans="1:20" ht="15.6" x14ac:dyDescent="0.3">
      <c r="A144" s="120" t="s">
        <v>898</v>
      </c>
      <c r="B144" s="619" t="s">
        <v>214</v>
      </c>
      <c r="C144" s="620"/>
      <c r="D144" s="620"/>
      <c r="E144" s="620"/>
      <c r="F144" s="620"/>
      <c r="G144" s="620"/>
      <c r="H144" s="620"/>
      <c r="I144" s="620"/>
      <c r="J144" s="620"/>
    </row>
    <row r="145" spans="1:10" ht="15.6" x14ac:dyDescent="0.3">
      <c r="A145" s="130" t="s">
        <v>9</v>
      </c>
      <c r="B145" s="174">
        <v>8</v>
      </c>
      <c r="C145" s="16" t="s">
        <v>550</v>
      </c>
      <c r="D145" s="16"/>
      <c r="E145" s="104"/>
      <c r="F145" s="104"/>
      <c r="G145" s="104"/>
      <c r="H145" s="104"/>
      <c r="I145" s="104"/>
      <c r="J145" s="104"/>
    </row>
    <row r="146" spans="1:10" ht="15.6" x14ac:dyDescent="0.3">
      <c r="A146" s="125" t="s">
        <v>9</v>
      </c>
      <c r="B146" s="175">
        <f>SUM(B145:B145)</f>
        <v>8</v>
      </c>
      <c r="C146" s="104"/>
      <c r="D146" s="104"/>
      <c r="E146" s="104"/>
      <c r="F146" s="104"/>
      <c r="G146" s="104"/>
      <c r="H146" s="104"/>
      <c r="I146" s="104"/>
      <c r="J146" s="104"/>
    </row>
    <row r="147" spans="1:10" ht="36" customHeight="1" x14ac:dyDescent="0.3">
      <c r="A147" s="172" t="s">
        <v>899</v>
      </c>
      <c r="B147" s="609" t="s">
        <v>237</v>
      </c>
      <c r="C147" s="613"/>
      <c r="D147" s="613"/>
      <c r="E147" s="613"/>
      <c r="F147" s="613"/>
      <c r="G147" s="613"/>
      <c r="H147" s="613"/>
      <c r="I147" s="613"/>
      <c r="J147" s="613"/>
    </row>
    <row r="148" spans="1:10" ht="15.6" x14ac:dyDescent="0.3">
      <c r="A148" s="125" t="s">
        <v>9</v>
      </c>
      <c r="B148" s="16">
        <v>1.7</v>
      </c>
      <c r="C148" s="102" t="s">
        <v>220</v>
      </c>
      <c r="D148" s="67"/>
      <c r="E148" s="104"/>
      <c r="F148" s="104"/>
      <c r="G148" s="104"/>
      <c r="H148" s="104"/>
      <c r="I148" s="104"/>
      <c r="J148" s="104"/>
    </row>
    <row r="149" spans="1:10" ht="15.6" x14ac:dyDescent="0.3">
      <c r="A149" s="125" t="s">
        <v>9</v>
      </c>
      <c r="B149" s="16">
        <v>2.78</v>
      </c>
      <c r="C149" s="102" t="s">
        <v>221</v>
      </c>
      <c r="D149" s="67"/>
      <c r="E149" s="104"/>
      <c r="F149" s="104"/>
      <c r="G149" s="104"/>
      <c r="H149" s="104"/>
      <c r="I149" s="104"/>
      <c r="J149" s="104"/>
    </row>
    <row r="150" spans="1:10" ht="15.6" x14ac:dyDescent="0.3">
      <c r="A150" s="125" t="s">
        <v>9</v>
      </c>
      <c r="B150" s="16">
        <v>0.15</v>
      </c>
      <c r="C150" s="102" t="s">
        <v>433</v>
      </c>
      <c r="D150" s="67"/>
      <c r="E150" s="104"/>
      <c r="F150" s="104"/>
      <c r="G150" s="104"/>
      <c r="H150" s="104"/>
      <c r="I150" s="104"/>
      <c r="J150" s="104"/>
    </row>
    <row r="151" spans="1:10" ht="15.6" x14ac:dyDescent="0.3">
      <c r="A151" s="125" t="s">
        <v>9</v>
      </c>
      <c r="B151" s="100">
        <f>(B148*B149*B150*3)</f>
        <v>2.1267</v>
      </c>
      <c r="D151" s="67"/>
      <c r="E151" s="104"/>
      <c r="F151" s="104"/>
      <c r="G151" s="104"/>
      <c r="H151" s="104"/>
      <c r="I151" s="104"/>
      <c r="J151" s="104"/>
    </row>
    <row r="152" spans="1:10" ht="15.6" x14ac:dyDescent="0.3">
      <c r="A152" s="125"/>
      <c r="B152" s="104" t="s">
        <v>55</v>
      </c>
      <c r="C152" s="13"/>
      <c r="D152" s="67" t="s">
        <v>434</v>
      </c>
      <c r="E152" s="104"/>
      <c r="F152" s="104"/>
      <c r="G152" s="104"/>
      <c r="H152" s="104"/>
      <c r="I152" s="104"/>
      <c r="J152" s="104"/>
    </row>
    <row r="153" spans="1:10" ht="15.6" x14ac:dyDescent="0.3">
      <c r="A153" s="172" t="s">
        <v>952</v>
      </c>
      <c r="B153" s="609" t="s">
        <v>521</v>
      </c>
      <c r="C153" s="613"/>
      <c r="D153" s="613"/>
      <c r="E153" s="613"/>
      <c r="F153" s="613"/>
      <c r="G153" s="613"/>
      <c r="H153" s="613"/>
      <c r="I153" s="613"/>
      <c r="J153" s="613"/>
    </row>
    <row r="154" spans="1:10" ht="15.6" x14ac:dyDescent="0.3">
      <c r="A154" s="8" t="s">
        <v>9</v>
      </c>
      <c r="B154" s="16">
        <v>109.7</v>
      </c>
      <c r="C154" s="102" t="s">
        <v>551</v>
      </c>
      <c r="D154" s="8"/>
      <c r="E154" s="104"/>
      <c r="F154" s="102"/>
      <c r="G154" s="102"/>
      <c r="H154" s="104"/>
      <c r="I154" s="104"/>
      <c r="J154" s="104"/>
    </row>
    <row r="155" spans="1:10" ht="34.5" customHeight="1" x14ac:dyDescent="0.3">
      <c r="A155" s="171" t="s">
        <v>9</v>
      </c>
      <c r="B155" s="156">
        <v>17.579999999999998</v>
      </c>
      <c r="C155" s="623" t="s">
        <v>588</v>
      </c>
      <c r="D155" s="623"/>
      <c r="E155" s="623"/>
      <c r="F155" s="623"/>
      <c r="G155" s="623"/>
      <c r="H155" s="623"/>
      <c r="I155" s="623"/>
      <c r="J155" s="623"/>
    </row>
    <row r="156" spans="1:10" ht="15.6" x14ac:dyDescent="0.3">
      <c r="A156" s="8" t="s">
        <v>9</v>
      </c>
      <c r="B156" s="16">
        <v>4.2</v>
      </c>
      <c r="C156" s="102" t="s">
        <v>552</v>
      </c>
      <c r="D156" s="8"/>
      <c r="E156" s="104"/>
      <c r="F156" s="102"/>
      <c r="G156" s="102"/>
      <c r="H156" s="104"/>
      <c r="I156" s="104"/>
      <c r="J156" s="104"/>
    </row>
    <row r="157" spans="1:10" ht="15.6" x14ac:dyDescent="0.3">
      <c r="A157" s="8" t="s">
        <v>9</v>
      </c>
      <c r="B157" s="16">
        <f>(5.4*100+7.35*16.4)-159.24</f>
        <v>501.29999999999995</v>
      </c>
      <c r="C157" s="102" t="s">
        <v>803</v>
      </c>
      <c r="D157" s="8"/>
      <c r="E157" s="104"/>
      <c r="F157" s="102"/>
      <c r="G157" s="102"/>
      <c r="H157" s="104"/>
      <c r="I157" s="104"/>
      <c r="J157" s="104"/>
    </row>
    <row r="158" spans="1:10" ht="15.6" x14ac:dyDescent="0.3">
      <c r="A158" s="8" t="s">
        <v>9</v>
      </c>
      <c r="B158" s="16"/>
      <c r="C158" s="102"/>
      <c r="D158" s="8"/>
      <c r="E158" s="104"/>
      <c r="F158" s="102"/>
      <c r="G158" s="102"/>
      <c r="H158" s="104"/>
      <c r="I158" s="104"/>
      <c r="J158" s="104"/>
    </row>
    <row r="159" spans="1:10" ht="15.6" x14ac:dyDescent="0.3">
      <c r="A159" s="8" t="s">
        <v>9</v>
      </c>
      <c r="B159" s="16">
        <v>30</v>
      </c>
      <c r="C159" s="102" t="s">
        <v>218</v>
      </c>
      <c r="D159" s="8"/>
      <c r="E159" s="104"/>
      <c r="F159" s="102"/>
      <c r="G159" s="102"/>
      <c r="H159" s="104"/>
      <c r="I159" s="104"/>
      <c r="J159" s="104"/>
    </row>
    <row r="160" spans="1:10" ht="15.6" x14ac:dyDescent="0.3">
      <c r="A160" s="103" t="s">
        <v>9</v>
      </c>
      <c r="B160" s="100">
        <f>(((B154+B155)*B156)+B157)*B159%</f>
        <v>310.76279999999997</v>
      </c>
      <c r="C160" s="102"/>
      <c r="D160" s="8"/>
      <c r="E160" s="104"/>
      <c r="F160" s="102"/>
      <c r="G160" s="102"/>
      <c r="H160" s="104"/>
      <c r="I160" s="104"/>
      <c r="J160" s="104"/>
    </row>
    <row r="161" spans="1:10" ht="15.6" x14ac:dyDescent="0.3">
      <c r="A161" s="103"/>
      <c r="B161" s="100"/>
      <c r="C161" s="102"/>
      <c r="D161" s="8"/>
      <c r="E161" s="104"/>
      <c r="F161" s="102"/>
      <c r="G161" s="102"/>
      <c r="H161" s="104"/>
      <c r="I161" s="104"/>
      <c r="J161" s="104"/>
    </row>
    <row r="162" spans="1:10" ht="15.6" x14ac:dyDescent="0.3">
      <c r="A162" s="103"/>
      <c r="B162" s="100" t="s">
        <v>369</v>
      </c>
      <c r="C162" s="102"/>
      <c r="D162" s="8"/>
      <c r="E162" s="104"/>
      <c r="F162" s="102"/>
      <c r="G162" s="102"/>
      <c r="H162" s="104"/>
      <c r="I162" s="104"/>
      <c r="J162" s="104"/>
    </row>
    <row r="163" spans="1:10" ht="15.6" x14ac:dyDescent="0.3">
      <c r="A163" s="103" t="s">
        <v>9</v>
      </c>
      <c r="B163" s="16">
        <v>3.7</v>
      </c>
      <c r="C163" s="102"/>
      <c r="D163" s="8"/>
      <c r="E163" s="104"/>
      <c r="F163" s="102"/>
      <c r="G163" s="102"/>
      <c r="H163" s="104"/>
      <c r="I163" s="104"/>
      <c r="J163" s="104"/>
    </row>
    <row r="164" spans="1:10" ht="15.6" x14ac:dyDescent="0.3">
      <c r="A164" s="103" t="s">
        <v>9</v>
      </c>
      <c r="B164" s="16">
        <v>3.2</v>
      </c>
      <c r="C164" s="102"/>
      <c r="D164" s="8"/>
      <c r="E164" s="104"/>
      <c r="F164" s="102"/>
      <c r="G164" s="102"/>
      <c r="H164" s="104"/>
      <c r="I164" s="104"/>
      <c r="J164" s="104"/>
    </row>
    <row r="165" spans="1:10" ht="15.6" x14ac:dyDescent="0.3">
      <c r="A165" s="103"/>
      <c r="B165" s="100">
        <f>B163*B164</f>
        <v>11.840000000000002</v>
      </c>
      <c r="C165" s="102"/>
      <c r="D165" s="8"/>
      <c r="E165" s="104"/>
      <c r="F165" s="102"/>
      <c r="G165" s="102"/>
      <c r="H165" s="104"/>
      <c r="I165" s="104"/>
      <c r="J165" s="104"/>
    </row>
    <row r="166" spans="1:10" ht="15.6" x14ac:dyDescent="0.3">
      <c r="A166" s="103"/>
      <c r="B166" s="100"/>
      <c r="C166" s="102"/>
      <c r="D166" s="8"/>
      <c r="E166" s="104"/>
      <c r="F166" s="102"/>
      <c r="G166" s="102"/>
      <c r="H166" s="104"/>
      <c r="I166" s="104"/>
      <c r="J166" s="104"/>
    </row>
    <row r="167" spans="1:10" ht="15.6" x14ac:dyDescent="0.3">
      <c r="A167" s="103"/>
      <c r="B167" s="100" t="s">
        <v>426</v>
      </c>
      <c r="C167" s="102"/>
      <c r="D167" s="8"/>
      <c r="E167" s="104"/>
      <c r="F167" s="102"/>
      <c r="G167" s="102"/>
      <c r="H167" s="104"/>
      <c r="I167" s="104"/>
      <c r="J167" s="104"/>
    </row>
    <row r="168" spans="1:10" ht="15.6" x14ac:dyDescent="0.3">
      <c r="A168" s="103" t="s">
        <v>9</v>
      </c>
      <c r="B168" s="100">
        <f>(B160-B165)</f>
        <v>298.9228</v>
      </c>
      <c r="C168" s="102"/>
      <c r="D168" s="8"/>
      <c r="E168" s="104"/>
      <c r="F168" s="102"/>
      <c r="G168" s="102"/>
      <c r="H168" s="104"/>
      <c r="I168" s="104"/>
      <c r="J168" s="104"/>
    </row>
    <row r="169" spans="1:10" ht="15.6" x14ac:dyDescent="0.3">
      <c r="A169" s="8"/>
      <c r="B169" s="104"/>
      <c r="C169" s="102"/>
      <c r="D169" s="8"/>
      <c r="E169" s="104"/>
      <c r="F169" s="102"/>
      <c r="G169" s="102"/>
      <c r="H169" s="104"/>
      <c r="I169" s="104"/>
      <c r="J169" s="104"/>
    </row>
    <row r="170" spans="1:10" ht="15.6" x14ac:dyDescent="0.25">
      <c r="A170" s="172" t="s">
        <v>900</v>
      </c>
      <c r="B170" s="621" t="s">
        <v>579</v>
      </c>
      <c r="C170" s="621"/>
      <c r="D170" s="621"/>
      <c r="E170" s="621"/>
      <c r="F170" s="621"/>
      <c r="G170" s="621"/>
      <c r="H170" s="621"/>
      <c r="I170" s="621"/>
      <c r="J170" s="621"/>
    </row>
    <row r="171" spans="1:10" ht="15.6" x14ac:dyDescent="0.25">
      <c r="A171" s="154" t="s">
        <v>9</v>
      </c>
      <c r="B171" s="497">
        <f>B132+B151+B168*0.02</f>
        <v>9.4717310000000001</v>
      </c>
      <c r="C171" s="200" t="s">
        <v>590</v>
      </c>
      <c r="D171" s="204"/>
      <c r="E171" s="181"/>
      <c r="F171" s="181"/>
      <c r="G171" s="181"/>
      <c r="H171" s="181"/>
      <c r="I171" s="181"/>
      <c r="J171" s="181"/>
    </row>
    <row r="172" spans="1:10" ht="15.6" x14ac:dyDescent="0.25">
      <c r="A172" s="172" t="s">
        <v>901</v>
      </c>
      <c r="B172" s="610" t="s">
        <v>530</v>
      </c>
      <c r="C172" s="610"/>
      <c r="D172" s="610"/>
      <c r="E172" s="610"/>
      <c r="F172" s="610"/>
      <c r="G172" s="610"/>
      <c r="H172" s="610"/>
      <c r="I172" s="610"/>
      <c r="J172" s="610"/>
    </row>
    <row r="173" spans="1:10" ht="15.6" x14ac:dyDescent="0.25">
      <c r="A173" s="154" t="s">
        <v>9</v>
      </c>
      <c r="B173" s="497">
        <f>B171*20-0.03</f>
        <v>189.40461999999999</v>
      </c>
      <c r="C173" s="204"/>
      <c r="D173" s="204"/>
      <c r="E173" s="181"/>
      <c r="F173" s="181"/>
      <c r="G173" s="181"/>
      <c r="H173" s="181"/>
      <c r="I173" s="181"/>
      <c r="J173" s="181"/>
    </row>
    <row r="174" spans="1:10" ht="15.6" x14ac:dyDescent="0.3">
      <c r="A174" s="154"/>
      <c r="B174" s="104" t="s">
        <v>858</v>
      </c>
      <c r="C174" s="102"/>
      <c r="D174" s="102"/>
      <c r="F174" s="181"/>
      <c r="G174" s="181"/>
      <c r="H174" s="181"/>
      <c r="I174" s="181"/>
      <c r="J174" s="181"/>
    </row>
    <row r="175" spans="1:10" s="290" customFormat="1" ht="15.6" x14ac:dyDescent="0.3">
      <c r="A175" s="304" t="s">
        <v>200</v>
      </c>
      <c r="B175" s="305" t="s">
        <v>223</v>
      </c>
      <c r="C175" s="310"/>
      <c r="D175" s="310"/>
      <c r="E175" s="310"/>
    </row>
    <row r="176" spans="1:10" ht="34.5" customHeight="1" x14ac:dyDescent="0.3">
      <c r="A176" s="120" t="s">
        <v>950</v>
      </c>
      <c r="B176" s="609" t="s">
        <v>404</v>
      </c>
      <c r="C176" s="609"/>
      <c r="D176" s="609"/>
      <c r="E176" s="609"/>
      <c r="F176" s="609"/>
      <c r="G176" s="609"/>
      <c r="H176" s="609"/>
      <c r="I176" s="609"/>
      <c r="J176" s="609"/>
    </row>
    <row r="177" spans="1:10" ht="16.2" x14ac:dyDescent="0.35">
      <c r="A177" s="125" t="s">
        <v>9</v>
      </c>
      <c r="B177" s="176">
        <f>B151/0.15</f>
        <v>14.178000000000001</v>
      </c>
      <c r="C177" s="137" t="s">
        <v>435</v>
      </c>
      <c r="D177" s="127"/>
      <c r="E177" s="127"/>
      <c r="F177" s="128"/>
      <c r="G177" s="128"/>
      <c r="H177" s="128"/>
      <c r="I177" s="128"/>
      <c r="J177" s="128"/>
    </row>
    <row r="178" spans="1:10" ht="50.25" customHeight="1" x14ac:dyDescent="0.25">
      <c r="A178" s="172" t="s">
        <v>951</v>
      </c>
      <c r="B178" s="610" t="s">
        <v>244</v>
      </c>
      <c r="C178" s="610"/>
      <c r="D178" s="610"/>
      <c r="E178" s="610"/>
      <c r="F178" s="610"/>
      <c r="G178" s="610"/>
      <c r="H178" s="610"/>
      <c r="I178" s="610"/>
      <c r="J178" s="610"/>
    </row>
    <row r="179" spans="1:10" ht="16.2" x14ac:dyDescent="0.35">
      <c r="A179" s="125" t="s">
        <v>9</v>
      </c>
      <c r="B179" s="109">
        <f>B177</f>
        <v>14.178000000000001</v>
      </c>
      <c r="C179" s="102" t="s">
        <v>861</v>
      </c>
      <c r="D179" s="67"/>
      <c r="E179" s="104"/>
      <c r="F179" s="127"/>
      <c r="G179" s="127"/>
      <c r="H179" s="127"/>
      <c r="I179" s="128"/>
      <c r="J179" s="128"/>
    </row>
    <row r="180" spans="1:10" ht="49.5" customHeight="1" x14ac:dyDescent="0.25">
      <c r="A180" s="172" t="s">
        <v>902</v>
      </c>
      <c r="B180" s="610" t="s">
        <v>598</v>
      </c>
      <c r="C180" s="610"/>
      <c r="D180" s="610"/>
      <c r="E180" s="610"/>
      <c r="F180" s="610"/>
      <c r="G180" s="610"/>
      <c r="H180" s="610"/>
      <c r="I180" s="610"/>
      <c r="J180" s="610"/>
    </row>
    <row r="181" spans="1:10" ht="16.2" x14ac:dyDescent="0.35">
      <c r="A181" s="125" t="s">
        <v>9</v>
      </c>
      <c r="B181" s="109">
        <f>B179</f>
        <v>14.178000000000001</v>
      </c>
      <c r="C181" s="102" t="str">
        <f>C179</f>
        <v>((área das lajes - apenas parte de baixo)</v>
      </c>
      <c r="D181" s="67"/>
      <c r="E181" s="104"/>
      <c r="F181" s="127"/>
      <c r="G181" s="127"/>
      <c r="H181" s="127"/>
      <c r="I181" s="128"/>
      <c r="J181" s="128"/>
    </row>
    <row r="182" spans="1:10" ht="32.25" customHeight="1" x14ac:dyDescent="0.25">
      <c r="A182" s="172" t="s">
        <v>903</v>
      </c>
      <c r="B182" s="610" t="s">
        <v>236</v>
      </c>
      <c r="C182" s="610"/>
      <c r="D182" s="610"/>
      <c r="E182" s="610"/>
      <c r="F182" s="610"/>
      <c r="G182" s="610"/>
      <c r="H182" s="610"/>
      <c r="I182" s="610"/>
      <c r="J182" s="610"/>
    </row>
    <row r="183" spans="1:10" ht="16.2" x14ac:dyDescent="0.35">
      <c r="A183" s="125" t="s">
        <v>9</v>
      </c>
      <c r="B183" s="109">
        <f>B181*2</f>
        <v>28.356000000000002</v>
      </c>
      <c r="C183" s="102" t="s">
        <v>862</v>
      </c>
      <c r="D183" s="67"/>
      <c r="E183" s="104"/>
      <c r="F183" s="127"/>
      <c r="G183" s="127"/>
      <c r="H183" s="127"/>
      <c r="I183" s="128"/>
      <c r="J183" s="128"/>
    </row>
    <row r="184" spans="1:10" s="290" customFormat="1" ht="15.6" x14ac:dyDescent="0.3">
      <c r="A184" s="304" t="s">
        <v>204</v>
      </c>
      <c r="B184" s="305" t="s">
        <v>161</v>
      </c>
      <c r="C184" s="310"/>
      <c r="D184" s="310"/>
      <c r="E184" s="310"/>
    </row>
    <row r="185" spans="1:10" ht="15.6" x14ac:dyDescent="0.3">
      <c r="A185" s="120" t="s">
        <v>945</v>
      </c>
      <c r="B185" s="129" t="s">
        <v>523</v>
      </c>
      <c r="C185" s="118"/>
      <c r="D185" s="118"/>
      <c r="E185" s="118"/>
      <c r="F185" s="119"/>
      <c r="G185" s="119"/>
      <c r="H185" s="119"/>
      <c r="I185" s="119"/>
      <c r="J185" s="119"/>
    </row>
    <row r="186" spans="1:10" ht="15.6" x14ac:dyDescent="0.3">
      <c r="A186" s="130" t="s">
        <v>9</v>
      </c>
      <c r="B186" s="117">
        <f>B248</f>
        <v>2341.4583333333335</v>
      </c>
      <c r="C186" s="127" t="s">
        <v>864</v>
      </c>
      <c r="D186" s="127"/>
      <c r="E186" s="127" t="s">
        <v>940</v>
      </c>
      <c r="F186" s="128"/>
      <c r="G186" s="128"/>
      <c r="H186" s="128"/>
      <c r="I186" s="128"/>
      <c r="J186" s="128"/>
    </row>
    <row r="187" spans="1:10" ht="15.6" x14ac:dyDescent="0.3">
      <c r="A187" s="130" t="s">
        <v>9</v>
      </c>
      <c r="B187" s="117">
        <f>B261</f>
        <v>344.97</v>
      </c>
      <c r="C187" s="127" t="s">
        <v>939</v>
      </c>
      <c r="D187" s="127"/>
      <c r="E187" s="127"/>
      <c r="F187" s="128"/>
      <c r="G187" s="128"/>
      <c r="H187" s="128"/>
      <c r="I187" s="128"/>
      <c r="J187" s="128"/>
    </row>
    <row r="188" spans="1:10" ht="15.6" x14ac:dyDescent="0.3">
      <c r="A188" s="130" t="s">
        <v>9</v>
      </c>
      <c r="B188" s="117">
        <f>B168</f>
        <v>298.9228</v>
      </c>
      <c r="C188" s="127" t="s">
        <v>677</v>
      </c>
      <c r="D188" s="127"/>
      <c r="E188" s="127"/>
      <c r="F188" s="128"/>
      <c r="G188" s="128"/>
      <c r="H188" s="128"/>
      <c r="I188" s="128"/>
      <c r="J188" s="128"/>
    </row>
    <row r="189" spans="1:10" ht="15.6" x14ac:dyDescent="0.3">
      <c r="A189" s="130" t="s">
        <v>9</v>
      </c>
      <c r="B189" s="117">
        <v>287.73</v>
      </c>
      <c r="C189" s="127" t="s">
        <v>863</v>
      </c>
      <c r="D189" s="127"/>
      <c r="E189" s="127"/>
      <c r="F189" s="128"/>
      <c r="G189" s="128"/>
      <c r="H189" s="128"/>
      <c r="I189" s="128"/>
      <c r="J189" s="128"/>
    </row>
    <row r="190" spans="1:10" ht="15.6" x14ac:dyDescent="0.3">
      <c r="A190" s="125" t="s">
        <v>9</v>
      </c>
      <c r="B190" s="126">
        <f>B186+B187+B189-B188</f>
        <v>2675.2355333333335</v>
      </c>
      <c r="C190" s="127"/>
      <c r="D190" s="127"/>
      <c r="E190" s="127"/>
      <c r="F190" s="128"/>
      <c r="G190" s="128"/>
      <c r="H190" s="128"/>
      <c r="I190" s="128"/>
      <c r="J190" s="128"/>
    </row>
    <row r="191" spans="1:10" ht="15.6" x14ac:dyDescent="0.3">
      <c r="A191" s="125"/>
      <c r="B191" s="279" t="s">
        <v>55</v>
      </c>
      <c r="C191" s="128"/>
      <c r="D191" s="279" t="s">
        <v>866</v>
      </c>
      <c r="E191" s="127"/>
      <c r="F191" s="128"/>
      <c r="G191" s="128"/>
      <c r="H191" s="128"/>
      <c r="I191" s="128"/>
      <c r="J191" s="128"/>
    </row>
    <row r="192" spans="1:10" ht="15.6" x14ac:dyDescent="0.3">
      <c r="A192" s="120" t="s">
        <v>946</v>
      </c>
      <c r="B192" s="129" t="s">
        <v>235</v>
      </c>
      <c r="C192" s="118"/>
      <c r="D192" s="118"/>
      <c r="E192" s="118"/>
      <c r="F192" s="119"/>
      <c r="G192" s="119"/>
      <c r="H192" s="119"/>
      <c r="I192" s="119"/>
      <c r="J192" s="119"/>
    </row>
    <row r="193" spans="1:13" ht="15.6" x14ac:dyDescent="0.3">
      <c r="A193" s="8" t="s">
        <v>9</v>
      </c>
      <c r="B193" s="16">
        <f>3.89*2+3.6*2</f>
        <v>14.98</v>
      </c>
      <c r="C193" s="102" t="s">
        <v>153</v>
      </c>
      <c r="D193" s="102"/>
      <c r="E193" s="102"/>
    </row>
    <row r="194" spans="1:13" ht="15.6" x14ac:dyDescent="0.3">
      <c r="A194" s="8" t="s">
        <v>9</v>
      </c>
      <c r="B194" s="16">
        <v>22.8</v>
      </c>
      <c r="C194" s="102" t="s">
        <v>155</v>
      </c>
      <c r="D194" s="102"/>
      <c r="E194" s="102"/>
    </row>
    <row r="195" spans="1:13" ht="15.6" x14ac:dyDescent="0.3">
      <c r="A195" s="8" t="s">
        <v>9</v>
      </c>
      <c r="B195" s="16">
        <f>(4.68+5.37)</f>
        <v>10.050000000000001</v>
      </c>
      <c r="C195" s="102" t="s">
        <v>154</v>
      </c>
      <c r="D195" s="102"/>
      <c r="E195" s="102"/>
    </row>
    <row r="196" spans="1:13" ht="15.6" x14ac:dyDescent="0.3">
      <c r="A196" s="8" t="s">
        <v>9</v>
      </c>
      <c r="B196" s="16">
        <f>((9.8*2+2.48)+3.6+1.8)</f>
        <v>27.480000000000004</v>
      </c>
      <c r="C196" s="102" t="s">
        <v>156</v>
      </c>
      <c r="D196" s="102"/>
      <c r="E196" s="102"/>
    </row>
    <row r="197" spans="1:13" ht="15.6" x14ac:dyDescent="0.3">
      <c r="A197" s="8" t="s">
        <v>9</v>
      </c>
      <c r="B197" s="16">
        <f>7.32*2</f>
        <v>14.64</v>
      </c>
      <c r="C197" s="102" t="s">
        <v>157</v>
      </c>
      <c r="D197" s="102"/>
      <c r="E197" s="102"/>
    </row>
    <row r="198" spans="1:13" ht="15.6" x14ac:dyDescent="0.3">
      <c r="A198" s="8" t="s">
        <v>9</v>
      </c>
      <c r="B198" s="16">
        <v>3</v>
      </c>
      <c r="C198" s="102" t="s">
        <v>102</v>
      </c>
      <c r="D198" s="102"/>
      <c r="E198" s="102"/>
    </row>
    <row r="199" spans="1:13" ht="15.6" x14ac:dyDescent="0.3">
      <c r="A199" s="8" t="s">
        <v>9</v>
      </c>
      <c r="B199" s="16">
        <f>3.6*2+3.6</f>
        <v>10.8</v>
      </c>
      <c r="C199" s="102" t="s">
        <v>141</v>
      </c>
      <c r="D199" s="102"/>
      <c r="E199" s="102"/>
    </row>
    <row r="200" spans="1:13" ht="15.6" x14ac:dyDescent="0.3">
      <c r="A200" s="8" t="s">
        <v>9</v>
      </c>
      <c r="B200" s="16">
        <f>31.76-2.48</f>
        <v>29.28</v>
      </c>
      <c r="C200" s="102" t="s">
        <v>139</v>
      </c>
      <c r="D200" s="102"/>
      <c r="E200" s="102"/>
    </row>
    <row r="201" spans="1:13" ht="15.6" x14ac:dyDescent="0.3">
      <c r="A201" s="8" t="s">
        <v>9</v>
      </c>
      <c r="B201" s="16">
        <f>(7.32*2)</f>
        <v>14.64</v>
      </c>
      <c r="C201" s="102" t="s">
        <v>140</v>
      </c>
      <c r="D201" s="102"/>
      <c r="E201" s="102"/>
    </row>
    <row r="202" spans="1:13" ht="15.6" x14ac:dyDescent="0.3">
      <c r="A202" s="8" t="s">
        <v>9</v>
      </c>
      <c r="B202" s="16">
        <v>3</v>
      </c>
      <c r="C202" s="102" t="s">
        <v>102</v>
      </c>
      <c r="D202" s="102"/>
      <c r="E202" s="102"/>
    </row>
    <row r="203" spans="1:13" ht="15.6" x14ac:dyDescent="0.3">
      <c r="A203" s="8" t="s">
        <v>9</v>
      </c>
      <c r="B203" s="16">
        <f>31.8+3.75*2+0.24*4*9</f>
        <v>47.94</v>
      </c>
      <c r="C203" s="102" t="s">
        <v>436</v>
      </c>
      <c r="D203" s="102"/>
      <c r="E203" s="102"/>
    </row>
    <row r="204" spans="1:13" ht="15.6" x14ac:dyDescent="0.3">
      <c r="A204" s="8" t="s">
        <v>9</v>
      </c>
      <c r="B204" s="16">
        <v>3</v>
      </c>
      <c r="C204" s="102" t="s">
        <v>102</v>
      </c>
      <c r="D204" s="102"/>
      <c r="E204" s="102"/>
    </row>
    <row r="205" spans="1:13" ht="15.6" x14ac:dyDescent="0.3">
      <c r="A205" s="8" t="s">
        <v>9</v>
      </c>
      <c r="B205" s="16">
        <f>31.8*2*0.3</f>
        <v>19.079999999999998</v>
      </c>
      <c r="C205" s="102" t="s">
        <v>142</v>
      </c>
      <c r="D205" s="102"/>
      <c r="E205" s="102"/>
    </row>
    <row r="206" spans="1:13" ht="15.6" x14ac:dyDescent="0.3">
      <c r="A206" s="8" t="s">
        <v>9</v>
      </c>
      <c r="B206" s="110">
        <f>((SUM(B193:B197)*2)*B198)+(SUM(B199:B201)*B202)+((B203*B204)+B205)</f>
        <v>866.76</v>
      </c>
      <c r="C206" s="102"/>
      <c r="D206" s="102"/>
      <c r="E206" s="102"/>
      <c r="K206" s="8"/>
      <c r="L206" s="115"/>
      <c r="M206" s="102"/>
    </row>
    <row r="207" spans="1:13" ht="15.6" x14ac:dyDescent="0.3">
      <c r="A207" s="12"/>
      <c r="B207" s="104" t="s">
        <v>55</v>
      </c>
      <c r="C207" s="13"/>
      <c r="E207" s="11"/>
      <c r="F207" s="7"/>
      <c r="G207" s="7"/>
      <c r="H207" s="7"/>
      <c r="I207" s="7"/>
    </row>
    <row r="208" spans="1:13" ht="15.6" x14ac:dyDescent="0.3">
      <c r="A208" s="134" t="s">
        <v>678</v>
      </c>
      <c r="B208" s="279"/>
      <c r="C208" s="137"/>
      <c r="D208" s="134"/>
      <c r="E208" s="135"/>
      <c r="F208" s="136"/>
      <c r="G208" s="136"/>
      <c r="H208" s="136"/>
      <c r="I208" s="136"/>
      <c r="J208" s="128"/>
    </row>
    <row r="209" spans="1:13" ht="15.6" x14ac:dyDescent="0.3">
      <c r="A209" s="67"/>
      <c r="B209" s="104"/>
      <c r="C209" s="13"/>
      <c r="D209" s="67"/>
      <c r="E209" s="11"/>
      <c r="F209" s="7"/>
      <c r="G209" s="7"/>
      <c r="H209" s="7"/>
      <c r="I209" s="7"/>
    </row>
    <row r="210" spans="1:13" ht="16.2" x14ac:dyDescent="0.35">
      <c r="A210" s="12"/>
      <c r="B210" s="109" t="s">
        <v>151</v>
      </c>
      <c r="C210" s="13"/>
      <c r="D210" s="67"/>
      <c r="E210" s="11"/>
      <c r="F210" s="7"/>
      <c r="G210" s="7"/>
      <c r="H210" s="7"/>
      <c r="I210" s="7"/>
    </row>
    <row r="211" spans="1:13" ht="15.6" x14ac:dyDescent="0.3">
      <c r="A211" s="8" t="s">
        <v>9</v>
      </c>
      <c r="B211" s="16">
        <v>0.6</v>
      </c>
      <c r="C211" s="102" t="s">
        <v>129</v>
      </c>
      <c r="D211" s="67"/>
      <c r="E211" s="102"/>
      <c r="F211" s="7"/>
      <c r="G211" s="7"/>
      <c r="H211" s="7"/>
      <c r="I211" s="7"/>
    </row>
    <row r="212" spans="1:13" ht="15.6" x14ac:dyDescent="0.3">
      <c r="A212" s="8" t="s">
        <v>9</v>
      </c>
      <c r="B212" s="16">
        <v>2</v>
      </c>
      <c r="C212" s="102" t="s">
        <v>135</v>
      </c>
      <c r="D212" s="67"/>
      <c r="E212" s="102"/>
      <c r="F212" s="7"/>
      <c r="G212" s="7"/>
      <c r="H212" s="7"/>
      <c r="I212" s="7"/>
    </row>
    <row r="213" spans="1:13" ht="15.6" x14ac:dyDescent="0.3">
      <c r="A213" s="8" t="s">
        <v>9</v>
      </c>
      <c r="B213" s="16">
        <v>1.1599999999999999</v>
      </c>
      <c r="C213" s="102" t="s">
        <v>437</v>
      </c>
      <c r="D213" s="67"/>
      <c r="E213" s="102"/>
      <c r="F213" s="7"/>
      <c r="G213" s="7"/>
      <c r="H213" s="7"/>
      <c r="I213" s="7"/>
    </row>
    <row r="214" spans="1:13" ht="15.6" x14ac:dyDescent="0.3">
      <c r="A214" s="8" t="s">
        <v>9</v>
      </c>
      <c r="B214" s="16">
        <v>2</v>
      </c>
      <c r="C214" s="102" t="s">
        <v>136</v>
      </c>
      <c r="D214" s="67"/>
      <c r="E214" s="102"/>
      <c r="F214" s="7"/>
      <c r="G214" s="7"/>
      <c r="H214" s="7"/>
      <c r="I214" s="7"/>
    </row>
    <row r="215" spans="1:13" ht="15.6" x14ac:dyDescent="0.3">
      <c r="A215" s="8" t="s">
        <v>9</v>
      </c>
      <c r="B215" s="16">
        <v>0.85</v>
      </c>
      <c r="C215" s="102" t="s">
        <v>130</v>
      </c>
      <c r="D215" s="67"/>
      <c r="E215" s="102"/>
      <c r="F215" s="7"/>
      <c r="G215" s="7"/>
      <c r="H215" s="7"/>
      <c r="I215" s="7"/>
    </row>
    <row r="216" spans="1:13" ht="15.6" x14ac:dyDescent="0.3">
      <c r="A216" s="8" t="s">
        <v>9</v>
      </c>
      <c r="B216" s="16">
        <v>1</v>
      </c>
      <c r="C216" s="102" t="s">
        <v>438</v>
      </c>
      <c r="D216" s="67"/>
      <c r="E216" s="102"/>
      <c r="F216" s="7"/>
      <c r="G216" s="7"/>
      <c r="H216" s="7"/>
      <c r="I216" s="7"/>
      <c r="M216" s="129"/>
    </row>
    <row r="217" spans="1:13" ht="15.6" x14ac:dyDescent="0.3">
      <c r="A217" s="8" t="s">
        <v>9</v>
      </c>
      <c r="B217" s="16">
        <v>2.1</v>
      </c>
      <c r="C217" s="102" t="s">
        <v>128</v>
      </c>
      <c r="D217" s="67"/>
      <c r="E217" s="11"/>
      <c r="F217" s="7"/>
      <c r="G217" s="7"/>
      <c r="H217" s="7"/>
      <c r="I217" s="7"/>
    </row>
    <row r="218" spans="1:13" ht="15.6" x14ac:dyDescent="0.3">
      <c r="A218" s="8" t="s">
        <v>9</v>
      </c>
      <c r="B218" s="16">
        <v>0.8</v>
      </c>
      <c r="C218" s="102" t="s">
        <v>133</v>
      </c>
      <c r="D218" s="67"/>
      <c r="E218" s="102"/>
      <c r="F218" s="7"/>
      <c r="G218" s="7"/>
      <c r="H218" s="7"/>
      <c r="I218" s="7"/>
    </row>
    <row r="219" spans="1:13" ht="15.6" x14ac:dyDescent="0.3">
      <c r="A219" s="8" t="s">
        <v>9</v>
      </c>
      <c r="B219" s="16">
        <v>2</v>
      </c>
      <c r="C219" s="102" t="s">
        <v>138</v>
      </c>
      <c r="D219" s="67"/>
      <c r="E219" s="102"/>
      <c r="F219" s="7"/>
      <c r="G219" s="7"/>
      <c r="H219" s="7"/>
      <c r="I219" s="7"/>
    </row>
    <row r="220" spans="1:13" ht="15.6" x14ac:dyDescent="0.3">
      <c r="A220" s="8" t="s">
        <v>9</v>
      </c>
      <c r="B220" s="16">
        <v>0.3</v>
      </c>
      <c r="C220" s="102" t="s">
        <v>134</v>
      </c>
      <c r="D220" s="67"/>
      <c r="E220" s="102"/>
      <c r="F220" s="7"/>
      <c r="G220" s="7"/>
      <c r="H220" s="7"/>
      <c r="I220" s="7"/>
    </row>
    <row r="221" spans="1:13" ht="15.6" x14ac:dyDescent="0.3">
      <c r="A221" s="8" t="s">
        <v>9</v>
      </c>
      <c r="B221" s="16">
        <v>1.2</v>
      </c>
      <c r="C221" s="102" t="s">
        <v>131</v>
      </c>
      <c r="D221" s="67"/>
      <c r="E221" s="102"/>
      <c r="F221" s="7"/>
      <c r="G221" s="7"/>
      <c r="H221" s="7"/>
      <c r="I221" s="7"/>
    </row>
    <row r="222" spans="1:13" ht="15.6" x14ac:dyDescent="0.3">
      <c r="A222" s="8" t="s">
        <v>9</v>
      </c>
      <c r="B222" s="16">
        <v>9</v>
      </c>
      <c r="C222" s="102" t="s">
        <v>143</v>
      </c>
      <c r="D222" s="67"/>
      <c r="E222" s="102"/>
      <c r="F222" s="7"/>
      <c r="G222" s="7"/>
      <c r="H222" s="7"/>
      <c r="I222" s="7"/>
    </row>
    <row r="223" spans="1:13" ht="15.6" x14ac:dyDescent="0.3">
      <c r="A223" s="8" t="s">
        <v>9</v>
      </c>
      <c r="B223" s="16">
        <v>0.6</v>
      </c>
      <c r="C223" s="102" t="s">
        <v>132</v>
      </c>
      <c r="D223" s="67"/>
      <c r="E223" s="102"/>
      <c r="F223" s="7"/>
      <c r="G223" s="7"/>
      <c r="H223" s="7"/>
      <c r="I223" s="7"/>
    </row>
    <row r="224" spans="1:13" ht="15.6" x14ac:dyDescent="0.3">
      <c r="A224" s="8" t="s">
        <v>9</v>
      </c>
      <c r="B224" s="16">
        <v>2</v>
      </c>
      <c r="C224" s="102" t="s">
        <v>144</v>
      </c>
      <c r="D224" s="67"/>
      <c r="E224" s="102"/>
      <c r="F224" s="7"/>
      <c r="G224" s="7"/>
      <c r="H224" s="7"/>
      <c r="I224" s="7"/>
    </row>
    <row r="225" spans="1:10" ht="15.6" x14ac:dyDescent="0.3">
      <c r="A225" s="8" t="s">
        <v>9</v>
      </c>
      <c r="B225" s="16">
        <v>0.8</v>
      </c>
      <c r="C225" s="102" t="s">
        <v>100</v>
      </c>
      <c r="D225" s="67"/>
      <c r="E225" s="11"/>
      <c r="F225" s="7"/>
      <c r="G225" s="7"/>
      <c r="H225" s="7"/>
      <c r="I225" s="7"/>
    </row>
    <row r="226" spans="1:10" ht="15.6" x14ac:dyDescent="0.3">
      <c r="A226" s="8" t="s">
        <v>9</v>
      </c>
      <c r="B226" s="16">
        <v>6</v>
      </c>
      <c r="C226" s="102" t="s">
        <v>137</v>
      </c>
      <c r="D226" s="67"/>
      <c r="E226" s="11"/>
      <c r="F226" s="7"/>
      <c r="G226" s="7"/>
      <c r="H226" s="7"/>
      <c r="I226" s="7"/>
    </row>
    <row r="227" spans="1:10" ht="15.6" x14ac:dyDescent="0.3">
      <c r="A227" s="8" t="s">
        <v>9</v>
      </c>
      <c r="B227" s="16">
        <v>0.4</v>
      </c>
      <c r="C227" s="102" t="s">
        <v>101</v>
      </c>
      <c r="D227" s="67"/>
      <c r="E227" s="11"/>
      <c r="F227" s="7"/>
      <c r="G227" s="7"/>
      <c r="H227" s="7"/>
      <c r="I227" s="7"/>
    </row>
    <row r="228" spans="1:10" ht="15.6" x14ac:dyDescent="0.3">
      <c r="A228" s="8" t="s">
        <v>9</v>
      </c>
      <c r="B228" s="100">
        <f>(((B211*B212)+(B213*B214*2)+(B215*B216*2))*B217)+(B218*B219*B220)+(B221*B222*B223*B224)+(B225*B226*B227)</f>
        <v>31.194000000000003</v>
      </c>
      <c r="C228" s="102"/>
      <c r="D228" s="67"/>
      <c r="E228" s="11"/>
      <c r="F228" s="7"/>
      <c r="G228" s="7"/>
      <c r="H228" s="7"/>
      <c r="I228" s="7"/>
    </row>
    <row r="229" spans="1:10" ht="15.6" x14ac:dyDescent="0.3">
      <c r="A229" s="8"/>
      <c r="B229" s="104" t="s">
        <v>55</v>
      </c>
      <c r="C229" s="102"/>
      <c r="D229" s="67"/>
      <c r="E229" s="11"/>
      <c r="F229" s="7"/>
      <c r="G229" s="7"/>
      <c r="H229" s="7"/>
      <c r="I229" s="7"/>
    </row>
    <row r="230" spans="1:10" ht="15.6" x14ac:dyDescent="0.3">
      <c r="A230" s="8"/>
      <c r="B230" s="104" t="s">
        <v>439</v>
      </c>
      <c r="C230" s="102"/>
      <c r="D230" s="67"/>
      <c r="E230" s="11"/>
      <c r="F230" s="7"/>
      <c r="G230" s="7"/>
      <c r="H230" s="7"/>
      <c r="I230" s="7"/>
    </row>
    <row r="231" spans="1:10" ht="15.6" x14ac:dyDescent="0.3">
      <c r="A231" s="8" t="s">
        <v>9</v>
      </c>
      <c r="B231" s="104">
        <f>B189</f>
        <v>287.73</v>
      </c>
      <c r="C231" s="102" t="s">
        <v>865</v>
      </c>
      <c r="D231" s="67"/>
      <c r="E231" s="11"/>
      <c r="F231" s="7"/>
      <c r="G231" s="7"/>
      <c r="H231" s="7"/>
      <c r="I231" s="7"/>
    </row>
    <row r="232" spans="1:10" ht="16.2" x14ac:dyDescent="0.35">
      <c r="A232" s="103"/>
      <c r="B232" s="109" t="s">
        <v>522</v>
      </c>
      <c r="C232" s="116"/>
      <c r="D232" s="67"/>
      <c r="E232" s="11"/>
      <c r="F232" s="7"/>
      <c r="G232" s="7"/>
      <c r="H232" s="7"/>
      <c r="I232" s="7"/>
    </row>
    <row r="233" spans="1:10" ht="16.2" x14ac:dyDescent="0.35">
      <c r="A233" s="103"/>
      <c r="B233" s="109"/>
      <c r="C233" s="116"/>
      <c r="D233" s="67"/>
      <c r="E233" s="11"/>
      <c r="F233" s="7"/>
      <c r="G233" s="7"/>
      <c r="H233" s="7"/>
      <c r="I233" s="7"/>
    </row>
    <row r="234" spans="1:10" ht="16.2" x14ac:dyDescent="0.35">
      <c r="A234" s="103" t="s">
        <v>9</v>
      </c>
      <c r="B234" s="109">
        <f>B206-B228+B231</f>
        <v>1123.296</v>
      </c>
      <c r="C234" s="110"/>
      <c r="D234" s="67"/>
      <c r="E234" s="11"/>
      <c r="F234" s="7"/>
      <c r="G234" s="7"/>
      <c r="H234" s="7"/>
      <c r="I234" s="7"/>
    </row>
    <row r="235" spans="1:10" ht="16.2" x14ac:dyDescent="0.35">
      <c r="A235" s="103" t="s">
        <v>9</v>
      </c>
      <c r="B235" s="109"/>
      <c r="C235" s="110"/>
      <c r="D235" s="67"/>
      <c r="E235" s="11"/>
      <c r="F235" s="7"/>
      <c r="G235" s="7"/>
      <c r="H235" s="7"/>
      <c r="I235" s="7"/>
    </row>
    <row r="236" spans="1:10" ht="15.6" x14ac:dyDescent="0.3">
      <c r="A236" s="103"/>
      <c r="B236" s="104"/>
      <c r="C236" s="110"/>
      <c r="D236" s="67"/>
      <c r="E236" s="11"/>
      <c r="F236" s="7"/>
      <c r="G236" s="7"/>
      <c r="H236" s="7"/>
      <c r="I236" s="7"/>
    </row>
    <row r="237" spans="1:10" ht="48" customHeight="1" x14ac:dyDescent="0.3">
      <c r="A237" s="172" t="s">
        <v>947</v>
      </c>
      <c r="B237" s="609" t="s">
        <v>244</v>
      </c>
      <c r="C237" s="609"/>
      <c r="D237" s="609"/>
      <c r="E237" s="609"/>
      <c r="F237" s="609"/>
      <c r="G237" s="609"/>
      <c r="H237" s="609"/>
      <c r="I237" s="609"/>
      <c r="J237" s="609"/>
    </row>
    <row r="238" spans="1:10" ht="15.6" x14ac:dyDescent="0.3">
      <c r="A238" s="103" t="s">
        <v>9</v>
      </c>
      <c r="B238" s="104">
        <f>B168</f>
        <v>298.9228</v>
      </c>
      <c r="C238" s="102" t="s">
        <v>804</v>
      </c>
      <c r="D238" s="67"/>
      <c r="E238" s="11"/>
      <c r="F238" s="7"/>
      <c r="G238" s="7"/>
      <c r="H238" s="7"/>
      <c r="I238" s="7"/>
    </row>
    <row r="239" spans="1:10" ht="49.5" customHeight="1" x14ac:dyDescent="0.3">
      <c r="A239" s="172" t="s">
        <v>948</v>
      </c>
      <c r="B239" s="609" t="s">
        <v>598</v>
      </c>
      <c r="C239" s="609"/>
      <c r="D239" s="609"/>
      <c r="E239" s="609"/>
      <c r="F239" s="609"/>
      <c r="G239" s="609"/>
      <c r="H239" s="609"/>
      <c r="I239" s="609"/>
      <c r="J239" s="609"/>
    </row>
    <row r="240" spans="1:10" ht="15.6" x14ac:dyDescent="0.3">
      <c r="A240" s="103" t="s">
        <v>9</v>
      </c>
      <c r="B240" s="104">
        <f>B238</f>
        <v>298.9228</v>
      </c>
      <c r="C240" s="102" t="s">
        <v>804</v>
      </c>
      <c r="D240" s="67"/>
      <c r="E240" s="11"/>
      <c r="F240" s="7"/>
      <c r="G240" s="7"/>
      <c r="H240" s="7"/>
      <c r="I240" s="7"/>
    </row>
    <row r="241" spans="1:15" ht="38.25" customHeight="1" x14ac:dyDescent="0.25">
      <c r="A241" s="172" t="s">
        <v>949</v>
      </c>
      <c r="B241" s="610" t="s">
        <v>236</v>
      </c>
      <c r="C241" s="610"/>
      <c r="D241" s="610"/>
      <c r="E241" s="610"/>
      <c r="F241" s="610"/>
      <c r="G241" s="610"/>
      <c r="H241" s="610"/>
      <c r="I241" s="610"/>
      <c r="J241" s="610"/>
    </row>
    <row r="242" spans="1:15" ht="29.25" customHeight="1" x14ac:dyDescent="0.35">
      <c r="A242" s="8"/>
      <c r="B242" s="624"/>
      <c r="C242" s="624"/>
      <c r="D242" s="624"/>
      <c r="E242" s="624"/>
      <c r="F242" s="624"/>
      <c r="G242" s="624"/>
      <c r="H242" s="624"/>
      <c r="I242" s="624"/>
      <c r="J242" s="624"/>
    </row>
    <row r="243" spans="1:15" ht="15.6" x14ac:dyDescent="0.3">
      <c r="A243" s="8" t="s">
        <v>9</v>
      </c>
      <c r="B243" s="117">
        <f>B234</f>
        <v>1123.296</v>
      </c>
      <c r="C243" s="16" t="s">
        <v>941</v>
      </c>
      <c r="D243" s="67"/>
      <c r="E243" s="102"/>
    </row>
    <row r="244" spans="1:15" ht="15.6" x14ac:dyDescent="0.3">
      <c r="A244" s="8" t="s">
        <v>9</v>
      </c>
      <c r="B244" s="16">
        <f>10.35*4+14.37*2+90.73+28.7</f>
        <v>189.57</v>
      </c>
      <c r="C244" s="102" t="s">
        <v>149</v>
      </c>
      <c r="D244" s="102"/>
      <c r="E244" s="102"/>
    </row>
    <row r="245" spans="1:15" ht="15.6" x14ac:dyDescent="0.3">
      <c r="A245" s="8" t="s">
        <v>9</v>
      </c>
      <c r="B245" s="16">
        <v>0.9</v>
      </c>
      <c r="C245" s="102" t="s">
        <v>150</v>
      </c>
      <c r="D245" s="102"/>
      <c r="E245" s="102"/>
    </row>
    <row r="246" spans="1:15" ht="15.6" x14ac:dyDescent="0.3">
      <c r="A246" s="8" t="s">
        <v>9</v>
      </c>
      <c r="B246" s="16">
        <v>25.57</v>
      </c>
      <c r="C246" s="102" t="s">
        <v>440</v>
      </c>
      <c r="D246" s="102"/>
      <c r="E246" s="102"/>
    </row>
    <row r="247" spans="1:15" ht="15.6" x14ac:dyDescent="0.3">
      <c r="A247" s="8" t="s">
        <v>9</v>
      </c>
      <c r="B247" s="117">
        <f>B240/0.3</f>
        <v>996.40933333333339</v>
      </c>
      <c r="C247" s="102" t="s">
        <v>805</v>
      </c>
      <c r="D247" s="102"/>
      <c r="E247" s="102"/>
      <c r="K247" t="s">
        <v>802</v>
      </c>
    </row>
    <row r="248" spans="1:15" ht="15.6" x14ac:dyDescent="0.3">
      <c r="A248" s="8" t="s">
        <v>9</v>
      </c>
      <c r="B248" s="100">
        <f>B243+(B244*B245)+B247+B246*2</f>
        <v>2341.4583333333335</v>
      </c>
      <c r="C248" s="102"/>
      <c r="D248" s="67"/>
      <c r="E248" s="102"/>
    </row>
    <row r="249" spans="1:15" ht="15.6" x14ac:dyDescent="0.3">
      <c r="A249" s="8"/>
      <c r="B249" s="104"/>
      <c r="C249" s="110"/>
      <c r="D249" s="67"/>
      <c r="E249" s="102"/>
    </row>
    <row r="250" spans="1:15" ht="15.6" x14ac:dyDescent="0.3">
      <c r="A250" s="120" t="s">
        <v>904</v>
      </c>
      <c r="B250" s="129" t="s">
        <v>234</v>
      </c>
      <c r="C250" s="131"/>
      <c r="D250" s="122"/>
      <c r="E250" s="123"/>
      <c r="F250" s="124"/>
      <c r="G250" s="124"/>
      <c r="H250" s="124"/>
      <c r="I250" s="124"/>
      <c r="J250" s="119"/>
    </row>
    <row r="251" spans="1:15" ht="15.6" x14ac:dyDescent="0.3">
      <c r="A251" s="8" t="s">
        <v>9</v>
      </c>
      <c r="B251" s="16">
        <v>33</v>
      </c>
      <c r="C251" s="102" t="s">
        <v>122</v>
      </c>
      <c r="D251" s="102"/>
      <c r="E251" s="102"/>
      <c r="K251" s="8"/>
      <c r="L251" s="16"/>
      <c r="M251" s="102"/>
      <c r="N251" s="102"/>
      <c r="O251" s="102"/>
    </row>
    <row r="252" spans="1:15" ht="15.6" x14ac:dyDescent="0.3">
      <c r="A252" s="8" t="s">
        <v>9</v>
      </c>
      <c r="B252" s="16">
        <v>14</v>
      </c>
      <c r="C252" s="102" t="s">
        <v>123</v>
      </c>
      <c r="D252" s="102"/>
      <c r="E252" s="102"/>
      <c r="K252" s="8"/>
      <c r="L252" s="16"/>
      <c r="M252" s="102"/>
      <c r="N252" s="102"/>
      <c r="O252" s="102"/>
    </row>
    <row r="253" spans="1:15" ht="15.6" x14ac:dyDescent="0.3">
      <c r="A253" s="8" t="s">
        <v>9</v>
      </c>
      <c r="B253" s="16">
        <v>24.5</v>
      </c>
      <c r="C253" s="102" t="s">
        <v>148</v>
      </c>
      <c r="D253" s="102"/>
      <c r="E253" s="102"/>
      <c r="K253" s="8"/>
      <c r="L253" s="16"/>
      <c r="M253" s="102"/>
      <c r="N253" s="102"/>
      <c r="O253" s="102"/>
    </row>
    <row r="254" spans="1:15" ht="15.6" x14ac:dyDescent="0.3">
      <c r="A254" s="8" t="s">
        <v>9</v>
      </c>
      <c r="B254" s="16">
        <v>4.28</v>
      </c>
      <c r="C254" s="102" t="s">
        <v>124</v>
      </c>
      <c r="D254" s="102"/>
      <c r="E254" s="102"/>
      <c r="K254" s="8"/>
      <c r="L254" s="16"/>
      <c r="M254" s="102"/>
      <c r="N254" s="102"/>
      <c r="O254" s="102"/>
    </row>
    <row r="255" spans="1:15" ht="15.6" x14ac:dyDescent="0.3">
      <c r="A255" s="8" t="s">
        <v>9</v>
      </c>
      <c r="B255" s="16">
        <v>1.37</v>
      </c>
      <c r="C255" s="102" t="s">
        <v>152</v>
      </c>
      <c r="D255" s="102"/>
      <c r="E255" s="102"/>
      <c r="K255" s="8"/>
      <c r="L255" s="16"/>
      <c r="M255" s="102"/>
      <c r="N255" s="102"/>
      <c r="O255" s="102"/>
    </row>
    <row r="256" spans="1:15" ht="15.6" x14ac:dyDescent="0.3">
      <c r="A256" s="8" t="s">
        <v>9</v>
      </c>
      <c r="B256" s="16">
        <v>26.27</v>
      </c>
      <c r="C256" s="102" t="s">
        <v>125</v>
      </c>
      <c r="D256" s="102"/>
      <c r="E256" s="102"/>
      <c r="K256" s="8"/>
      <c r="L256" s="16"/>
      <c r="M256" s="102"/>
      <c r="N256" s="102"/>
      <c r="O256" s="102"/>
    </row>
    <row r="257" spans="1:15" ht="15.6" x14ac:dyDescent="0.3">
      <c r="A257" s="8" t="s">
        <v>9</v>
      </c>
      <c r="B257" s="16">
        <v>16.87</v>
      </c>
      <c r="C257" s="102" t="s">
        <v>127</v>
      </c>
      <c r="D257" s="102"/>
      <c r="E257" s="102"/>
      <c r="K257" s="8"/>
      <c r="L257" s="16"/>
      <c r="M257" s="102"/>
      <c r="N257" s="102"/>
      <c r="O257" s="102"/>
    </row>
    <row r="258" spans="1:15" ht="15.6" x14ac:dyDescent="0.3">
      <c r="A258" s="8" t="s">
        <v>9</v>
      </c>
      <c r="B258" s="16">
        <v>15.31</v>
      </c>
      <c r="C258" s="102" t="s">
        <v>99</v>
      </c>
      <c r="D258" s="102"/>
      <c r="E258" s="102"/>
      <c r="K258" s="8"/>
      <c r="L258" s="16"/>
      <c r="M258" s="102"/>
      <c r="N258" s="102"/>
      <c r="O258" s="102"/>
    </row>
    <row r="259" spans="1:15" ht="15.6" x14ac:dyDescent="0.3">
      <c r="A259" s="8" t="s">
        <v>9</v>
      </c>
      <c r="B259" s="16">
        <v>27.42</v>
      </c>
      <c r="C259" s="102" t="s">
        <v>126</v>
      </c>
      <c r="D259" s="102"/>
      <c r="E259" s="102"/>
      <c r="K259" s="8"/>
      <c r="L259" s="16"/>
      <c r="M259" s="102"/>
      <c r="N259" s="102"/>
      <c r="O259" s="102"/>
    </row>
    <row r="260" spans="1:15" ht="15.6" x14ac:dyDescent="0.3">
      <c r="A260" s="8" t="s">
        <v>9</v>
      </c>
      <c r="B260" s="117">
        <v>78.53</v>
      </c>
      <c r="C260" s="102" t="s">
        <v>164</v>
      </c>
      <c r="D260" s="102"/>
      <c r="E260" s="102"/>
      <c r="K260" s="8"/>
      <c r="L260" s="16"/>
      <c r="M260" s="102"/>
      <c r="N260" s="102"/>
      <c r="O260" s="102"/>
    </row>
    <row r="261" spans="1:15" ht="15.6" x14ac:dyDescent="0.3">
      <c r="A261" s="8" t="s">
        <v>9</v>
      </c>
      <c r="B261" s="100">
        <f>((B251+B252+B254+B253+B255+B256)*2)+(B257+B258+B259+B260)</f>
        <v>344.97</v>
      </c>
      <c r="C261" s="102"/>
      <c r="D261" s="102"/>
      <c r="E261" s="102"/>
      <c r="K261" s="8"/>
      <c r="L261" s="16"/>
      <c r="M261" s="102"/>
      <c r="N261" s="102"/>
      <c r="O261" s="102"/>
    </row>
    <row r="262" spans="1:15" ht="15.6" x14ac:dyDescent="0.3">
      <c r="A262" s="12"/>
      <c r="B262" s="104" t="s">
        <v>55</v>
      </c>
      <c r="C262" s="13"/>
      <c r="D262" s="67"/>
      <c r="E262" s="11"/>
      <c r="F262" s="7"/>
      <c r="G262" s="7"/>
      <c r="H262" s="7"/>
      <c r="I262" s="7"/>
      <c r="K262" s="8"/>
      <c r="L262" s="16"/>
      <c r="M262" s="102"/>
      <c r="N262" s="102"/>
      <c r="O262" s="102"/>
    </row>
    <row r="263" spans="1:15" ht="15.6" x14ac:dyDescent="0.3">
      <c r="A263" s="12"/>
      <c r="B263" s="104" t="s">
        <v>441</v>
      </c>
      <c r="C263" s="13"/>
      <c r="D263" s="67"/>
      <c r="E263" s="11"/>
      <c r="F263" s="7"/>
      <c r="G263" s="7"/>
      <c r="H263" s="7"/>
      <c r="I263" s="7"/>
    </row>
    <row r="264" spans="1:15" ht="15.6" x14ac:dyDescent="0.3">
      <c r="A264" s="12"/>
      <c r="B264" s="104"/>
      <c r="C264" s="13"/>
      <c r="D264" s="67"/>
      <c r="E264" s="11"/>
      <c r="F264" s="7"/>
      <c r="G264" s="7"/>
      <c r="H264" s="7"/>
      <c r="I264" s="7"/>
    </row>
    <row r="265" spans="1:15" ht="36" customHeight="1" x14ac:dyDescent="0.3">
      <c r="A265" s="172" t="s">
        <v>905</v>
      </c>
      <c r="B265" s="609" t="s">
        <v>238</v>
      </c>
      <c r="C265" s="609"/>
      <c r="D265" s="609"/>
      <c r="E265" s="609"/>
      <c r="F265" s="609"/>
      <c r="G265" s="609"/>
      <c r="H265" s="609"/>
      <c r="I265" s="609"/>
      <c r="J265" s="609"/>
    </row>
    <row r="266" spans="1:15" ht="16.2" x14ac:dyDescent="0.35">
      <c r="A266" s="130"/>
      <c r="B266" s="132" t="s">
        <v>216</v>
      </c>
      <c r="C266" s="133"/>
      <c r="D266" s="134"/>
      <c r="E266" s="135"/>
      <c r="F266" s="136"/>
      <c r="G266" s="136"/>
      <c r="H266" s="136"/>
      <c r="I266" s="136"/>
      <c r="J266" s="128"/>
    </row>
    <row r="267" spans="1:15" ht="16.2" x14ac:dyDescent="0.35">
      <c r="A267" s="103" t="s">
        <v>9</v>
      </c>
      <c r="B267" s="109">
        <f>B261</f>
        <v>344.97</v>
      </c>
      <c r="C267" s="110"/>
      <c r="D267" s="67"/>
      <c r="E267" s="11"/>
      <c r="F267" s="7"/>
      <c r="G267" s="7"/>
      <c r="H267" s="7"/>
      <c r="I267" s="7"/>
    </row>
    <row r="268" spans="1:15" ht="15.6" x14ac:dyDescent="0.3">
      <c r="A268" s="130"/>
      <c r="B268" s="117"/>
      <c r="C268" s="137"/>
      <c r="D268" s="137"/>
      <c r="E268" s="135"/>
      <c r="F268" s="136"/>
      <c r="G268" s="136"/>
      <c r="H268" s="136"/>
      <c r="I268" s="136"/>
      <c r="J268" s="177"/>
    </row>
    <row r="269" spans="1:15" s="290" customFormat="1" ht="15.6" x14ac:dyDescent="0.3">
      <c r="A269" s="304" t="s">
        <v>207</v>
      </c>
      <c r="B269" s="305" t="s">
        <v>111</v>
      </c>
      <c r="C269" s="310"/>
      <c r="D269" s="310"/>
      <c r="E269" s="310"/>
    </row>
    <row r="270" spans="1:15" ht="37.5" customHeight="1" x14ac:dyDescent="0.25">
      <c r="A270" s="172" t="s">
        <v>906</v>
      </c>
      <c r="B270" s="621" t="s">
        <v>179</v>
      </c>
      <c r="C270" s="621"/>
      <c r="D270" s="621"/>
      <c r="E270" s="621"/>
      <c r="F270" s="621"/>
      <c r="G270" s="621"/>
      <c r="H270" s="621"/>
      <c r="I270" s="621"/>
      <c r="J270" s="621"/>
    </row>
    <row r="271" spans="1:15" ht="15.6" x14ac:dyDescent="0.25">
      <c r="A271" s="138" t="s">
        <v>9</v>
      </c>
      <c r="B271" s="139">
        <v>7.48</v>
      </c>
      <c r="C271" s="140" t="s">
        <v>431</v>
      </c>
      <c r="D271" s="141"/>
      <c r="E271" s="142"/>
      <c r="F271" s="143"/>
      <c r="G271" s="143"/>
      <c r="H271" s="143"/>
      <c r="I271" s="143"/>
      <c r="J271" s="143"/>
    </row>
    <row r="272" spans="1:15" ht="15.6" x14ac:dyDescent="0.25">
      <c r="A272" s="138" t="s">
        <v>9</v>
      </c>
      <c r="B272" s="139">
        <v>2.52</v>
      </c>
      <c r="C272" s="140" t="s">
        <v>432</v>
      </c>
      <c r="D272" s="141"/>
      <c r="E272" s="142"/>
      <c r="F272" s="143"/>
      <c r="G272" s="143"/>
      <c r="H272" s="143"/>
      <c r="I272" s="143"/>
      <c r="J272" s="143"/>
    </row>
    <row r="273" spans="1:10" ht="15.6" x14ac:dyDescent="0.25">
      <c r="A273" s="144" t="s">
        <v>9</v>
      </c>
      <c r="B273" s="145">
        <f>SUM(B271:B272)</f>
        <v>10</v>
      </c>
      <c r="C273" s="146"/>
      <c r="D273" s="146"/>
      <c r="E273" s="146"/>
      <c r="F273" s="143"/>
      <c r="G273" s="143"/>
      <c r="H273" s="143"/>
      <c r="I273" s="143"/>
      <c r="J273" s="143"/>
    </row>
    <row r="274" spans="1:10" ht="15.6" x14ac:dyDescent="0.25">
      <c r="A274" s="144"/>
      <c r="B274" s="147" t="s">
        <v>55</v>
      </c>
      <c r="C274" s="148"/>
      <c r="D274" s="149" t="s">
        <v>217</v>
      </c>
      <c r="E274" s="150"/>
      <c r="F274" s="143"/>
      <c r="G274" s="143"/>
      <c r="H274" s="143"/>
      <c r="I274" s="143"/>
      <c r="J274" s="143"/>
    </row>
    <row r="275" spans="1:10" ht="60.75" customHeight="1" x14ac:dyDescent="0.25">
      <c r="A275" s="172" t="s">
        <v>907</v>
      </c>
      <c r="B275" s="621" t="s">
        <v>273</v>
      </c>
      <c r="C275" s="621"/>
      <c r="D275" s="621"/>
      <c r="E275" s="621"/>
      <c r="F275" s="621"/>
      <c r="G275" s="621"/>
      <c r="H275" s="621"/>
      <c r="I275" s="621"/>
      <c r="J275" s="621"/>
    </row>
    <row r="276" spans="1:10" ht="18.75" customHeight="1" x14ac:dyDescent="0.3">
      <c r="A276" s="125" t="s">
        <v>9</v>
      </c>
      <c r="B276" s="126">
        <v>0.72</v>
      </c>
      <c r="C276" s="137" t="s">
        <v>172</v>
      </c>
      <c r="D276" s="134"/>
      <c r="E276" s="152"/>
      <c r="F276" s="152"/>
      <c r="G276" s="152"/>
      <c r="H276" s="152"/>
      <c r="I276" s="152"/>
      <c r="J276" s="152"/>
    </row>
    <row r="277" spans="1:10" ht="15.6" x14ac:dyDescent="0.3">
      <c r="A277" s="130"/>
      <c r="B277" s="117"/>
      <c r="C277" s="137"/>
      <c r="D277" s="134"/>
      <c r="E277" s="135"/>
      <c r="F277" s="128"/>
      <c r="G277" s="128"/>
      <c r="H277" s="128"/>
      <c r="I277" s="128"/>
      <c r="J277" s="128"/>
    </row>
    <row r="278" spans="1:10" s="290" customFormat="1" ht="15.6" x14ac:dyDescent="0.3">
      <c r="A278" s="304" t="s">
        <v>908</v>
      </c>
      <c r="B278" s="305" t="s">
        <v>174</v>
      </c>
      <c r="C278" s="311"/>
      <c r="D278" s="312"/>
      <c r="E278" s="309"/>
      <c r="F278" s="308"/>
      <c r="G278" s="308"/>
      <c r="H278" s="308"/>
      <c r="I278" s="308"/>
    </row>
    <row r="279" spans="1:10" ht="15.6" x14ac:dyDescent="0.3">
      <c r="A279" s="120" t="s">
        <v>909</v>
      </c>
      <c r="B279" s="129" t="s">
        <v>182</v>
      </c>
      <c r="C279" s="121"/>
      <c r="D279" s="122"/>
      <c r="E279" s="123"/>
      <c r="F279" s="124"/>
      <c r="G279" s="124"/>
      <c r="H279" s="124"/>
      <c r="I279" s="124"/>
      <c r="J279" s="119"/>
    </row>
    <row r="280" spans="1:10" ht="15.6" x14ac:dyDescent="0.3">
      <c r="A280" s="130" t="s">
        <v>9</v>
      </c>
      <c r="B280" s="117">
        <v>6</v>
      </c>
      <c r="C280" s="137" t="s">
        <v>186</v>
      </c>
      <c r="D280" s="134"/>
      <c r="E280" s="135"/>
      <c r="F280" s="136"/>
      <c r="G280" s="136"/>
      <c r="H280" s="136"/>
      <c r="I280" s="136"/>
      <c r="J280" s="128"/>
    </row>
    <row r="281" spans="1:10" ht="15.6" x14ac:dyDescent="0.3">
      <c r="A281" s="130" t="s">
        <v>9</v>
      </c>
      <c r="B281" s="117">
        <v>1</v>
      </c>
      <c r="C281" s="137" t="s">
        <v>183</v>
      </c>
      <c r="D281" s="134"/>
      <c r="E281" s="135"/>
      <c r="F281" s="136"/>
      <c r="G281" s="136"/>
      <c r="H281" s="136"/>
      <c r="I281" s="136"/>
      <c r="J281" s="128"/>
    </row>
    <row r="282" spans="1:10" ht="15.6" x14ac:dyDescent="0.3">
      <c r="A282" s="130" t="s">
        <v>9</v>
      </c>
      <c r="B282" s="117">
        <v>3</v>
      </c>
      <c r="C282" s="137" t="s">
        <v>184</v>
      </c>
      <c r="D282" s="134"/>
      <c r="E282" s="135"/>
      <c r="F282" s="136"/>
      <c r="G282" s="136"/>
      <c r="H282" s="136"/>
      <c r="I282" s="136"/>
      <c r="J282" s="128"/>
    </row>
    <row r="283" spans="1:10" ht="15.6" x14ac:dyDescent="0.3">
      <c r="A283" s="130" t="s">
        <v>9</v>
      </c>
      <c r="B283" s="117">
        <v>3</v>
      </c>
      <c r="C283" s="137" t="s">
        <v>185</v>
      </c>
      <c r="D283" s="134"/>
      <c r="E283" s="135"/>
      <c r="F283" s="136"/>
      <c r="G283" s="136"/>
      <c r="H283" s="136"/>
      <c r="I283" s="136"/>
      <c r="J283" s="128"/>
    </row>
    <row r="284" spans="1:10" ht="15.6" x14ac:dyDescent="0.3">
      <c r="A284" s="130" t="s">
        <v>9</v>
      </c>
      <c r="B284" s="117">
        <v>3</v>
      </c>
      <c r="C284" s="137" t="s">
        <v>187</v>
      </c>
      <c r="D284" s="134"/>
      <c r="E284" s="135"/>
      <c r="F284" s="136"/>
      <c r="G284" s="136"/>
      <c r="H284" s="136"/>
      <c r="I284" s="136"/>
      <c r="J284" s="128"/>
    </row>
    <row r="285" spans="1:10" ht="15.6" x14ac:dyDescent="0.3">
      <c r="A285" s="130" t="s">
        <v>9</v>
      </c>
      <c r="B285" s="117">
        <v>1</v>
      </c>
      <c r="C285" s="137" t="s">
        <v>188</v>
      </c>
      <c r="D285" s="134"/>
      <c r="E285" s="135"/>
      <c r="F285" s="136"/>
      <c r="G285" s="136"/>
      <c r="H285" s="136"/>
      <c r="I285" s="136"/>
      <c r="J285" s="128"/>
    </row>
    <row r="286" spans="1:10" ht="15.6" x14ac:dyDescent="0.3">
      <c r="A286" s="130" t="s">
        <v>9</v>
      </c>
      <c r="B286" s="117">
        <v>2</v>
      </c>
      <c r="C286" s="137" t="s">
        <v>189</v>
      </c>
      <c r="D286" s="134"/>
      <c r="E286" s="135"/>
      <c r="F286" s="136"/>
      <c r="G286" s="136"/>
      <c r="H286" s="136"/>
      <c r="I286" s="136"/>
      <c r="J286" s="128"/>
    </row>
    <row r="287" spans="1:10" ht="15.6" x14ac:dyDescent="0.3">
      <c r="A287" s="8" t="s">
        <v>9</v>
      </c>
      <c r="B287" s="16">
        <v>2</v>
      </c>
      <c r="C287" s="137" t="s">
        <v>190</v>
      </c>
      <c r="D287" s="67"/>
      <c r="E287" s="11"/>
      <c r="F287" s="7"/>
      <c r="G287" s="7"/>
      <c r="H287" s="7"/>
      <c r="I287" s="7"/>
    </row>
    <row r="288" spans="1:10" ht="15.6" x14ac:dyDescent="0.3">
      <c r="A288" s="103" t="s">
        <v>9</v>
      </c>
      <c r="B288" s="100">
        <f>SUM(B280:B283)*2+SUM(B284:B287)</f>
        <v>34</v>
      </c>
      <c r="C288" s="133"/>
      <c r="D288" s="67"/>
      <c r="E288" s="11"/>
      <c r="F288" s="7"/>
      <c r="G288" s="7"/>
      <c r="H288" s="7"/>
      <c r="I288" s="7"/>
    </row>
    <row r="289" spans="1:10" ht="15.6" x14ac:dyDescent="0.3">
      <c r="A289" s="103"/>
      <c r="B289" s="147" t="s">
        <v>55</v>
      </c>
      <c r="C289" s="148"/>
      <c r="D289" s="149" t="s">
        <v>209</v>
      </c>
      <c r="E289" s="11"/>
      <c r="F289" s="7"/>
      <c r="G289" s="7"/>
      <c r="H289" s="7"/>
      <c r="I289" s="7"/>
    </row>
    <row r="290" spans="1:10" ht="15.6" x14ac:dyDescent="0.3">
      <c r="A290" s="120" t="s">
        <v>910</v>
      </c>
      <c r="B290" s="129" t="s">
        <v>191</v>
      </c>
      <c r="C290" s="121"/>
      <c r="D290" s="151"/>
      <c r="E290" s="123"/>
      <c r="F290" s="124"/>
      <c r="G290" s="124"/>
      <c r="H290" s="124"/>
      <c r="I290" s="124"/>
      <c r="J290" s="119"/>
    </row>
    <row r="291" spans="1:10" ht="15.6" x14ac:dyDescent="0.3">
      <c r="A291" s="130" t="s">
        <v>9</v>
      </c>
      <c r="B291" s="117">
        <v>6</v>
      </c>
      <c r="C291" s="137" t="s">
        <v>186</v>
      </c>
      <c r="D291" s="134"/>
      <c r="E291" s="11"/>
      <c r="F291" s="7"/>
      <c r="G291" s="7"/>
      <c r="H291" s="7"/>
      <c r="I291" s="7"/>
    </row>
    <row r="292" spans="1:10" ht="15.6" x14ac:dyDescent="0.3">
      <c r="A292" s="130" t="s">
        <v>9</v>
      </c>
      <c r="B292" s="117">
        <v>1</v>
      </c>
      <c r="C292" s="137" t="s">
        <v>183</v>
      </c>
      <c r="D292" s="134"/>
      <c r="E292" s="11"/>
      <c r="F292" s="7"/>
      <c r="G292" s="7"/>
      <c r="H292" s="7"/>
      <c r="I292" s="7"/>
    </row>
    <row r="293" spans="1:10" ht="15.6" x14ac:dyDescent="0.3">
      <c r="A293" s="130" t="s">
        <v>9</v>
      </c>
      <c r="B293" s="117">
        <v>3</v>
      </c>
      <c r="C293" s="137" t="s">
        <v>184</v>
      </c>
      <c r="D293" s="134"/>
      <c r="E293" s="11"/>
      <c r="F293" s="7"/>
      <c r="G293" s="7"/>
      <c r="H293" s="7"/>
      <c r="I293" s="7"/>
    </row>
    <row r="294" spans="1:10" ht="15.6" x14ac:dyDescent="0.3">
      <c r="A294" s="130" t="s">
        <v>9</v>
      </c>
      <c r="B294" s="117">
        <v>3</v>
      </c>
      <c r="C294" s="137" t="s">
        <v>185</v>
      </c>
      <c r="D294" s="134"/>
      <c r="E294" s="11"/>
      <c r="F294" s="7"/>
      <c r="G294" s="7"/>
      <c r="H294" s="7"/>
      <c r="I294" s="7"/>
    </row>
    <row r="295" spans="1:10" ht="15.6" x14ac:dyDescent="0.3">
      <c r="A295" s="130" t="s">
        <v>9</v>
      </c>
      <c r="B295" s="117">
        <v>3</v>
      </c>
      <c r="C295" s="137" t="s">
        <v>187</v>
      </c>
      <c r="D295" s="134"/>
      <c r="E295" s="11"/>
      <c r="F295" s="7"/>
      <c r="G295" s="7"/>
      <c r="H295" s="7"/>
      <c r="I295" s="7"/>
    </row>
    <row r="296" spans="1:10" ht="15.6" x14ac:dyDescent="0.3">
      <c r="A296" s="130" t="s">
        <v>9</v>
      </c>
      <c r="B296" s="117">
        <v>1</v>
      </c>
      <c r="C296" s="137" t="s">
        <v>188</v>
      </c>
      <c r="D296" s="134"/>
      <c r="E296" s="11"/>
      <c r="F296" s="7"/>
      <c r="G296" s="7"/>
      <c r="H296" s="7"/>
      <c r="I296" s="7"/>
    </row>
    <row r="297" spans="1:10" ht="15.6" x14ac:dyDescent="0.3">
      <c r="A297" s="130" t="s">
        <v>9</v>
      </c>
      <c r="B297" s="117">
        <v>2</v>
      </c>
      <c r="C297" s="137" t="s">
        <v>189</v>
      </c>
      <c r="D297" s="134"/>
      <c r="E297" s="11"/>
      <c r="F297" s="7"/>
      <c r="G297" s="7"/>
      <c r="H297" s="7"/>
      <c r="I297" s="7"/>
    </row>
    <row r="298" spans="1:10" ht="15.6" x14ac:dyDescent="0.3">
      <c r="A298" s="8" t="s">
        <v>9</v>
      </c>
      <c r="B298" s="16">
        <v>2</v>
      </c>
      <c r="C298" s="137" t="s">
        <v>190</v>
      </c>
      <c r="D298" s="67"/>
      <c r="E298" s="11"/>
      <c r="F298" s="7"/>
      <c r="G298" s="7"/>
      <c r="H298" s="7"/>
      <c r="I298" s="7"/>
    </row>
    <row r="299" spans="1:10" ht="15.6" x14ac:dyDescent="0.3">
      <c r="A299" s="103" t="s">
        <v>9</v>
      </c>
      <c r="B299" s="100">
        <f>SUM(B291:B294)*2+SUM(B295:B298)</f>
        <v>34</v>
      </c>
      <c r="C299" s="133"/>
      <c r="D299" s="67"/>
      <c r="E299" s="11"/>
      <c r="F299" s="7"/>
      <c r="G299" s="7"/>
      <c r="H299" s="7"/>
      <c r="I299" s="7"/>
    </row>
    <row r="300" spans="1:10" ht="15.6" x14ac:dyDescent="0.3">
      <c r="A300" s="103"/>
      <c r="B300" s="147" t="s">
        <v>55</v>
      </c>
      <c r="C300" s="148"/>
      <c r="D300" s="149" t="s">
        <v>209</v>
      </c>
      <c r="E300" s="11"/>
      <c r="F300" s="7"/>
      <c r="G300" s="7"/>
      <c r="H300" s="7"/>
      <c r="I300" s="7"/>
    </row>
    <row r="301" spans="1:10" s="153" customFormat="1" ht="48.75" customHeight="1" x14ac:dyDescent="0.25">
      <c r="A301" s="172" t="s">
        <v>911</v>
      </c>
      <c r="B301" s="610" t="s">
        <v>192</v>
      </c>
      <c r="C301" s="610"/>
      <c r="D301" s="610"/>
      <c r="E301" s="610"/>
      <c r="F301" s="610"/>
      <c r="G301" s="610"/>
      <c r="H301" s="610"/>
      <c r="I301" s="610"/>
      <c r="J301" s="610"/>
    </row>
    <row r="302" spans="1:10" s="153" customFormat="1" ht="20.25" customHeight="1" x14ac:dyDescent="0.25">
      <c r="A302" s="171" t="s">
        <v>9</v>
      </c>
      <c r="B302" s="156">
        <v>2</v>
      </c>
      <c r="C302" s="148" t="s">
        <v>193</v>
      </c>
      <c r="D302" s="101"/>
      <c r="E302" s="150"/>
      <c r="F302" s="155"/>
      <c r="G302" s="155"/>
      <c r="H302" s="155"/>
      <c r="I302" s="155"/>
    </row>
    <row r="303" spans="1:10" s="153" customFormat="1" ht="43.5" customHeight="1" x14ac:dyDescent="0.25">
      <c r="A303" s="172" t="s">
        <v>912</v>
      </c>
      <c r="B303" s="610" t="s">
        <v>194</v>
      </c>
      <c r="C303" s="610"/>
      <c r="D303" s="610"/>
      <c r="E303" s="610"/>
      <c r="F303" s="610"/>
      <c r="G303" s="610"/>
      <c r="H303" s="610"/>
      <c r="I303" s="610"/>
      <c r="J303" s="610"/>
    </row>
    <row r="304" spans="1:10" s="153" customFormat="1" ht="20.25" customHeight="1" x14ac:dyDescent="0.25">
      <c r="A304" s="154" t="s">
        <v>9</v>
      </c>
      <c r="B304" s="156">
        <v>1</v>
      </c>
      <c r="C304" s="148" t="s">
        <v>195</v>
      </c>
      <c r="D304" s="149"/>
      <c r="E304" s="150"/>
      <c r="F304" s="155"/>
      <c r="G304" s="155"/>
      <c r="H304" s="155"/>
      <c r="I304" s="155"/>
    </row>
    <row r="305" spans="1:11" s="290" customFormat="1" ht="15.6" x14ac:dyDescent="0.3">
      <c r="A305" s="304" t="s">
        <v>913</v>
      </c>
      <c r="B305" s="305" t="s">
        <v>176</v>
      </c>
      <c r="C305" s="311"/>
      <c r="D305" s="312"/>
      <c r="E305" s="309"/>
      <c r="F305" s="308"/>
      <c r="G305" s="308"/>
      <c r="H305" s="308"/>
      <c r="I305" s="308"/>
    </row>
    <row r="306" spans="1:11" ht="15.6" x14ac:dyDescent="0.3">
      <c r="A306" s="120" t="s">
        <v>914</v>
      </c>
      <c r="B306" s="129" t="s">
        <v>199</v>
      </c>
      <c r="C306" s="121"/>
      <c r="D306" s="121"/>
      <c r="E306" s="123"/>
      <c r="F306" s="124"/>
      <c r="G306" s="124"/>
      <c r="H306" s="124"/>
      <c r="I306" s="124"/>
      <c r="J306" s="157"/>
    </row>
    <row r="307" spans="1:11" ht="15.6" x14ac:dyDescent="0.3">
      <c r="A307" s="8" t="s">
        <v>9</v>
      </c>
      <c r="B307" s="16">
        <v>2</v>
      </c>
      <c r="C307" s="13" t="s">
        <v>648</v>
      </c>
      <c r="D307" s="13"/>
      <c r="E307" s="11"/>
      <c r="F307" s="7"/>
      <c r="G307" s="7"/>
      <c r="H307" s="7"/>
      <c r="I307" s="7"/>
    </row>
    <row r="308" spans="1:11" ht="15.6" x14ac:dyDescent="0.3">
      <c r="A308" s="8" t="s">
        <v>9</v>
      </c>
      <c r="B308" s="16">
        <v>2</v>
      </c>
      <c r="C308" s="13" t="s">
        <v>649</v>
      </c>
      <c r="D308" s="13"/>
      <c r="E308" s="11"/>
      <c r="F308" s="7"/>
      <c r="G308" s="7"/>
      <c r="H308" s="7"/>
      <c r="I308" s="7"/>
    </row>
    <row r="309" spans="1:11" ht="15.6" x14ac:dyDescent="0.3">
      <c r="A309" s="8" t="s">
        <v>9</v>
      </c>
      <c r="B309" s="16">
        <v>3</v>
      </c>
      <c r="C309" s="13" t="s">
        <v>442</v>
      </c>
      <c r="D309" s="13"/>
      <c r="E309" s="11"/>
      <c r="F309" s="7"/>
      <c r="G309" s="7"/>
      <c r="H309" s="7"/>
      <c r="I309" s="7"/>
      <c r="K309" s="88"/>
    </row>
    <row r="310" spans="1:11" ht="15.6" x14ac:dyDescent="0.3">
      <c r="A310" s="103" t="s">
        <v>9</v>
      </c>
      <c r="B310" s="100">
        <f>SUM(B307:B309)</f>
        <v>7</v>
      </c>
      <c r="C310" s="110"/>
      <c r="D310" s="67"/>
      <c r="E310" s="11"/>
      <c r="F310" s="7"/>
      <c r="G310" s="7"/>
      <c r="H310" s="7"/>
      <c r="I310" s="7"/>
    </row>
    <row r="311" spans="1:11" ht="15.6" x14ac:dyDescent="0.3">
      <c r="A311" s="103"/>
      <c r="B311" s="147" t="s">
        <v>55</v>
      </c>
      <c r="C311" s="148"/>
      <c r="D311" s="149" t="s">
        <v>443</v>
      </c>
      <c r="E311" s="11"/>
      <c r="F311" s="7"/>
      <c r="G311" s="7"/>
      <c r="H311" s="7"/>
      <c r="I311" s="7"/>
    </row>
    <row r="312" spans="1:11" ht="16.2" x14ac:dyDescent="0.35">
      <c r="A312" s="103"/>
      <c r="B312" s="109"/>
      <c r="C312" s="110"/>
      <c r="D312" s="67"/>
      <c r="E312" s="11"/>
      <c r="F312" s="7"/>
      <c r="G312" s="7"/>
      <c r="H312" s="7"/>
      <c r="I312" s="7"/>
    </row>
    <row r="313" spans="1:11" ht="35.25" customHeight="1" x14ac:dyDescent="0.3">
      <c r="A313" s="172" t="s">
        <v>915</v>
      </c>
      <c r="B313" s="609" t="s">
        <v>786</v>
      </c>
      <c r="C313" s="609"/>
      <c r="D313" s="609"/>
      <c r="E313" s="609"/>
      <c r="F313" s="609"/>
      <c r="G313" s="609"/>
      <c r="H313" s="609"/>
      <c r="I313" s="609"/>
      <c r="J313" s="609"/>
    </row>
    <row r="314" spans="1:11" ht="15.6" x14ac:dyDescent="0.3">
      <c r="A314" s="130" t="s">
        <v>9</v>
      </c>
      <c r="B314" s="117">
        <v>9</v>
      </c>
      <c r="C314" s="137" t="s">
        <v>201</v>
      </c>
      <c r="D314" s="137"/>
      <c r="E314" s="160"/>
      <c r="F314" s="161"/>
      <c r="G314" s="161"/>
      <c r="H314" s="161"/>
      <c r="I314" s="161"/>
      <c r="J314" s="162"/>
    </row>
    <row r="315" spans="1:11" ht="15.6" x14ac:dyDescent="0.3">
      <c r="A315" s="130" t="s">
        <v>9</v>
      </c>
      <c r="B315" s="117">
        <v>5</v>
      </c>
      <c r="C315" s="137" t="s">
        <v>447</v>
      </c>
      <c r="D315" s="137"/>
      <c r="E315" s="160"/>
      <c r="F315" s="161"/>
      <c r="G315" s="161"/>
      <c r="H315" s="161"/>
      <c r="I315" s="161"/>
      <c r="J315" s="162"/>
    </row>
    <row r="316" spans="1:11" ht="15.6" x14ac:dyDescent="0.3">
      <c r="A316" s="130" t="s">
        <v>9</v>
      </c>
      <c r="B316" s="117">
        <v>2</v>
      </c>
      <c r="C316" s="137" t="s">
        <v>202</v>
      </c>
      <c r="D316" s="137"/>
      <c r="E316" s="160"/>
      <c r="F316" s="161"/>
      <c r="G316" s="161"/>
      <c r="H316" s="161"/>
      <c r="I316" s="161"/>
      <c r="J316" s="162"/>
    </row>
    <row r="317" spans="1:11" ht="15.6" x14ac:dyDescent="0.3">
      <c r="A317" s="130" t="s">
        <v>9</v>
      </c>
      <c r="B317" s="117">
        <v>4</v>
      </c>
      <c r="C317" s="137" t="s">
        <v>203</v>
      </c>
      <c r="D317" s="137"/>
      <c r="E317" s="160"/>
      <c r="F317" s="161"/>
      <c r="G317" s="161"/>
      <c r="H317" s="161"/>
      <c r="I317" s="161"/>
      <c r="J317" s="162"/>
    </row>
    <row r="318" spans="1:11" ht="15.6" x14ac:dyDescent="0.3">
      <c r="A318" s="130" t="s">
        <v>9</v>
      </c>
      <c r="B318" s="117">
        <v>2</v>
      </c>
      <c r="C318" s="137" t="s">
        <v>202</v>
      </c>
      <c r="D318" s="137"/>
      <c r="E318" s="160"/>
      <c r="F318" s="161"/>
      <c r="G318" s="161"/>
      <c r="H318" s="161"/>
      <c r="I318" s="161"/>
      <c r="J318" s="162"/>
    </row>
    <row r="319" spans="1:11" ht="15.6" x14ac:dyDescent="0.3">
      <c r="A319" s="130" t="s">
        <v>9</v>
      </c>
      <c r="B319" s="117">
        <v>6</v>
      </c>
      <c r="C319" s="137" t="s">
        <v>448</v>
      </c>
      <c r="D319" s="137"/>
      <c r="E319" s="160"/>
      <c r="F319" s="161"/>
      <c r="G319" s="161"/>
      <c r="H319" s="161"/>
      <c r="I319" s="161"/>
      <c r="J319" s="162"/>
    </row>
    <row r="320" spans="1:11" ht="15.6" x14ac:dyDescent="0.3">
      <c r="A320" s="130" t="s">
        <v>9</v>
      </c>
      <c r="B320" s="117">
        <v>2</v>
      </c>
      <c r="C320" s="137" t="s">
        <v>202</v>
      </c>
      <c r="D320" s="137"/>
      <c r="E320" s="160"/>
      <c r="F320" s="161"/>
      <c r="G320" s="161"/>
      <c r="H320" s="161"/>
      <c r="I320" s="161"/>
      <c r="J320" s="162"/>
    </row>
    <row r="321" spans="1:10" ht="15.6" x14ac:dyDescent="0.3">
      <c r="A321" s="125" t="s">
        <v>9</v>
      </c>
      <c r="B321" s="126">
        <f>SUM(B314:B320)</f>
        <v>30</v>
      </c>
      <c r="C321" s="158"/>
      <c r="D321" s="159"/>
      <c r="E321" s="160"/>
      <c r="F321" s="161"/>
      <c r="G321" s="161"/>
      <c r="H321" s="161"/>
      <c r="I321" s="161"/>
      <c r="J321" s="162"/>
    </row>
    <row r="322" spans="1:10" ht="15.6" x14ac:dyDescent="0.3">
      <c r="A322" s="125"/>
      <c r="B322" s="147" t="s">
        <v>55</v>
      </c>
      <c r="C322" s="148"/>
      <c r="D322" s="149" t="s">
        <v>444</v>
      </c>
      <c r="E322" s="160"/>
      <c r="F322" s="161"/>
      <c r="G322" s="161"/>
      <c r="H322" s="161"/>
      <c r="I322" s="161"/>
      <c r="J322" s="162"/>
    </row>
    <row r="323" spans="1:10" ht="15.6" x14ac:dyDescent="0.3">
      <c r="A323" s="120" t="s">
        <v>916</v>
      </c>
      <c r="B323" s="129" t="s">
        <v>205</v>
      </c>
      <c r="C323" s="131"/>
      <c r="D323" s="121"/>
      <c r="E323" s="123"/>
      <c r="F323" s="124"/>
      <c r="G323" s="124"/>
      <c r="H323" s="124"/>
      <c r="I323" s="124"/>
      <c r="J323" s="157"/>
    </row>
    <row r="324" spans="1:10" ht="15.6" x14ac:dyDescent="0.3">
      <c r="A324" s="130" t="s">
        <v>9</v>
      </c>
      <c r="B324" s="156">
        <v>2</v>
      </c>
      <c r="C324" s="137" t="s">
        <v>203</v>
      </c>
      <c r="D324" s="148"/>
      <c r="E324" s="160"/>
      <c r="F324" s="161"/>
      <c r="G324" s="161"/>
      <c r="H324" s="161"/>
      <c r="I324" s="161"/>
      <c r="J324" s="162"/>
    </row>
    <row r="325" spans="1:10" ht="15.6" x14ac:dyDescent="0.3">
      <c r="A325" s="103" t="s">
        <v>9</v>
      </c>
      <c r="B325" s="100">
        <f>SUM(B324:B324)</f>
        <v>2</v>
      </c>
      <c r="C325" s="110"/>
      <c r="D325" s="67"/>
      <c r="E325" s="160"/>
      <c r="F325" s="161"/>
      <c r="G325" s="161"/>
      <c r="H325" s="161"/>
      <c r="I325" s="161"/>
      <c r="J325" s="162"/>
    </row>
    <row r="326" spans="1:10" ht="15.6" x14ac:dyDescent="0.3">
      <c r="A326" s="120" t="s">
        <v>917</v>
      </c>
      <c r="B326" s="268" t="s">
        <v>409</v>
      </c>
      <c r="C326" s="163"/>
      <c r="D326" s="163"/>
      <c r="E326" s="164"/>
      <c r="F326" s="165"/>
      <c r="G326" s="165"/>
      <c r="H326" s="165"/>
      <c r="I326" s="165"/>
      <c r="J326" s="166"/>
    </row>
    <row r="327" spans="1:10" ht="15.6" x14ac:dyDescent="0.3">
      <c r="A327" s="130" t="s">
        <v>9</v>
      </c>
      <c r="B327" s="156">
        <v>3</v>
      </c>
      <c r="C327" s="137" t="s">
        <v>446</v>
      </c>
      <c r="D327" s="148"/>
      <c r="E327" s="160"/>
      <c r="F327" s="161"/>
      <c r="G327" s="161"/>
      <c r="H327" s="161"/>
      <c r="I327" s="161"/>
      <c r="J327" s="162"/>
    </row>
    <row r="328" spans="1:10" ht="15.6" x14ac:dyDescent="0.3">
      <c r="A328" s="130" t="s">
        <v>9</v>
      </c>
      <c r="B328" s="156">
        <v>1</v>
      </c>
      <c r="C328" s="137" t="s">
        <v>203</v>
      </c>
      <c r="D328" s="148"/>
      <c r="E328" s="160"/>
      <c r="F328" s="161"/>
      <c r="G328" s="161"/>
      <c r="H328" s="161"/>
      <c r="I328" s="161"/>
      <c r="J328" s="162"/>
    </row>
    <row r="329" spans="1:10" ht="15.6" x14ac:dyDescent="0.3">
      <c r="A329" s="130" t="s">
        <v>9</v>
      </c>
      <c r="B329" s="156">
        <v>1</v>
      </c>
      <c r="C329" s="137" t="s">
        <v>447</v>
      </c>
      <c r="D329" s="148"/>
      <c r="E329" s="160"/>
      <c r="F329" s="161"/>
      <c r="G329" s="161"/>
      <c r="H329" s="161"/>
      <c r="I329" s="161"/>
      <c r="J329" s="162"/>
    </row>
    <row r="330" spans="1:10" ht="15.6" x14ac:dyDescent="0.3">
      <c r="A330" s="103" t="s">
        <v>9</v>
      </c>
      <c r="B330" s="100">
        <f>SUM(B327:B329)</f>
        <v>5</v>
      </c>
      <c r="C330" s="110"/>
      <c r="D330" s="149"/>
      <c r="E330" s="160"/>
      <c r="F330" s="161"/>
      <c r="G330" s="161"/>
      <c r="H330" s="161"/>
      <c r="I330" s="161"/>
      <c r="J330" s="162"/>
    </row>
    <row r="331" spans="1:10" ht="15.6" x14ac:dyDescent="0.3">
      <c r="A331" s="103"/>
      <c r="B331" s="147" t="s">
        <v>55</v>
      </c>
      <c r="C331" s="148"/>
      <c r="D331" s="149" t="s">
        <v>445</v>
      </c>
      <c r="E331" s="160"/>
      <c r="F331" s="161"/>
      <c r="G331" s="161"/>
      <c r="H331" s="161"/>
      <c r="I331" s="161"/>
      <c r="J331" s="162"/>
    </row>
    <row r="332" spans="1:10" ht="15.6" x14ac:dyDescent="0.3">
      <c r="A332" s="120" t="s">
        <v>918</v>
      </c>
      <c r="B332" s="268" t="s">
        <v>208</v>
      </c>
      <c r="C332" s="163"/>
      <c r="D332" s="163"/>
      <c r="E332" s="164"/>
      <c r="F332" s="165"/>
      <c r="G332" s="165"/>
      <c r="H332" s="165"/>
      <c r="I332" s="165"/>
      <c r="J332" s="166"/>
    </row>
    <row r="333" spans="1:10" ht="15.6" x14ac:dyDescent="0.3">
      <c r="A333" s="130" t="s">
        <v>9</v>
      </c>
      <c r="B333" s="139">
        <v>2</v>
      </c>
      <c r="C333" s="140" t="s">
        <v>449</v>
      </c>
      <c r="D333" s="167"/>
      <c r="E333" s="168"/>
      <c r="F333" s="169"/>
      <c r="G333" s="169"/>
      <c r="H333" s="169"/>
      <c r="I333" s="169"/>
      <c r="J333" s="170"/>
    </row>
    <row r="334" spans="1:10" ht="15.6" x14ac:dyDescent="0.3">
      <c r="A334" s="130" t="s">
        <v>9</v>
      </c>
      <c r="B334" s="139">
        <v>1</v>
      </c>
      <c r="C334" s="140" t="s">
        <v>164</v>
      </c>
      <c r="D334" s="167"/>
      <c r="E334" s="168"/>
      <c r="F334" s="169"/>
      <c r="G334" s="169"/>
      <c r="H334" s="169"/>
      <c r="I334" s="169"/>
      <c r="J334" s="170"/>
    </row>
    <row r="335" spans="1:10" ht="15.6" x14ac:dyDescent="0.3">
      <c r="A335" s="125" t="s">
        <v>9</v>
      </c>
      <c r="B335" s="145">
        <f>SUM(B333:B334)</f>
        <v>3</v>
      </c>
      <c r="C335" s="167"/>
      <c r="D335" s="167"/>
      <c r="E335" s="168"/>
      <c r="F335" s="169"/>
      <c r="G335" s="169"/>
      <c r="H335" s="169"/>
      <c r="I335" s="169"/>
      <c r="J335" s="170"/>
    </row>
    <row r="336" spans="1:10" ht="15.6" x14ac:dyDescent="0.3">
      <c r="A336" s="125"/>
      <c r="B336" s="147" t="s">
        <v>55</v>
      </c>
      <c r="C336" s="148"/>
      <c r="D336" s="149" t="s">
        <v>450</v>
      </c>
      <c r="E336" s="160"/>
      <c r="F336" s="169"/>
      <c r="G336" s="169"/>
      <c r="H336" s="169"/>
      <c r="I336" s="169"/>
      <c r="J336" s="170"/>
    </row>
    <row r="337" spans="1:10" ht="15.6" x14ac:dyDescent="0.3">
      <c r="A337" s="120" t="s">
        <v>919</v>
      </c>
      <c r="B337" s="268" t="s">
        <v>497</v>
      </c>
      <c r="C337" s="163"/>
      <c r="D337" s="163"/>
      <c r="E337" s="164"/>
      <c r="F337" s="165"/>
      <c r="G337" s="165"/>
      <c r="H337" s="165"/>
      <c r="I337" s="165"/>
      <c r="J337" s="166"/>
    </row>
    <row r="338" spans="1:10" ht="15.6" x14ac:dyDescent="0.3">
      <c r="A338" s="130" t="s">
        <v>9</v>
      </c>
      <c r="B338" s="139">
        <v>1</v>
      </c>
      <c r="C338" s="140" t="s">
        <v>448</v>
      </c>
      <c r="D338" s="140"/>
      <c r="E338" s="160"/>
      <c r="F338" s="161"/>
      <c r="G338" s="161"/>
      <c r="H338" s="161"/>
      <c r="I338" s="161"/>
      <c r="J338" s="162"/>
    </row>
    <row r="339" spans="1:10" ht="15.6" x14ac:dyDescent="0.3">
      <c r="A339" s="125" t="s">
        <v>9</v>
      </c>
      <c r="B339" s="145">
        <f>B338</f>
        <v>1</v>
      </c>
      <c r="C339" s="167"/>
      <c r="D339" s="167"/>
      <c r="E339" s="160"/>
      <c r="F339" s="161"/>
      <c r="G339" s="161"/>
      <c r="H339" s="161"/>
      <c r="I339" s="161"/>
      <c r="J339" s="162"/>
    </row>
    <row r="340" spans="1:10" ht="15.6" x14ac:dyDescent="0.3">
      <c r="A340" s="125"/>
      <c r="B340" s="145"/>
      <c r="C340" s="167"/>
      <c r="D340" s="167"/>
      <c r="E340" s="160"/>
      <c r="F340" s="161"/>
      <c r="G340" s="161"/>
      <c r="H340" s="161"/>
      <c r="I340" s="161"/>
      <c r="J340" s="162"/>
    </row>
    <row r="341" spans="1:10" s="295" customFormat="1" ht="15.6" x14ac:dyDescent="0.3">
      <c r="A341" s="298" t="s">
        <v>224</v>
      </c>
      <c r="B341" s="299" t="s">
        <v>569</v>
      </c>
      <c r="C341" s="303"/>
      <c r="D341" s="303"/>
      <c r="E341" s="303"/>
    </row>
    <row r="342" spans="1:10" ht="15.6" x14ac:dyDescent="0.3">
      <c r="A342" s="120" t="s">
        <v>225</v>
      </c>
      <c r="B342" s="129" t="s">
        <v>241</v>
      </c>
      <c r="C342" s="118"/>
      <c r="D342" s="118"/>
      <c r="E342" s="118"/>
      <c r="F342" s="119"/>
      <c r="G342" s="119"/>
      <c r="H342" s="119"/>
      <c r="I342" s="119"/>
      <c r="J342" s="119"/>
    </row>
    <row r="343" spans="1:10" ht="15.6" x14ac:dyDescent="0.3">
      <c r="A343" s="8"/>
      <c r="B343" s="16"/>
      <c r="C343" s="102"/>
      <c r="D343" s="102"/>
      <c r="E343" s="102"/>
      <c r="F343" s="102"/>
      <c r="G343" s="102"/>
      <c r="H343" s="102"/>
      <c r="I343" s="102"/>
      <c r="J343" s="102"/>
    </row>
    <row r="344" spans="1:10" ht="16.2" x14ac:dyDescent="0.35">
      <c r="A344" s="8"/>
      <c r="B344" s="178" t="s">
        <v>103</v>
      </c>
      <c r="C344" s="179"/>
      <c r="D344" s="102"/>
      <c r="E344" s="102"/>
      <c r="F344" s="102"/>
      <c r="G344" s="102"/>
      <c r="H344" s="102"/>
      <c r="I344" s="102"/>
      <c r="J344" s="102"/>
    </row>
    <row r="345" spans="1:10" ht="16.2" x14ac:dyDescent="0.35">
      <c r="A345" s="8"/>
      <c r="B345" s="109" t="s">
        <v>112</v>
      </c>
      <c r="C345" s="102"/>
      <c r="D345" s="102"/>
      <c r="E345" s="102"/>
      <c r="F345" s="102"/>
      <c r="G345" s="102"/>
      <c r="H345" s="102"/>
      <c r="I345" s="102"/>
      <c r="J345" s="102"/>
    </row>
    <row r="346" spans="1:10" ht="15.6" x14ac:dyDescent="0.3">
      <c r="A346" s="8" t="s">
        <v>9</v>
      </c>
      <c r="B346" s="104">
        <v>2.58</v>
      </c>
      <c r="C346" s="102" t="s">
        <v>106</v>
      </c>
      <c r="D346" s="102"/>
      <c r="E346" s="102"/>
      <c r="F346" s="102"/>
      <c r="G346" s="102"/>
      <c r="H346" s="102"/>
      <c r="I346" s="102"/>
      <c r="J346" s="102"/>
    </row>
    <row r="347" spans="1:10" ht="15.6" x14ac:dyDescent="0.3">
      <c r="A347" s="8" t="s">
        <v>9</v>
      </c>
      <c r="B347" s="104">
        <v>5</v>
      </c>
      <c r="C347" s="102" t="s">
        <v>96</v>
      </c>
      <c r="D347" s="102"/>
      <c r="E347" s="102"/>
      <c r="F347" s="102"/>
      <c r="G347" s="102"/>
      <c r="H347" s="102"/>
      <c r="I347" s="102"/>
      <c r="J347" s="102"/>
    </row>
    <row r="348" spans="1:10" ht="15.6" x14ac:dyDescent="0.3">
      <c r="A348" s="8" t="s">
        <v>9</v>
      </c>
      <c r="B348" s="16">
        <v>16.010000000000002</v>
      </c>
      <c r="C348" s="102" t="s">
        <v>106</v>
      </c>
      <c r="D348" s="102"/>
      <c r="E348" s="102"/>
      <c r="F348" s="102"/>
      <c r="G348" s="16"/>
      <c r="H348" s="102"/>
      <c r="I348" s="102"/>
      <c r="J348" s="102"/>
    </row>
    <row r="349" spans="1:10" ht="15.6" x14ac:dyDescent="0.3">
      <c r="A349" s="8" t="s">
        <v>9</v>
      </c>
      <c r="B349" s="16">
        <v>5</v>
      </c>
      <c r="C349" s="102" t="s">
        <v>96</v>
      </c>
      <c r="D349" s="102"/>
      <c r="E349" s="102"/>
      <c r="F349" s="102"/>
      <c r="G349" s="16"/>
      <c r="H349" s="102"/>
      <c r="I349" s="102"/>
      <c r="J349" s="102"/>
    </row>
    <row r="350" spans="1:10" ht="15.6" x14ac:dyDescent="0.3">
      <c r="A350" s="8" t="s">
        <v>9</v>
      </c>
      <c r="B350" s="16">
        <v>83.37</v>
      </c>
      <c r="C350" s="102" t="s">
        <v>107</v>
      </c>
      <c r="D350" s="102"/>
      <c r="E350" s="102"/>
      <c r="F350" s="102"/>
      <c r="G350" s="16"/>
      <c r="H350" s="102"/>
      <c r="I350" s="102"/>
      <c r="J350" s="102"/>
    </row>
    <row r="351" spans="1:10" ht="15.6" x14ac:dyDescent="0.3">
      <c r="A351" s="8" t="s">
        <v>9</v>
      </c>
      <c r="B351" s="16">
        <v>8.23</v>
      </c>
      <c r="C351" s="102" t="s">
        <v>96</v>
      </c>
      <c r="D351" s="102"/>
      <c r="E351" s="102"/>
      <c r="F351" s="102"/>
      <c r="G351" s="16"/>
      <c r="H351" s="102"/>
      <c r="I351" s="102"/>
      <c r="J351" s="102"/>
    </row>
    <row r="352" spans="1:10" ht="15.6" x14ac:dyDescent="0.3">
      <c r="A352" s="8" t="s">
        <v>9</v>
      </c>
      <c r="B352" s="16">
        <v>10.29</v>
      </c>
      <c r="C352" s="102" t="s">
        <v>108</v>
      </c>
      <c r="D352" s="102"/>
      <c r="E352" s="102"/>
      <c r="F352" s="102"/>
      <c r="G352" s="16"/>
      <c r="H352" s="102"/>
      <c r="I352" s="102"/>
      <c r="J352" s="102"/>
    </row>
    <row r="353" spans="1:12" ht="15.6" x14ac:dyDescent="0.3">
      <c r="A353" s="8" t="s">
        <v>9</v>
      </c>
      <c r="B353" s="16">
        <v>5</v>
      </c>
      <c r="C353" s="102" t="s">
        <v>96</v>
      </c>
      <c r="D353" s="102"/>
      <c r="E353" s="102"/>
      <c r="F353" s="102"/>
      <c r="G353" s="16"/>
      <c r="H353" s="102"/>
      <c r="I353" s="102"/>
      <c r="J353" s="102"/>
    </row>
    <row r="354" spans="1:12" ht="15.6" x14ac:dyDescent="0.3">
      <c r="A354" s="8" t="s">
        <v>9</v>
      </c>
      <c r="B354" s="16">
        <v>6.22</v>
      </c>
      <c r="C354" s="102" t="s">
        <v>109</v>
      </c>
      <c r="D354" s="102"/>
      <c r="E354" s="102"/>
      <c r="F354" s="102"/>
      <c r="G354" s="16"/>
      <c r="H354" s="102"/>
      <c r="I354" s="102"/>
      <c r="J354" s="102"/>
      <c r="L354" s="58"/>
    </row>
    <row r="355" spans="1:12" ht="15.6" x14ac:dyDescent="0.3">
      <c r="A355" s="8" t="s">
        <v>9</v>
      </c>
      <c r="B355" s="16">
        <v>6.9</v>
      </c>
      <c r="C355" s="102" t="s">
        <v>96</v>
      </c>
      <c r="D355" s="102"/>
      <c r="E355" s="102"/>
      <c r="F355" s="102"/>
      <c r="G355" s="102"/>
      <c r="H355" s="102"/>
      <c r="I355" s="102"/>
      <c r="J355" s="102"/>
    </row>
    <row r="356" spans="1:12" ht="15.6" x14ac:dyDescent="0.3">
      <c r="A356" s="8" t="s">
        <v>9</v>
      </c>
      <c r="B356" s="16">
        <v>2.23</v>
      </c>
      <c r="C356" s="102" t="s">
        <v>110</v>
      </c>
      <c r="D356" s="102"/>
      <c r="E356" s="102"/>
      <c r="F356" s="102"/>
      <c r="G356" s="102"/>
      <c r="H356" s="102"/>
      <c r="I356" s="102"/>
      <c r="J356" s="102"/>
    </row>
    <row r="357" spans="1:12" ht="15.6" x14ac:dyDescent="0.3">
      <c r="A357" s="8" t="s">
        <v>9</v>
      </c>
      <c r="B357" s="16">
        <v>6.1</v>
      </c>
      <c r="C357" s="102" t="s">
        <v>96</v>
      </c>
      <c r="D357" s="102"/>
      <c r="E357" s="102"/>
      <c r="F357" s="102"/>
      <c r="G357" s="102"/>
      <c r="H357" s="102"/>
      <c r="I357" s="102"/>
      <c r="J357" s="102"/>
    </row>
    <row r="358" spans="1:12" ht="15.6" x14ac:dyDescent="0.3">
      <c r="A358" s="8" t="s">
        <v>9</v>
      </c>
      <c r="B358" s="16">
        <v>40</v>
      </c>
      <c r="C358" s="102" t="s">
        <v>218</v>
      </c>
      <c r="D358" s="102"/>
      <c r="E358" s="102"/>
      <c r="F358" s="102"/>
      <c r="G358" s="102"/>
      <c r="H358" s="102"/>
      <c r="I358" s="102"/>
      <c r="J358" s="102"/>
    </row>
    <row r="359" spans="1:12" ht="15.6" x14ac:dyDescent="0.3">
      <c r="A359" s="8" t="s">
        <v>9</v>
      </c>
      <c r="B359" s="100">
        <f>((B346*B347)+(B348*B349)+(B350*B351)+(B352*B353)+(B354*B355)+(B356*B357))*B358%</f>
        <v>354.82244000000009</v>
      </c>
      <c r="C359" s="102"/>
      <c r="D359" s="102"/>
      <c r="E359" s="102"/>
      <c r="F359" s="102"/>
      <c r="G359" s="102"/>
      <c r="H359" s="102"/>
      <c r="I359" s="102"/>
      <c r="J359" s="102"/>
    </row>
    <row r="360" spans="1:12" ht="15.6" x14ac:dyDescent="0.3">
      <c r="A360" s="12"/>
      <c r="B360" s="104" t="s">
        <v>55</v>
      </c>
      <c r="C360" s="13"/>
      <c r="D360" s="102"/>
      <c r="E360" s="102"/>
      <c r="F360" s="102"/>
      <c r="G360" s="102"/>
      <c r="H360" s="102"/>
      <c r="I360" s="102"/>
      <c r="J360" s="102"/>
    </row>
    <row r="361" spans="1:12" ht="36" customHeight="1" x14ac:dyDescent="0.3">
      <c r="A361" s="12"/>
      <c r="B361" s="622" t="s">
        <v>500</v>
      </c>
      <c r="C361" s="622"/>
      <c r="D361" s="622"/>
      <c r="E361" s="622"/>
      <c r="F361" s="622"/>
      <c r="G361" s="622"/>
      <c r="H361" s="622"/>
      <c r="I361" s="622"/>
      <c r="J361" s="622"/>
    </row>
    <row r="362" spans="1:12" ht="16.2" x14ac:dyDescent="0.35">
      <c r="A362" s="12"/>
      <c r="B362" s="109" t="s">
        <v>111</v>
      </c>
      <c r="C362" s="13"/>
      <c r="D362" s="67"/>
      <c r="E362" s="11"/>
      <c r="F362" s="102"/>
      <c r="G362" s="102"/>
      <c r="H362" s="102"/>
      <c r="I362" s="102"/>
      <c r="J362" s="102"/>
    </row>
    <row r="363" spans="1:12" ht="15.6" x14ac:dyDescent="0.3">
      <c r="A363" s="8" t="s">
        <v>9</v>
      </c>
      <c r="B363" s="16">
        <v>9.3699999999999992</v>
      </c>
      <c r="C363" s="102" t="s">
        <v>254</v>
      </c>
      <c r="D363" s="102"/>
      <c r="E363" s="102"/>
      <c r="F363" s="102"/>
      <c r="G363" s="102"/>
      <c r="H363" s="102"/>
      <c r="I363" s="102"/>
      <c r="J363" s="102"/>
    </row>
    <row r="364" spans="1:12" ht="15.6" x14ac:dyDescent="0.3">
      <c r="A364" s="8" t="s">
        <v>9</v>
      </c>
      <c r="B364" s="16">
        <v>14.1</v>
      </c>
      <c r="C364" s="102" t="s">
        <v>255</v>
      </c>
      <c r="D364" s="102"/>
      <c r="E364" s="102"/>
      <c r="F364" s="102"/>
      <c r="G364" s="102"/>
      <c r="H364" s="102"/>
      <c r="I364" s="102"/>
      <c r="J364" s="102"/>
    </row>
    <row r="365" spans="1:12" ht="15.6" x14ac:dyDescent="0.3">
      <c r="A365" s="8" t="s">
        <v>9</v>
      </c>
      <c r="B365" s="16">
        <v>16</v>
      </c>
      <c r="C365" s="102" t="s">
        <v>256</v>
      </c>
      <c r="D365" s="102"/>
      <c r="E365" s="102"/>
      <c r="F365" s="102"/>
      <c r="G365" s="102"/>
      <c r="H365" s="102"/>
      <c r="I365" s="102"/>
      <c r="J365" s="102"/>
    </row>
    <row r="366" spans="1:12" ht="15.6" x14ac:dyDescent="0.3">
      <c r="A366" s="8" t="s">
        <v>9</v>
      </c>
      <c r="B366" s="16">
        <v>8.66</v>
      </c>
      <c r="C366" s="102" t="s">
        <v>257</v>
      </c>
      <c r="D366" s="102"/>
      <c r="E366" s="102"/>
      <c r="F366" s="102"/>
      <c r="G366" s="102"/>
      <c r="H366" s="102"/>
      <c r="I366" s="102"/>
      <c r="J366" s="102"/>
    </row>
    <row r="367" spans="1:12" ht="15.6" x14ac:dyDescent="0.3">
      <c r="A367" s="8" t="s">
        <v>9</v>
      </c>
      <c r="B367" s="16">
        <v>1</v>
      </c>
      <c r="C367" s="102" t="s">
        <v>258</v>
      </c>
      <c r="D367" s="102"/>
      <c r="E367" s="102"/>
      <c r="F367" s="102"/>
      <c r="G367" s="102"/>
      <c r="H367" s="102"/>
      <c r="I367" s="102"/>
      <c r="J367" s="102"/>
    </row>
    <row r="368" spans="1:12" ht="15.6" x14ac:dyDescent="0.3">
      <c r="A368" s="8" t="s">
        <v>9</v>
      </c>
      <c r="B368" s="16">
        <v>3</v>
      </c>
      <c r="C368" s="102" t="s">
        <v>259</v>
      </c>
      <c r="D368" s="102"/>
      <c r="E368" s="102"/>
      <c r="F368" s="102"/>
      <c r="G368" s="102"/>
      <c r="H368" s="102"/>
      <c r="I368" s="102"/>
      <c r="J368" s="102"/>
    </row>
    <row r="369" spans="1:10" ht="15.6" x14ac:dyDescent="0.3">
      <c r="A369" s="8" t="s">
        <v>9</v>
      </c>
      <c r="B369" s="100">
        <f>B363+B364+B365+B366+B367*2+B368</f>
        <v>53.129999999999995</v>
      </c>
      <c r="C369" s="102"/>
      <c r="D369" s="102"/>
      <c r="E369" s="102"/>
      <c r="F369" s="102"/>
      <c r="G369" s="102"/>
      <c r="H369" s="102"/>
      <c r="I369" s="102"/>
      <c r="J369" s="102"/>
    </row>
    <row r="370" spans="1:10" ht="15.6" x14ac:dyDescent="0.3">
      <c r="A370" s="12"/>
      <c r="B370" s="104" t="s">
        <v>55</v>
      </c>
      <c r="C370" s="13"/>
      <c r="D370" s="102"/>
      <c r="E370" s="11"/>
      <c r="F370" s="102"/>
      <c r="G370" s="102"/>
      <c r="H370" s="102"/>
      <c r="I370" s="102"/>
      <c r="J370" s="102"/>
    </row>
    <row r="371" spans="1:10" ht="15.6" x14ac:dyDescent="0.3">
      <c r="A371" s="12"/>
      <c r="B371" s="134" t="s">
        <v>260</v>
      </c>
      <c r="C371" s="13"/>
      <c r="D371" s="67"/>
      <c r="E371" s="11"/>
      <c r="F371" s="102"/>
      <c r="G371" s="102"/>
      <c r="H371" s="102"/>
      <c r="I371" s="102"/>
      <c r="J371" s="102"/>
    </row>
    <row r="372" spans="1:10" ht="15.6" x14ac:dyDescent="0.3">
      <c r="A372" s="12"/>
      <c r="B372" s="67"/>
      <c r="C372" s="13"/>
      <c r="D372" s="67"/>
      <c r="E372" s="11"/>
      <c r="F372" s="102"/>
      <c r="G372" s="102"/>
      <c r="H372" s="102"/>
      <c r="I372" s="102"/>
      <c r="J372" s="102"/>
    </row>
    <row r="373" spans="1:10" ht="16.2" x14ac:dyDescent="0.35">
      <c r="A373" s="12"/>
      <c r="B373" s="109" t="s">
        <v>261</v>
      </c>
      <c r="C373" s="13"/>
      <c r="D373" s="67"/>
      <c r="E373" s="11"/>
      <c r="F373" s="102"/>
      <c r="G373" s="102"/>
      <c r="H373" s="102"/>
      <c r="I373" s="102"/>
      <c r="J373" s="102"/>
    </row>
    <row r="374" spans="1:10" ht="16.2" x14ac:dyDescent="0.35">
      <c r="A374" s="12" t="s">
        <v>9</v>
      </c>
      <c r="B374" s="239">
        <f>B359-B369</f>
        <v>301.69244000000009</v>
      </c>
      <c r="C374" s="13"/>
      <c r="D374" s="67"/>
      <c r="E374" s="11"/>
      <c r="F374" s="102"/>
      <c r="G374" s="102"/>
      <c r="H374" s="102"/>
      <c r="I374" s="102"/>
      <c r="J374" s="102"/>
    </row>
    <row r="375" spans="1:10" ht="15.6" x14ac:dyDescent="0.3">
      <c r="A375" s="12"/>
      <c r="B375" s="104" t="s">
        <v>55</v>
      </c>
      <c r="C375" s="13"/>
      <c r="D375" s="102"/>
      <c r="E375" s="11"/>
      <c r="F375" s="102"/>
      <c r="G375" s="102"/>
      <c r="H375" s="102"/>
      <c r="I375" s="102"/>
      <c r="J375" s="102"/>
    </row>
    <row r="376" spans="1:10" ht="15.6" x14ac:dyDescent="0.3">
      <c r="A376" s="12"/>
      <c r="B376" s="134" t="s">
        <v>501</v>
      </c>
      <c r="C376" s="13"/>
      <c r="D376" s="67"/>
      <c r="E376" s="11"/>
      <c r="F376" s="102"/>
      <c r="G376" s="102"/>
      <c r="H376" s="102"/>
      <c r="I376" s="102"/>
      <c r="J376" s="102"/>
    </row>
    <row r="377" spans="1:10" ht="15.6" x14ac:dyDescent="0.3">
      <c r="A377" s="12"/>
      <c r="B377" s="134"/>
      <c r="C377" s="13"/>
      <c r="D377" s="67"/>
      <c r="E377" s="11"/>
      <c r="F377" s="102"/>
      <c r="G377" s="102"/>
      <c r="H377" s="102"/>
      <c r="I377" s="102"/>
      <c r="J377" s="102"/>
    </row>
    <row r="378" spans="1:10" ht="16.2" x14ac:dyDescent="0.35">
      <c r="A378" s="8"/>
      <c r="B378" s="178" t="s">
        <v>104</v>
      </c>
      <c r="C378" s="245"/>
      <c r="D378" s="102"/>
      <c r="E378" s="102"/>
      <c r="F378" s="102"/>
      <c r="G378" s="102"/>
      <c r="H378" s="102"/>
      <c r="I378" s="102"/>
      <c r="J378" s="102"/>
    </row>
    <row r="379" spans="1:10" ht="15.6" x14ac:dyDescent="0.3">
      <c r="A379" s="8"/>
      <c r="B379" s="104" t="s">
        <v>112</v>
      </c>
      <c r="C379" s="102"/>
      <c r="D379" s="102"/>
      <c r="E379" s="102"/>
      <c r="F379" s="102"/>
      <c r="G379" s="102"/>
      <c r="H379" s="102"/>
      <c r="I379" s="102"/>
      <c r="J379" s="102"/>
    </row>
    <row r="380" spans="1:10" ht="15.6" x14ac:dyDescent="0.3">
      <c r="A380" s="8" t="s">
        <v>9</v>
      </c>
      <c r="B380" s="16">
        <v>8.7200000000000006</v>
      </c>
      <c r="C380" s="102" t="s">
        <v>106</v>
      </c>
      <c r="D380" s="102"/>
      <c r="E380" s="102"/>
      <c r="F380" s="102"/>
      <c r="G380" s="102"/>
      <c r="H380" s="102"/>
      <c r="I380" s="102"/>
      <c r="J380" s="102"/>
    </row>
    <row r="381" spans="1:10" ht="15.6" x14ac:dyDescent="0.3">
      <c r="A381" s="8" t="s">
        <v>9</v>
      </c>
      <c r="B381" s="16">
        <v>6.87</v>
      </c>
      <c r="C381" s="102" t="s">
        <v>96</v>
      </c>
      <c r="D381" s="102"/>
      <c r="E381" s="102"/>
      <c r="F381" s="102"/>
      <c r="G381" s="102"/>
      <c r="H381" s="102"/>
      <c r="I381" s="102"/>
      <c r="J381" s="102"/>
    </row>
    <row r="382" spans="1:10" ht="15.6" x14ac:dyDescent="0.3">
      <c r="A382" s="8" t="s">
        <v>9</v>
      </c>
      <c r="B382" s="16">
        <v>106.47</v>
      </c>
      <c r="C382" s="102" t="s">
        <v>107</v>
      </c>
      <c r="D382" s="102"/>
      <c r="E382" s="102"/>
      <c r="F382" s="102"/>
      <c r="G382" s="102"/>
      <c r="H382" s="102"/>
      <c r="I382" s="102"/>
      <c r="J382" s="102"/>
    </row>
    <row r="383" spans="1:10" ht="15.6" x14ac:dyDescent="0.3">
      <c r="A383" s="8" t="s">
        <v>9</v>
      </c>
      <c r="B383" s="16">
        <v>6.12</v>
      </c>
      <c r="C383" s="102" t="s">
        <v>102</v>
      </c>
      <c r="D383" s="102"/>
      <c r="E383" s="102"/>
      <c r="F383" s="102"/>
      <c r="G383" s="102"/>
      <c r="H383" s="102"/>
      <c r="I383" s="102"/>
      <c r="J383" s="102"/>
    </row>
    <row r="384" spans="1:10" ht="15.6" x14ac:dyDescent="0.3">
      <c r="A384" s="8" t="s">
        <v>9</v>
      </c>
      <c r="B384" s="16">
        <v>15.9</v>
      </c>
      <c r="C384" s="102" t="s">
        <v>108</v>
      </c>
      <c r="D384" s="102"/>
      <c r="E384" s="102"/>
      <c r="F384" s="102"/>
      <c r="G384" s="102"/>
      <c r="H384" s="102"/>
      <c r="I384" s="102"/>
      <c r="J384" s="102"/>
    </row>
    <row r="385" spans="1:10" ht="15.6" x14ac:dyDescent="0.3">
      <c r="A385" s="8" t="s">
        <v>9</v>
      </c>
      <c r="B385" s="16">
        <v>5.4</v>
      </c>
      <c r="C385" s="102" t="s">
        <v>96</v>
      </c>
      <c r="D385" s="102"/>
      <c r="E385" s="102"/>
      <c r="F385" s="102"/>
      <c r="G385" s="102"/>
      <c r="H385" s="114"/>
      <c r="I385" s="102"/>
      <c r="J385" s="102"/>
    </row>
    <row r="386" spans="1:10" ht="15.6" x14ac:dyDescent="0.3">
      <c r="A386" s="8" t="s">
        <v>9</v>
      </c>
      <c r="B386" s="16">
        <v>1.65</v>
      </c>
      <c r="C386" s="102" t="s">
        <v>109</v>
      </c>
      <c r="D386" s="102"/>
      <c r="E386" s="102"/>
      <c r="F386" s="102"/>
      <c r="G386" s="102"/>
      <c r="H386" s="102"/>
      <c r="I386" s="102"/>
      <c r="J386" s="102"/>
    </row>
    <row r="387" spans="1:10" ht="15.6" x14ac:dyDescent="0.3">
      <c r="A387" s="8" t="s">
        <v>9</v>
      </c>
      <c r="B387" s="16">
        <v>4.42</v>
      </c>
      <c r="C387" s="102" t="s">
        <v>96</v>
      </c>
      <c r="D387" s="102"/>
      <c r="E387" s="102"/>
      <c r="F387" s="102"/>
      <c r="G387" s="102"/>
      <c r="H387" s="102"/>
      <c r="I387" s="102"/>
      <c r="J387" s="102"/>
    </row>
    <row r="388" spans="1:10" ht="15.6" x14ac:dyDescent="0.3">
      <c r="A388" s="8" t="s">
        <v>9</v>
      </c>
      <c r="B388" s="16">
        <v>27.57</v>
      </c>
      <c r="C388" s="102" t="s">
        <v>110</v>
      </c>
      <c r="D388" s="102"/>
      <c r="E388" s="102"/>
      <c r="F388" s="102"/>
      <c r="G388" s="102"/>
      <c r="H388" s="102"/>
      <c r="I388" s="102"/>
      <c r="J388" s="102"/>
    </row>
    <row r="389" spans="1:10" ht="15.6" x14ac:dyDescent="0.3">
      <c r="A389" s="8" t="s">
        <v>9</v>
      </c>
      <c r="B389" s="16">
        <v>4.78</v>
      </c>
      <c r="C389" s="102" t="s">
        <v>96</v>
      </c>
      <c r="D389" s="102"/>
      <c r="E389" s="102"/>
      <c r="F389" s="102"/>
      <c r="G389" s="102"/>
      <c r="H389" s="102"/>
      <c r="I389" s="102"/>
      <c r="J389" s="102"/>
    </row>
    <row r="390" spans="1:10" ht="15.6" x14ac:dyDescent="0.3">
      <c r="A390" s="8" t="s">
        <v>9</v>
      </c>
      <c r="B390" s="16">
        <v>30</v>
      </c>
      <c r="C390" s="102" t="s">
        <v>218</v>
      </c>
      <c r="D390" s="102"/>
      <c r="E390" s="102"/>
      <c r="F390" s="102"/>
      <c r="G390" s="102"/>
      <c r="H390" s="102"/>
      <c r="I390" s="102"/>
      <c r="J390" s="102"/>
    </row>
    <row r="391" spans="1:10" ht="15.6" x14ac:dyDescent="0.3">
      <c r="A391" s="8" t="s">
        <v>9</v>
      </c>
      <c r="B391" s="100">
        <f>((B380*B381)+(B382*B383)+(B384*B385)+(B386*B387)+(B388*B389))*B390%</f>
        <v>280.93212</v>
      </c>
      <c r="C391" s="102"/>
      <c r="D391" s="102"/>
      <c r="E391" s="102"/>
      <c r="F391" s="102"/>
      <c r="G391" s="102"/>
      <c r="H391" s="102"/>
      <c r="I391" s="102"/>
      <c r="J391" s="102"/>
    </row>
    <row r="392" spans="1:10" ht="15.6" x14ac:dyDescent="0.3">
      <c r="A392" s="12"/>
      <c r="B392" s="104" t="s">
        <v>55</v>
      </c>
      <c r="C392" s="13"/>
      <c r="D392" s="102"/>
      <c r="E392" s="11"/>
      <c r="F392" s="102"/>
      <c r="G392" s="102"/>
      <c r="H392" s="102"/>
      <c r="I392" s="102"/>
      <c r="J392" s="102"/>
    </row>
    <row r="393" spans="1:10" ht="15.6" x14ac:dyDescent="0.3">
      <c r="A393" s="8"/>
      <c r="B393" s="16"/>
      <c r="C393" s="67" t="s">
        <v>503</v>
      </c>
      <c r="D393" s="102"/>
      <c r="E393" s="102"/>
      <c r="F393" s="102"/>
      <c r="G393" s="102"/>
      <c r="H393" s="102"/>
      <c r="I393" s="102"/>
      <c r="J393" s="102"/>
    </row>
    <row r="394" spans="1:10" ht="15.6" x14ac:dyDescent="0.3">
      <c r="A394" s="12"/>
      <c r="B394" s="104" t="s">
        <v>111</v>
      </c>
      <c r="C394" s="13"/>
      <c r="D394" s="67"/>
      <c r="E394" s="11"/>
      <c r="F394" s="102"/>
      <c r="G394" s="102"/>
      <c r="H394" s="102"/>
      <c r="I394" s="102"/>
      <c r="J394" s="102"/>
    </row>
    <row r="395" spans="1:10" ht="15.6" x14ac:dyDescent="0.3">
      <c r="A395" s="8" t="s">
        <v>9</v>
      </c>
      <c r="B395" s="16">
        <v>1</v>
      </c>
      <c r="C395" s="102" t="s">
        <v>258</v>
      </c>
      <c r="D395" s="102"/>
      <c r="E395" s="102"/>
      <c r="F395" s="102"/>
      <c r="G395" s="102"/>
      <c r="H395" s="102"/>
      <c r="I395" s="102"/>
      <c r="J395" s="102"/>
    </row>
    <row r="396" spans="1:10" ht="15.6" x14ac:dyDescent="0.3">
      <c r="A396" s="8" t="s">
        <v>9</v>
      </c>
      <c r="B396" s="16">
        <v>1.7</v>
      </c>
      <c r="C396" s="102" t="s">
        <v>262</v>
      </c>
      <c r="D396" s="102"/>
      <c r="E396" s="102"/>
      <c r="F396" s="102"/>
      <c r="G396" s="102"/>
      <c r="H396" s="102"/>
      <c r="I396" s="102"/>
      <c r="J396" s="102"/>
    </row>
    <row r="397" spans="1:10" ht="15.6" x14ac:dyDescent="0.3">
      <c r="A397" s="8" t="s">
        <v>9</v>
      </c>
      <c r="B397" s="16">
        <v>5</v>
      </c>
      <c r="C397" s="102" t="s">
        <v>263</v>
      </c>
      <c r="D397" s="102"/>
      <c r="E397" s="102"/>
      <c r="F397" s="102"/>
      <c r="G397" s="102"/>
      <c r="H397" s="102"/>
      <c r="I397" s="102"/>
      <c r="J397" s="102"/>
    </row>
    <row r="398" spans="1:10" ht="15.6" x14ac:dyDescent="0.3">
      <c r="A398" s="8" t="s">
        <v>9</v>
      </c>
      <c r="B398" s="16">
        <v>8.4</v>
      </c>
      <c r="C398" s="102" t="s">
        <v>264</v>
      </c>
      <c r="D398" s="102"/>
      <c r="E398" s="102"/>
      <c r="F398" s="102"/>
      <c r="G398" s="102"/>
      <c r="H398" s="102"/>
      <c r="I398" s="102"/>
      <c r="J398" s="102"/>
    </row>
    <row r="399" spans="1:10" ht="15.6" x14ac:dyDescent="0.3">
      <c r="A399" s="8" t="s">
        <v>9</v>
      </c>
      <c r="B399" s="16">
        <f>4*4.5</f>
        <v>18</v>
      </c>
      <c r="C399" s="102" t="s">
        <v>266</v>
      </c>
      <c r="D399" s="102"/>
      <c r="E399" s="102"/>
      <c r="F399" s="102"/>
      <c r="G399" s="102"/>
      <c r="H399" s="102"/>
      <c r="I399" s="102"/>
      <c r="J399" s="102"/>
    </row>
    <row r="400" spans="1:10" ht="15.6" x14ac:dyDescent="0.3">
      <c r="A400" s="8" t="s">
        <v>9</v>
      </c>
      <c r="B400" s="100">
        <f>B395*2+B396+B397*2+B398+B399*2</f>
        <v>58.1</v>
      </c>
      <c r="C400" s="102"/>
      <c r="D400" s="102"/>
      <c r="E400" s="102"/>
      <c r="F400" s="102"/>
      <c r="G400" s="102"/>
      <c r="H400" s="102"/>
      <c r="I400" s="102"/>
      <c r="J400" s="102"/>
    </row>
    <row r="401" spans="1:10" ht="15.6" x14ac:dyDescent="0.3">
      <c r="A401" s="8"/>
      <c r="B401" s="104" t="s">
        <v>55</v>
      </c>
      <c r="C401" s="102"/>
      <c r="D401" s="67" t="s">
        <v>265</v>
      </c>
      <c r="E401" s="102"/>
      <c r="F401" s="102"/>
      <c r="G401" s="102"/>
      <c r="H401" s="102"/>
      <c r="I401" s="102"/>
      <c r="J401" s="102"/>
    </row>
    <row r="402" spans="1:10" ht="15.6" x14ac:dyDescent="0.3">
      <c r="A402" s="8"/>
      <c r="B402" s="16"/>
      <c r="C402" s="102"/>
      <c r="D402" s="102"/>
      <c r="E402" s="102"/>
      <c r="F402" s="102"/>
      <c r="G402" s="102"/>
      <c r="H402" s="102"/>
      <c r="I402" s="102"/>
      <c r="J402" s="102"/>
    </row>
    <row r="403" spans="1:10" ht="16.2" x14ac:dyDescent="0.35">
      <c r="A403" s="8"/>
      <c r="B403" s="109" t="s">
        <v>267</v>
      </c>
      <c r="C403" s="102"/>
      <c r="D403" s="102"/>
      <c r="E403" s="102"/>
      <c r="F403" s="102"/>
      <c r="G403" s="102"/>
      <c r="H403" s="102"/>
      <c r="I403" s="102"/>
      <c r="J403" s="102"/>
    </row>
    <row r="404" spans="1:10" ht="15.6" x14ac:dyDescent="0.3">
      <c r="A404" s="8" t="s">
        <v>9</v>
      </c>
      <c r="B404" s="240">
        <f>B391-B400</f>
        <v>222.83212</v>
      </c>
      <c r="C404" s="102"/>
      <c r="D404" s="102"/>
      <c r="E404" s="102"/>
      <c r="F404" s="102"/>
      <c r="G404" s="102"/>
      <c r="H404" s="102"/>
      <c r="I404" s="102"/>
      <c r="J404" s="102"/>
    </row>
    <row r="405" spans="1:10" ht="15.6" x14ac:dyDescent="0.3">
      <c r="A405" s="8"/>
      <c r="B405" s="104" t="s">
        <v>55</v>
      </c>
      <c r="C405" s="13"/>
      <c r="D405" s="102"/>
      <c r="E405" s="102"/>
      <c r="F405" s="102"/>
      <c r="G405" s="102"/>
      <c r="H405" s="102"/>
      <c r="I405" s="102"/>
      <c r="J405" s="102"/>
    </row>
    <row r="406" spans="1:10" ht="15.6" x14ac:dyDescent="0.3">
      <c r="A406" s="8"/>
      <c r="B406" s="134" t="s">
        <v>504</v>
      </c>
      <c r="C406" s="13"/>
      <c r="D406" s="102"/>
      <c r="E406" s="102"/>
      <c r="F406" s="102"/>
      <c r="G406" s="102"/>
      <c r="H406" s="102"/>
      <c r="I406" s="102"/>
      <c r="J406" s="102"/>
    </row>
    <row r="407" spans="1:10" ht="15.6" x14ac:dyDescent="0.3">
      <c r="A407" s="8"/>
      <c r="B407" s="16"/>
      <c r="C407" s="102"/>
      <c r="D407" s="102"/>
      <c r="E407" s="102"/>
      <c r="F407" s="102"/>
      <c r="G407" s="102"/>
      <c r="H407" s="102"/>
      <c r="I407" s="102"/>
      <c r="J407" s="102"/>
    </row>
    <row r="408" spans="1:10" ht="16.2" x14ac:dyDescent="0.35">
      <c r="A408" s="8"/>
      <c r="B408" s="178" t="s">
        <v>105</v>
      </c>
      <c r="C408" s="102"/>
      <c r="D408" s="102"/>
      <c r="E408" s="102"/>
      <c r="F408" s="102"/>
      <c r="G408" s="102"/>
      <c r="H408" s="102"/>
      <c r="I408" s="102"/>
      <c r="J408" s="102"/>
    </row>
    <row r="409" spans="1:10" ht="16.2" x14ac:dyDescent="0.35">
      <c r="A409" s="8"/>
      <c r="B409" s="109" t="s">
        <v>112</v>
      </c>
      <c r="C409" s="102"/>
      <c r="D409" s="102"/>
      <c r="E409" s="102"/>
      <c r="F409" s="102"/>
      <c r="G409" s="102"/>
      <c r="H409" s="102"/>
      <c r="I409" s="102"/>
      <c r="J409" s="102"/>
    </row>
    <row r="410" spans="1:10" ht="15.6" x14ac:dyDescent="0.3">
      <c r="A410" s="8" t="s">
        <v>9</v>
      </c>
      <c r="B410" s="16">
        <v>18.11</v>
      </c>
      <c r="C410" s="102" t="s">
        <v>106</v>
      </c>
      <c r="D410" s="102"/>
      <c r="E410" s="102"/>
      <c r="F410" s="102"/>
      <c r="G410" s="102"/>
      <c r="H410" s="102"/>
      <c r="I410" s="102"/>
      <c r="J410" s="102"/>
    </row>
    <row r="411" spans="1:10" ht="15.6" x14ac:dyDescent="0.3">
      <c r="A411" s="8" t="s">
        <v>9</v>
      </c>
      <c r="B411" s="16">
        <v>4.45</v>
      </c>
      <c r="C411" s="102" t="s">
        <v>96</v>
      </c>
      <c r="D411" s="102"/>
      <c r="E411" s="102"/>
      <c r="F411" s="102"/>
      <c r="G411" s="102"/>
      <c r="H411" s="102"/>
      <c r="I411" s="114"/>
      <c r="J411" s="102"/>
    </row>
    <row r="412" spans="1:10" ht="15.6" x14ac:dyDescent="0.3">
      <c r="A412" s="8" t="s">
        <v>9</v>
      </c>
      <c r="B412" s="16">
        <v>100.52</v>
      </c>
      <c r="C412" s="102" t="s">
        <v>107</v>
      </c>
      <c r="D412" s="102"/>
      <c r="E412" s="102"/>
      <c r="F412" s="102"/>
      <c r="G412" s="102"/>
      <c r="H412" s="102"/>
      <c r="I412" s="102"/>
      <c r="J412" s="102"/>
    </row>
    <row r="413" spans="1:10" ht="15.6" x14ac:dyDescent="0.3">
      <c r="A413" s="8" t="s">
        <v>9</v>
      </c>
      <c r="B413" s="16">
        <v>5.07</v>
      </c>
      <c r="C413" s="102" t="s">
        <v>96</v>
      </c>
      <c r="D413" s="102"/>
      <c r="E413" s="102"/>
      <c r="F413" s="102"/>
      <c r="G413" s="102"/>
      <c r="H413" s="102"/>
      <c r="I413" s="102"/>
      <c r="J413" s="102"/>
    </row>
    <row r="414" spans="1:10" ht="15.6" x14ac:dyDescent="0.3">
      <c r="A414" s="8" t="s">
        <v>9</v>
      </c>
      <c r="B414" s="16">
        <v>4.3499999999999996</v>
      </c>
      <c r="C414" s="102" t="s">
        <v>108</v>
      </c>
      <c r="D414" s="102"/>
      <c r="E414" s="102"/>
      <c r="F414" s="102"/>
      <c r="G414" s="102"/>
      <c r="H414" s="102"/>
      <c r="I414" s="102"/>
      <c r="J414" s="102"/>
    </row>
    <row r="415" spans="1:10" ht="15.6" x14ac:dyDescent="0.3">
      <c r="A415" s="8" t="s">
        <v>9</v>
      </c>
      <c r="B415" s="16">
        <v>5.64</v>
      </c>
      <c r="C415" s="102" t="s">
        <v>96</v>
      </c>
      <c r="D415" s="102"/>
      <c r="E415" s="102"/>
      <c r="F415" s="102"/>
      <c r="G415" s="102"/>
      <c r="H415" s="102"/>
      <c r="I415" s="102"/>
      <c r="J415" s="102"/>
    </row>
    <row r="416" spans="1:10" ht="15.6" x14ac:dyDescent="0.3">
      <c r="A416" s="8" t="s">
        <v>9</v>
      </c>
      <c r="B416" s="16">
        <v>36.64</v>
      </c>
      <c r="C416" s="102" t="s">
        <v>109</v>
      </c>
      <c r="D416" s="102"/>
      <c r="E416" s="102"/>
      <c r="F416" s="102"/>
      <c r="G416" s="102"/>
      <c r="H416" s="102"/>
      <c r="I416" s="102"/>
      <c r="J416" s="102"/>
    </row>
    <row r="417" spans="1:10" ht="15.6" x14ac:dyDescent="0.3">
      <c r="A417" s="8" t="s">
        <v>9</v>
      </c>
      <c r="B417" s="16">
        <v>5.49</v>
      </c>
      <c r="C417" s="102" t="s">
        <v>96</v>
      </c>
      <c r="D417" s="102"/>
      <c r="E417" s="102"/>
      <c r="F417" s="102"/>
      <c r="G417" s="102"/>
      <c r="H417" s="102"/>
      <c r="I417" s="102"/>
      <c r="J417" s="102"/>
    </row>
    <row r="418" spans="1:10" ht="15.6" x14ac:dyDescent="0.3">
      <c r="A418" s="8" t="s">
        <v>9</v>
      </c>
      <c r="B418" s="16">
        <v>30</v>
      </c>
      <c r="C418" s="102" t="s">
        <v>218</v>
      </c>
      <c r="D418" s="102"/>
      <c r="E418" s="102"/>
      <c r="F418" s="102"/>
      <c r="G418" s="102"/>
      <c r="H418" s="102"/>
      <c r="I418" s="102"/>
      <c r="J418" s="102"/>
    </row>
    <row r="419" spans="1:10" ht="15.6" x14ac:dyDescent="0.3">
      <c r="A419" s="8" t="s">
        <v>9</v>
      </c>
      <c r="B419" s="100">
        <f>((B410*B411)+(B412*B413)+(B414*B415)+(B416*B417))*B418%</f>
        <v>244.77404999999999</v>
      </c>
      <c r="C419" s="102"/>
      <c r="D419" s="102"/>
      <c r="E419" s="102"/>
      <c r="F419" s="102"/>
      <c r="G419" s="102"/>
      <c r="H419" s="102"/>
      <c r="I419" s="102"/>
      <c r="J419" s="102"/>
    </row>
    <row r="420" spans="1:10" ht="15.6" x14ac:dyDescent="0.3">
      <c r="A420" s="12"/>
      <c r="B420" s="104" t="s">
        <v>55</v>
      </c>
      <c r="C420" s="13"/>
      <c r="D420" s="67" t="s">
        <v>502</v>
      </c>
      <c r="E420" s="11"/>
      <c r="F420" s="102"/>
      <c r="G420" s="102"/>
      <c r="H420" s="102"/>
      <c r="I420" s="102"/>
      <c r="J420" s="102"/>
    </row>
    <row r="421" spans="1:10" ht="15.6" x14ac:dyDescent="0.3">
      <c r="A421" s="8"/>
      <c r="B421" s="16"/>
      <c r="C421" s="102"/>
      <c r="D421" s="102"/>
      <c r="E421" s="102"/>
      <c r="F421" s="102"/>
      <c r="G421" s="102"/>
      <c r="H421" s="102"/>
      <c r="I421" s="102"/>
      <c r="J421" s="102"/>
    </row>
    <row r="422" spans="1:10" ht="16.2" x14ac:dyDescent="0.35">
      <c r="A422" s="12"/>
      <c r="B422" s="109" t="s">
        <v>111</v>
      </c>
      <c r="C422" s="13"/>
      <c r="D422" s="67"/>
      <c r="E422" s="11"/>
      <c r="F422" s="102"/>
      <c r="G422" s="102"/>
      <c r="H422" s="102"/>
      <c r="I422" s="102"/>
      <c r="J422" s="102"/>
    </row>
    <row r="423" spans="1:10" ht="15.6" x14ac:dyDescent="0.3">
      <c r="A423" s="8" t="s">
        <v>9</v>
      </c>
      <c r="B423" s="16">
        <v>11.84</v>
      </c>
      <c r="C423" s="102" t="s">
        <v>113</v>
      </c>
      <c r="D423" s="102"/>
      <c r="E423" s="102"/>
      <c r="F423" s="102"/>
      <c r="G423" s="102"/>
      <c r="H423" s="102"/>
      <c r="I423" s="102"/>
      <c r="J423" s="102"/>
    </row>
    <row r="424" spans="1:10" ht="15.6" x14ac:dyDescent="0.3">
      <c r="A424" s="8" t="s">
        <v>9</v>
      </c>
      <c r="B424" s="16">
        <f>4*4.5</f>
        <v>18</v>
      </c>
      <c r="C424" s="102" t="s">
        <v>266</v>
      </c>
      <c r="D424" s="102"/>
      <c r="E424" s="102"/>
      <c r="F424" s="102"/>
      <c r="G424" s="102"/>
      <c r="H424" s="102"/>
      <c r="I424" s="102"/>
      <c r="J424" s="102"/>
    </row>
    <row r="425" spans="1:10" ht="15.6" x14ac:dyDescent="0.3">
      <c r="A425" s="8" t="s">
        <v>9</v>
      </c>
      <c r="B425" s="16">
        <v>6.3</v>
      </c>
      <c r="C425" s="102" t="s">
        <v>114</v>
      </c>
      <c r="D425" s="102"/>
      <c r="E425" s="102"/>
      <c r="F425" s="102"/>
      <c r="G425" s="102"/>
      <c r="H425" s="102"/>
      <c r="I425" s="102"/>
      <c r="J425" s="102"/>
    </row>
    <row r="426" spans="1:10" ht="15.6" x14ac:dyDescent="0.3">
      <c r="A426" s="8" t="s">
        <v>9</v>
      </c>
      <c r="B426" s="100">
        <f>B423+B424*2+B425</f>
        <v>54.14</v>
      </c>
      <c r="C426" s="102"/>
      <c r="D426" s="102"/>
      <c r="E426" s="102"/>
      <c r="F426" s="102"/>
      <c r="G426" s="102"/>
      <c r="H426" s="102"/>
      <c r="I426" s="102"/>
      <c r="J426" s="102"/>
    </row>
    <row r="427" spans="1:10" ht="15.6" x14ac:dyDescent="0.3">
      <c r="A427" s="12"/>
      <c r="B427" s="104" t="s">
        <v>55</v>
      </c>
      <c r="C427" s="13"/>
      <c r="D427" s="67" t="s">
        <v>268</v>
      </c>
      <c r="E427" s="11"/>
      <c r="F427" s="102"/>
      <c r="G427" s="102"/>
      <c r="H427" s="102"/>
      <c r="I427" s="102"/>
      <c r="J427" s="102"/>
    </row>
    <row r="428" spans="1:10" ht="15.6" x14ac:dyDescent="0.3">
      <c r="A428" s="8"/>
      <c r="B428" s="16"/>
      <c r="C428" s="102"/>
      <c r="D428" s="102"/>
      <c r="E428" s="102"/>
      <c r="F428" s="102"/>
      <c r="G428" s="102"/>
      <c r="H428" s="102"/>
      <c r="I428" s="102"/>
      <c r="J428" s="102"/>
    </row>
    <row r="429" spans="1:10" ht="16.2" x14ac:dyDescent="0.35">
      <c r="A429" s="8"/>
      <c r="B429" s="109" t="s">
        <v>269</v>
      </c>
      <c r="C429" s="102"/>
      <c r="D429" s="102"/>
      <c r="E429" s="102"/>
      <c r="F429" s="102"/>
      <c r="G429" s="102"/>
      <c r="H429" s="102"/>
      <c r="I429" s="102"/>
      <c r="J429" s="102"/>
    </row>
    <row r="430" spans="1:10" ht="15.6" x14ac:dyDescent="0.3">
      <c r="A430" s="8" t="s">
        <v>9</v>
      </c>
      <c r="B430" s="240">
        <f>B419-B426</f>
        <v>190.63405</v>
      </c>
      <c r="C430" s="102"/>
      <c r="D430" s="102"/>
      <c r="E430" s="102"/>
      <c r="F430" s="102"/>
      <c r="G430" s="102"/>
      <c r="H430" s="102"/>
      <c r="I430" s="102"/>
      <c r="J430" s="102"/>
    </row>
    <row r="431" spans="1:10" ht="15.6" x14ac:dyDescent="0.3">
      <c r="A431" s="8"/>
      <c r="B431" s="104" t="s">
        <v>55</v>
      </c>
      <c r="C431" s="13"/>
      <c r="D431" s="102"/>
      <c r="E431" s="102"/>
      <c r="F431" s="102"/>
      <c r="G431" s="102"/>
      <c r="H431" s="102"/>
      <c r="I431" s="102"/>
      <c r="J431" s="102"/>
    </row>
    <row r="432" spans="1:10" ht="15.6" x14ac:dyDescent="0.3">
      <c r="A432" s="8"/>
      <c r="B432" s="134" t="s">
        <v>505</v>
      </c>
      <c r="C432" s="13"/>
      <c r="D432" s="102"/>
      <c r="E432" s="102"/>
      <c r="F432" s="102"/>
      <c r="G432" s="102"/>
      <c r="H432" s="102"/>
      <c r="I432" s="102"/>
      <c r="J432" s="102"/>
    </row>
    <row r="433" spans="1:10" ht="15.6" x14ac:dyDescent="0.3">
      <c r="A433" s="8"/>
      <c r="B433" s="16"/>
      <c r="C433" s="102"/>
      <c r="D433" s="102"/>
      <c r="E433" s="102"/>
      <c r="F433" s="102"/>
      <c r="G433" s="102"/>
      <c r="H433" s="102"/>
      <c r="I433" s="102"/>
      <c r="J433" s="102"/>
    </row>
    <row r="434" spans="1:10" ht="16.2" x14ac:dyDescent="0.35">
      <c r="A434" s="8"/>
      <c r="B434" s="109" t="s">
        <v>270</v>
      </c>
      <c r="C434" s="102"/>
      <c r="D434" s="102"/>
      <c r="E434" s="102"/>
      <c r="F434" s="102"/>
      <c r="G434" s="102"/>
      <c r="H434" s="102"/>
      <c r="I434" s="102"/>
      <c r="J434" s="102"/>
    </row>
    <row r="435" spans="1:10" ht="15.6" x14ac:dyDescent="0.3">
      <c r="A435" s="8" t="s">
        <v>9</v>
      </c>
      <c r="B435" s="241">
        <f>B430+B404+B374</f>
        <v>715.15861000000018</v>
      </c>
      <c r="C435" s="241"/>
      <c r="D435" s="241"/>
      <c r="E435" s="241"/>
      <c r="F435" s="241"/>
      <c r="G435" s="102"/>
      <c r="H435" s="102"/>
      <c r="I435" s="102"/>
      <c r="J435" s="102"/>
    </row>
    <row r="436" spans="1:10" ht="15.6" x14ac:dyDescent="0.3">
      <c r="A436" s="8"/>
      <c r="B436" s="16"/>
      <c r="C436" s="102"/>
      <c r="D436" s="102"/>
      <c r="E436" s="102"/>
      <c r="F436" s="102"/>
      <c r="G436" s="102"/>
      <c r="H436" s="102"/>
      <c r="I436" s="102"/>
      <c r="J436" s="102"/>
    </row>
    <row r="437" spans="1:10" ht="15.6" x14ac:dyDescent="0.3">
      <c r="A437" s="8"/>
      <c r="B437" s="100" t="s">
        <v>115</v>
      </c>
      <c r="C437" s="102"/>
      <c r="D437" s="102"/>
      <c r="E437" s="102"/>
      <c r="F437" s="102"/>
      <c r="G437" s="102"/>
      <c r="H437" s="102"/>
      <c r="I437" s="102"/>
      <c r="J437" s="102"/>
    </row>
    <row r="438" spans="1:10" ht="15.6" x14ac:dyDescent="0.3">
      <c r="A438" s="8"/>
      <c r="B438" s="16"/>
      <c r="C438" s="102"/>
      <c r="D438" s="102"/>
      <c r="E438" s="102"/>
      <c r="F438" s="102"/>
      <c r="G438" s="102"/>
      <c r="H438" s="102"/>
      <c r="I438" s="102"/>
      <c r="J438" s="102"/>
    </row>
    <row r="439" spans="1:10" ht="15.6" x14ac:dyDescent="0.3">
      <c r="A439" s="8"/>
      <c r="B439" s="16" t="s">
        <v>116</v>
      </c>
      <c r="C439" s="102"/>
      <c r="D439" s="102"/>
      <c r="E439" s="102"/>
      <c r="F439" s="102"/>
      <c r="G439" s="102"/>
      <c r="H439" s="102"/>
      <c r="I439" s="102"/>
      <c r="J439" s="102"/>
    </row>
    <row r="440" spans="1:10" ht="15.6" x14ac:dyDescent="0.3">
      <c r="A440" s="8" t="s">
        <v>9</v>
      </c>
      <c r="B440" s="16">
        <v>7</v>
      </c>
      <c r="C440" s="102" t="s">
        <v>117</v>
      </c>
      <c r="D440" s="102"/>
      <c r="E440" s="102"/>
      <c r="F440" s="102"/>
      <c r="G440" s="102"/>
      <c r="H440" s="102"/>
      <c r="I440" s="102"/>
      <c r="J440" s="102"/>
    </row>
    <row r="441" spans="1:10" ht="15.6" x14ac:dyDescent="0.3">
      <c r="A441" s="8" t="s">
        <v>9</v>
      </c>
      <c r="B441" s="16">
        <v>2.6</v>
      </c>
      <c r="C441" s="102" t="s">
        <v>96</v>
      </c>
      <c r="D441" s="102"/>
      <c r="E441" s="102"/>
      <c r="F441" s="102"/>
      <c r="G441" s="102"/>
      <c r="H441" s="102"/>
      <c r="I441" s="102"/>
      <c r="J441" s="102"/>
    </row>
    <row r="442" spans="1:10" ht="15.6" x14ac:dyDescent="0.3">
      <c r="A442" s="8" t="s">
        <v>9</v>
      </c>
      <c r="B442" s="100">
        <f>B440*B441</f>
        <v>18.2</v>
      </c>
      <c r="C442" s="102"/>
      <c r="D442" s="102"/>
      <c r="E442" s="102"/>
      <c r="F442" s="102"/>
      <c r="G442" s="102"/>
      <c r="H442" s="102"/>
      <c r="I442" s="102"/>
      <c r="J442" s="102"/>
    </row>
    <row r="443" spans="1:10" ht="15.6" x14ac:dyDescent="0.3">
      <c r="A443" s="12"/>
      <c r="B443" s="104" t="s">
        <v>55</v>
      </c>
      <c r="C443" s="13"/>
      <c r="D443" s="67" t="s">
        <v>451</v>
      </c>
      <c r="E443" s="11"/>
      <c r="F443" s="102"/>
      <c r="G443" s="102"/>
      <c r="H443" s="102"/>
      <c r="I443" s="102"/>
      <c r="J443" s="102"/>
    </row>
    <row r="444" spans="1:10" ht="15.6" x14ac:dyDescent="0.3">
      <c r="A444" s="8"/>
      <c r="B444" s="16"/>
      <c r="C444" s="102"/>
      <c r="D444" s="102"/>
      <c r="E444" s="102"/>
      <c r="F444" s="102"/>
      <c r="G444" s="102"/>
      <c r="H444" s="102"/>
      <c r="I444" s="102"/>
      <c r="J444" s="102"/>
    </row>
    <row r="445" spans="1:10" ht="15.6" x14ac:dyDescent="0.3">
      <c r="A445" s="8"/>
      <c r="B445" s="16" t="s">
        <v>118</v>
      </c>
      <c r="C445" s="102"/>
      <c r="D445" s="102"/>
      <c r="E445" s="102"/>
      <c r="F445" s="102"/>
      <c r="G445" s="102"/>
      <c r="H445" s="102"/>
      <c r="I445" s="102"/>
      <c r="J445" s="102"/>
    </row>
    <row r="446" spans="1:10" ht="15.6" x14ac:dyDescent="0.3">
      <c r="A446" s="8" t="s">
        <v>9</v>
      </c>
      <c r="B446" s="16">
        <v>6</v>
      </c>
      <c r="C446" s="102" t="s">
        <v>117</v>
      </c>
      <c r="D446" s="102"/>
      <c r="E446" s="102"/>
      <c r="F446" s="102"/>
      <c r="G446" s="102"/>
      <c r="H446" s="102"/>
      <c r="I446" s="102"/>
      <c r="J446" s="102"/>
    </row>
    <row r="447" spans="1:10" ht="15.6" x14ac:dyDescent="0.3">
      <c r="A447" s="8" t="s">
        <v>9</v>
      </c>
      <c r="B447" s="16">
        <v>2.6</v>
      </c>
      <c r="C447" s="102" t="s">
        <v>96</v>
      </c>
      <c r="D447" s="102"/>
      <c r="E447" s="102"/>
      <c r="F447" s="102"/>
      <c r="G447" s="102"/>
      <c r="H447" s="102"/>
      <c r="I447" s="102"/>
      <c r="J447" s="102"/>
    </row>
    <row r="448" spans="1:10" ht="15.6" x14ac:dyDescent="0.3">
      <c r="A448" s="8" t="s">
        <v>9</v>
      </c>
      <c r="B448" s="100">
        <f>B446*B447</f>
        <v>15.600000000000001</v>
      </c>
      <c r="C448" s="102"/>
      <c r="D448" s="102"/>
      <c r="E448" s="102"/>
      <c r="F448" s="102"/>
      <c r="G448" s="102"/>
      <c r="H448" s="102"/>
      <c r="I448" s="102"/>
      <c r="J448" s="102"/>
    </row>
    <row r="449" spans="1:10" ht="15.6" x14ac:dyDescent="0.3">
      <c r="A449" s="12"/>
      <c r="B449" s="104" t="s">
        <v>55</v>
      </c>
      <c r="C449" s="13"/>
      <c r="D449" s="67" t="s">
        <v>452</v>
      </c>
      <c r="E449" s="11"/>
      <c r="F449" s="102"/>
      <c r="G449" s="102"/>
      <c r="H449" s="102"/>
      <c r="I449" s="102"/>
      <c r="J449" s="102"/>
    </row>
    <row r="450" spans="1:10" ht="15.6" x14ac:dyDescent="0.3">
      <c r="A450" s="8"/>
      <c r="B450" s="16"/>
      <c r="C450" s="102"/>
      <c r="D450" s="102"/>
      <c r="E450" s="102"/>
      <c r="F450" s="102"/>
      <c r="G450" s="102"/>
      <c r="H450" s="102"/>
      <c r="I450" s="102"/>
      <c r="J450" s="102"/>
    </row>
    <row r="451" spans="1:10" ht="15.6" x14ac:dyDescent="0.3">
      <c r="A451" s="8"/>
      <c r="B451" s="100" t="s">
        <v>271</v>
      </c>
      <c r="C451" s="116"/>
      <c r="D451" s="116"/>
      <c r="E451" s="116"/>
      <c r="F451" s="116"/>
      <c r="G451" s="116"/>
      <c r="H451" s="116"/>
      <c r="I451" s="102"/>
      <c r="J451" s="102"/>
    </row>
    <row r="452" spans="1:10" ht="15.6" x14ac:dyDescent="0.3">
      <c r="A452" s="8" t="s">
        <v>9</v>
      </c>
      <c r="B452" s="113">
        <f>B435-(B442+B448)</f>
        <v>681.35861000000023</v>
      </c>
      <c r="C452" s="102"/>
      <c r="D452" s="102"/>
      <c r="E452" s="102"/>
      <c r="F452" s="102"/>
      <c r="G452" s="102"/>
      <c r="H452" s="102"/>
      <c r="I452" s="102"/>
      <c r="J452" s="102"/>
    </row>
    <row r="453" spans="1:10" ht="15.6" x14ac:dyDescent="0.3">
      <c r="A453" s="8"/>
      <c r="B453" s="104" t="s">
        <v>55</v>
      </c>
      <c r="C453" s="13"/>
      <c r="D453" s="67" t="s">
        <v>506</v>
      </c>
      <c r="E453" s="11"/>
      <c r="F453" s="102"/>
      <c r="G453" s="102"/>
      <c r="H453" s="102"/>
      <c r="I453" s="102"/>
      <c r="J453" s="102"/>
    </row>
    <row r="454" spans="1:10" ht="15.6" x14ac:dyDescent="0.3">
      <c r="A454" s="8"/>
      <c r="B454" s="104"/>
      <c r="C454" s="13"/>
      <c r="D454" s="67"/>
      <c r="E454" s="11"/>
      <c r="F454" s="102"/>
      <c r="G454" s="102"/>
      <c r="H454" s="102"/>
      <c r="I454" s="102"/>
      <c r="J454" s="102"/>
    </row>
    <row r="455" spans="1:10" ht="15.6" x14ac:dyDescent="0.25">
      <c r="A455" s="172" t="s">
        <v>226</v>
      </c>
      <c r="B455" s="610" t="s">
        <v>579</v>
      </c>
      <c r="C455" s="610"/>
      <c r="D455" s="610"/>
      <c r="E455" s="610"/>
      <c r="F455" s="610"/>
      <c r="G455" s="610"/>
      <c r="H455" s="610"/>
      <c r="I455" s="610"/>
      <c r="J455" s="610"/>
    </row>
    <row r="456" spans="1:10" ht="15.6" x14ac:dyDescent="0.25">
      <c r="A456" s="154" t="s">
        <v>9</v>
      </c>
      <c r="B456" s="191">
        <f>B452*0.02</f>
        <v>13.627172200000004</v>
      </c>
      <c r="C456" s="200" t="s">
        <v>591</v>
      </c>
      <c r="D456" s="204"/>
      <c r="E456" s="181"/>
      <c r="F456" s="181"/>
      <c r="G456" s="181"/>
      <c r="H456" s="181"/>
      <c r="I456" s="181"/>
      <c r="J456" s="181"/>
    </row>
    <row r="457" spans="1:10" ht="15.6" x14ac:dyDescent="0.25">
      <c r="A457" s="172" t="s">
        <v>227</v>
      </c>
      <c r="B457" s="610" t="s">
        <v>530</v>
      </c>
      <c r="C457" s="610"/>
      <c r="D457" s="610"/>
      <c r="E457" s="610"/>
      <c r="F457" s="610"/>
      <c r="G457" s="610"/>
      <c r="H457" s="610"/>
      <c r="I457" s="610"/>
      <c r="J457" s="610"/>
    </row>
    <row r="458" spans="1:10" ht="15.6" x14ac:dyDescent="0.25">
      <c r="A458" s="154" t="s">
        <v>9</v>
      </c>
      <c r="B458" s="191">
        <f>B456*20</f>
        <v>272.54344400000008</v>
      </c>
      <c r="C458" s="204"/>
      <c r="D458" s="204"/>
      <c r="E458" s="181"/>
      <c r="F458" s="181"/>
      <c r="G458" s="181"/>
      <c r="H458" s="181"/>
      <c r="I458" s="181"/>
      <c r="J458" s="181"/>
    </row>
    <row r="459" spans="1:10" ht="15.6" x14ac:dyDescent="0.3">
      <c r="A459" s="154"/>
      <c r="B459" s="104" t="s">
        <v>859</v>
      </c>
      <c r="C459" s="102"/>
      <c r="D459" s="102"/>
      <c r="F459" s="181"/>
      <c r="G459" s="181"/>
      <c r="H459" s="181"/>
      <c r="I459" s="181"/>
      <c r="J459" s="181"/>
    </row>
    <row r="460" spans="1:10" ht="15.6" x14ac:dyDescent="0.3">
      <c r="A460" s="8"/>
      <c r="B460" s="104"/>
      <c r="C460" s="13"/>
      <c r="D460" s="67"/>
      <c r="E460" s="11"/>
      <c r="F460" s="102"/>
      <c r="G460" s="102"/>
      <c r="H460" s="102"/>
      <c r="I460" s="102"/>
      <c r="J460" s="102"/>
    </row>
    <row r="461" spans="1:10" ht="47.25" customHeight="1" x14ac:dyDescent="0.25">
      <c r="A461" s="172" t="s">
        <v>228</v>
      </c>
      <c r="B461" s="610" t="s">
        <v>244</v>
      </c>
      <c r="C461" s="610"/>
      <c r="D461" s="610"/>
      <c r="E461" s="610"/>
      <c r="F461" s="610"/>
      <c r="G461" s="610"/>
      <c r="H461" s="610"/>
      <c r="I461" s="610"/>
      <c r="J461" s="610"/>
    </row>
    <row r="462" spans="1:10" ht="28.5" customHeight="1" x14ac:dyDescent="0.25">
      <c r="A462" s="201" t="s">
        <v>9</v>
      </c>
      <c r="B462" s="191">
        <f>B452</f>
        <v>681.35861000000023</v>
      </c>
      <c r="C462" s="611" t="s">
        <v>219</v>
      </c>
      <c r="D462" s="611"/>
      <c r="E462" s="611"/>
      <c r="F462" s="611"/>
      <c r="G462" s="611"/>
      <c r="H462" s="611"/>
      <c r="I462" s="611"/>
      <c r="J462" s="611"/>
    </row>
    <row r="463" spans="1:10" ht="15.6" x14ac:dyDescent="0.25">
      <c r="A463" s="202"/>
      <c r="B463" s="193"/>
      <c r="C463" s="181"/>
      <c r="D463" s="181"/>
      <c r="E463" s="181"/>
      <c r="F463" s="181"/>
      <c r="G463" s="181"/>
      <c r="H463" s="181"/>
      <c r="I463" s="181"/>
      <c r="J463" s="181"/>
    </row>
    <row r="464" spans="1:10" ht="46.5" customHeight="1" x14ac:dyDescent="0.25">
      <c r="A464" s="172" t="s">
        <v>229</v>
      </c>
      <c r="B464" s="610" t="s">
        <v>245</v>
      </c>
      <c r="C464" s="610"/>
      <c r="D464" s="610"/>
      <c r="E464" s="610"/>
      <c r="F464" s="610"/>
      <c r="G464" s="610"/>
      <c r="H464" s="610"/>
      <c r="I464" s="610"/>
      <c r="J464" s="610"/>
    </row>
    <row r="465" spans="1:20" ht="21.75" customHeight="1" x14ac:dyDescent="0.3">
      <c r="A465" s="8" t="s">
        <v>9</v>
      </c>
      <c r="B465" s="16">
        <f>B374</f>
        <v>301.69244000000009</v>
      </c>
      <c r="C465" s="102" t="s">
        <v>508</v>
      </c>
      <c r="D465" s="102"/>
      <c r="E465" s="102"/>
      <c r="F465" s="102"/>
      <c r="G465" s="102"/>
      <c r="H465" s="102"/>
      <c r="I465" s="102"/>
      <c r="J465" s="102"/>
      <c r="N465" s="102"/>
      <c r="O465" s="244"/>
      <c r="P465" s="244"/>
      <c r="Q465" s="244"/>
      <c r="R465" s="244"/>
      <c r="S465" s="244"/>
      <c r="T465" s="244"/>
    </row>
    <row r="466" spans="1:20" ht="26.25" customHeight="1" x14ac:dyDescent="0.3">
      <c r="A466" s="8" t="s">
        <v>9</v>
      </c>
      <c r="B466" s="16">
        <v>8.7200000000000006</v>
      </c>
      <c r="C466" s="102" t="s">
        <v>509</v>
      </c>
      <c r="D466" s="102"/>
      <c r="E466" s="244"/>
      <c r="F466" s="244"/>
      <c r="G466" s="244"/>
      <c r="H466" s="244"/>
      <c r="I466" s="244"/>
      <c r="J466" s="244"/>
      <c r="N466" s="102"/>
      <c r="O466" s="244"/>
      <c r="P466" s="244"/>
      <c r="Q466" s="244"/>
      <c r="R466" s="244"/>
      <c r="S466" s="244"/>
      <c r="T466" s="244"/>
    </row>
    <row r="467" spans="1:20" ht="21" customHeight="1" x14ac:dyDescent="0.3">
      <c r="A467" s="8" t="s">
        <v>9</v>
      </c>
      <c r="B467" s="16">
        <v>6.87</v>
      </c>
      <c r="C467" s="102" t="s">
        <v>510</v>
      </c>
      <c r="D467" s="102"/>
      <c r="E467" s="244"/>
      <c r="F467" s="244"/>
      <c r="G467" s="244"/>
      <c r="H467" s="244"/>
      <c r="I467" s="244"/>
      <c r="J467" s="244"/>
    </row>
    <row r="468" spans="1:20" ht="22.5" customHeight="1" x14ac:dyDescent="0.3">
      <c r="A468" s="8" t="s">
        <v>9</v>
      </c>
      <c r="B468" s="16">
        <v>36.64</v>
      </c>
      <c r="C468" s="102" t="s">
        <v>513</v>
      </c>
      <c r="D468" s="102"/>
      <c r="E468" s="244"/>
      <c r="F468" s="244"/>
    </row>
    <row r="469" spans="1:20" ht="22.5" customHeight="1" x14ac:dyDescent="0.3">
      <c r="A469" s="8" t="s">
        <v>9</v>
      </c>
      <c r="B469" s="16">
        <v>5.49</v>
      </c>
      <c r="C469" s="102" t="s">
        <v>514</v>
      </c>
      <c r="D469" s="102"/>
      <c r="E469" s="244"/>
      <c r="F469" s="244"/>
    </row>
    <row r="470" spans="1:20" ht="22.5" customHeight="1" x14ac:dyDescent="0.3">
      <c r="A470" s="8" t="s">
        <v>9</v>
      </c>
      <c r="B470" s="16">
        <v>30</v>
      </c>
      <c r="C470" s="102" t="s">
        <v>516</v>
      </c>
      <c r="D470" s="102"/>
      <c r="E470" s="244"/>
      <c r="F470" s="244"/>
    </row>
    <row r="471" spans="1:20" ht="22.5" customHeight="1" x14ac:dyDescent="0.3">
      <c r="A471" s="8" t="s">
        <v>9</v>
      </c>
      <c r="B471" s="16">
        <v>10.25</v>
      </c>
      <c r="C471" s="102" t="s">
        <v>511</v>
      </c>
      <c r="G471" s="244"/>
      <c r="H471" s="244"/>
      <c r="I471" s="244"/>
      <c r="J471" s="244"/>
    </row>
    <row r="472" spans="1:20" ht="22.5" customHeight="1" x14ac:dyDescent="0.3">
      <c r="A472" s="8" t="s">
        <v>9</v>
      </c>
      <c r="B472" s="16">
        <v>5.4</v>
      </c>
      <c r="C472" s="102" t="s">
        <v>512</v>
      </c>
      <c r="G472" s="244"/>
      <c r="H472" s="244"/>
      <c r="I472" s="244"/>
      <c r="J472" s="244"/>
    </row>
    <row r="473" spans="1:20" ht="22.5" customHeight="1" x14ac:dyDescent="0.3">
      <c r="A473" s="8" t="s">
        <v>9</v>
      </c>
      <c r="B473" s="16">
        <f>6.3+6.4</f>
        <v>12.7</v>
      </c>
      <c r="C473" s="102" t="s">
        <v>517</v>
      </c>
      <c r="D473" s="102"/>
      <c r="E473" s="244"/>
      <c r="F473" s="244"/>
      <c r="G473" s="244"/>
      <c r="H473" s="244"/>
      <c r="I473" s="244"/>
      <c r="J473" s="244"/>
    </row>
    <row r="474" spans="1:20" ht="36.75" customHeight="1" x14ac:dyDescent="0.25">
      <c r="A474" s="154" t="s">
        <v>9</v>
      </c>
      <c r="B474" s="191">
        <f>(B465+(B466*B467+B468*B469)*B470%+B471*B472)-B473</f>
        <v>422.66044000000011</v>
      </c>
      <c r="C474" s="611" t="s">
        <v>515</v>
      </c>
      <c r="D474" s="611"/>
      <c r="E474" s="611"/>
      <c r="F474" s="611"/>
      <c r="G474" s="611"/>
      <c r="H474" s="611"/>
      <c r="I474" s="611"/>
      <c r="J474" s="611"/>
    </row>
    <row r="475" spans="1:20" ht="36.75" customHeight="1" x14ac:dyDescent="0.3">
      <c r="A475" s="154"/>
      <c r="B475" s="104" t="s">
        <v>55</v>
      </c>
      <c r="C475" s="13"/>
      <c r="D475" s="244"/>
      <c r="E475" s="244"/>
      <c r="F475" s="244"/>
      <c r="G475" s="244"/>
      <c r="H475" s="244"/>
      <c r="I475" s="244"/>
      <c r="J475" s="244"/>
    </row>
    <row r="476" spans="1:20" ht="13.5" customHeight="1" x14ac:dyDescent="0.3">
      <c r="A476" s="154"/>
      <c r="B476" s="16"/>
      <c r="C476" s="67" t="s">
        <v>650</v>
      </c>
      <c r="D476" s="244"/>
      <c r="E476" s="244"/>
      <c r="F476" s="244"/>
      <c r="G476" s="244"/>
      <c r="H476" s="244"/>
      <c r="I476" s="244"/>
      <c r="J476" s="244"/>
    </row>
    <row r="477" spans="1:20" ht="13.5" customHeight="1" x14ac:dyDescent="0.3">
      <c r="A477" s="172" t="s">
        <v>230</v>
      </c>
      <c r="B477" s="609" t="s">
        <v>553</v>
      </c>
      <c r="C477" s="609"/>
      <c r="D477" s="609"/>
      <c r="E477" s="609"/>
      <c r="F477" s="609"/>
      <c r="G477" s="609"/>
      <c r="H477" s="609"/>
      <c r="I477" s="609"/>
      <c r="J477" s="609"/>
    </row>
    <row r="478" spans="1:20" ht="13.5" customHeight="1" x14ac:dyDescent="0.25">
      <c r="A478" s="154" t="s">
        <v>9</v>
      </c>
      <c r="B478" s="156">
        <f>B501</f>
        <v>94.718499999999992</v>
      </c>
      <c r="C478" s="200" t="s">
        <v>651</v>
      </c>
      <c r="D478" s="244"/>
      <c r="E478" s="244"/>
      <c r="F478" s="244"/>
      <c r="G478" s="244"/>
      <c r="H478" s="244"/>
      <c r="I478" s="244"/>
      <c r="J478" s="244"/>
    </row>
    <row r="479" spans="1:20" ht="13.5" customHeight="1" x14ac:dyDescent="0.3">
      <c r="A479" s="8" t="s">
        <v>9</v>
      </c>
      <c r="B479" s="16">
        <v>8.7200000000000006</v>
      </c>
      <c r="C479" s="102" t="s">
        <v>524</v>
      </c>
      <c r="D479" s="102"/>
      <c r="E479" s="244"/>
      <c r="F479" s="244"/>
      <c r="G479" s="244"/>
      <c r="H479" s="244"/>
      <c r="I479" s="244"/>
      <c r="J479" s="244"/>
    </row>
    <row r="480" spans="1:20" ht="13.5" customHeight="1" x14ac:dyDescent="0.3">
      <c r="A480" s="8" t="s">
        <v>9</v>
      </c>
      <c r="B480" s="16">
        <v>6.87</v>
      </c>
      <c r="C480" s="102" t="s">
        <v>525</v>
      </c>
      <c r="D480" s="102"/>
      <c r="E480" s="244"/>
      <c r="F480" s="244"/>
      <c r="G480" s="244"/>
      <c r="H480" s="244"/>
      <c r="I480" s="244"/>
      <c r="J480" s="244"/>
    </row>
    <row r="481" spans="1:10" ht="13.5" customHeight="1" x14ac:dyDescent="0.3">
      <c r="A481" s="8" t="s">
        <v>9</v>
      </c>
      <c r="B481" s="16">
        <v>36.64</v>
      </c>
      <c r="C481" s="102" t="s">
        <v>526</v>
      </c>
      <c r="D481" s="102"/>
      <c r="E481" s="244"/>
      <c r="F481" s="244"/>
    </row>
    <row r="482" spans="1:10" ht="13.5" customHeight="1" x14ac:dyDescent="0.3">
      <c r="A482" s="8" t="s">
        <v>9</v>
      </c>
      <c r="B482" s="16">
        <v>5.49</v>
      </c>
      <c r="C482" s="102" t="s">
        <v>527</v>
      </c>
      <c r="D482" s="102"/>
      <c r="E482" s="244"/>
      <c r="F482" s="244"/>
    </row>
    <row r="483" spans="1:10" ht="29.25" customHeight="1" x14ac:dyDescent="0.3">
      <c r="A483" s="171" t="s">
        <v>9</v>
      </c>
      <c r="B483" s="156">
        <v>70</v>
      </c>
      <c r="C483" s="623" t="s">
        <v>528</v>
      </c>
      <c r="D483" s="623"/>
      <c r="E483" s="623"/>
      <c r="F483" s="623"/>
      <c r="G483" s="623"/>
      <c r="H483" s="623"/>
      <c r="I483" s="623"/>
      <c r="J483" s="623"/>
    </row>
    <row r="484" spans="1:10" ht="13.5" customHeight="1" x14ac:dyDescent="0.3">
      <c r="A484" s="8" t="s">
        <v>9</v>
      </c>
      <c r="B484" s="16">
        <f>6.3+6.4</f>
        <v>12.7</v>
      </c>
      <c r="C484" s="102" t="s">
        <v>517</v>
      </c>
      <c r="D484" s="102"/>
      <c r="E484" s="244"/>
      <c r="F484" s="244"/>
      <c r="G484" s="244"/>
      <c r="H484" s="244"/>
      <c r="I484" s="244"/>
      <c r="J484" s="244"/>
    </row>
    <row r="485" spans="1:10" ht="13.5" customHeight="1" x14ac:dyDescent="0.3">
      <c r="A485" s="8" t="s">
        <v>9</v>
      </c>
      <c r="B485" s="16">
        <f>B578</f>
        <v>168</v>
      </c>
      <c r="C485" s="102" t="s">
        <v>536</v>
      </c>
      <c r="D485" s="102"/>
      <c r="E485" s="244"/>
      <c r="F485" s="244"/>
      <c r="G485" s="244"/>
      <c r="H485" s="244"/>
      <c r="I485" s="244"/>
      <c r="J485" s="244"/>
    </row>
    <row r="486" spans="1:10" ht="13.5" customHeight="1" x14ac:dyDescent="0.25">
      <c r="A486" s="154" t="s">
        <v>9</v>
      </c>
      <c r="B486" s="246">
        <f>(B478+(B479*B480+B481*B482)*B483%)-B484+B485</f>
        <v>432.76049999999998</v>
      </c>
      <c r="C486" s="611"/>
      <c r="D486" s="611"/>
      <c r="E486" s="611"/>
      <c r="F486" s="611"/>
      <c r="G486" s="611"/>
      <c r="H486" s="611"/>
      <c r="I486" s="611"/>
      <c r="J486" s="611"/>
    </row>
    <row r="487" spans="1:10" ht="13.5" customHeight="1" x14ac:dyDescent="0.3">
      <c r="A487" s="154"/>
      <c r="B487" s="104" t="s">
        <v>55</v>
      </c>
      <c r="C487" s="13"/>
      <c r="D487" s="244"/>
      <c r="E487" s="244"/>
      <c r="F487" s="244"/>
      <c r="G487" s="244"/>
      <c r="H487" s="244"/>
      <c r="I487" s="244"/>
      <c r="J487" s="244"/>
    </row>
    <row r="488" spans="1:10" ht="15.6" x14ac:dyDescent="0.3">
      <c r="A488" s="8"/>
      <c r="B488" s="16"/>
      <c r="C488" s="67" t="s">
        <v>676</v>
      </c>
      <c r="D488" s="244"/>
      <c r="E488" s="244"/>
      <c r="F488" s="102"/>
      <c r="G488" s="102"/>
      <c r="H488" s="102"/>
      <c r="I488" s="102"/>
      <c r="J488" s="102"/>
    </row>
    <row r="489" spans="1:10" ht="39" customHeight="1" x14ac:dyDescent="0.3">
      <c r="A489" s="172" t="s">
        <v>920</v>
      </c>
      <c r="B489" s="609" t="s">
        <v>236</v>
      </c>
      <c r="C489" s="609"/>
      <c r="D489" s="609"/>
      <c r="E489" s="609"/>
      <c r="F489" s="609"/>
      <c r="G489" s="609"/>
      <c r="H489" s="609"/>
      <c r="I489" s="609"/>
      <c r="J489" s="609"/>
    </row>
    <row r="490" spans="1:10" ht="15.6" x14ac:dyDescent="0.3">
      <c r="A490" s="8"/>
      <c r="B490" s="16"/>
      <c r="C490" s="102"/>
      <c r="D490" s="102"/>
      <c r="E490" s="102"/>
    </row>
    <row r="491" spans="1:10" ht="16.2" x14ac:dyDescent="0.35">
      <c r="A491" s="8"/>
      <c r="B491" s="178" t="s">
        <v>103</v>
      </c>
      <c r="C491" s="179"/>
      <c r="D491" s="102"/>
      <c r="E491" s="102"/>
    </row>
    <row r="492" spans="1:10" ht="15.6" x14ac:dyDescent="0.3">
      <c r="A492" s="8"/>
      <c r="B492" s="104" t="s">
        <v>112</v>
      </c>
      <c r="C492" s="102"/>
      <c r="D492" s="102"/>
      <c r="E492" s="102"/>
    </row>
    <row r="493" spans="1:10" ht="16.2" x14ac:dyDescent="0.35">
      <c r="A493" s="12"/>
      <c r="B493" s="109" t="s">
        <v>453</v>
      </c>
      <c r="C493" s="13"/>
      <c r="D493" s="67"/>
      <c r="E493" s="11"/>
      <c r="F493" s="7"/>
      <c r="G493" s="7"/>
      <c r="H493" s="7"/>
      <c r="I493" s="7"/>
    </row>
    <row r="494" spans="1:10" ht="15.6" x14ac:dyDescent="0.3">
      <c r="A494" s="171" t="s">
        <v>9</v>
      </c>
      <c r="B494" s="230">
        <v>2.58</v>
      </c>
      <c r="C494" s="13" t="s">
        <v>670</v>
      </c>
      <c r="D494" s="67"/>
      <c r="E494" s="11"/>
      <c r="F494" s="7"/>
      <c r="G494" s="7"/>
      <c r="H494" s="7"/>
      <c r="I494" s="7"/>
    </row>
    <row r="495" spans="1:10" ht="15.6" x14ac:dyDescent="0.3">
      <c r="A495" s="171" t="s">
        <v>9</v>
      </c>
      <c r="B495" s="230">
        <v>2.25</v>
      </c>
      <c r="C495" s="13" t="s">
        <v>671</v>
      </c>
      <c r="D495" s="67"/>
      <c r="E495" s="11"/>
      <c r="F495" s="7"/>
      <c r="G495" s="7"/>
      <c r="H495" s="7"/>
      <c r="I495" s="7"/>
    </row>
    <row r="496" spans="1:10" ht="15.6" x14ac:dyDescent="0.3">
      <c r="A496" s="171" t="s">
        <v>9</v>
      </c>
      <c r="B496" s="230">
        <v>8.44</v>
      </c>
      <c r="C496" s="13" t="s">
        <v>672</v>
      </c>
      <c r="D496" s="67"/>
      <c r="E496" s="11"/>
      <c r="F496" s="7"/>
      <c r="G496" s="7"/>
      <c r="H496" s="7"/>
      <c r="I496" s="7"/>
    </row>
    <row r="497" spans="1:10" ht="15.6" x14ac:dyDescent="0.3">
      <c r="A497" s="171" t="s">
        <v>9</v>
      </c>
      <c r="B497" s="230">
        <v>6.9</v>
      </c>
      <c r="C497" s="13" t="s">
        <v>673</v>
      </c>
      <c r="D497" s="67"/>
      <c r="E497" s="11"/>
      <c r="F497" s="7"/>
      <c r="G497" s="7"/>
      <c r="H497" s="7"/>
      <c r="I497" s="7"/>
    </row>
    <row r="498" spans="1:10" ht="15.75" customHeight="1" x14ac:dyDescent="0.25">
      <c r="A498" s="614" t="s">
        <v>9</v>
      </c>
      <c r="B498" s="616">
        <v>41.04</v>
      </c>
      <c r="C498" s="615" t="s">
        <v>507</v>
      </c>
      <c r="D498" s="615"/>
      <c r="E498" s="615"/>
      <c r="F498" s="615"/>
      <c r="G498" s="615"/>
      <c r="H498" s="615"/>
      <c r="I498" s="615"/>
      <c r="J498" s="615"/>
    </row>
    <row r="499" spans="1:10" ht="15.75" customHeight="1" x14ac:dyDescent="0.25">
      <c r="A499" s="614"/>
      <c r="B499" s="616"/>
      <c r="C499" s="615"/>
      <c r="D499" s="615"/>
      <c r="E499" s="615"/>
      <c r="F499" s="615"/>
      <c r="G499" s="615"/>
      <c r="H499" s="615"/>
      <c r="I499" s="615"/>
      <c r="J499" s="615"/>
    </row>
    <row r="500" spans="1:10" ht="15.75" customHeight="1" x14ac:dyDescent="0.35">
      <c r="A500" s="171"/>
      <c r="B500" s="109" t="s">
        <v>674</v>
      </c>
      <c r="C500" s="271"/>
      <c r="D500" s="271"/>
      <c r="E500" s="271"/>
      <c r="F500" s="271"/>
      <c r="G500" s="271"/>
      <c r="H500" s="271"/>
      <c r="I500" s="271"/>
      <c r="J500" s="271"/>
    </row>
    <row r="501" spans="1:10" ht="15.6" x14ac:dyDescent="0.3">
      <c r="A501" s="171" t="s">
        <v>9</v>
      </c>
      <c r="B501" s="278">
        <f>(B494*B495+B496*B497+B498)-(4.23*1+2.23*2.75)</f>
        <v>94.718499999999992</v>
      </c>
      <c r="C501" s="13"/>
      <c r="D501" s="67"/>
      <c r="E501" s="11"/>
      <c r="F501" s="7"/>
      <c r="G501" s="7"/>
      <c r="H501" s="7"/>
      <c r="I501" s="7"/>
    </row>
    <row r="502" spans="1:10" ht="16.2" x14ac:dyDescent="0.35">
      <c r="B502" s="178" t="s">
        <v>104</v>
      </c>
      <c r="C502" s="180"/>
    </row>
    <row r="503" spans="1:10" ht="15.6" x14ac:dyDescent="0.3">
      <c r="A503" s="8"/>
      <c r="B503" s="104" t="s">
        <v>112</v>
      </c>
      <c r="C503" s="102"/>
      <c r="D503" s="102"/>
      <c r="E503" s="102"/>
    </row>
    <row r="504" spans="1:10" ht="15.6" x14ac:dyDescent="0.3">
      <c r="A504" s="111" t="s">
        <v>9</v>
      </c>
      <c r="B504" s="16">
        <v>8.7200000000000006</v>
      </c>
      <c r="C504" s="102" t="s">
        <v>106</v>
      </c>
    </row>
    <row r="505" spans="1:10" ht="15.6" x14ac:dyDescent="0.3">
      <c r="A505" s="111" t="s">
        <v>9</v>
      </c>
      <c r="B505" s="16">
        <v>6.87</v>
      </c>
      <c r="C505" s="102" t="s">
        <v>96</v>
      </c>
    </row>
    <row r="506" spans="1:10" ht="15.6" x14ac:dyDescent="0.3">
      <c r="A506" s="111" t="s">
        <v>9</v>
      </c>
      <c r="B506" s="16">
        <v>106.47</v>
      </c>
      <c r="C506" s="102" t="s">
        <v>107</v>
      </c>
    </row>
    <row r="507" spans="1:10" ht="15.6" x14ac:dyDescent="0.3">
      <c r="A507" s="111" t="s">
        <v>9</v>
      </c>
      <c r="B507" s="16">
        <v>6.12</v>
      </c>
      <c r="C507" s="102" t="s">
        <v>102</v>
      </c>
    </row>
    <row r="508" spans="1:10" ht="15.6" x14ac:dyDescent="0.3">
      <c r="A508" s="111" t="s">
        <v>9</v>
      </c>
      <c r="B508" s="16">
        <v>15.9</v>
      </c>
      <c r="C508" s="102" t="s">
        <v>108</v>
      </c>
    </row>
    <row r="509" spans="1:10" ht="15.6" x14ac:dyDescent="0.3">
      <c r="A509" s="111" t="s">
        <v>9</v>
      </c>
      <c r="B509" s="16">
        <v>5.4</v>
      </c>
      <c r="C509" s="102" t="s">
        <v>96</v>
      </c>
      <c r="H509" s="58"/>
    </row>
    <row r="510" spans="1:10" ht="15.6" x14ac:dyDescent="0.3">
      <c r="A510" s="111" t="s">
        <v>9</v>
      </c>
      <c r="B510" s="16">
        <v>1.65</v>
      </c>
      <c r="C510" s="102" t="s">
        <v>109</v>
      </c>
    </row>
    <row r="511" spans="1:10" ht="15.6" x14ac:dyDescent="0.3">
      <c r="A511" s="111" t="s">
        <v>9</v>
      </c>
      <c r="B511" s="16">
        <v>4.42</v>
      </c>
      <c r="C511" s="102" t="s">
        <v>96</v>
      </c>
    </row>
    <row r="512" spans="1:10" ht="15.6" x14ac:dyDescent="0.3">
      <c r="A512" s="111" t="s">
        <v>9</v>
      </c>
      <c r="B512" s="16">
        <v>27.57</v>
      </c>
      <c r="C512" s="102" t="s">
        <v>110</v>
      </c>
    </row>
    <row r="513" spans="1:9" ht="15.6" x14ac:dyDescent="0.3">
      <c r="A513" s="111" t="s">
        <v>9</v>
      </c>
      <c r="B513" s="16">
        <v>4.78</v>
      </c>
      <c r="C513" s="102" t="s">
        <v>96</v>
      </c>
    </row>
    <row r="514" spans="1:9" ht="15.6" x14ac:dyDescent="0.3">
      <c r="A514" s="111" t="s">
        <v>9</v>
      </c>
      <c r="B514" s="100">
        <f>((B504*B505)+(B506*B507)+(B508*B509)+(B510*B511)+(B512*B513))</f>
        <v>936.44039999999995</v>
      </c>
    </row>
    <row r="515" spans="1:9" ht="15.6" x14ac:dyDescent="0.3">
      <c r="A515" s="12"/>
      <c r="B515" s="104" t="s">
        <v>55</v>
      </c>
      <c r="C515" s="13"/>
      <c r="E515" s="11"/>
      <c r="F515" s="7"/>
      <c r="G515" s="7"/>
      <c r="H515" s="7"/>
      <c r="I515" s="7"/>
    </row>
    <row r="516" spans="1:9" ht="20.25" customHeight="1" x14ac:dyDescent="0.3">
      <c r="B516" s="16"/>
      <c r="C516" s="67" t="s">
        <v>518</v>
      </c>
    </row>
    <row r="517" spans="1:9" ht="16.2" x14ac:dyDescent="0.35">
      <c r="A517" s="12"/>
      <c r="B517" s="109" t="s">
        <v>111</v>
      </c>
      <c r="C517" s="13"/>
      <c r="D517" s="67"/>
      <c r="E517" s="11"/>
      <c r="F517" s="7"/>
      <c r="G517" s="7"/>
      <c r="H517" s="7"/>
      <c r="I517" s="7"/>
    </row>
    <row r="518" spans="1:9" ht="15.6" x14ac:dyDescent="0.3">
      <c r="A518" s="111" t="s">
        <v>9</v>
      </c>
      <c r="B518" s="16">
        <v>1</v>
      </c>
      <c r="C518" s="102" t="s">
        <v>258</v>
      </c>
    </row>
    <row r="519" spans="1:9" ht="15.6" x14ac:dyDescent="0.3">
      <c r="A519" s="111" t="s">
        <v>9</v>
      </c>
      <c r="B519" s="16">
        <v>1.7</v>
      </c>
      <c r="C519" s="88" t="s">
        <v>262</v>
      </c>
    </row>
    <row r="520" spans="1:9" ht="15.6" x14ac:dyDescent="0.3">
      <c r="A520" s="111" t="s">
        <v>9</v>
      </c>
      <c r="B520" s="16">
        <v>5</v>
      </c>
      <c r="C520" s="88" t="s">
        <v>263</v>
      </c>
    </row>
    <row r="521" spans="1:9" ht="15.6" x14ac:dyDescent="0.3">
      <c r="A521" s="111" t="s">
        <v>9</v>
      </c>
      <c r="B521" s="16">
        <v>8.4</v>
      </c>
      <c r="C521" s="88" t="s">
        <v>264</v>
      </c>
    </row>
    <row r="522" spans="1:9" ht="15.6" x14ac:dyDescent="0.3">
      <c r="A522" s="111" t="s">
        <v>9</v>
      </c>
      <c r="B522" s="16">
        <f>4*4.5</f>
        <v>18</v>
      </c>
      <c r="C522" s="88" t="s">
        <v>266</v>
      </c>
    </row>
    <row r="523" spans="1:9" ht="15.6" x14ac:dyDescent="0.3">
      <c r="A523" s="111" t="s">
        <v>9</v>
      </c>
      <c r="B523" s="100">
        <f>B518*2+B519+B520*2+B521+B522*2</f>
        <v>58.1</v>
      </c>
    </row>
    <row r="524" spans="1:9" ht="15.6" x14ac:dyDescent="0.3">
      <c r="B524" s="104" t="s">
        <v>55</v>
      </c>
      <c r="D524" s="67" t="s">
        <v>265</v>
      </c>
    </row>
    <row r="525" spans="1:9" ht="15.6" x14ac:dyDescent="0.3">
      <c r="B525" s="16"/>
      <c r="C525" s="88"/>
    </row>
    <row r="526" spans="1:9" ht="16.2" x14ac:dyDescent="0.35">
      <c r="B526" s="109" t="s">
        <v>461</v>
      </c>
    </row>
    <row r="527" spans="1:9" ht="15.6" x14ac:dyDescent="0.3">
      <c r="A527" s="111" t="s">
        <v>9</v>
      </c>
      <c r="B527" s="240">
        <f>B514-B523</f>
        <v>878.34039999999993</v>
      </c>
    </row>
    <row r="528" spans="1:9" ht="15.6" x14ac:dyDescent="0.3">
      <c r="B528" s="104" t="s">
        <v>55</v>
      </c>
      <c r="D528" s="67" t="s">
        <v>519</v>
      </c>
    </row>
    <row r="529" spans="1:9" ht="15.6" x14ac:dyDescent="0.3">
      <c r="B529" s="104"/>
      <c r="D529" s="67"/>
    </row>
    <row r="530" spans="1:9" ht="16.2" x14ac:dyDescent="0.35">
      <c r="B530" s="178" t="s">
        <v>105</v>
      </c>
    </row>
    <row r="531" spans="1:9" ht="16.2" x14ac:dyDescent="0.35">
      <c r="A531" s="8"/>
      <c r="B531" s="109" t="s">
        <v>112</v>
      </c>
      <c r="C531" s="102"/>
      <c r="D531" s="102"/>
      <c r="E531" s="102"/>
    </row>
    <row r="532" spans="1:9" ht="15.6" x14ac:dyDescent="0.3">
      <c r="A532" s="111" t="s">
        <v>9</v>
      </c>
      <c r="B532" s="16">
        <v>18.11</v>
      </c>
      <c r="C532" s="102" t="s">
        <v>106</v>
      </c>
    </row>
    <row r="533" spans="1:9" ht="15.6" x14ac:dyDescent="0.3">
      <c r="A533" s="111" t="s">
        <v>9</v>
      </c>
      <c r="B533" s="16">
        <v>4.45</v>
      </c>
      <c r="C533" s="102" t="s">
        <v>96</v>
      </c>
      <c r="I533" s="58"/>
    </row>
    <row r="534" spans="1:9" ht="15.6" x14ac:dyDescent="0.3">
      <c r="A534" s="111" t="s">
        <v>9</v>
      </c>
      <c r="B534" s="16">
        <v>100.52</v>
      </c>
      <c r="C534" s="102" t="s">
        <v>107</v>
      </c>
    </row>
    <row r="535" spans="1:9" ht="15.6" x14ac:dyDescent="0.3">
      <c r="A535" s="111" t="s">
        <v>9</v>
      </c>
      <c r="B535" s="16">
        <v>5.07</v>
      </c>
      <c r="C535" s="102" t="s">
        <v>96</v>
      </c>
    </row>
    <row r="536" spans="1:9" ht="15.6" x14ac:dyDescent="0.3">
      <c r="A536" s="111" t="s">
        <v>9</v>
      </c>
      <c r="B536" s="16">
        <v>4.3499999999999996</v>
      </c>
      <c r="C536" s="102" t="s">
        <v>108</v>
      </c>
    </row>
    <row r="537" spans="1:9" ht="15.6" x14ac:dyDescent="0.3">
      <c r="A537" s="111" t="s">
        <v>9</v>
      </c>
      <c r="B537" s="16">
        <v>5.64</v>
      </c>
      <c r="C537" s="102" t="s">
        <v>96</v>
      </c>
    </row>
    <row r="538" spans="1:9" ht="15.6" x14ac:dyDescent="0.3">
      <c r="A538" s="111" t="s">
        <v>9</v>
      </c>
      <c r="B538" s="16">
        <v>36.64</v>
      </c>
      <c r="C538" s="102" t="s">
        <v>109</v>
      </c>
    </row>
    <row r="539" spans="1:9" ht="15.6" x14ac:dyDescent="0.3">
      <c r="A539" s="111" t="s">
        <v>9</v>
      </c>
      <c r="B539" s="16">
        <v>5.49</v>
      </c>
      <c r="C539" s="102" t="s">
        <v>96</v>
      </c>
    </row>
    <row r="540" spans="1:9" ht="15.6" x14ac:dyDescent="0.3">
      <c r="A540" s="111" t="s">
        <v>9</v>
      </c>
      <c r="B540" s="100">
        <f>((B532*B533)+(B534*B535)+(B536*B537)+(B538*B539))</f>
        <v>815.9135</v>
      </c>
    </row>
    <row r="541" spans="1:9" ht="15.6" x14ac:dyDescent="0.3">
      <c r="A541" s="12"/>
      <c r="B541" s="104" t="s">
        <v>55</v>
      </c>
      <c r="C541" s="13"/>
      <c r="D541" s="67" t="s">
        <v>520</v>
      </c>
      <c r="E541" s="11"/>
      <c r="F541" s="7"/>
      <c r="G541" s="7"/>
      <c r="H541" s="7"/>
      <c r="I541" s="7"/>
    </row>
    <row r="542" spans="1:9" ht="15.6" x14ac:dyDescent="0.3">
      <c r="B542" s="16"/>
    </row>
    <row r="543" spans="1:9" ht="16.2" x14ac:dyDescent="0.35">
      <c r="A543" s="12"/>
      <c r="B543" s="109" t="s">
        <v>111</v>
      </c>
      <c r="C543" s="13"/>
      <c r="D543" s="67"/>
      <c r="E543" s="11"/>
      <c r="F543" s="7"/>
      <c r="G543" s="7"/>
      <c r="H543" s="7"/>
      <c r="I543" s="7"/>
    </row>
    <row r="544" spans="1:9" ht="15.6" x14ac:dyDescent="0.3">
      <c r="A544" s="1" t="s">
        <v>9</v>
      </c>
      <c r="B544" s="16">
        <v>11.84</v>
      </c>
      <c r="C544" s="102" t="s">
        <v>113</v>
      </c>
    </row>
    <row r="545" spans="1:9" ht="15.6" x14ac:dyDescent="0.3">
      <c r="A545" s="1" t="s">
        <v>9</v>
      </c>
      <c r="B545" s="16">
        <f>4*4.5</f>
        <v>18</v>
      </c>
      <c r="C545" s="88" t="s">
        <v>266</v>
      </c>
    </row>
    <row r="546" spans="1:9" ht="15.6" x14ac:dyDescent="0.3">
      <c r="A546" s="1" t="s">
        <v>9</v>
      </c>
      <c r="B546" s="16">
        <v>6.3</v>
      </c>
      <c r="C546" s="102" t="s">
        <v>114</v>
      </c>
    </row>
    <row r="547" spans="1:9" ht="15.6" x14ac:dyDescent="0.3">
      <c r="A547" s="1" t="s">
        <v>9</v>
      </c>
      <c r="B547" s="100">
        <f>B544+B545*2+B546</f>
        <v>54.14</v>
      </c>
    </row>
    <row r="548" spans="1:9" ht="15.6" x14ac:dyDescent="0.3">
      <c r="A548" s="12"/>
      <c r="B548" s="104" t="s">
        <v>55</v>
      </c>
      <c r="C548" s="13"/>
      <c r="D548" s="67" t="s">
        <v>268</v>
      </c>
      <c r="E548" s="11"/>
      <c r="F548" s="7"/>
      <c r="G548" s="7"/>
      <c r="H548" s="7"/>
      <c r="I548" s="7"/>
    </row>
    <row r="549" spans="1:9" ht="15.6" x14ac:dyDescent="0.3">
      <c r="B549" s="16"/>
    </row>
    <row r="550" spans="1:9" ht="16.2" x14ac:dyDescent="0.35">
      <c r="B550" s="109" t="s">
        <v>462</v>
      </c>
    </row>
    <row r="551" spans="1:9" ht="15.6" x14ac:dyDescent="0.3">
      <c r="A551" s="111" t="s">
        <v>9</v>
      </c>
      <c r="B551" s="240">
        <f>B540-B547</f>
        <v>761.77350000000001</v>
      </c>
    </row>
    <row r="552" spans="1:9" ht="15.6" x14ac:dyDescent="0.3">
      <c r="B552" s="16"/>
    </row>
    <row r="553" spans="1:9" ht="16.2" x14ac:dyDescent="0.35">
      <c r="B553" s="109" t="s">
        <v>463</v>
      </c>
    </row>
    <row r="554" spans="1:9" ht="15.6" x14ac:dyDescent="0.3">
      <c r="A554" s="111" t="s">
        <v>9</v>
      </c>
      <c r="B554" s="133">
        <f>B551+B527+B501</f>
        <v>1734.8323999999998</v>
      </c>
    </row>
    <row r="555" spans="1:9" ht="15.6" x14ac:dyDescent="0.3">
      <c r="B555" s="16"/>
    </row>
    <row r="556" spans="1:9" ht="15.6" x14ac:dyDescent="0.3">
      <c r="B556" s="100" t="s">
        <v>115</v>
      </c>
    </row>
    <row r="557" spans="1:9" ht="15.6" x14ac:dyDescent="0.3">
      <c r="B557" s="16"/>
    </row>
    <row r="558" spans="1:9" ht="15.6" x14ac:dyDescent="0.3">
      <c r="B558" s="16" t="s">
        <v>116</v>
      </c>
    </row>
    <row r="559" spans="1:9" ht="15.6" x14ac:dyDescent="0.3">
      <c r="A559" s="111" t="s">
        <v>9</v>
      </c>
      <c r="B559" s="16">
        <v>7</v>
      </c>
      <c r="C559" s="102" t="s">
        <v>117</v>
      </c>
    </row>
    <row r="560" spans="1:9" ht="15.6" x14ac:dyDescent="0.3">
      <c r="A560" s="111" t="s">
        <v>9</v>
      </c>
      <c r="B560" s="16">
        <v>2.6</v>
      </c>
      <c r="C560" s="102" t="s">
        <v>96</v>
      </c>
    </row>
    <row r="561" spans="1:11" ht="15.6" x14ac:dyDescent="0.3">
      <c r="A561" s="111" t="s">
        <v>9</v>
      </c>
      <c r="B561" s="100">
        <f>B559*B560</f>
        <v>18.2</v>
      </c>
      <c r="C561" s="102"/>
    </row>
    <row r="562" spans="1:11" ht="15.6" x14ac:dyDescent="0.3">
      <c r="A562" s="12"/>
      <c r="B562" s="104" t="s">
        <v>55</v>
      </c>
      <c r="C562" s="13"/>
      <c r="D562" s="67" t="s">
        <v>451</v>
      </c>
      <c r="E562" s="11"/>
      <c r="F562" s="7"/>
      <c r="G562" s="7"/>
      <c r="H562" s="7"/>
      <c r="I562" s="7"/>
    </row>
    <row r="563" spans="1:11" ht="15.6" x14ac:dyDescent="0.3">
      <c r="B563" s="16"/>
      <c r="C563" s="102"/>
    </row>
    <row r="564" spans="1:11" ht="15.6" x14ac:dyDescent="0.3">
      <c r="B564" s="16" t="s">
        <v>118</v>
      </c>
      <c r="C564" s="102"/>
    </row>
    <row r="565" spans="1:11" ht="15.6" x14ac:dyDescent="0.3">
      <c r="A565" s="111" t="s">
        <v>9</v>
      </c>
      <c r="B565" s="16">
        <v>6</v>
      </c>
      <c r="C565" s="102" t="s">
        <v>117</v>
      </c>
    </row>
    <row r="566" spans="1:11" ht="15.6" x14ac:dyDescent="0.3">
      <c r="A566" s="111" t="s">
        <v>9</v>
      </c>
      <c r="B566" s="16">
        <v>2.6</v>
      </c>
      <c r="C566" s="102" t="s">
        <v>96</v>
      </c>
    </row>
    <row r="567" spans="1:11" ht="15.6" x14ac:dyDescent="0.3">
      <c r="A567" s="111" t="s">
        <v>9</v>
      </c>
      <c r="B567" s="100">
        <f>B565*B566</f>
        <v>15.600000000000001</v>
      </c>
    </row>
    <row r="568" spans="1:11" ht="15.6" x14ac:dyDescent="0.3">
      <c r="A568" s="12"/>
      <c r="B568" s="104" t="s">
        <v>55</v>
      </c>
      <c r="C568" s="13"/>
      <c r="D568" s="67" t="s">
        <v>452</v>
      </c>
      <c r="E568" s="11"/>
      <c r="F568" s="7"/>
      <c r="G568" s="7"/>
      <c r="H568" s="7"/>
      <c r="I568" s="7"/>
    </row>
    <row r="570" spans="1:11" ht="15.6" x14ac:dyDescent="0.3">
      <c r="A570" s="111"/>
      <c r="B570" s="100" t="s">
        <v>272</v>
      </c>
      <c r="C570" s="34"/>
      <c r="D570" s="34"/>
      <c r="E570" s="34"/>
      <c r="F570" s="34"/>
      <c r="G570" s="34"/>
      <c r="H570" s="34"/>
    </row>
    <row r="571" spans="1:11" ht="15.6" x14ac:dyDescent="0.3">
      <c r="A571" s="111" t="s">
        <v>9</v>
      </c>
      <c r="B571" s="249">
        <f>B554-(B561+B567)</f>
        <v>1701.0323999999998</v>
      </c>
    </row>
    <row r="572" spans="1:11" ht="15.6" x14ac:dyDescent="0.3">
      <c r="A572" s="247"/>
      <c r="B572" s="104" t="s">
        <v>675</v>
      </c>
      <c r="C572" s="13"/>
      <c r="D572" s="67"/>
      <c r="K572" s="14"/>
    </row>
    <row r="573" spans="1:11" ht="36.75" customHeight="1" x14ac:dyDescent="0.25">
      <c r="A573" s="172" t="s">
        <v>921</v>
      </c>
      <c r="B573" s="610" t="s">
        <v>535</v>
      </c>
      <c r="C573" s="610"/>
      <c r="D573" s="610"/>
      <c r="E573" s="610"/>
      <c r="F573" s="610"/>
      <c r="G573" s="610"/>
      <c r="H573" s="610"/>
      <c r="I573" s="610"/>
      <c r="J573" s="610"/>
      <c r="K573" s="14"/>
    </row>
    <row r="574" spans="1:11" ht="15.6" x14ac:dyDescent="0.3">
      <c r="B574" s="100" t="s">
        <v>533</v>
      </c>
      <c r="D574" s="128"/>
      <c r="E574" s="128"/>
      <c r="K574" s="14"/>
    </row>
    <row r="575" spans="1:11" ht="15.6" x14ac:dyDescent="0.3">
      <c r="A575" s="247" t="s">
        <v>9</v>
      </c>
      <c r="B575" s="137">
        <v>25</v>
      </c>
      <c r="C575" s="102" t="s">
        <v>534</v>
      </c>
      <c r="E575" s="128"/>
      <c r="K575" s="14"/>
    </row>
    <row r="576" spans="1:11" ht="15.6" x14ac:dyDescent="0.3">
      <c r="A576" s="247" t="s">
        <v>9</v>
      </c>
      <c r="B576" s="137">
        <f>(0.53+0.2)/2</f>
        <v>0.36499999999999999</v>
      </c>
      <c r="C576" s="102" t="s">
        <v>594</v>
      </c>
      <c r="E576" s="128"/>
      <c r="K576" s="14"/>
    </row>
    <row r="577" spans="1:11" ht="15.6" x14ac:dyDescent="0.3">
      <c r="A577" s="247" t="s">
        <v>9</v>
      </c>
      <c r="B577" s="137">
        <f>(0.75+0.2)/2</f>
        <v>0.47499999999999998</v>
      </c>
      <c r="C577" s="102" t="s">
        <v>595</v>
      </c>
      <c r="E577" s="128"/>
      <c r="K577" s="14"/>
    </row>
    <row r="578" spans="1:11" ht="15.6" x14ac:dyDescent="0.3">
      <c r="A578" s="111" t="s">
        <v>9</v>
      </c>
      <c r="B578" s="126">
        <f>B575*((B577*2+B576*2)*4)</f>
        <v>168</v>
      </c>
      <c r="K578" s="14"/>
    </row>
    <row r="579" spans="1:11" ht="15.6" x14ac:dyDescent="0.3">
      <c r="A579" s="111"/>
      <c r="B579" s="104" t="s">
        <v>596</v>
      </c>
      <c r="K579" s="14"/>
    </row>
    <row r="580" spans="1:11" x14ac:dyDescent="0.25">
      <c r="A580" s="111"/>
      <c r="B580" s="111"/>
      <c r="K580" s="14"/>
    </row>
    <row r="581" spans="1:11" ht="15.6" x14ac:dyDescent="0.3">
      <c r="A581" s="120" t="s">
        <v>922</v>
      </c>
      <c r="B581" s="129" t="s">
        <v>246</v>
      </c>
      <c r="C581" s="118"/>
      <c r="D581" s="118"/>
      <c r="E581" s="119"/>
      <c r="F581" s="119"/>
      <c r="G581" s="119"/>
      <c r="H581" s="119"/>
      <c r="I581" s="119"/>
      <c r="J581" s="119"/>
    </row>
    <row r="582" spans="1:11" ht="15.6" x14ac:dyDescent="0.3">
      <c r="A582" s="8" t="s">
        <v>9</v>
      </c>
      <c r="B582" s="16">
        <f>9.37+14.1+16</f>
        <v>39.47</v>
      </c>
      <c r="C582" s="114" t="s">
        <v>455</v>
      </c>
      <c r="D582" s="102"/>
    </row>
    <row r="583" spans="1:11" ht="15.6" x14ac:dyDescent="0.3">
      <c r="A583" s="8" t="s">
        <v>9</v>
      </c>
      <c r="B583" s="16">
        <f>12.8+1.7+10</f>
        <v>24.5</v>
      </c>
      <c r="C583" s="114" t="s">
        <v>456</v>
      </c>
      <c r="D583" s="102"/>
      <c r="I583" s="88"/>
    </row>
    <row r="584" spans="1:11" ht="15.6" x14ac:dyDescent="0.3">
      <c r="A584" s="8" t="s">
        <v>9</v>
      </c>
      <c r="B584" s="16">
        <v>12</v>
      </c>
      <c r="C584" s="114" t="s">
        <v>457</v>
      </c>
      <c r="D584" s="102"/>
    </row>
    <row r="585" spans="1:11" ht="15.6" x14ac:dyDescent="0.3">
      <c r="A585" s="8" t="s">
        <v>9</v>
      </c>
      <c r="B585" s="100">
        <f>(B582+B583+B584)*2</f>
        <v>151.94</v>
      </c>
      <c r="C585" s="102"/>
      <c r="D585" s="102"/>
    </row>
    <row r="586" spans="1:11" ht="15.6" x14ac:dyDescent="0.3">
      <c r="A586" s="12"/>
      <c r="B586" s="104" t="s">
        <v>55</v>
      </c>
      <c r="C586" s="13"/>
      <c r="D586" s="67" t="s">
        <v>454</v>
      </c>
      <c r="E586" s="11"/>
      <c r="F586" s="7"/>
      <c r="G586" s="7"/>
      <c r="H586" s="7"/>
      <c r="I586" s="7"/>
    </row>
    <row r="587" spans="1:11" ht="15.6" x14ac:dyDescent="0.3">
      <c r="A587" s="8"/>
      <c r="B587" s="16"/>
      <c r="C587" s="102"/>
      <c r="D587" s="102"/>
    </row>
    <row r="588" spans="1:11" ht="52.5" customHeight="1" x14ac:dyDescent="0.3">
      <c r="A588" s="172" t="s">
        <v>923</v>
      </c>
      <c r="B588" s="609" t="s">
        <v>458</v>
      </c>
      <c r="C588" s="609"/>
      <c r="D588" s="609"/>
      <c r="E588" s="609"/>
      <c r="F588" s="609"/>
      <c r="G588" s="609"/>
      <c r="H588" s="609"/>
      <c r="I588" s="609"/>
      <c r="J588" s="609"/>
    </row>
    <row r="589" spans="1:11" ht="15.6" x14ac:dyDescent="0.3">
      <c r="A589" s="8" t="s">
        <v>9</v>
      </c>
      <c r="B589" s="16">
        <f>B585</f>
        <v>151.94</v>
      </c>
      <c r="C589" s="102" t="s">
        <v>119</v>
      </c>
      <c r="D589" s="102"/>
    </row>
    <row r="590" spans="1:11" ht="30.75" customHeight="1" x14ac:dyDescent="0.3">
      <c r="A590" s="171" t="s">
        <v>9</v>
      </c>
      <c r="B590" s="156">
        <f>4*4.5+3*4+3.7*3.2</f>
        <v>41.84</v>
      </c>
      <c r="C590" s="623" t="s">
        <v>537</v>
      </c>
      <c r="D590" s="623"/>
      <c r="E590" s="623"/>
      <c r="F590" s="623"/>
      <c r="G590" s="623"/>
      <c r="H590" s="623"/>
      <c r="I590" s="623"/>
      <c r="J590" s="623"/>
    </row>
    <row r="591" spans="1:11" ht="15.6" x14ac:dyDescent="0.3">
      <c r="A591" s="8" t="s">
        <v>9</v>
      </c>
      <c r="B591" s="16">
        <v>1</v>
      </c>
      <c r="C591" s="102" t="s">
        <v>121</v>
      </c>
      <c r="D591" s="102"/>
    </row>
    <row r="592" spans="1:11" ht="15.6" x14ac:dyDescent="0.3">
      <c r="A592" s="8" t="s">
        <v>9</v>
      </c>
      <c r="B592" s="100">
        <f>(B589+B590*2)*B591</f>
        <v>235.62</v>
      </c>
      <c r="C592" s="102"/>
      <c r="D592" s="102"/>
    </row>
    <row r="593" spans="1:11" ht="15.6" x14ac:dyDescent="0.3">
      <c r="A593" s="12"/>
      <c r="B593" s="104" t="s">
        <v>55</v>
      </c>
      <c r="C593" s="13"/>
      <c r="D593" s="67" t="s">
        <v>538</v>
      </c>
      <c r="E593" s="11"/>
      <c r="F593" s="7"/>
      <c r="G593" s="7"/>
      <c r="H593" s="7"/>
      <c r="I593" s="7"/>
    </row>
    <row r="594" spans="1:11" ht="15.6" x14ac:dyDescent="0.3">
      <c r="A594" s="12"/>
      <c r="B594" s="104"/>
      <c r="C594" s="13"/>
      <c r="D594" s="67"/>
      <c r="E594" s="11"/>
      <c r="F594" s="7"/>
      <c r="G594" s="7"/>
      <c r="H594" s="7"/>
      <c r="I594" s="7"/>
    </row>
    <row r="595" spans="1:11" s="295" customFormat="1" ht="15.6" x14ac:dyDescent="0.3">
      <c r="A595" s="298" t="s">
        <v>953</v>
      </c>
      <c r="B595" s="299" t="s">
        <v>212</v>
      </c>
      <c r="C595" s="303"/>
      <c r="D595" s="303"/>
      <c r="E595" s="303"/>
    </row>
    <row r="596" spans="1:11" s="314" customFormat="1" ht="15.6" x14ac:dyDescent="0.3">
      <c r="A596" s="236" t="s">
        <v>954</v>
      </c>
      <c r="B596" s="231" t="s">
        <v>583</v>
      </c>
      <c r="C596" s="232"/>
      <c r="D596" s="232"/>
      <c r="E596" s="232"/>
    </row>
    <row r="597" spans="1:11" ht="15.6" x14ac:dyDescent="0.3">
      <c r="A597" s="8" t="s">
        <v>9</v>
      </c>
      <c r="B597" s="16">
        <v>124</v>
      </c>
      <c r="C597" s="102" t="s">
        <v>274</v>
      </c>
      <c r="D597" s="102"/>
      <c r="K597" s="88"/>
    </row>
    <row r="598" spans="1:11" ht="15.6" x14ac:dyDescent="0.3">
      <c r="A598" s="8" t="s">
        <v>9</v>
      </c>
      <c r="B598" s="16">
        <v>0.45</v>
      </c>
      <c r="C598" s="102" t="s">
        <v>539</v>
      </c>
      <c r="D598" s="102"/>
    </row>
    <row r="599" spans="1:11" ht="15.6" x14ac:dyDescent="0.3">
      <c r="A599" s="103" t="s">
        <v>9</v>
      </c>
      <c r="B599" s="100">
        <f>B597*2*(2*3.1415*(B598/2))/2</f>
        <v>175.29570000000001</v>
      </c>
      <c r="C599" s="102"/>
      <c r="D599" s="102"/>
    </row>
    <row r="600" spans="1:11" ht="15.6" x14ac:dyDescent="0.3">
      <c r="A600" s="103"/>
      <c r="B600" s="104" t="s">
        <v>55</v>
      </c>
      <c r="C600" s="13"/>
    </row>
    <row r="601" spans="1:11" ht="15.6" x14ac:dyDescent="0.3">
      <c r="A601" s="103"/>
      <c r="B601" s="67" t="s">
        <v>557</v>
      </c>
      <c r="C601" s="13"/>
      <c r="D601" s="67"/>
    </row>
    <row r="602" spans="1:11" s="314" customFormat="1" ht="42" customHeight="1" x14ac:dyDescent="0.3">
      <c r="A602" s="237" t="s">
        <v>955</v>
      </c>
      <c r="B602" s="618" t="s">
        <v>370</v>
      </c>
      <c r="C602" s="618"/>
      <c r="D602" s="618"/>
      <c r="E602" s="618"/>
      <c r="F602" s="618"/>
      <c r="G602" s="618"/>
      <c r="H602" s="618"/>
      <c r="I602" s="618"/>
      <c r="J602" s="618"/>
    </row>
    <row r="603" spans="1:11" ht="15.6" x14ac:dyDescent="0.3">
      <c r="A603" s="103" t="s">
        <v>9</v>
      </c>
      <c r="B603" s="100">
        <f>B599</f>
        <v>175.29570000000001</v>
      </c>
      <c r="C603" s="102" t="s">
        <v>661</v>
      </c>
      <c r="D603" s="102"/>
      <c r="E603" s="112"/>
      <c r="F603" s="112"/>
      <c r="G603" s="112"/>
      <c r="H603" s="112"/>
      <c r="I603" s="112"/>
      <c r="J603" s="112"/>
    </row>
    <row r="604" spans="1:11" s="314" customFormat="1" ht="15.6" x14ac:dyDescent="0.3">
      <c r="A604" s="237" t="s">
        <v>956</v>
      </c>
      <c r="B604" s="618" t="s">
        <v>579</v>
      </c>
      <c r="C604" s="618"/>
      <c r="D604" s="618"/>
      <c r="E604" s="618"/>
      <c r="F604" s="618"/>
      <c r="G604" s="618"/>
      <c r="H604" s="618"/>
      <c r="I604" s="618"/>
      <c r="J604" s="618"/>
    </row>
    <row r="605" spans="1:11" ht="15.6" x14ac:dyDescent="0.3">
      <c r="A605" s="103" t="s">
        <v>9</v>
      </c>
      <c r="B605" s="100">
        <f>B603*0.02</f>
        <v>3.5059140000000002</v>
      </c>
      <c r="C605" s="102" t="s">
        <v>662</v>
      </c>
      <c r="D605" s="102"/>
      <c r="E605" s="112"/>
      <c r="F605" s="112"/>
      <c r="G605" s="112"/>
      <c r="H605" s="112"/>
      <c r="I605" s="112"/>
      <c r="J605" s="112"/>
    </row>
    <row r="606" spans="1:11" s="314" customFormat="1" ht="15.6" x14ac:dyDescent="0.3">
      <c r="A606" s="237" t="s">
        <v>957</v>
      </c>
      <c r="B606" s="618" t="s">
        <v>530</v>
      </c>
      <c r="C606" s="618"/>
      <c r="D606" s="618"/>
      <c r="E606" s="618"/>
      <c r="F606" s="618"/>
      <c r="G606" s="618"/>
      <c r="H606" s="618"/>
      <c r="I606" s="618"/>
      <c r="J606" s="618"/>
    </row>
    <row r="607" spans="1:11" ht="15.6" x14ac:dyDescent="0.3">
      <c r="A607" s="103" t="s">
        <v>9</v>
      </c>
      <c r="B607" s="100">
        <f>B605*20</f>
        <v>70.118279999999999</v>
      </c>
      <c r="C607" s="102"/>
      <c r="D607" s="102"/>
      <c r="E607" s="112"/>
      <c r="F607" s="112"/>
      <c r="G607" s="112"/>
      <c r="H607" s="112"/>
      <c r="I607" s="112"/>
      <c r="J607" s="112"/>
    </row>
    <row r="608" spans="1:11" ht="15.6" x14ac:dyDescent="0.3">
      <c r="A608" s="103"/>
      <c r="B608" s="104" t="s">
        <v>860</v>
      </c>
      <c r="C608" s="102"/>
      <c r="D608" s="102"/>
      <c r="E608" s="112"/>
      <c r="F608" s="112"/>
      <c r="G608" s="112"/>
      <c r="H608" s="112"/>
      <c r="I608" s="112"/>
      <c r="J608" s="112"/>
    </row>
    <row r="609" spans="1:10" ht="15.6" x14ac:dyDescent="0.3">
      <c r="A609" s="103"/>
      <c r="B609" s="100"/>
      <c r="C609" s="102"/>
      <c r="D609" s="102"/>
      <c r="E609" s="112"/>
      <c r="F609" s="112"/>
      <c r="G609" s="112"/>
      <c r="H609" s="112"/>
      <c r="I609" s="112"/>
      <c r="J609" s="112"/>
    </row>
    <row r="610" spans="1:10" s="295" customFormat="1" ht="15.6" x14ac:dyDescent="0.3">
      <c r="A610" s="298" t="s">
        <v>924</v>
      </c>
      <c r="B610" s="299" t="s">
        <v>213</v>
      </c>
      <c r="C610" s="303"/>
      <c r="D610" s="303"/>
      <c r="E610" s="303"/>
    </row>
    <row r="611" spans="1:10" s="290" customFormat="1" ht="15.6" x14ac:dyDescent="0.3">
      <c r="A611" s="304" t="s">
        <v>925</v>
      </c>
      <c r="B611" s="305" t="s">
        <v>310</v>
      </c>
      <c r="C611" s="310"/>
      <c r="D611" s="310"/>
      <c r="E611" s="310"/>
    </row>
    <row r="612" spans="1:10" ht="46.5" customHeight="1" x14ac:dyDescent="0.3">
      <c r="A612" s="172" t="s">
        <v>926</v>
      </c>
      <c r="B612" s="609" t="s">
        <v>281</v>
      </c>
      <c r="C612" s="609"/>
      <c r="D612" s="609"/>
      <c r="E612" s="609"/>
      <c r="F612" s="609"/>
      <c r="G612" s="609"/>
      <c r="H612" s="609"/>
      <c r="I612" s="609"/>
      <c r="J612" s="609"/>
    </row>
    <row r="613" spans="1:10" s="128" customFormat="1" ht="22.5" customHeight="1" x14ac:dyDescent="0.3">
      <c r="A613" s="144"/>
      <c r="B613" s="103" t="s">
        <v>540</v>
      </c>
      <c r="C613" s="203"/>
      <c r="D613" s="203"/>
      <c r="E613" s="203"/>
      <c r="F613" s="203"/>
      <c r="G613" s="203"/>
      <c r="H613" s="203"/>
      <c r="I613" s="203"/>
      <c r="J613" s="203"/>
    </row>
    <row r="614" spans="1:10" ht="15.6" x14ac:dyDescent="0.3">
      <c r="A614" s="8" t="s">
        <v>9</v>
      </c>
      <c r="B614" s="16">
        <f>6.88*3</f>
        <v>20.64</v>
      </c>
      <c r="C614" s="102" t="s">
        <v>821</v>
      </c>
      <c r="D614" s="102"/>
    </row>
    <row r="615" spans="1:10" ht="15.6" x14ac:dyDescent="0.3">
      <c r="A615" s="8" t="s">
        <v>9</v>
      </c>
      <c r="B615" s="16">
        <v>9.52</v>
      </c>
      <c r="C615" s="102" t="s">
        <v>822</v>
      </c>
      <c r="D615" s="102"/>
    </row>
    <row r="616" spans="1:10" ht="15.6" x14ac:dyDescent="0.3">
      <c r="A616" s="8" t="s">
        <v>9</v>
      </c>
      <c r="B616" s="16">
        <v>29.42</v>
      </c>
      <c r="C616" s="102" t="s">
        <v>823</v>
      </c>
      <c r="D616" s="102"/>
    </row>
    <row r="617" spans="1:10" ht="15.6" x14ac:dyDescent="0.3">
      <c r="A617" s="8" t="s">
        <v>9</v>
      </c>
      <c r="B617" s="16">
        <v>15.37</v>
      </c>
      <c r="C617" s="102" t="s">
        <v>824</v>
      </c>
      <c r="D617" s="102"/>
    </row>
    <row r="618" spans="1:10" ht="15.6" x14ac:dyDescent="0.3">
      <c r="A618" s="8" t="s">
        <v>9</v>
      </c>
      <c r="B618" s="16">
        <f>4.7*5</f>
        <v>23.5</v>
      </c>
      <c r="C618" s="102" t="s">
        <v>825</v>
      </c>
      <c r="D618" s="102"/>
    </row>
    <row r="619" spans="1:10" ht="15.6" x14ac:dyDescent="0.3">
      <c r="A619" s="8" t="s">
        <v>9</v>
      </c>
      <c r="B619" s="16">
        <v>57.13</v>
      </c>
      <c r="C619" s="102" t="s">
        <v>826</v>
      </c>
      <c r="D619" s="102"/>
    </row>
    <row r="620" spans="1:10" ht="15.6" x14ac:dyDescent="0.3">
      <c r="A620" s="8" t="s">
        <v>9</v>
      </c>
      <c r="B620" s="16">
        <v>38.24</v>
      </c>
      <c r="C620" s="102" t="s">
        <v>827</v>
      </c>
      <c r="D620" s="102"/>
    </row>
    <row r="621" spans="1:10" ht="15.6" x14ac:dyDescent="0.3">
      <c r="A621" s="8"/>
      <c r="B621" s="16"/>
      <c r="C621" s="102"/>
      <c r="D621" s="102"/>
    </row>
    <row r="622" spans="1:10" ht="15.6" x14ac:dyDescent="0.3">
      <c r="A622" s="103" t="s">
        <v>9</v>
      </c>
      <c r="B622" s="100">
        <f>SUM(B614:B621)</f>
        <v>193.82000000000002</v>
      </c>
      <c r="C622" s="102"/>
      <c r="D622" s="102"/>
    </row>
    <row r="623" spans="1:10" ht="15.6" x14ac:dyDescent="0.3">
      <c r="B623" s="103" t="s">
        <v>111</v>
      </c>
      <c r="C623" s="102"/>
      <c r="D623" s="102"/>
    </row>
    <row r="624" spans="1:10" ht="15.6" x14ac:dyDescent="0.3">
      <c r="A624" s="8" t="s">
        <v>9</v>
      </c>
      <c r="B624" s="16">
        <f>0.8*2*4</f>
        <v>6.4</v>
      </c>
      <c r="C624" s="102" t="s">
        <v>828</v>
      </c>
      <c r="D624" s="102"/>
    </row>
    <row r="625" spans="1:10" ht="15.6" x14ac:dyDescent="0.3">
      <c r="A625" s="8" t="s">
        <v>9</v>
      </c>
      <c r="B625" s="16">
        <f>3*3</f>
        <v>9</v>
      </c>
      <c r="C625" s="102" t="s">
        <v>829</v>
      </c>
      <c r="D625" s="102"/>
    </row>
    <row r="626" spans="1:10" ht="15.6" x14ac:dyDescent="0.3">
      <c r="A626" s="8" t="s">
        <v>9</v>
      </c>
      <c r="B626" s="16">
        <f>2*0.8*7</f>
        <v>11.200000000000001</v>
      </c>
      <c r="C626" s="102" t="s">
        <v>830</v>
      </c>
      <c r="D626" s="102"/>
    </row>
    <row r="627" spans="1:10" ht="15.6" x14ac:dyDescent="0.3">
      <c r="A627" s="8" t="s">
        <v>9</v>
      </c>
      <c r="B627" s="16">
        <f>3.8*6</f>
        <v>22.799999999999997</v>
      </c>
      <c r="C627" s="102" t="s">
        <v>831</v>
      </c>
      <c r="D627" s="102"/>
    </row>
    <row r="628" spans="1:10" ht="15.6" x14ac:dyDescent="0.3">
      <c r="A628" s="103" t="s">
        <v>9</v>
      </c>
      <c r="B628" s="100">
        <f>SUM(B624:B627)</f>
        <v>49.4</v>
      </c>
      <c r="C628" s="102"/>
      <c r="D628" s="102"/>
    </row>
    <row r="629" spans="1:10" ht="15.6" x14ac:dyDescent="0.3">
      <c r="A629" s="8"/>
      <c r="B629" s="104"/>
      <c r="C629" s="102"/>
      <c r="D629" s="102"/>
    </row>
    <row r="630" spans="1:10" ht="15.6" x14ac:dyDescent="0.3">
      <c r="A630" s="8"/>
      <c r="B630" s="103" t="s">
        <v>426</v>
      </c>
      <c r="C630" s="102"/>
      <c r="D630" s="102"/>
    </row>
    <row r="631" spans="1:10" ht="15.6" x14ac:dyDescent="0.3">
      <c r="A631" s="103" t="s">
        <v>9</v>
      </c>
      <c r="B631" s="100">
        <f>B622-B628</f>
        <v>144.42000000000002</v>
      </c>
      <c r="C631" s="102"/>
      <c r="D631" s="102"/>
    </row>
    <row r="632" spans="1:10" ht="15.6" x14ac:dyDescent="0.3">
      <c r="A632" s="8"/>
      <c r="B632" s="104"/>
      <c r="C632" s="102"/>
      <c r="D632" s="102"/>
    </row>
    <row r="633" spans="1:10" ht="33.75" customHeight="1" x14ac:dyDescent="0.3">
      <c r="A633" s="172" t="s">
        <v>927</v>
      </c>
      <c r="B633" s="609" t="s">
        <v>215</v>
      </c>
      <c r="C633" s="609"/>
      <c r="D633" s="609"/>
      <c r="E633" s="609"/>
      <c r="F633" s="609"/>
      <c r="G633" s="609"/>
      <c r="H633" s="609"/>
      <c r="I633" s="609"/>
      <c r="J633" s="609"/>
    </row>
    <row r="634" spans="1:10" ht="15.6" x14ac:dyDescent="0.3">
      <c r="A634" s="8" t="s">
        <v>9</v>
      </c>
      <c r="B634" s="16">
        <v>0.4</v>
      </c>
      <c r="C634" s="102" t="s">
        <v>471</v>
      </c>
      <c r="D634" s="102"/>
    </row>
    <row r="635" spans="1:10" ht="15.6" x14ac:dyDescent="0.3">
      <c r="A635" s="8" t="s">
        <v>9</v>
      </c>
      <c r="B635" s="16">
        <v>0.6</v>
      </c>
      <c r="C635" s="102" t="s">
        <v>472</v>
      </c>
      <c r="D635" s="102"/>
    </row>
    <row r="636" spans="1:10" ht="15.6" x14ac:dyDescent="0.3">
      <c r="A636" s="8" t="s">
        <v>9</v>
      </c>
      <c r="B636" s="16">
        <v>0.15</v>
      </c>
      <c r="C636" s="102" t="s">
        <v>657</v>
      </c>
      <c r="D636" s="102"/>
    </row>
    <row r="637" spans="1:10" ht="15.6" x14ac:dyDescent="0.3">
      <c r="A637" s="8" t="s">
        <v>832</v>
      </c>
      <c r="B637" s="16">
        <f>(38.24-11.2)*0.15</f>
        <v>4.056</v>
      </c>
      <c r="C637" s="102" t="s">
        <v>833</v>
      </c>
      <c r="D637" s="102" t="s">
        <v>834</v>
      </c>
    </row>
    <row r="638" spans="1:10" ht="15.6" x14ac:dyDescent="0.3">
      <c r="A638" s="8" t="s">
        <v>9</v>
      </c>
      <c r="B638" s="16">
        <f>(38.24-22.8)*0.15</f>
        <v>2.3160000000000003</v>
      </c>
      <c r="C638" s="102" t="s">
        <v>835</v>
      </c>
      <c r="D638" t="s">
        <v>836</v>
      </c>
    </row>
    <row r="639" spans="1:10" ht="15.6" x14ac:dyDescent="0.3">
      <c r="A639" s="103" t="s">
        <v>9</v>
      </c>
      <c r="B639" s="100">
        <f>B634*B635*B636+B637+B638</f>
        <v>6.4079999999999995</v>
      </c>
      <c r="C639" s="102"/>
      <c r="D639" s="102"/>
    </row>
    <row r="640" spans="1:10" ht="15.6" x14ac:dyDescent="0.3">
      <c r="A640" s="8"/>
      <c r="B640" s="104"/>
      <c r="C640" s="102"/>
      <c r="D640" s="102"/>
    </row>
    <row r="641" spans="1:10" ht="15.6" x14ac:dyDescent="0.3">
      <c r="A641" s="8"/>
      <c r="B641" s="104"/>
      <c r="C641" s="102"/>
      <c r="D641" s="102"/>
    </row>
    <row r="642" spans="1:10" ht="30.75" customHeight="1" x14ac:dyDescent="0.3">
      <c r="A642" s="172" t="s">
        <v>928</v>
      </c>
      <c r="B642" s="609" t="s">
        <v>406</v>
      </c>
      <c r="C642" s="609"/>
      <c r="D642" s="609"/>
      <c r="E642" s="609"/>
      <c r="F642" s="609"/>
      <c r="G642" s="609"/>
      <c r="H642" s="609"/>
      <c r="I642" s="609"/>
      <c r="J642" s="609"/>
    </row>
    <row r="643" spans="1:10" ht="15.6" x14ac:dyDescent="0.3">
      <c r="A643" s="8" t="s">
        <v>9</v>
      </c>
      <c r="B643" s="16">
        <v>0.14000000000000001</v>
      </c>
      <c r="C643" s="102" t="s">
        <v>663</v>
      </c>
      <c r="D643" s="102"/>
    </row>
    <row r="644" spans="1:10" ht="15.6" x14ac:dyDescent="0.3">
      <c r="A644" s="8" t="s">
        <v>9</v>
      </c>
      <c r="B644" s="16">
        <v>0.9</v>
      </c>
      <c r="C644" s="102" t="s">
        <v>473</v>
      </c>
      <c r="D644" s="102"/>
    </row>
    <row r="645" spans="1:10" ht="15.6" x14ac:dyDescent="0.3">
      <c r="A645" s="8" t="s">
        <v>9</v>
      </c>
      <c r="B645" s="16">
        <v>0.14000000000000001</v>
      </c>
      <c r="C645" s="102" t="s">
        <v>837</v>
      </c>
      <c r="D645" s="102"/>
    </row>
    <row r="646" spans="1:10" ht="15.6" x14ac:dyDescent="0.3">
      <c r="A646" s="8" t="s">
        <v>9</v>
      </c>
      <c r="B646" s="16">
        <v>2.5</v>
      </c>
      <c r="C646" s="102" t="s">
        <v>838</v>
      </c>
      <c r="D646" s="102"/>
    </row>
    <row r="647" spans="1:10" ht="15.6" x14ac:dyDescent="0.3">
      <c r="A647" s="103" t="s">
        <v>9</v>
      </c>
      <c r="B647" s="100">
        <f>B643*B644*2+B645*B646</f>
        <v>0.60200000000000009</v>
      </c>
      <c r="C647" s="102"/>
      <c r="D647" s="102"/>
    </row>
    <row r="648" spans="1:10" ht="15.6" x14ac:dyDescent="0.3">
      <c r="A648" s="8"/>
      <c r="B648" s="104"/>
      <c r="C648" s="102"/>
      <c r="D648" s="102"/>
    </row>
    <row r="649" spans="1:10" ht="15.6" x14ac:dyDescent="0.3">
      <c r="A649" s="8"/>
      <c r="B649" s="104"/>
      <c r="C649" s="102"/>
      <c r="D649" s="102"/>
    </row>
    <row r="650" spans="1:10" ht="15.6" x14ac:dyDescent="0.3">
      <c r="A650" s="8"/>
      <c r="B650" s="104"/>
      <c r="C650" s="102"/>
      <c r="D650" s="102"/>
    </row>
    <row r="651" spans="1:10" ht="53.25" customHeight="1" x14ac:dyDescent="0.3">
      <c r="A651" s="172" t="s">
        <v>929</v>
      </c>
      <c r="B651" s="609" t="s">
        <v>282</v>
      </c>
      <c r="C651" s="609"/>
      <c r="D651" s="609"/>
      <c r="E651" s="609"/>
      <c r="F651" s="609"/>
      <c r="G651" s="609"/>
      <c r="H651" s="609"/>
      <c r="I651" s="609"/>
      <c r="J651" s="609"/>
    </row>
    <row r="652" spans="1:10" ht="15.6" x14ac:dyDescent="0.3">
      <c r="A652" s="8" t="s">
        <v>9</v>
      </c>
      <c r="B652" s="16">
        <v>0.9</v>
      </c>
      <c r="C652" s="102" t="s">
        <v>465</v>
      </c>
      <c r="D652" s="102"/>
    </row>
    <row r="653" spans="1:10" ht="15.6" x14ac:dyDescent="0.3">
      <c r="A653" s="8" t="s">
        <v>9</v>
      </c>
      <c r="B653" s="16">
        <v>0.34</v>
      </c>
      <c r="C653" s="102" t="s">
        <v>466</v>
      </c>
      <c r="D653" s="102"/>
    </row>
    <row r="654" spans="1:10" ht="15.6" x14ac:dyDescent="0.3">
      <c r="A654" s="8" t="s">
        <v>9</v>
      </c>
      <c r="B654" s="16">
        <v>2.5</v>
      </c>
      <c r="C654" s="102" t="s">
        <v>838</v>
      </c>
      <c r="D654" s="102"/>
    </row>
    <row r="655" spans="1:10" ht="15.6" x14ac:dyDescent="0.3">
      <c r="A655" s="8" t="s">
        <v>9</v>
      </c>
      <c r="B655" s="16">
        <v>0.34</v>
      </c>
      <c r="C655" s="102" t="s">
        <v>837</v>
      </c>
      <c r="D655" s="102"/>
    </row>
    <row r="656" spans="1:10" ht="15.6" x14ac:dyDescent="0.3">
      <c r="A656" s="103" t="s">
        <v>9</v>
      </c>
      <c r="B656" s="100">
        <f>(B653*B652)*2+B654*B655</f>
        <v>1.4620000000000002</v>
      </c>
      <c r="C656" s="102"/>
      <c r="D656" s="102"/>
    </row>
    <row r="657" spans="1:10" ht="15.6" x14ac:dyDescent="0.3">
      <c r="A657" s="8"/>
      <c r="B657" s="104"/>
      <c r="C657" s="102"/>
      <c r="D657" s="102"/>
    </row>
    <row r="658" spans="1:10" ht="15.6" x14ac:dyDescent="0.3">
      <c r="A658" s="8"/>
      <c r="B658" s="104"/>
      <c r="C658" s="102"/>
      <c r="D658" s="102"/>
    </row>
    <row r="659" spans="1:10" ht="37.5" customHeight="1" x14ac:dyDescent="0.3">
      <c r="A659" s="172" t="s">
        <v>963</v>
      </c>
      <c r="B659" s="609" t="s">
        <v>283</v>
      </c>
      <c r="C659" s="609"/>
      <c r="D659" s="609"/>
      <c r="E659" s="609"/>
      <c r="F659" s="609"/>
      <c r="G659" s="609"/>
      <c r="H659" s="609"/>
      <c r="I659" s="609"/>
      <c r="J659" s="609"/>
    </row>
    <row r="660" spans="1:10" ht="15.6" x14ac:dyDescent="0.3">
      <c r="A660" s="103" t="s">
        <v>9</v>
      </c>
      <c r="B660" s="100">
        <f>B647</f>
        <v>0.60200000000000009</v>
      </c>
      <c r="C660" s="102" t="s">
        <v>467</v>
      </c>
      <c r="D660" s="102"/>
    </row>
    <row r="661" spans="1:10" ht="16.5" customHeight="1" x14ac:dyDescent="0.3">
      <c r="A661" s="172" t="s">
        <v>964</v>
      </c>
      <c r="B661" s="609" t="s">
        <v>407</v>
      </c>
      <c r="C661" s="609"/>
      <c r="D661" s="609"/>
      <c r="E661" s="609"/>
      <c r="F661" s="609"/>
      <c r="G661" s="609"/>
      <c r="H661" s="609"/>
      <c r="I661" s="609"/>
      <c r="J661" s="609"/>
    </row>
    <row r="662" spans="1:10" ht="15.6" x14ac:dyDescent="0.3">
      <c r="A662" s="8" t="s">
        <v>9</v>
      </c>
      <c r="B662" s="16">
        <v>2.5</v>
      </c>
      <c r="C662" s="102" t="s">
        <v>468</v>
      </c>
      <c r="D662" s="102"/>
    </row>
    <row r="663" spans="1:10" ht="15.6" x14ac:dyDescent="0.3">
      <c r="A663" s="8" t="s">
        <v>9</v>
      </c>
      <c r="B663" s="16">
        <v>0.62</v>
      </c>
      <c r="C663" s="102" t="s">
        <v>469</v>
      </c>
      <c r="D663" s="102"/>
    </row>
    <row r="664" spans="1:10" ht="15.6" x14ac:dyDescent="0.3">
      <c r="A664" s="8" t="s">
        <v>9</v>
      </c>
      <c r="B664" s="16">
        <v>0.31</v>
      </c>
      <c r="C664" s="102" t="s">
        <v>470</v>
      </c>
      <c r="D664" s="102"/>
    </row>
    <row r="665" spans="1:10" ht="15.6" x14ac:dyDescent="0.3">
      <c r="A665" s="103" t="s">
        <v>9</v>
      </c>
      <c r="B665" s="100">
        <f>B662*B663*B664*3</f>
        <v>1.4415</v>
      </c>
      <c r="C665" s="102"/>
      <c r="D665" s="102"/>
    </row>
    <row r="666" spans="1:10" ht="15.6" x14ac:dyDescent="0.3">
      <c r="A666" s="8"/>
      <c r="B666" s="104" t="s">
        <v>541</v>
      </c>
      <c r="C666" s="102"/>
      <c r="D666" s="102"/>
    </row>
    <row r="667" spans="1:10" ht="15.6" x14ac:dyDescent="0.3">
      <c r="A667" s="8"/>
      <c r="B667" s="104"/>
      <c r="C667" s="102"/>
      <c r="D667" s="102"/>
    </row>
    <row r="668" spans="1:10" ht="15.6" x14ac:dyDescent="0.3">
      <c r="A668" s="8"/>
      <c r="B668" s="104"/>
      <c r="C668" s="102"/>
      <c r="D668" s="102"/>
    </row>
    <row r="669" spans="1:10" ht="36.75" customHeight="1" x14ac:dyDescent="0.25">
      <c r="A669" s="172" t="s">
        <v>965</v>
      </c>
      <c r="B669" s="610" t="s">
        <v>286</v>
      </c>
      <c r="C669" s="610"/>
      <c r="D669" s="610"/>
      <c r="E669" s="610"/>
      <c r="F669" s="610"/>
      <c r="G669" s="610"/>
      <c r="H669" s="610"/>
      <c r="I669" s="610"/>
      <c r="J669" s="610"/>
    </row>
    <row r="670" spans="1:10" ht="15.6" x14ac:dyDescent="0.3">
      <c r="A670" s="8" t="s">
        <v>9</v>
      </c>
      <c r="B670" s="16">
        <v>2.5</v>
      </c>
      <c r="C670" s="102" t="s">
        <v>468</v>
      </c>
      <c r="D670" s="102"/>
    </row>
    <row r="671" spans="1:10" ht="15.6" x14ac:dyDescent="0.3">
      <c r="A671" s="8" t="s">
        <v>9</v>
      </c>
      <c r="B671" s="16">
        <v>0.62</v>
      </c>
      <c r="C671" s="102" t="s">
        <v>469</v>
      </c>
      <c r="D671" s="102"/>
    </row>
    <row r="672" spans="1:10" ht="15.6" x14ac:dyDescent="0.3">
      <c r="A672" s="103" t="s">
        <v>9</v>
      </c>
      <c r="B672" s="100">
        <f>B670*B671*3</f>
        <v>4.6500000000000004</v>
      </c>
      <c r="C672" s="102"/>
      <c r="D672" s="102"/>
    </row>
    <row r="673" spans="1:10" ht="15.6" x14ac:dyDescent="0.3">
      <c r="A673" s="8"/>
      <c r="B673" s="104" t="s">
        <v>542</v>
      </c>
      <c r="C673" s="102"/>
      <c r="D673" s="102"/>
    </row>
    <row r="674" spans="1:10" ht="15.6" customHeight="1" x14ac:dyDescent="0.25">
      <c r="A674" s="172" t="s">
        <v>966</v>
      </c>
      <c r="B674" s="610" t="s">
        <v>810</v>
      </c>
      <c r="C674" s="610"/>
      <c r="D674" s="610"/>
      <c r="E674" s="610"/>
      <c r="F674" s="610"/>
      <c r="G674" s="610"/>
      <c r="H674" s="610"/>
      <c r="I674" s="610"/>
      <c r="J674" s="610"/>
    </row>
    <row r="675" spans="1:10" ht="15.6" customHeight="1" x14ac:dyDescent="0.3">
      <c r="A675" s="8" t="s">
        <v>815</v>
      </c>
      <c r="B675" s="104" t="s">
        <v>816</v>
      </c>
      <c r="C675" s="102"/>
      <c r="D675" s="102"/>
    </row>
    <row r="676" spans="1:10" ht="15.6" x14ac:dyDescent="0.3">
      <c r="A676" s="8" t="s">
        <v>815</v>
      </c>
      <c r="B676" s="440">
        <f>(((1.15+0.3)*6*4+ (1+0.34+0.3+0.3)*6*3)+((1.71+0.3)*4*4+(2.33+0.3)*4*3+(15+0.6)*4*1+(8+0.6)*4*1))*0.617</f>
        <v>142.05808000000002</v>
      </c>
      <c r="C676" s="102" t="s">
        <v>366</v>
      </c>
      <c r="D676" s="102"/>
    </row>
    <row r="677" spans="1:10" ht="15.6" customHeight="1" x14ac:dyDescent="0.25">
      <c r="A677" s="172" t="s">
        <v>967</v>
      </c>
      <c r="B677" s="610" t="s">
        <v>811</v>
      </c>
      <c r="C677" s="610"/>
      <c r="D677" s="610"/>
      <c r="E677" s="610"/>
      <c r="F677" s="610"/>
      <c r="G677" s="610"/>
      <c r="H677" s="610"/>
      <c r="I677" s="610"/>
      <c r="J677" s="610"/>
    </row>
    <row r="678" spans="1:10" ht="13.2" customHeight="1" x14ac:dyDescent="0.3">
      <c r="A678" s="8" t="s">
        <v>815</v>
      </c>
      <c r="B678" s="104" t="s">
        <v>817</v>
      </c>
      <c r="C678" s="102"/>
      <c r="D678" s="102"/>
    </row>
    <row r="679" spans="1:10" ht="13.2" customHeight="1" x14ac:dyDescent="0.3">
      <c r="A679" s="8" t="s">
        <v>815</v>
      </c>
      <c r="B679" s="104">
        <f>(0.14*0.3*1.15*4)+(0.14*0.3*(1+0.34)*3)+(0.12*0.3*1.71*4)+(0.12*0.3*2.33*3)+15*0.12*0.3+8*0.12*0.3</f>
        <v>1.6879199999999999</v>
      </c>
      <c r="C679" s="102"/>
      <c r="D679" s="102"/>
    </row>
    <row r="680" spans="1:10" ht="13.2" customHeight="1" x14ac:dyDescent="0.25">
      <c r="A680" s="172" t="s">
        <v>968</v>
      </c>
      <c r="B680" s="610" t="s">
        <v>283</v>
      </c>
      <c r="C680" s="610"/>
      <c r="D680" s="610"/>
      <c r="E680" s="610"/>
      <c r="F680" s="610"/>
      <c r="G680" s="610"/>
      <c r="H680" s="610"/>
      <c r="I680" s="610"/>
      <c r="J680" s="610"/>
    </row>
    <row r="681" spans="1:10" ht="13.2" customHeight="1" x14ac:dyDescent="0.3">
      <c r="A681" s="8" t="s">
        <v>815</v>
      </c>
      <c r="B681" s="104" t="str">
        <f>B678</f>
        <v>(0,14*0,3*1,15*4)+(0,14*0,3*(1+0,34)*3)+(0,12*0,3*1,71*4)+(0,12*0,3*2,33*3)+15*0,12*0,3+8*0,12*0,3</v>
      </c>
      <c r="C681" s="102"/>
      <c r="D681" s="102"/>
    </row>
    <row r="682" spans="1:10" ht="13.2" customHeight="1" x14ac:dyDescent="0.3">
      <c r="A682" s="8" t="s">
        <v>815</v>
      </c>
      <c r="B682" s="104">
        <f>B679</f>
        <v>1.6879199999999999</v>
      </c>
      <c r="C682" s="102"/>
      <c r="D682" s="102"/>
    </row>
    <row r="683" spans="1:10" ht="13.2" customHeight="1" x14ac:dyDescent="0.25">
      <c r="A683" s="172" t="s">
        <v>969</v>
      </c>
      <c r="B683" s="610" t="s">
        <v>597</v>
      </c>
      <c r="C683" s="610"/>
      <c r="D683" s="610"/>
      <c r="E683" s="610"/>
      <c r="F683" s="610"/>
      <c r="G683" s="610"/>
      <c r="H683" s="610"/>
      <c r="I683" s="610"/>
      <c r="J683" s="610"/>
    </row>
    <row r="684" spans="1:10" ht="15.6" x14ac:dyDescent="0.3">
      <c r="A684" s="8" t="s">
        <v>815</v>
      </c>
      <c r="B684" s="104" t="s">
        <v>818</v>
      </c>
      <c r="C684" s="102"/>
      <c r="D684" s="102"/>
    </row>
    <row r="685" spans="1:10" ht="15.6" x14ac:dyDescent="0.3">
      <c r="A685" s="8" t="s">
        <v>815</v>
      </c>
      <c r="B685" s="104">
        <f>((0.14+0.3)*2*1.15*4)+((0.14+0.3)*2*(1+0.34)*3)+((0.12+(0.3*2))*1.71*4)+(0.12+(0.3*2))*2.33*3+(8+15)*((0.3*2)+0.12)</f>
        <v>34.103200000000001</v>
      </c>
      <c r="C685" s="102"/>
      <c r="D685" s="102"/>
    </row>
    <row r="686" spans="1:10" ht="15.6" customHeight="1" x14ac:dyDescent="0.25">
      <c r="A686" s="172" t="s">
        <v>970</v>
      </c>
      <c r="B686" s="610" t="s">
        <v>813</v>
      </c>
      <c r="C686" s="610"/>
      <c r="D686" s="610"/>
      <c r="E686" s="610"/>
      <c r="F686" s="610"/>
      <c r="G686" s="610"/>
      <c r="H686" s="610"/>
      <c r="I686" s="610"/>
      <c r="J686" s="610"/>
    </row>
    <row r="687" spans="1:10" ht="39.6" customHeight="1" x14ac:dyDescent="0.3">
      <c r="A687" s="8" t="s">
        <v>815</v>
      </c>
      <c r="B687" s="612" t="s">
        <v>819</v>
      </c>
      <c r="C687" s="612"/>
      <c r="D687" s="612"/>
      <c r="E687" s="612"/>
      <c r="F687" s="612"/>
      <c r="G687" s="612"/>
      <c r="H687" s="612"/>
      <c r="I687" s="612"/>
      <c r="J687" s="612"/>
    </row>
    <row r="688" spans="1:10" ht="15.6" x14ac:dyDescent="0.3">
      <c r="A688" s="8" t="s">
        <v>815</v>
      </c>
      <c r="B688" s="104">
        <f>(((0.14*2+0.3*2)*(1.15/0.15)*4)+((0.14*2+0.3*2)*(1.34/0.15)*3)+((0.12*2+0.3*2)*(1.71/0.15)*4)+((0.12*2+0.3*2)*(2.33/0.15)*3))*0.154</f>
        <v>19.714874666666667</v>
      </c>
      <c r="C688" s="102"/>
      <c r="D688" s="102"/>
    </row>
    <row r="689" spans="1:10" ht="15.6" customHeight="1" x14ac:dyDescent="0.25">
      <c r="A689" s="172" t="s">
        <v>971</v>
      </c>
      <c r="B689" s="610" t="s">
        <v>814</v>
      </c>
      <c r="C689" s="610"/>
      <c r="D689" s="610"/>
      <c r="E689" s="610"/>
      <c r="F689" s="610"/>
      <c r="G689" s="610"/>
      <c r="H689" s="610"/>
      <c r="I689" s="610"/>
      <c r="J689" s="610"/>
    </row>
    <row r="690" spans="1:10" ht="15.6" x14ac:dyDescent="0.3">
      <c r="A690" s="8" t="s">
        <v>815</v>
      </c>
      <c r="B690" s="104" t="s">
        <v>820</v>
      </c>
      <c r="C690" s="102"/>
      <c r="D690" s="102"/>
    </row>
    <row r="691" spans="1:10" ht="15.6" x14ac:dyDescent="0.3">
      <c r="A691" s="8" t="s">
        <v>815</v>
      </c>
      <c r="B691" s="104">
        <f>1.71*14.94+2.33*7.8</f>
        <v>43.721400000000003</v>
      </c>
      <c r="C691" s="102"/>
      <c r="D691" s="102"/>
    </row>
    <row r="692" spans="1:10" s="290" customFormat="1" ht="15.6" x14ac:dyDescent="0.3">
      <c r="A692" s="304" t="s">
        <v>972</v>
      </c>
      <c r="B692" s="305" t="s">
        <v>287</v>
      </c>
      <c r="C692" s="310"/>
      <c r="D692" s="310"/>
      <c r="E692" s="310"/>
    </row>
    <row r="693" spans="1:10" ht="15.6" x14ac:dyDescent="0.3">
      <c r="A693" s="172" t="s">
        <v>973</v>
      </c>
      <c r="B693" s="609" t="s">
        <v>199</v>
      </c>
      <c r="C693" s="609"/>
      <c r="D693" s="609"/>
      <c r="E693" s="609"/>
      <c r="F693" s="609"/>
      <c r="G693" s="609"/>
      <c r="H693" s="609"/>
      <c r="I693" s="609"/>
      <c r="J693" s="609"/>
    </row>
    <row r="694" spans="1:10" ht="15.6" x14ac:dyDescent="0.3">
      <c r="A694" s="8" t="s">
        <v>9</v>
      </c>
      <c r="B694" s="16">
        <v>8</v>
      </c>
      <c r="C694" s="102" t="s">
        <v>474</v>
      </c>
      <c r="D694" s="102"/>
    </row>
    <row r="695" spans="1:10" ht="32.25" customHeight="1" x14ac:dyDescent="0.3">
      <c r="A695" s="172" t="s">
        <v>974</v>
      </c>
      <c r="B695" s="609" t="s">
        <v>785</v>
      </c>
      <c r="C695" s="609"/>
      <c r="D695" s="609"/>
      <c r="E695" s="609"/>
      <c r="F695" s="609"/>
      <c r="G695" s="609"/>
      <c r="H695" s="609"/>
      <c r="I695" s="609"/>
      <c r="J695" s="609"/>
    </row>
    <row r="696" spans="1:10" ht="15.6" x14ac:dyDescent="0.3">
      <c r="A696" s="8" t="s">
        <v>9</v>
      </c>
      <c r="B696" s="16">
        <v>11</v>
      </c>
      <c r="C696" s="102" t="s">
        <v>475</v>
      </c>
      <c r="D696" s="102"/>
    </row>
    <row r="697" spans="1:10" ht="15.6" x14ac:dyDescent="0.3">
      <c r="A697" s="172" t="s">
        <v>975</v>
      </c>
      <c r="B697" s="609" t="s">
        <v>205</v>
      </c>
      <c r="C697" s="609"/>
      <c r="D697" s="609"/>
      <c r="E697" s="609"/>
      <c r="F697" s="609"/>
      <c r="G697" s="609"/>
      <c r="H697" s="609"/>
      <c r="I697" s="609"/>
      <c r="J697" s="609"/>
    </row>
    <row r="698" spans="1:10" ht="15.6" x14ac:dyDescent="0.3">
      <c r="A698" s="8" t="s">
        <v>9</v>
      </c>
      <c r="B698" s="16">
        <v>1</v>
      </c>
      <c r="C698" s="102" t="s">
        <v>476</v>
      </c>
      <c r="D698" s="102"/>
    </row>
    <row r="699" spans="1:10" ht="15.6" x14ac:dyDescent="0.3">
      <c r="A699" s="172" t="s">
        <v>976</v>
      </c>
      <c r="B699" s="609" t="s">
        <v>409</v>
      </c>
      <c r="C699" s="609"/>
      <c r="D699" s="609"/>
      <c r="E699" s="609"/>
      <c r="F699" s="609"/>
      <c r="G699" s="609"/>
      <c r="H699" s="609"/>
      <c r="I699" s="609"/>
      <c r="J699" s="609"/>
    </row>
    <row r="700" spans="1:10" ht="15.6" x14ac:dyDescent="0.3">
      <c r="A700" s="8" t="s">
        <v>9</v>
      </c>
      <c r="B700" s="16">
        <v>20</v>
      </c>
      <c r="C700" s="102" t="s">
        <v>477</v>
      </c>
      <c r="D700" s="102"/>
    </row>
    <row r="701" spans="1:10" ht="15.6" x14ac:dyDescent="0.3">
      <c r="A701" s="172" t="s">
        <v>977</v>
      </c>
      <c r="B701" s="609" t="s">
        <v>208</v>
      </c>
      <c r="C701" s="609"/>
      <c r="D701" s="609"/>
      <c r="E701" s="609"/>
      <c r="F701" s="609"/>
      <c r="G701" s="609"/>
      <c r="H701" s="609"/>
      <c r="I701" s="609"/>
      <c r="J701" s="609"/>
    </row>
    <row r="702" spans="1:10" ht="15.6" x14ac:dyDescent="0.3">
      <c r="A702" s="8" t="s">
        <v>9</v>
      </c>
      <c r="B702" s="16">
        <v>2</v>
      </c>
      <c r="C702" s="102" t="s">
        <v>478</v>
      </c>
      <c r="D702" s="102"/>
    </row>
    <row r="703" spans="1:10" ht="15.6" x14ac:dyDescent="0.3">
      <c r="A703" s="172" t="s">
        <v>978</v>
      </c>
      <c r="B703" s="609" t="s">
        <v>288</v>
      </c>
      <c r="C703" s="609"/>
      <c r="D703" s="609"/>
      <c r="E703" s="609"/>
      <c r="F703" s="609"/>
      <c r="G703" s="609"/>
      <c r="H703" s="609"/>
      <c r="I703" s="609"/>
      <c r="J703" s="609"/>
    </row>
    <row r="704" spans="1:10" ht="15.6" x14ac:dyDescent="0.3">
      <c r="A704" s="8" t="s">
        <v>9</v>
      </c>
      <c r="B704" s="16">
        <v>2</v>
      </c>
      <c r="C704" s="102" t="s">
        <v>479</v>
      </c>
      <c r="D704" s="102"/>
    </row>
    <row r="705" spans="1:10" ht="57" customHeight="1" x14ac:dyDescent="0.25">
      <c r="A705" s="172" t="s">
        <v>979</v>
      </c>
      <c r="B705" s="610" t="s">
        <v>289</v>
      </c>
      <c r="C705" s="610"/>
      <c r="D705" s="610"/>
      <c r="E705" s="610"/>
      <c r="F705" s="610"/>
      <c r="G705" s="610"/>
      <c r="H705" s="610"/>
      <c r="I705" s="610"/>
      <c r="J705" s="610"/>
    </row>
    <row r="706" spans="1:10" ht="15.6" x14ac:dyDescent="0.3">
      <c r="A706" s="8" t="s">
        <v>9</v>
      </c>
      <c r="B706" s="16">
        <v>5</v>
      </c>
      <c r="C706" s="102" t="s">
        <v>480</v>
      </c>
      <c r="D706" s="102"/>
    </row>
    <row r="707" spans="1:10" ht="36.75" customHeight="1" x14ac:dyDescent="0.3">
      <c r="A707" s="172" t="s">
        <v>980</v>
      </c>
      <c r="B707" s="609" t="s">
        <v>782</v>
      </c>
      <c r="C707" s="609"/>
      <c r="D707" s="609"/>
      <c r="E707" s="609"/>
      <c r="F707" s="609"/>
      <c r="G707" s="609"/>
      <c r="H707" s="609"/>
      <c r="I707" s="609"/>
      <c r="J707" s="609"/>
    </row>
    <row r="708" spans="1:10" ht="15.6" x14ac:dyDescent="0.3">
      <c r="A708" s="8" t="s">
        <v>9</v>
      </c>
      <c r="B708" s="16">
        <v>5</v>
      </c>
      <c r="C708" s="102" t="s">
        <v>480</v>
      </c>
      <c r="D708" s="102"/>
    </row>
    <row r="709" spans="1:10" ht="33" customHeight="1" x14ac:dyDescent="0.3">
      <c r="A709" s="172" t="s">
        <v>981</v>
      </c>
      <c r="B709" s="609" t="s">
        <v>291</v>
      </c>
      <c r="C709" s="609"/>
      <c r="D709" s="609"/>
      <c r="E709" s="609"/>
      <c r="F709" s="609"/>
      <c r="G709" s="609"/>
      <c r="H709" s="609"/>
      <c r="I709" s="609"/>
      <c r="J709" s="609"/>
    </row>
    <row r="710" spans="1:10" ht="15.6" x14ac:dyDescent="0.3">
      <c r="A710" s="8" t="s">
        <v>9</v>
      </c>
      <c r="B710" s="16">
        <v>6</v>
      </c>
      <c r="C710" s="102" t="s">
        <v>481</v>
      </c>
      <c r="D710" s="102"/>
    </row>
    <row r="711" spans="1:10" ht="33.75" customHeight="1" x14ac:dyDescent="0.3">
      <c r="A711" s="172" t="s">
        <v>982</v>
      </c>
      <c r="B711" s="609" t="s">
        <v>603</v>
      </c>
      <c r="C711" s="609"/>
      <c r="D711" s="609"/>
      <c r="E711" s="609"/>
      <c r="F711" s="609"/>
      <c r="G711" s="609"/>
      <c r="H711" s="609"/>
      <c r="I711" s="609"/>
      <c r="J711" s="609"/>
    </row>
    <row r="712" spans="1:10" ht="15.6" x14ac:dyDescent="0.3">
      <c r="A712" s="8" t="s">
        <v>9</v>
      </c>
      <c r="B712" s="16">
        <v>62.8</v>
      </c>
      <c r="C712" s="9" t="s">
        <v>604</v>
      </c>
      <c r="D712" s="102"/>
    </row>
    <row r="713" spans="1:10" ht="37.5" customHeight="1" x14ac:dyDescent="0.3">
      <c r="A713" s="172" t="s">
        <v>983</v>
      </c>
      <c r="B713" s="609" t="s">
        <v>600</v>
      </c>
      <c r="C713" s="609"/>
      <c r="D713" s="609"/>
      <c r="E713" s="609"/>
      <c r="F713" s="609"/>
      <c r="G713" s="609"/>
      <c r="H713" s="609"/>
      <c r="I713" s="609"/>
      <c r="J713" s="609"/>
    </row>
    <row r="714" spans="1:10" ht="15.6" x14ac:dyDescent="0.3">
      <c r="A714" s="8" t="s">
        <v>9</v>
      </c>
      <c r="B714" s="16">
        <v>98.2</v>
      </c>
      <c r="C714" s="9" t="s">
        <v>604</v>
      </c>
      <c r="D714" s="102"/>
    </row>
    <row r="715" spans="1:10" ht="36" customHeight="1" x14ac:dyDescent="0.3">
      <c r="A715" s="172" t="s">
        <v>984</v>
      </c>
      <c r="B715" s="609" t="s">
        <v>601</v>
      </c>
      <c r="C715" s="609"/>
      <c r="D715" s="609"/>
      <c r="E715" s="609"/>
      <c r="F715" s="609"/>
      <c r="G715" s="609"/>
      <c r="H715" s="609"/>
      <c r="I715" s="609"/>
      <c r="J715" s="609"/>
    </row>
    <row r="716" spans="1:10" ht="15.6" x14ac:dyDescent="0.3">
      <c r="A716" s="8" t="s">
        <v>9</v>
      </c>
      <c r="B716" s="16">
        <v>115.8</v>
      </c>
      <c r="C716" s="9" t="s">
        <v>604</v>
      </c>
      <c r="D716" s="102"/>
    </row>
    <row r="717" spans="1:10" ht="36.75" customHeight="1" x14ac:dyDescent="0.3">
      <c r="A717" s="172" t="s">
        <v>985</v>
      </c>
      <c r="B717" s="609" t="s">
        <v>602</v>
      </c>
      <c r="C717" s="609"/>
      <c r="D717" s="609"/>
      <c r="E717" s="609"/>
      <c r="F717" s="609"/>
      <c r="G717" s="609"/>
      <c r="H717" s="609"/>
      <c r="I717" s="609"/>
      <c r="J717" s="609"/>
    </row>
    <row r="718" spans="1:10" ht="15.6" x14ac:dyDescent="0.3">
      <c r="A718" s="8" t="s">
        <v>9</v>
      </c>
      <c r="B718" s="16">
        <v>60.5</v>
      </c>
      <c r="C718" s="9" t="s">
        <v>604</v>
      </c>
      <c r="D718" s="102"/>
    </row>
    <row r="719" spans="1:10" ht="15.6" x14ac:dyDescent="0.3">
      <c r="A719" s="172" t="s">
        <v>986</v>
      </c>
      <c r="B719" s="609" t="s">
        <v>605</v>
      </c>
      <c r="C719" s="609"/>
      <c r="D719" s="609"/>
      <c r="E719" s="609"/>
      <c r="F719" s="609"/>
      <c r="G719" s="609"/>
      <c r="H719" s="609"/>
      <c r="I719" s="609"/>
      <c r="J719" s="609"/>
    </row>
    <row r="720" spans="1:10" ht="15.6" x14ac:dyDescent="0.3">
      <c r="A720" s="8" t="s">
        <v>9</v>
      </c>
      <c r="B720" s="16">
        <v>1</v>
      </c>
      <c r="C720" s="9" t="s">
        <v>604</v>
      </c>
      <c r="D720" s="102"/>
    </row>
    <row r="721" spans="1:10" ht="15.6" x14ac:dyDescent="0.3">
      <c r="A721" s="172" t="s">
        <v>987</v>
      </c>
      <c r="B721" s="609" t="s">
        <v>606</v>
      </c>
      <c r="C721" s="609"/>
      <c r="D721" s="609"/>
      <c r="E721" s="609"/>
      <c r="F721" s="609"/>
      <c r="G721" s="609"/>
      <c r="H721" s="609"/>
      <c r="I721" s="609"/>
      <c r="J721" s="609"/>
    </row>
    <row r="722" spans="1:10" ht="15.6" x14ac:dyDescent="0.3">
      <c r="A722" s="8" t="s">
        <v>9</v>
      </c>
      <c r="B722" s="16">
        <v>1</v>
      </c>
      <c r="C722" s="9" t="s">
        <v>604</v>
      </c>
      <c r="D722" s="102"/>
    </row>
    <row r="723" spans="1:10" ht="15.6" x14ac:dyDescent="0.3">
      <c r="A723" s="172" t="s">
        <v>988</v>
      </c>
      <c r="B723" s="609" t="s">
        <v>607</v>
      </c>
      <c r="C723" s="609"/>
      <c r="D723" s="609"/>
      <c r="E723" s="609"/>
      <c r="F723" s="609"/>
      <c r="G723" s="609"/>
      <c r="H723" s="609"/>
      <c r="I723" s="609"/>
      <c r="J723" s="609"/>
    </row>
    <row r="724" spans="1:10" ht="15.6" x14ac:dyDescent="0.3">
      <c r="A724" s="8" t="s">
        <v>9</v>
      </c>
      <c r="B724" s="16">
        <v>1</v>
      </c>
      <c r="C724" s="9" t="s">
        <v>604</v>
      </c>
      <c r="D724" s="102"/>
    </row>
    <row r="725" spans="1:10" ht="35.25" customHeight="1" x14ac:dyDescent="0.3">
      <c r="A725" s="172" t="s">
        <v>989</v>
      </c>
      <c r="B725" s="609" t="s">
        <v>637</v>
      </c>
      <c r="C725" s="609"/>
      <c r="D725" s="609"/>
      <c r="E725" s="609"/>
      <c r="F725" s="609"/>
      <c r="G725" s="609"/>
      <c r="H725" s="609"/>
      <c r="I725" s="609"/>
      <c r="J725" s="609"/>
    </row>
    <row r="726" spans="1:10" ht="15.6" x14ac:dyDescent="0.3">
      <c r="A726" s="8" t="s">
        <v>9</v>
      </c>
      <c r="B726" s="16">
        <v>1</v>
      </c>
      <c r="C726" s="9" t="s">
        <v>604</v>
      </c>
      <c r="D726" s="102"/>
    </row>
    <row r="727" spans="1:10" s="290" customFormat="1" ht="15.6" x14ac:dyDescent="0.3">
      <c r="A727" s="304" t="s">
        <v>990</v>
      </c>
      <c r="B727" s="305" t="s">
        <v>292</v>
      </c>
      <c r="C727" s="310"/>
      <c r="D727" s="310"/>
      <c r="E727" s="310"/>
    </row>
    <row r="728" spans="1:10" ht="30.75" customHeight="1" x14ac:dyDescent="0.3">
      <c r="A728" s="172" t="s">
        <v>962</v>
      </c>
      <c r="B728" s="609" t="s">
        <v>179</v>
      </c>
      <c r="C728" s="609"/>
      <c r="D728" s="609"/>
      <c r="E728" s="609"/>
      <c r="F728" s="609"/>
      <c r="G728" s="609"/>
      <c r="H728" s="609"/>
      <c r="I728" s="609"/>
      <c r="J728" s="609"/>
    </row>
    <row r="729" spans="1:10" ht="15.6" x14ac:dyDescent="0.3">
      <c r="A729" s="8" t="s">
        <v>9</v>
      </c>
      <c r="B729" s="16"/>
      <c r="C729" s="102" t="s">
        <v>311</v>
      </c>
      <c r="D729" s="102"/>
    </row>
    <row r="730" spans="1:10" ht="15.6" x14ac:dyDescent="0.3">
      <c r="A730" s="8" t="s">
        <v>9</v>
      </c>
      <c r="B730" s="16"/>
      <c r="C730" s="102" t="s">
        <v>312</v>
      </c>
      <c r="D730" s="102"/>
    </row>
    <row r="731" spans="1:10" ht="15.6" x14ac:dyDescent="0.3">
      <c r="A731" s="8" t="s">
        <v>9</v>
      </c>
      <c r="B731" s="16">
        <v>0.8</v>
      </c>
      <c r="C731" s="102" t="s">
        <v>313</v>
      </c>
      <c r="D731" s="102"/>
    </row>
    <row r="732" spans="1:10" ht="15.6" x14ac:dyDescent="0.3">
      <c r="A732" s="8" t="s">
        <v>9</v>
      </c>
      <c r="B732" s="16">
        <v>2</v>
      </c>
      <c r="C732" s="102" t="s">
        <v>314</v>
      </c>
      <c r="D732" s="102"/>
    </row>
    <row r="733" spans="1:10" ht="15.6" x14ac:dyDescent="0.3">
      <c r="A733" s="8" t="s">
        <v>9</v>
      </c>
      <c r="B733" s="16">
        <v>0.8</v>
      </c>
      <c r="C733" s="102" t="s">
        <v>315</v>
      </c>
      <c r="D733" s="102"/>
    </row>
    <row r="734" spans="1:10" ht="15.6" x14ac:dyDescent="0.3">
      <c r="A734" s="8" t="s">
        <v>9</v>
      </c>
      <c r="B734" s="16">
        <v>2.1</v>
      </c>
      <c r="C734" s="102" t="s">
        <v>316</v>
      </c>
      <c r="D734" s="102"/>
    </row>
    <row r="735" spans="1:10" ht="15.6" x14ac:dyDescent="0.3">
      <c r="A735" s="8" t="s">
        <v>9</v>
      </c>
      <c r="B735" s="16">
        <v>0.8</v>
      </c>
      <c r="C735" s="102" t="s">
        <v>317</v>
      </c>
      <c r="D735" s="102"/>
    </row>
    <row r="736" spans="1:10" ht="15.6" x14ac:dyDescent="0.3">
      <c r="A736" s="8" t="s">
        <v>9</v>
      </c>
      <c r="B736" s="16">
        <v>2.1</v>
      </c>
      <c r="C736" s="102" t="s">
        <v>318</v>
      </c>
      <c r="D736" s="102"/>
    </row>
    <row r="737" spans="1:10" ht="15.6" x14ac:dyDescent="0.3">
      <c r="A737" s="8" t="s">
        <v>9</v>
      </c>
      <c r="B737" s="16">
        <v>0.8</v>
      </c>
      <c r="C737" s="102" t="s">
        <v>856</v>
      </c>
      <c r="D737" s="102"/>
    </row>
    <row r="738" spans="1:10" ht="15.6" x14ac:dyDescent="0.3">
      <c r="A738" s="8" t="s">
        <v>9</v>
      </c>
      <c r="B738" s="16">
        <v>2</v>
      </c>
      <c r="C738" s="102" t="s">
        <v>857</v>
      </c>
      <c r="D738" s="102"/>
    </row>
    <row r="739" spans="1:10" ht="15.6" x14ac:dyDescent="0.3">
      <c r="A739" s="103" t="s">
        <v>9</v>
      </c>
      <c r="B739" s="100">
        <f>B729*B730+B731*B732*3+B733*B734+B735*B736*6+B737*B738*2</f>
        <v>19.760000000000002</v>
      </c>
      <c r="C739" s="102"/>
      <c r="D739" s="102"/>
    </row>
    <row r="740" spans="1:10" ht="15.6" x14ac:dyDescent="0.3">
      <c r="A740" s="8"/>
      <c r="B740" s="104"/>
      <c r="C740" s="102"/>
      <c r="D740" s="102"/>
    </row>
    <row r="741" spans="1:10" ht="19.5" customHeight="1" x14ac:dyDescent="0.3">
      <c r="A741" s="172" t="s">
        <v>991</v>
      </c>
      <c r="B741" s="609" t="s">
        <v>669</v>
      </c>
      <c r="C741" s="609"/>
      <c r="D741" s="609"/>
      <c r="E741" s="609"/>
      <c r="F741" s="609"/>
      <c r="G741" s="609"/>
      <c r="H741" s="609"/>
      <c r="I741" s="609"/>
      <c r="J741" s="609"/>
    </row>
    <row r="742" spans="1:10" ht="15.6" x14ac:dyDescent="0.3">
      <c r="A742" s="8" t="s">
        <v>9</v>
      </c>
      <c r="B742" s="16">
        <v>2.35</v>
      </c>
      <c r="C742" s="102" t="s">
        <v>320</v>
      </c>
      <c r="D742" s="102"/>
    </row>
    <row r="743" spans="1:10" ht="15.6" x14ac:dyDescent="0.3">
      <c r="A743" s="8" t="s">
        <v>9</v>
      </c>
      <c r="B743" s="16">
        <v>1.65</v>
      </c>
      <c r="C743" s="102" t="s">
        <v>321</v>
      </c>
      <c r="D743" s="102"/>
    </row>
    <row r="744" spans="1:10" ht="15.6" x14ac:dyDescent="0.3">
      <c r="A744" s="8" t="s">
        <v>9</v>
      </c>
      <c r="B744" s="16">
        <v>1.75</v>
      </c>
      <c r="C744" s="102" t="s">
        <v>322</v>
      </c>
      <c r="D744" s="102"/>
    </row>
    <row r="745" spans="1:10" ht="15.6" x14ac:dyDescent="0.3">
      <c r="A745" s="8" t="s">
        <v>9</v>
      </c>
      <c r="B745" s="16">
        <v>1.65</v>
      </c>
      <c r="C745" s="102" t="s">
        <v>323</v>
      </c>
      <c r="D745" s="102"/>
    </row>
    <row r="746" spans="1:10" ht="15.6" x14ac:dyDescent="0.3">
      <c r="A746" s="8" t="s">
        <v>9</v>
      </c>
      <c r="B746" s="16">
        <v>2</v>
      </c>
      <c r="C746" s="102" t="s">
        <v>324</v>
      </c>
      <c r="D746" s="102"/>
    </row>
    <row r="747" spans="1:10" ht="15.6" x14ac:dyDescent="0.3">
      <c r="A747" s="8" t="s">
        <v>9</v>
      </c>
      <c r="B747" s="16">
        <v>1.5</v>
      </c>
      <c r="C747" s="102" t="s">
        <v>325</v>
      </c>
      <c r="D747" s="102"/>
    </row>
    <row r="748" spans="1:10" ht="15.6" x14ac:dyDescent="0.3">
      <c r="A748" s="103" t="s">
        <v>9</v>
      </c>
      <c r="B748" s="100">
        <f>B742*B743*5+B744*B745+B746*B747*3</f>
        <v>31.274999999999999</v>
      </c>
      <c r="C748" s="102"/>
      <c r="D748" s="102"/>
    </row>
    <row r="749" spans="1:10" ht="15.6" x14ac:dyDescent="0.3">
      <c r="A749" s="8"/>
      <c r="B749" s="104" t="s">
        <v>543</v>
      </c>
      <c r="C749" s="102"/>
      <c r="D749" s="102"/>
    </row>
    <row r="750" spans="1:10" ht="18.75" customHeight="1" x14ac:dyDescent="0.3">
      <c r="A750" s="172" t="s">
        <v>992</v>
      </c>
      <c r="B750" s="609" t="s">
        <v>165</v>
      </c>
      <c r="C750" s="609"/>
      <c r="D750" s="609"/>
      <c r="E750" s="609"/>
      <c r="F750" s="609"/>
      <c r="G750" s="609"/>
      <c r="H750" s="609"/>
      <c r="I750" s="609"/>
      <c r="J750" s="609"/>
    </row>
    <row r="751" spans="1:10" ht="15.6" x14ac:dyDescent="0.3">
      <c r="A751" s="8" t="s">
        <v>9</v>
      </c>
      <c r="B751" s="16">
        <v>2.35</v>
      </c>
      <c r="C751" s="102" t="s">
        <v>327</v>
      </c>
      <c r="D751" s="102"/>
    </row>
    <row r="752" spans="1:10" ht="15.6" x14ac:dyDescent="0.3">
      <c r="A752" s="8" t="s">
        <v>9</v>
      </c>
      <c r="B752" s="16">
        <v>1.65</v>
      </c>
      <c r="C752" s="102" t="s">
        <v>328</v>
      </c>
      <c r="D752" s="102"/>
    </row>
    <row r="753" spans="1:10" ht="15.6" x14ac:dyDescent="0.3">
      <c r="A753" s="8" t="s">
        <v>9</v>
      </c>
      <c r="B753" s="16">
        <v>1.75</v>
      </c>
      <c r="C753" s="102" t="s">
        <v>329</v>
      </c>
      <c r="D753" s="102"/>
    </row>
    <row r="754" spans="1:10" ht="15.6" x14ac:dyDescent="0.3">
      <c r="A754" s="8" t="s">
        <v>9</v>
      </c>
      <c r="B754" s="16">
        <v>1.65</v>
      </c>
      <c r="C754" s="102" t="s">
        <v>330</v>
      </c>
      <c r="D754" s="102"/>
    </row>
    <row r="755" spans="1:10" ht="15.6" x14ac:dyDescent="0.3">
      <c r="A755" s="8" t="s">
        <v>9</v>
      </c>
      <c r="B755" s="16">
        <v>2.35</v>
      </c>
      <c r="C755" s="102" t="s">
        <v>331</v>
      </c>
      <c r="D755" s="102"/>
    </row>
    <row r="756" spans="1:10" ht="15.6" x14ac:dyDescent="0.3">
      <c r="A756" s="8" t="s">
        <v>9</v>
      </c>
      <c r="B756" s="16">
        <v>1.65</v>
      </c>
      <c r="C756" s="102" t="s">
        <v>332</v>
      </c>
      <c r="D756" s="102"/>
    </row>
    <row r="757" spans="1:10" ht="15.6" x14ac:dyDescent="0.3">
      <c r="A757" s="8" t="s">
        <v>9</v>
      </c>
      <c r="B757" s="16">
        <v>2.15</v>
      </c>
      <c r="C757" s="102" t="s">
        <v>658</v>
      </c>
      <c r="D757" s="102"/>
    </row>
    <row r="758" spans="1:10" ht="15.6" x14ac:dyDescent="0.3">
      <c r="A758" s="8" t="s">
        <v>9</v>
      </c>
      <c r="B758" s="16">
        <v>2.27</v>
      </c>
      <c r="C758" s="102" t="s">
        <v>659</v>
      </c>
      <c r="D758" s="102"/>
    </row>
    <row r="759" spans="1:10" ht="15.6" x14ac:dyDescent="0.3">
      <c r="A759" s="103" t="s">
        <v>9</v>
      </c>
      <c r="B759" s="100">
        <f>B751*B752*5+B753*B754+B755*B756+B757*B758</f>
        <v>31.033000000000001</v>
      </c>
      <c r="C759" s="102"/>
      <c r="D759" s="102"/>
    </row>
    <row r="760" spans="1:10" ht="15.6" x14ac:dyDescent="0.3">
      <c r="A760" s="8"/>
      <c r="B760" s="104" t="s">
        <v>660</v>
      </c>
      <c r="C760" s="102"/>
      <c r="D760" s="102"/>
    </row>
    <row r="761" spans="1:10" ht="15.6" x14ac:dyDescent="0.3">
      <c r="A761" s="172" t="s">
        <v>993</v>
      </c>
      <c r="B761" s="609" t="s">
        <v>166</v>
      </c>
      <c r="C761" s="609"/>
      <c r="D761" s="609"/>
      <c r="E761" s="609"/>
      <c r="F761" s="609"/>
      <c r="G761" s="609"/>
      <c r="H761" s="609"/>
      <c r="I761" s="609"/>
      <c r="J761" s="609"/>
    </row>
    <row r="762" spans="1:10" ht="15.6" x14ac:dyDescent="0.3">
      <c r="A762" s="8" t="s">
        <v>9</v>
      </c>
      <c r="B762" s="16"/>
      <c r="C762" s="102" t="s">
        <v>311</v>
      </c>
      <c r="D762" s="102"/>
    </row>
    <row r="763" spans="1:10" ht="15.6" x14ac:dyDescent="0.3">
      <c r="A763" s="8" t="s">
        <v>9</v>
      </c>
      <c r="B763" s="16"/>
      <c r="C763" s="102" t="s">
        <v>312</v>
      </c>
      <c r="D763" s="102"/>
    </row>
    <row r="764" spans="1:10" ht="15.6" x14ac:dyDescent="0.3">
      <c r="A764" s="8" t="s">
        <v>9</v>
      </c>
      <c r="B764" s="16">
        <v>0.6</v>
      </c>
      <c r="C764" s="102" t="s">
        <v>333</v>
      </c>
      <c r="D764" s="102"/>
    </row>
    <row r="765" spans="1:10" ht="15.6" x14ac:dyDescent="0.3">
      <c r="A765" s="8" t="s">
        <v>9</v>
      </c>
      <c r="B765" s="16">
        <v>2</v>
      </c>
      <c r="C765" s="102" t="s">
        <v>334</v>
      </c>
      <c r="D765" s="102"/>
    </row>
    <row r="766" spans="1:10" ht="15.6" x14ac:dyDescent="0.3">
      <c r="A766" s="8" t="s">
        <v>9</v>
      </c>
      <c r="B766" s="16">
        <v>0.6</v>
      </c>
      <c r="C766" s="102" t="s">
        <v>315</v>
      </c>
      <c r="D766" s="102"/>
    </row>
    <row r="767" spans="1:10" ht="15.6" x14ac:dyDescent="0.3">
      <c r="A767" s="8" t="s">
        <v>9</v>
      </c>
      <c r="B767" s="16">
        <v>2.1</v>
      </c>
      <c r="C767" s="102" t="s">
        <v>335</v>
      </c>
      <c r="D767" s="102"/>
    </row>
    <row r="768" spans="1:10" ht="15.6" x14ac:dyDescent="0.3">
      <c r="A768" s="8" t="s">
        <v>9</v>
      </c>
      <c r="B768" s="16">
        <v>0.75</v>
      </c>
      <c r="C768" s="102" t="s">
        <v>317</v>
      </c>
      <c r="D768" s="102"/>
    </row>
    <row r="769" spans="1:10" ht="15.6" x14ac:dyDescent="0.3">
      <c r="A769" s="8" t="s">
        <v>9</v>
      </c>
      <c r="B769" s="16">
        <v>2.1</v>
      </c>
      <c r="C769" s="102" t="s">
        <v>318</v>
      </c>
      <c r="D769" s="102"/>
    </row>
    <row r="770" spans="1:10" ht="15.6" x14ac:dyDescent="0.3">
      <c r="A770" s="103" t="s">
        <v>9</v>
      </c>
      <c r="B770" s="100">
        <f>B762*B763+B764*B765+B766*B767+B768*B769*6</f>
        <v>11.91</v>
      </c>
      <c r="C770" s="102"/>
      <c r="D770" s="102"/>
    </row>
    <row r="771" spans="1:10" ht="15.6" x14ac:dyDescent="0.3">
      <c r="A771" s="8"/>
      <c r="B771" s="104"/>
      <c r="C771" s="102"/>
      <c r="D771" s="102"/>
    </row>
    <row r="772" spans="1:10" s="290" customFormat="1" ht="15.6" x14ac:dyDescent="0.3">
      <c r="A772" s="304" t="s">
        <v>994</v>
      </c>
      <c r="B772" s="305" t="s">
        <v>296</v>
      </c>
      <c r="C772" s="310"/>
      <c r="D772" s="310"/>
      <c r="E772" s="310"/>
    </row>
    <row r="773" spans="1:10" ht="46.5" customHeight="1" x14ac:dyDescent="0.3">
      <c r="A773" s="172" t="s">
        <v>995</v>
      </c>
      <c r="B773" s="609" t="s">
        <v>298</v>
      </c>
      <c r="C773" s="609"/>
      <c r="D773" s="609"/>
      <c r="E773" s="609"/>
      <c r="F773" s="609"/>
      <c r="G773" s="609"/>
      <c r="H773" s="609"/>
      <c r="I773" s="609"/>
      <c r="J773" s="609"/>
    </row>
    <row r="774" spans="1:10" ht="15.6" x14ac:dyDescent="0.3">
      <c r="A774" s="8" t="s">
        <v>9</v>
      </c>
      <c r="B774" s="16">
        <f>B631</f>
        <v>144.42000000000002</v>
      </c>
      <c r="C774" s="102" t="s">
        <v>482</v>
      </c>
      <c r="D774" s="102"/>
    </row>
    <row r="775" spans="1:10" ht="15.6" x14ac:dyDescent="0.3">
      <c r="A775" s="103" t="s">
        <v>9</v>
      </c>
      <c r="B775" s="100">
        <f>B774*2</f>
        <v>288.84000000000003</v>
      </c>
      <c r="C775" s="102"/>
      <c r="D775" s="102"/>
    </row>
    <row r="776" spans="1:10" ht="15.6" x14ac:dyDescent="0.3">
      <c r="A776" s="103"/>
      <c r="B776" s="104" t="s">
        <v>545</v>
      </c>
      <c r="C776" s="102"/>
      <c r="D776" s="102"/>
    </row>
    <row r="777" spans="1:10" ht="53.25" customHeight="1" x14ac:dyDescent="0.3">
      <c r="A777" s="172" t="s">
        <v>996</v>
      </c>
      <c r="B777" s="609" t="s">
        <v>247</v>
      </c>
      <c r="C777" s="609"/>
      <c r="D777" s="609"/>
      <c r="E777" s="609"/>
      <c r="F777" s="609"/>
      <c r="G777" s="609"/>
      <c r="H777" s="609"/>
      <c r="I777" s="609"/>
      <c r="J777" s="609"/>
    </row>
    <row r="778" spans="1:10" ht="15.6" x14ac:dyDescent="0.3">
      <c r="A778" s="103" t="s">
        <v>9</v>
      </c>
      <c r="B778" s="100">
        <f>B775</f>
        <v>288.84000000000003</v>
      </c>
      <c r="C778" s="102" t="s">
        <v>484</v>
      </c>
      <c r="D778" s="102"/>
    </row>
    <row r="779" spans="1:10" ht="38.25" customHeight="1" x14ac:dyDescent="0.25">
      <c r="A779" s="172" t="s">
        <v>997</v>
      </c>
      <c r="B779" s="610" t="s">
        <v>235</v>
      </c>
      <c r="C779" s="610"/>
      <c r="D779" s="610"/>
      <c r="E779" s="610"/>
      <c r="F779" s="610"/>
      <c r="G779" s="610"/>
      <c r="H779" s="610"/>
      <c r="I779" s="610"/>
      <c r="J779" s="610"/>
    </row>
    <row r="780" spans="1:10" ht="15.6" x14ac:dyDescent="0.3">
      <c r="A780" s="103" t="s">
        <v>9</v>
      </c>
      <c r="B780" s="100">
        <f>B778</f>
        <v>288.84000000000003</v>
      </c>
      <c r="C780" s="102" t="s">
        <v>483</v>
      </c>
      <c r="D780" s="102"/>
    </row>
    <row r="781" spans="1:10" ht="30" customHeight="1" x14ac:dyDescent="0.25">
      <c r="A781" s="172" t="s">
        <v>998</v>
      </c>
      <c r="B781" s="610" t="s">
        <v>236</v>
      </c>
      <c r="C781" s="610"/>
      <c r="D781" s="610"/>
      <c r="E781" s="610"/>
      <c r="F781" s="610"/>
      <c r="G781" s="610"/>
      <c r="H781" s="610"/>
      <c r="I781" s="610"/>
      <c r="J781" s="610"/>
    </row>
    <row r="782" spans="1:10" s="128" customFormat="1" ht="18" customHeight="1" x14ac:dyDescent="0.25">
      <c r="A782" s="138" t="s">
        <v>9</v>
      </c>
      <c r="B782" s="251">
        <v>7.8</v>
      </c>
      <c r="C782" s="139" t="s">
        <v>546</v>
      </c>
      <c r="D782" s="152"/>
      <c r="E782" s="152"/>
      <c r="F782" s="251"/>
      <c r="G782" s="251"/>
      <c r="H782" s="250"/>
      <c r="I782" s="250"/>
      <c r="J782" s="250"/>
    </row>
    <row r="783" spans="1:10" s="128" customFormat="1" ht="18" customHeight="1" x14ac:dyDescent="0.25">
      <c r="A783" s="138" t="s">
        <v>9</v>
      </c>
      <c r="B783" s="251">
        <v>2</v>
      </c>
      <c r="C783" s="139" t="s">
        <v>547</v>
      </c>
      <c r="D783" s="152"/>
      <c r="E783" s="152"/>
      <c r="F783" s="251"/>
      <c r="G783" s="251"/>
      <c r="H783" s="250"/>
      <c r="I783" s="250"/>
      <c r="J783" s="250"/>
    </row>
    <row r="784" spans="1:10" ht="15.6" x14ac:dyDescent="0.3">
      <c r="A784" s="8" t="s">
        <v>9</v>
      </c>
      <c r="B784" s="230">
        <f>B780</f>
        <v>288.84000000000003</v>
      </c>
      <c r="C784" s="9" t="s">
        <v>485</v>
      </c>
      <c r="D784" s="9"/>
      <c r="E784" s="252"/>
      <c r="F784" s="88"/>
    </row>
    <row r="785" spans="1:10" ht="15.6" x14ac:dyDescent="0.3">
      <c r="A785" s="103" t="s">
        <v>9</v>
      </c>
      <c r="B785" s="242">
        <f>B784+B782*B783</f>
        <v>304.44000000000005</v>
      </c>
      <c r="C785" s="9"/>
      <c r="D785" s="9"/>
      <c r="E785" s="252"/>
      <c r="F785" s="88"/>
    </row>
    <row r="786" spans="1:10" ht="15.6" x14ac:dyDescent="0.3">
      <c r="A786" s="103"/>
      <c r="B786" s="104"/>
      <c r="C786" s="102"/>
      <c r="D786" s="102"/>
    </row>
    <row r="787" spans="1:10" ht="15.6" x14ac:dyDescent="0.25">
      <c r="A787" s="172" t="s">
        <v>999</v>
      </c>
      <c r="B787" s="610" t="s">
        <v>303</v>
      </c>
      <c r="C787" s="610"/>
      <c r="D787" s="610"/>
      <c r="E787" s="610"/>
      <c r="F787" s="610"/>
      <c r="G787" s="610"/>
      <c r="H787" s="610"/>
      <c r="I787" s="610"/>
      <c r="J787" s="610"/>
    </row>
    <row r="788" spans="1:10" ht="15.6" x14ac:dyDescent="0.3">
      <c r="A788" s="8" t="s">
        <v>9</v>
      </c>
      <c r="B788" s="16">
        <v>10.01</v>
      </c>
      <c r="C788" s="102" t="s">
        <v>486</v>
      </c>
      <c r="D788" s="102"/>
    </row>
    <row r="789" spans="1:10" ht="15.6" x14ac:dyDescent="0.3">
      <c r="A789" s="8" t="s">
        <v>9</v>
      </c>
      <c r="B789" s="16">
        <v>6.22</v>
      </c>
      <c r="C789" s="102" t="s">
        <v>487</v>
      </c>
      <c r="D789" s="102"/>
    </row>
    <row r="790" spans="1:10" ht="15.6" x14ac:dyDescent="0.3">
      <c r="A790" s="8" t="s">
        <v>9</v>
      </c>
      <c r="B790" s="16">
        <v>6.22</v>
      </c>
      <c r="C790" s="102" t="s">
        <v>488</v>
      </c>
      <c r="D790" s="102"/>
    </row>
    <row r="791" spans="1:10" ht="15.6" x14ac:dyDescent="0.3">
      <c r="A791" s="8" t="s">
        <v>9</v>
      </c>
      <c r="B791" s="16">
        <v>6.2</v>
      </c>
      <c r="C791" s="102" t="s">
        <v>489</v>
      </c>
      <c r="D791" s="102"/>
    </row>
    <row r="792" spans="1:10" ht="15.6" x14ac:dyDescent="0.3">
      <c r="A792" s="8" t="s">
        <v>9</v>
      </c>
      <c r="B792" s="16">
        <v>1.54</v>
      </c>
      <c r="C792" s="102" t="s">
        <v>839</v>
      </c>
      <c r="D792" s="102"/>
    </row>
    <row r="793" spans="1:10" ht="15.6" x14ac:dyDescent="0.3">
      <c r="A793" s="8" t="s">
        <v>9</v>
      </c>
      <c r="B793" s="16">
        <v>16.21</v>
      </c>
      <c r="C793" s="102" t="s">
        <v>840</v>
      </c>
      <c r="D793" s="102"/>
    </row>
    <row r="794" spans="1:10" ht="15.6" x14ac:dyDescent="0.3">
      <c r="A794" s="8" t="s">
        <v>9</v>
      </c>
      <c r="B794" s="16">
        <f>6.79+6.24*3+5.91</f>
        <v>31.419999999999998</v>
      </c>
      <c r="C794" s="102" t="s">
        <v>841</v>
      </c>
      <c r="D794" s="102"/>
    </row>
    <row r="795" spans="1:10" ht="15.6" x14ac:dyDescent="0.3">
      <c r="A795" s="103" t="s">
        <v>9</v>
      </c>
      <c r="B795" s="100">
        <f>SUM(B788:B794)</f>
        <v>77.819999999999993</v>
      </c>
      <c r="C795" s="102"/>
      <c r="D795" s="102"/>
    </row>
    <row r="796" spans="1:10" ht="15.6" x14ac:dyDescent="0.3">
      <c r="A796" s="8"/>
      <c r="B796" s="104"/>
      <c r="C796" s="102"/>
      <c r="D796" s="102"/>
    </row>
    <row r="797" spans="1:10" ht="30" customHeight="1" x14ac:dyDescent="0.25">
      <c r="A797" s="172" t="s">
        <v>1000</v>
      </c>
      <c r="B797" s="610" t="s">
        <v>238</v>
      </c>
      <c r="C797" s="610"/>
      <c r="D797" s="610"/>
      <c r="E797" s="610"/>
      <c r="F797" s="610"/>
      <c r="G797" s="610"/>
      <c r="H797" s="610"/>
      <c r="I797" s="610"/>
      <c r="J797" s="610"/>
    </row>
    <row r="798" spans="1:10" ht="15.6" x14ac:dyDescent="0.3">
      <c r="A798" s="103" t="s">
        <v>9</v>
      </c>
      <c r="B798" s="100">
        <f>B795</f>
        <v>77.819999999999993</v>
      </c>
      <c r="C798" s="102" t="s">
        <v>485</v>
      </c>
      <c r="D798" s="102"/>
    </row>
    <row r="799" spans="1:10" ht="42" customHeight="1" x14ac:dyDescent="0.25">
      <c r="A799" s="172" t="s">
        <v>1001</v>
      </c>
      <c r="B799" s="610" t="s">
        <v>305</v>
      </c>
      <c r="C799" s="610"/>
      <c r="D799" s="610"/>
      <c r="E799" s="610"/>
      <c r="F799" s="610"/>
      <c r="G799" s="610"/>
      <c r="H799" s="610"/>
      <c r="I799" s="610"/>
      <c r="J799" s="610"/>
    </row>
    <row r="800" spans="1:10" ht="15.6" x14ac:dyDescent="0.3">
      <c r="A800" s="103" t="s">
        <v>9</v>
      </c>
      <c r="B800" s="100">
        <f>B798</f>
        <v>77.819999999999993</v>
      </c>
      <c r="C800" s="102" t="s">
        <v>544</v>
      </c>
      <c r="D800" s="102"/>
    </row>
    <row r="801" spans="1:18" ht="15.6" x14ac:dyDescent="0.3">
      <c r="A801" s="172" t="s">
        <v>1002</v>
      </c>
      <c r="B801" s="609" t="s">
        <v>679</v>
      </c>
      <c r="C801" s="609"/>
      <c r="D801" s="609"/>
      <c r="E801" s="609"/>
      <c r="F801" s="609"/>
      <c r="G801" s="609"/>
      <c r="H801" s="609"/>
      <c r="I801" s="609"/>
      <c r="J801" s="609"/>
    </row>
    <row r="802" spans="1:18" ht="15.6" x14ac:dyDescent="0.3">
      <c r="A802" s="103" t="s">
        <v>9</v>
      </c>
      <c r="B802" s="100">
        <f>2.65*18+26.15-3.41+7.8*3+14.94*3</f>
        <v>138.66</v>
      </c>
      <c r="C802" s="102" t="s">
        <v>842</v>
      </c>
      <c r="D802" s="102"/>
    </row>
    <row r="803" spans="1:18" ht="15.6" x14ac:dyDescent="0.3">
      <c r="A803" s="103"/>
      <c r="B803" s="100"/>
      <c r="C803" s="102" t="s">
        <v>843</v>
      </c>
      <c r="D803" s="102"/>
    </row>
    <row r="804" spans="1:18" s="295" customFormat="1" ht="15.6" x14ac:dyDescent="0.3">
      <c r="A804" s="298" t="s">
        <v>930</v>
      </c>
      <c r="B804" s="299" t="s">
        <v>529</v>
      </c>
      <c r="C804" s="303"/>
      <c r="D804" s="303"/>
      <c r="E804" s="303"/>
    </row>
    <row r="805" spans="1:18" s="233" customFormat="1" ht="36" customHeight="1" x14ac:dyDescent="0.25">
      <c r="A805" s="237" t="s">
        <v>931</v>
      </c>
      <c r="B805" s="617" t="s">
        <v>306</v>
      </c>
      <c r="C805" s="617"/>
      <c r="D805" s="617"/>
      <c r="E805" s="617"/>
      <c r="F805" s="617"/>
      <c r="G805" s="617"/>
      <c r="H805" s="617"/>
      <c r="I805" s="617"/>
      <c r="J805" s="617"/>
      <c r="M805" s="313"/>
    </row>
    <row r="806" spans="1:18" ht="15.6" x14ac:dyDescent="0.25">
      <c r="A806" s="171" t="s">
        <v>9</v>
      </c>
      <c r="B806" s="193">
        <v>55.36</v>
      </c>
      <c r="C806" s="200" t="s">
        <v>490</v>
      </c>
      <c r="D806" s="204"/>
      <c r="E806" s="181"/>
      <c r="F806" s="181"/>
      <c r="G806" s="181"/>
      <c r="H806" s="181"/>
      <c r="I806" s="181"/>
      <c r="J806" s="181"/>
    </row>
    <row r="807" spans="1:18" ht="15.6" x14ac:dyDescent="0.25">
      <c r="A807" s="171" t="s">
        <v>9</v>
      </c>
      <c r="B807" s="193">
        <v>5.0999999999999996</v>
      </c>
      <c r="C807" s="200" t="s">
        <v>491</v>
      </c>
      <c r="D807" s="204"/>
      <c r="E807" s="181"/>
      <c r="F807" s="181"/>
      <c r="G807" s="181"/>
      <c r="H807" s="181"/>
      <c r="I807" s="181"/>
      <c r="J807" s="181"/>
      <c r="O807" s="88"/>
    </row>
    <row r="808" spans="1:18" ht="15.6" x14ac:dyDescent="0.25">
      <c r="A808" s="154" t="s">
        <v>9</v>
      </c>
      <c r="B808" s="191">
        <f>(B806*B807)</f>
        <v>282.33599999999996</v>
      </c>
      <c r="C808" s="204"/>
      <c r="D808" s="204"/>
      <c r="E808" s="181"/>
      <c r="F808" s="181"/>
      <c r="G808" s="181"/>
      <c r="H808" s="181"/>
      <c r="I808" s="181"/>
      <c r="J808" s="181"/>
      <c r="M808" s="34"/>
      <c r="O808" s="248"/>
      <c r="Q808" s="88"/>
    </row>
    <row r="809" spans="1:18" ht="15.6" x14ac:dyDescent="0.3">
      <c r="A809" s="154"/>
      <c r="B809" s="104" t="s">
        <v>558</v>
      </c>
      <c r="C809" s="102"/>
      <c r="D809" s="102"/>
      <c r="F809" s="181"/>
      <c r="G809" s="181"/>
      <c r="H809" s="181"/>
      <c r="I809" s="181"/>
      <c r="J809" s="181"/>
      <c r="M809" s="34"/>
      <c r="O809" s="248"/>
      <c r="Q809" s="88"/>
    </row>
    <row r="810" spans="1:18" s="233" customFormat="1" ht="47.25" customHeight="1" x14ac:dyDescent="0.25">
      <c r="A810" s="237" t="s">
        <v>932</v>
      </c>
      <c r="B810" s="617" t="s">
        <v>563</v>
      </c>
      <c r="C810" s="617"/>
      <c r="D810" s="617"/>
      <c r="E810" s="617"/>
      <c r="F810" s="617"/>
      <c r="G810" s="617"/>
      <c r="H810" s="617"/>
      <c r="I810" s="617"/>
      <c r="J810" s="617"/>
      <c r="R810" s="314"/>
    </row>
    <row r="811" spans="1:18" ht="15.6" x14ac:dyDescent="0.25">
      <c r="A811" s="171" t="s">
        <v>9</v>
      </c>
      <c r="B811" s="193">
        <v>55.36</v>
      </c>
      <c r="C811" s="200" t="s">
        <v>492</v>
      </c>
      <c r="D811" s="204"/>
      <c r="E811" s="181"/>
      <c r="F811" s="181"/>
      <c r="G811" s="181"/>
      <c r="H811" s="181"/>
      <c r="I811" s="181"/>
      <c r="J811" s="181"/>
    </row>
    <row r="812" spans="1:18" ht="15.6" x14ac:dyDescent="0.25">
      <c r="A812" s="154" t="s">
        <v>9</v>
      </c>
      <c r="B812" s="191">
        <f>B811*3</f>
        <v>166.07999999999998</v>
      </c>
      <c r="C812" s="204"/>
      <c r="D812" s="204"/>
      <c r="E812" s="181"/>
      <c r="F812" s="181"/>
      <c r="G812" s="181"/>
      <c r="H812" s="181"/>
      <c r="I812" s="181"/>
      <c r="J812" s="181"/>
      <c r="N812" s="88"/>
    </row>
    <row r="813" spans="1:18" ht="15.6" x14ac:dyDescent="0.3">
      <c r="A813" s="154"/>
      <c r="B813" s="104" t="s">
        <v>559</v>
      </c>
      <c r="C813" s="102"/>
      <c r="D813" s="102"/>
      <c r="E813" s="181"/>
      <c r="F813" s="181"/>
      <c r="G813" s="181"/>
      <c r="H813" s="181"/>
      <c r="I813" s="181"/>
      <c r="J813" s="181"/>
      <c r="N813" s="88"/>
    </row>
    <row r="814" spans="1:18" s="233" customFormat="1" ht="39.75" customHeight="1" x14ac:dyDescent="0.25">
      <c r="A814" s="237" t="s">
        <v>933</v>
      </c>
      <c r="B814" s="617" t="s">
        <v>564</v>
      </c>
      <c r="C814" s="617"/>
      <c r="D814" s="617"/>
      <c r="E814" s="617"/>
      <c r="F814" s="617"/>
      <c r="G814" s="617"/>
      <c r="H814" s="617"/>
      <c r="I814" s="617"/>
      <c r="J814" s="617"/>
    </row>
    <row r="815" spans="1:18" ht="15.6" x14ac:dyDescent="0.25">
      <c r="A815" s="171" t="s">
        <v>9</v>
      </c>
      <c r="B815" s="193">
        <v>5.0999999999999996</v>
      </c>
      <c r="C815" s="200" t="s">
        <v>668</v>
      </c>
      <c r="D815" s="204"/>
      <c r="E815" s="181"/>
      <c r="F815" s="181"/>
      <c r="G815" s="181"/>
      <c r="H815" s="181"/>
      <c r="I815" s="181"/>
      <c r="J815" s="181"/>
      <c r="M815" s="34"/>
    </row>
    <row r="816" spans="1:18" ht="15.6" x14ac:dyDescent="0.25">
      <c r="A816" s="154" t="s">
        <v>9</v>
      </c>
      <c r="B816" s="191">
        <f>B815*11</f>
        <v>56.099999999999994</v>
      </c>
      <c r="C816" s="204"/>
      <c r="D816" s="204"/>
      <c r="E816" s="181"/>
      <c r="F816" s="181"/>
      <c r="G816" s="181"/>
      <c r="H816" s="181"/>
      <c r="I816" s="181"/>
      <c r="J816" s="181"/>
    </row>
    <row r="817" spans="1:18" ht="15.6" x14ac:dyDescent="0.3">
      <c r="A817" s="154"/>
      <c r="B817" s="104" t="s">
        <v>561</v>
      </c>
      <c r="C817" s="102"/>
      <c r="D817" s="102"/>
      <c r="E817" s="181"/>
      <c r="F817" s="181"/>
      <c r="G817" s="181"/>
      <c r="H817" s="181"/>
      <c r="I817" s="181"/>
      <c r="J817" s="181"/>
    </row>
    <row r="818" spans="1:18" s="233" customFormat="1" ht="15.6" x14ac:dyDescent="0.25">
      <c r="A818" s="237" t="s">
        <v>934</v>
      </c>
      <c r="B818" s="617" t="s">
        <v>430</v>
      </c>
      <c r="C818" s="617"/>
      <c r="D818" s="617"/>
      <c r="E818" s="617"/>
      <c r="F818" s="617"/>
      <c r="G818" s="617"/>
      <c r="H818" s="617"/>
      <c r="I818" s="617"/>
      <c r="J818" s="617"/>
      <c r="N818" s="314"/>
    </row>
    <row r="819" spans="1:18" ht="15.6" x14ac:dyDescent="0.25">
      <c r="A819" s="154" t="s">
        <v>9</v>
      </c>
      <c r="B819" s="191">
        <f>12*2*3</f>
        <v>72</v>
      </c>
      <c r="C819" s="200" t="s">
        <v>560</v>
      </c>
      <c r="D819" s="204"/>
      <c r="E819" s="181"/>
      <c r="F819" s="181"/>
      <c r="G819" s="181"/>
      <c r="H819" s="181"/>
      <c r="I819" s="181"/>
      <c r="J819" s="181"/>
      <c r="N819" s="88"/>
    </row>
    <row r="820" spans="1:18" ht="15.6" x14ac:dyDescent="0.3">
      <c r="A820" s="154"/>
      <c r="B820" s="104" t="s">
        <v>562</v>
      </c>
      <c r="C820" s="102"/>
      <c r="D820" s="102"/>
      <c r="E820" s="181"/>
      <c r="F820" s="181"/>
      <c r="G820" s="181"/>
      <c r="H820" s="181"/>
      <c r="I820" s="181"/>
      <c r="J820" s="181"/>
      <c r="N820" s="88"/>
    </row>
    <row r="821" spans="1:18" s="233" customFormat="1" ht="40.5" customHeight="1" x14ac:dyDescent="0.25">
      <c r="A821" s="237" t="s">
        <v>1003</v>
      </c>
      <c r="B821" s="617" t="s">
        <v>420</v>
      </c>
      <c r="C821" s="617"/>
      <c r="D821" s="617"/>
      <c r="E821" s="617"/>
      <c r="F821" s="617"/>
      <c r="G821" s="617"/>
      <c r="H821" s="617"/>
      <c r="I821" s="617"/>
      <c r="J821" s="617"/>
      <c r="N821" s="314"/>
    </row>
    <row r="822" spans="1:18" ht="15.6" x14ac:dyDescent="0.25">
      <c r="A822" s="171" t="s">
        <v>9</v>
      </c>
      <c r="B822" s="253">
        <v>1.6500000000000001E-2</v>
      </c>
      <c r="C822" s="200" t="s">
        <v>652</v>
      </c>
      <c r="E822" s="181"/>
      <c r="F822" s="181"/>
      <c r="G822" s="181"/>
      <c r="H822" s="181"/>
      <c r="I822" s="181"/>
      <c r="J822" s="181"/>
      <c r="M822" s="88"/>
    </row>
    <row r="823" spans="1:18" ht="15.6" x14ac:dyDescent="0.25">
      <c r="A823" s="171" t="s">
        <v>9</v>
      </c>
      <c r="B823" s="193">
        <v>0.25</v>
      </c>
      <c r="C823" s="200" t="s">
        <v>493</v>
      </c>
      <c r="E823" s="181"/>
      <c r="F823" s="181"/>
      <c r="G823" s="181"/>
      <c r="H823" s="181"/>
      <c r="I823" s="181"/>
      <c r="J823" s="181"/>
      <c r="Q823" s="34"/>
      <c r="R823" s="88"/>
    </row>
    <row r="824" spans="1:18" ht="15.6" x14ac:dyDescent="0.25">
      <c r="A824" s="154" t="s">
        <v>9</v>
      </c>
      <c r="B824" s="191">
        <f>((2*3.1415*B822/2)*B823)*72</f>
        <v>0.93302550000000006</v>
      </c>
      <c r="C824" s="200" t="s">
        <v>664</v>
      </c>
      <c r="D824" s="204"/>
      <c r="E824" s="181"/>
      <c r="F824" s="181"/>
      <c r="G824" s="181"/>
      <c r="H824" s="181"/>
      <c r="I824" s="181"/>
      <c r="J824" s="181"/>
      <c r="Q824" s="88"/>
    </row>
    <row r="825" spans="1:18" ht="15.6" x14ac:dyDescent="0.3">
      <c r="A825" s="154"/>
      <c r="B825" s="104" t="s">
        <v>665</v>
      </c>
      <c r="C825" s="102"/>
      <c r="D825" s="102"/>
      <c r="E825" s="181"/>
      <c r="F825" s="181"/>
      <c r="G825" s="181"/>
      <c r="H825" s="181"/>
      <c r="I825" s="181"/>
      <c r="J825" s="181"/>
      <c r="Q825" s="88"/>
    </row>
    <row r="826" spans="1:18" s="233" customFormat="1" ht="15.6" x14ac:dyDescent="0.25">
      <c r="A826" s="237" t="s">
        <v>1004</v>
      </c>
      <c r="B826" s="617" t="s">
        <v>421</v>
      </c>
      <c r="C826" s="617"/>
      <c r="D826" s="617"/>
      <c r="E826" s="617"/>
      <c r="F826" s="617"/>
      <c r="G826" s="617"/>
      <c r="H826" s="617"/>
      <c r="I826" s="617"/>
      <c r="J826" s="617"/>
      <c r="N826" s="314"/>
    </row>
    <row r="827" spans="1:18" ht="15.6" x14ac:dyDescent="0.25">
      <c r="A827" s="171" t="s">
        <v>9</v>
      </c>
      <c r="B827" s="193">
        <f>12*2*3</f>
        <v>72</v>
      </c>
      <c r="C827" s="200" t="s">
        <v>494</v>
      </c>
      <c r="D827" s="204"/>
      <c r="E827" s="181"/>
      <c r="F827" s="181"/>
      <c r="G827" s="181"/>
      <c r="H827" s="181"/>
      <c r="I827" s="181"/>
      <c r="J827" s="181"/>
    </row>
    <row r="828" spans="1:18" ht="15.6" x14ac:dyDescent="0.25">
      <c r="A828" s="171" t="s">
        <v>9</v>
      </c>
      <c r="B828" s="193">
        <v>0.25</v>
      </c>
      <c r="C828" s="200" t="s">
        <v>495</v>
      </c>
      <c r="D828" s="204"/>
      <c r="E828" s="181"/>
      <c r="F828" s="181"/>
      <c r="G828" s="181"/>
      <c r="H828" s="181"/>
      <c r="I828" s="181"/>
      <c r="J828" s="181"/>
    </row>
    <row r="829" spans="1:18" ht="15.6" x14ac:dyDescent="0.25">
      <c r="A829" s="171" t="s">
        <v>9</v>
      </c>
      <c r="B829" s="193">
        <v>0.96299999999999997</v>
      </c>
      <c r="C829" s="200" t="s">
        <v>496</v>
      </c>
      <c r="D829" s="204"/>
      <c r="E829" s="181"/>
      <c r="F829" s="181"/>
      <c r="G829" s="181"/>
      <c r="H829" s="181"/>
      <c r="I829" s="181"/>
      <c r="J829" s="181"/>
    </row>
    <row r="830" spans="1:18" ht="15.6" x14ac:dyDescent="0.3">
      <c r="A830" s="103" t="s">
        <v>9</v>
      </c>
      <c r="B830" s="242">
        <f>B827*B828*B829</f>
        <v>17.334</v>
      </c>
      <c r="C830" s="200"/>
      <c r="D830" s="204"/>
      <c r="E830" s="181"/>
      <c r="F830" s="181"/>
      <c r="G830" s="181"/>
      <c r="H830" s="181"/>
      <c r="I830" s="181"/>
      <c r="J830" s="181"/>
    </row>
    <row r="831" spans="1:18" ht="15.6" x14ac:dyDescent="0.3">
      <c r="A831" s="103"/>
      <c r="B831" s="104" t="s">
        <v>568</v>
      </c>
      <c r="C831" s="102"/>
      <c r="D831" s="102"/>
      <c r="E831" s="181"/>
      <c r="F831" s="181"/>
      <c r="G831" s="181"/>
      <c r="H831" s="181"/>
      <c r="I831" s="181"/>
      <c r="J831" s="181"/>
    </row>
    <row r="832" spans="1:18" s="233" customFormat="1" ht="15.6" x14ac:dyDescent="0.25">
      <c r="A832" s="237" t="s">
        <v>1005</v>
      </c>
      <c r="B832" s="617" t="s">
        <v>358</v>
      </c>
      <c r="C832" s="617"/>
      <c r="D832" s="617"/>
      <c r="E832" s="617"/>
      <c r="F832" s="617"/>
      <c r="G832" s="617"/>
      <c r="H832" s="617"/>
      <c r="I832" s="617"/>
      <c r="J832" s="617"/>
    </row>
    <row r="833" spans="1:12" ht="15.6" x14ac:dyDescent="0.25">
      <c r="A833" s="171" t="s">
        <v>9</v>
      </c>
      <c r="B833" s="193">
        <f>B827/2</f>
        <v>36</v>
      </c>
      <c r="C833" s="200" t="s">
        <v>566</v>
      </c>
      <c r="D833" s="204"/>
      <c r="E833" s="181"/>
      <c r="F833" s="181"/>
      <c r="G833" s="181"/>
      <c r="H833" s="181"/>
      <c r="I833" s="181"/>
      <c r="J833" s="181"/>
    </row>
    <row r="834" spans="1:12" ht="15.6" x14ac:dyDescent="0.25">
      <c r="A834" s="171" t="s">
        <v>9</v>
      </c>
      <c r="B834" s="193">
        <v>0.1</v>
      </c>
      <c r="C834" s="200" t="s">
        <v>554</v>
      </c>
      <c r="D834" s="204"/>
      <c r="E834" s="181"/>
      <c r="F834" s="181"/>
      <c r="G834" s="181"/>
      <c r="H834" s="181"/>
      <c r="I834" s="181"/>
      <c r="J834" s="181"/>
      <c r="L834" s="88"/>
    </row>
    <row r="835" spans="1:12" ht="15.6" x14ac:dyDescent="0.25">
      <c r="A835" s="171" t="s">
        <v>9</v>
      </c>
      <c r="B835" s="193">
        <v>0.15</v>
      </c>
      <c r="C835" s="200" t="s">
        <v>555</v>
      </c>
      <c r="D835" s="204"/>
      <c r="E835" s="181"/>
      <c r="F835" s="181"/>
      <c r="G835" s="181"/>
      <c r="H835" s="181"/>
      <c r="I835" s="181"/>
      <c r="J835" s="181"/>
    </row>
    <row r="836" spans="1:12" ht="15.6" x14ac:dyDescent="0.25">
      <c r="A836" s="171" t="s">
        <v>9</v>
      </c>
      <c r="B836" s="193">
        <v>74.69</v>
      </c>
      <c r="C836" s="200" t="s">
        <v>653</v>
      </c>
      <c r="D836" s="204"/>
      <c r="E836" s="181"/>
      <c r="F836" s="181"/>
      <c r="G836" s="181"/>
      <c r="H836" s="181"/>
      <c r="I836" s="181"/>
      <c r="J836" s="181"/>
    </row>
    <row r="837" spans="1:12" ht="15.6" x14ac:dyDescent="0.3">
      <c r="A837" s="103" t="s">
        <v>9</v>
      </c>
      <c r="B837" s="242">
        <f>B833*B834*B835*B836</f>
        <v>40.332599999999999</v>
      </c>
      <c r="C837" s="200"/>
      <c r="D837" s="204"/>
      <c r="E837" s="181"/>
      <c r="F837" s="181"/>
      <c r="G837" s="181"/>
      <c r="H837" s="181"/>
      <c r="I837" s="181"/>
      <c r="J837" s="181"/>
    </row>
    <row r="838" spans="1:12" ht="15.6" x14ac:dyDescent="0.3">
      <c r="A838" s="103"/>
      <c r="B838" s="104" t="s">
        <v>567</v>
      </c>
      <c r="C838" s="102"/>
      <c r="D838" s="102"/>
      <c r="E838" s="181"/>
      <c r="F838" s="181"/>
      <c r="G838" s="181"/>
      <c r="H838" s="181"/>
      <c r="I838" s="181"/>
      <c r="J838" s="181"/>
    </row>
    <row r="839" spans="1:12" ht="15.6" x14ac:dyDescent="0.3">
      <c r="A839" s="103"/>
      <c r="B839" s="104"/>
      <c r="C839" s="102"/>
      <c r="D839" s="102"/>
      <c r="E839" s="181"/>
      <c r="F839" s="181"/>
      <c r="G839" s="181"/>
      <c r="H839" s="181"/>
      <c r="I839" s="181"/>
      <c r="J839" s="181"/>
    </row>
    <row r="840" spans="1:12" s="233" customFormat="1" ht="32.25" customHeight="1" x14ac:dyDescent="0.25">
      <c r="A840" s="237" t="s">
        <v>1006</v>
      </c>
      <c r="B840" s="617" t="s">
        <v>782</v>
      </c>
      <c r="C840" s="617"/>
      <c r="D840" s="617"/>
      <c r="E840" s="617"/>
      <c r="F840" s="617"/>
      <c r="G840" s="617"/>
      <c r="H840" s="617"/>
      <c r="I840" s="617"/>
      <c r="J840" s="617"/>
    </row>
    <row r="841" spans="1:12" ht="15.6" x14ac:dyDescent="0.25">
      <c r="A841" s="171" t="s">
        <v>9</v>
      </c>
      <c r="B841" s="193">
        <v>12</v>
      </c>
      <c r="C841" s="200" t="s">
        <v>790</v>
      </c>
      <c r="D841" s="204"/>
      <c r="E841" s="181"/>
      <c r="F841" s="181"/>
      <c r="G841" s="181"/>
      <c r="H841" s="181"/>
      <c r="I841" s="181"/>
      <c r="J841" s="181"/>
    </row>
    <row r="842" spans="1:12" ht="15.6" x14ac:dyDescent="0.3">
      <c r="A842" s="103"/>
      <c r="B842" s="242"/>
      <c r="C842" s="200"/>
      <c r="D842" s="204"/>
      <c r="E842" s="181"/>
      <c r="F842" s="181"/>
      <c r="G842" s="181"/>
      <c r="H842" s="181"/>
      <c r="I842" s="181"/>
      <c r="J842" s="181"/>
    </row>
    <row r="843" spans="1:12" ht="15.6" x14ac:dyDescent="0.3">
      <c r="C843" s="102"/>
      <c r="D843" s="102"/>
    </row>
    <row r="844" spans="1:12" ht="15.75" customHeight="1" x14ac:dyDescent="0.3">
      <c r="A844" s="103"/>
      <c r="B844" s="242"/>
      <c r="C844" s="102"/>
      <c r="D844" s="102"/>
    </row>
    <row r="845" spans="1:12" ht="15.6" x14ac:dyDescent="0.3">
      <c r="A845" s="8"/>
      <c r="B845" s="16"/>
      <c r="C845" s="102"/>
      <c r="D845" s="102"/>
    </row>
    <row r="846" spans="1:12" ht="15.6" x14ac:dyDescent="0.3">
      <c r="A846" s="8"/>
      <c r="B846" s="16"/>
      <c r="C846" s="102"/>
      <c r="D846" s="102"/>
    </row>
    <row r="847" spans="1:12" ht="15.6" x14ac:dyDescent="0.3">
      <c r="A847" s="8"/>
      <c r="B847" s="16"/>
      <c r="C847" s="102"/>
      <c r="D847" s="102"/>
    </row>
    <row r="848" spans="1:12" ht="15.6" x14ac:dyDescent="0.3">
      <c r="A848" s="8"/>
      <c r="B848" s="16"/>
      <c r="C848" s="102"/>
      <c r="D848" s="102"/>
    </row>
    <row r="849" spans="1:4" ht="15.6" x14ac:dyDescent="0.3">
      <c r="A849" s="8"/>
      <c r="B849" s="16"/>
      <c r="C849" s="102"/>
      <c r="D849" s="102"/>
    </row>
    <row r="850" spans="1:4" ht="15.6" x14ac:dyDescent="0.3">
      <c r="A850" s="8"/>
      <c r="B850" s="16"/>
      <c r="C850" s="102"/>
      <c r="D850" s="102"/>
    </row>
    <row r="851" spans="1:4" ht="15.6" x14ac:dyDescent="0.3">
      <c r="A851" s="8"/>
      <c r="B851" s="16"/>
      <c r="C851" s="102"/>
      <c r="D851" s="102"/>
    </row>
    <row r="852" spans="1:4" ht="15.6" x14ac:dyDescent="0.3">
      <c r="A852" s="8"/>
      <c r="B852" s="16"/>
      <c r="C852" s="102"/>
      <c r="D852" s="102"/>
    </row>
    <row r="853" spans="1:4" ht="15.6" x14ac:dyDescent="0.3">
      <c r="A853" s="8"/>
      <c r="B853" s="16"/>
      <c r="C853" s="102"/>
      <c r="D853" s="102"/>
    </row>
    <row r="854" spans="1:4" ht="15.6" x14ac:dyDescent="0.3">
      <c r="A854" s="8"/>
      <c r="B854" s="16"/>
      <c r="C854" s="102"/>
      <c r="D854" s="102"/>
    </row>
    <row r="855" spans="1:4" ht="15.6" x14ac:dyDescent="0.3">
      <c r="A855" s="8"/>
      <c r="B855" s="16"/>
      <c r="C855" s="102"/>
      <c r="D855" s="102"/>
    </row>
  </sheetData>
  <mergeCells count="142">
    <mergeCell ref="B840:J840"/>
    <mergeCell ref="C8:E8"/>
    <mergeCell ref="C9:E9"/>
    <mergeCell ref="C7:E7"/>
    <mergeCell ref="C10:J10"/>
    <mergeCell ref="A11:J11"/>
    <mergeCell ref="A7:B7"/>
    <mergeCell ref="A8:B8"/>
    <mergeCell ref="A9:B9"/>
    <mergeCell ref="A10:B10"/>
    <mergeCell ref="B832:J832"/>
    <mergeCell ref="B477:J477"/>
    <mergeCell ref="C483:J483"/>
    <mergeCell ref="B588:J588"/>
    <mergeCell ref="B826:J826"/>
    <mergeCell ref="B313:J313"/>
    <mergeCell ref="B818:J818"/>
    <mergeCell ref="B814:J814"/>
    <mergeCell ref="B118:J118"/>
    <mergeCell ref="B124:J124"/>
    <mergeCell ref="I1:J1"/>
    <mergeCell ref="I2:J2"/>
    <mergeCell ref="H7:J7"/>
    <mergeCell ref="H8:J8"/>
    <mergeCell ref="H9:J9"/>
    <mergeCell ref="B88:J88"/>
    <mergeCell ref="B90:J90"/>
    <mergeCell ref="B92:J92"/>
    <mergeCell ref="B102:J102"/>
    <mergeCell ref="B16:J16"/>
    <mergeCell ref="B19:J19"/>
    <mergeCell ref="B22:J22"/>
    <mergeCell ref="B68:J68"/>
    <mergeCell ref="B70:J70"/>
    <mergeCell ref="B96:J96"/>
    <mergeCell ref="A13:J13"/>
    <mergeCell ref="F7:G7"/>
    <mergeCell ref="B728:J728"/>
    <mergeCell ref="B693:J693"/>
    <mergeCell ref="B705:J705"/>
    <mergeCell ref="B180:J180"/>
    <mergeCell ref="C155:J155"/>
    <mergeCell ref="B170:J170"/>
    <mergeCell ref="B172:J172"/>
    <mergeCell ref="B242:J242"/>
    <mergeCell ref="B270:J270"/>
    <mergeCell ref="B44:J44"/>
    <mergeCell ref="B147:J147"/>
    <mergeCell ref="B176:J176"/>
    <mergeCell ref="B144:J144"/>
    <mergeCell ref="B114:J114"/>
    <mergeCell ref="B106:J106"/>
    <mergeCell ref="B110:J110"/>
    <mergeCell ref="B66:J66"/>
    <mergeCell ref="B805:J805"/>
    <mergeCell ref="B711:J711"/>
    <mergeCell ref="B713:J713"/>
    <mergeCell ref="B715:J715"/>
    <mergeCell ref="B455:J455"/>
    <mergeCell ref="B457:J457"/>
    <mergeCell ref="B303:J303"/>
    <mergeCell ref="B275:J275"/>
    <mergeCell ref="B301:J301"/>
    <mergeCell ref="B361:J361"/>
    <mergeCell ref="B461:J461"/>
    <mergeCell ref="B723:J723"/>
    <mergeCell ref="B725:J725"/>
    <mergeCell ref="C474:J474"/>
    <mergeCell ref="C590:J590"/>
    <mergeCell ref="B661:J661"/>
    <mergeCell ref="A498:A499"/>
    <mergeCell ref="B489:J489"/>
    <mergeCell ref="C498:J499"/>
    <mergeCell ref="B498:B499"/>
    <mergeCell ref="B62:J62"/>
    <mergeCell ref="B821:J821"/>
    <mergeCell ref="B612:J612"/>
    <mergeCell ref="B602:J602"/>
    <mergeCell ref="B633:J633"/>
    <mergeCell ref="B642:J642"/>
    <mergeCell ref="B606:J606"/>
    <mergeCell ref="B74:J74"/>
    <mergeCell ref="B76:J76"/>
    <mergeCell ref="B64:J64"/>
    <mergeCell ref="B94:J94"/>
    <mergeCell ref="B810:J810"/>
    <mergeCell ref="B604:J604"/>
    <mergeCell ref="B707:J707"/>
    <mergeCell ref="B695:J695"/>
    <mergeCell ref="B717:J717"/>
    <mergeCell ref="B719:J719"/>
    <mergeCell ref="B721:J721"/>
    <mergeCell ref="B750:J750"/>
    <mergeCell ref="B797:J797"/>
    <mergeCell ref="B80:J80"/>
    <mergeCell ref="B82:J82"/>
    <mergeCell ref="B116:J116"/>
    <mergeCell ref="B98:J98"/>
    <mergeCell ref="B72:J72"/>
    <mergeCell ref="B703:J703"/>
    <mergeCell ref="B697:J697"/>
    <mergeCell ref="B699:J699"/>
    <mergeCell ref="B669:J669"/>
    <mergeCell ref="C486:J486"/>
    <mergeCell ref="B100:J100"/>
    <mergeCell ref="B84:J84"/>
    <mergeCell ref="B86:J86"/>
    <mergeCell ref="B689:J689"/>
    <mergeCell ref="B687:J687"/>
    <mergeCell ref="B104:J104"/>
    <mergeCell ref="B108:J108"/>
    <mergeCell ref="B112:J112"/>
    <mergeCell ref="B153:J153"/>
    <mergeCell ref="B237:J237"/>
    <mergeCell ref="B239:J239"/>
    <mergeCell ref="B464:J464"/>
    <mergeCell ref="B120:J120"/>
    <mergeCell ref="B78:J78"/>
    <mergeCell ref="B761:J761"/>
    <mergeCell ref="B801:J801"/>
    <mergeCell ref="B709:J709"/>
    <mergeCell ref="B701:J701"/>
    <mergeCell ref="B178:J178"/>
    <mergeCell ref="B674:J674"/>
    <mergeCell ref="B677:J677"/>
    <mergeCell ref="B680:J680"/>
    <mergeCell ref="B683:J683"/>
    <mergeCell ref="B573:J573"/>
    <mergeCell ref="B741:J741"/>
    <mergeCell ref="B182:J182"/>
    <mergeCell ref="B241:J241"/>
    <mergeCell ref="B265:J265"/>
    <mergeCell ref="B651:J651"/>
    <mergeCell ref="B659:J659"/>
    <mergeCell ref="C462:J462"/>
    <mergeCell ref="B686:J686"/>
    <mergeCell ref="B799:J799"/>
    <mergeCell ref="B773:J773"/>
    <mergeCell ref="B777:J777"/>
    <mergeCell ref="B779:J779"/>
    <mergeCell ref="B781:J781"/>
    <mergeCell ref="B787:J787"/>
  </mergeCells>
  <pageMargins left="0.39370078740157483" right="0.39370078740157483" top="0.98425196850393704" bottom="0.98425196850393704" header="0.51181102362204722" footer="0.51181102362204722"/>
  <pageSetup paperSize="9" scale="73"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pageSetUpPr fitToPage="1"/>
  </sheetPr>
  <dimension ref="A1:I1198"/>
  <sheetViews>
    <sheetView showGridLines="0" view="pageBreakPreview" topLeftCell="A5" zoomScaleNormal="90" zoomScaleSheetLayoutView="100" workbookViewId="0">
      <selection activeCell="J10" sqref="J10"/>
    </sheetView>
  </sheetViews>
  <sheetFormatPr defaultRowHeight="13.2" x14ac:dyDescent="0.25"/>
  <cols>
    <col min="1" max="1" width="13.44140625" style="1" customWidth="1"/>
    <col min="2" max="2" width="9.88671875" style="1" customWidth="1"/>
    <col min="3" max="3" width="9.5546875" style="96" customWidth="1"/>
    <col min="4" max="4" width="45.44140625" style="19" customWidth="1"/>
    <col min="5" max="5" width="6.88671875" style="88" customWidth="1"/>
    <col min="6" max="6" width="12.33203125" customWidth="1"/>
    <col min="7" max="7" width="15.88671875" customWidth="1"/>
    <col min="8" max="8" width="16.44140625" style="46" customWidth="1"/>
    <col min="9" max="9" width="15.6640625" style="462" customWidth="1"/>
    <col min="11" max="11" width="12.109375" customWidth="1"/>
  </cols>
  <sheetData>
    <row r="1" spans="1:9" x14ac:dyDescent="0.25">
      <c r="A1" s="272"/>
      <c r="B1" s="273"/>
      <c r="C1" s="274"/>
      <c r="D1" s="388"/>
      <c r="E1" s="275"/>
      <c r="F1" s="269"/>
      <c r="G1" s="648"/>
      <c r="H1" s="649"/>
    </row>
    <row r="2" spans="1:9" x14ac:dyDescent="0.25">
      <c r="A2" s="276"/>
      <c r="G2" s="546"/>
      <c r="H2" s="650"/>
    </row>
    <row r="3" spans="1:9" x14ac:dyDescent="0.25">
      <c r="A3" s="276"/>
    </row>
    <row r="4" spans="1:9" x14ac:dyDescent="0.25">
      <c r="A4" s="276"/>
    </row>
    <row r="5" spans="1:9" ht="13.8" thickBot="1" x14ac:dyDescent="0.3">
      <c r="A5" s="389"/>
      <c r="B5" s="95"/>
      <c r="C5" s="97"/>
      <c r="D5" s="324"/>
      <c r="E5" s="107"/>
      <c r="F5" s="94"/>
      <c r="G5" s="94"/>
      <c r="H5" s="358"/>
    </row>
    <row r="6" spans="1:9" ht="13.8" thickTop="1" x14ac:dyDescent="0.25">
      <c r="A6" s="276"/>
    </row>
    <row r="7" spans="1:9" ht="20.100000000000001" customHeight="1" x14ac:dyDescent="0.25">
      <c r="A7" s="580" t="s">
        <v>336</v>
      </c>
      <c r="B7" s="580"/>
      <c r="C7" s="581" t="s">
        <v>344</v>
      </c>
      <c r="D7" s="581"/>
      <c r="E7" s="256" t="s">
        <v>342</v>
      </c>
      <c r="F7" s="257"/>
      <c r="G7" s="264" t="s">
        <v>343</v>
      </c>
      <c r="H7" s="359"/>
      <c r="I7" s="464"/>
    </row>
    <row r="8" spans="1:9" ht="21.75" customHeight="1" x14ac:dyDescent="0.25">
      <c r="A8" s="580" t="s">
        <v>338</v>
      </c>
      <c r="B8" s="580"/>
      <c r="C8" s="578">
        <f>ORÇAMENTO!C8</f>
        <v>911877.39</v>
      </c>
      <c r="D8" s="578"/>
      <c r="E8" s="257" t="s">
        <v>339</v>
      </c>
      <c r="F8" s="257"/>
      <c r="G8" s="264" t="s">
        <v>340</v>
      </c>
      <c r="H8" s="359"/>
      <c r="I8" s="464"/>
    </row>
    <row r="9" spans="1:9" ht="31.5" customHeight="1" x14ac:dyDescent="0.25">
      <c r="A9" s="583"/>
      <c r="B9" s="583"/>
      <c r="C9" s="578"/>
      <c r="D9" s="578"/>
      <c r="E9" s="257" t="s">
        <v>341</v>
      </c>
      <c r="F9" s="257"/>
      <c r="G9" s="265" t="s">
        <v>337</v>
      </c>
      <c r="H9" s="360"/>
      <c r="I9" s="465"/>
    </row>
    <row r="10" spans="1:9" ht="31.5" customHeight="1" thickBot="1" x14ac:dyDescent="0.3">
      <c r="A10" s="583" t="str">
        <f>ORÇAMENTO!A10</f>
        <v>TOTAL GERAL LOTE 3:</v>
      </c>
      <c r="B10" s="583"/>
      <c r="C10" s="651">
        <f>ORÇAMENTO!C10</f>
        <v>567377.32999999996</v>
      </c>
      <c r="D10" s="652"/>
      <c r="E10" s="428" t="s">
        <v>683</v>
      </c>
      <c r="F10" s="605" t="s">
        <v>935</v>
      </c>
      <c r="G10" s="606"/>
      <c r="H10" s="429">
        <v>44958</v>
      </c>
      <c r="I10" s="466"/>
    </row>
    <row r="11" spans="1:9" ht="20.100000000000001" customHeight="1" thickBot="1" x14ac:dyDescent="0.3">
      <c r="A11" s="653" t="str">
        <f>UPPER("Composições Analíticas com Preço Unitário")</f>
        <v>COMPOSIÇÕES ANALÍTICAS COM PREÇO UNITÁRIO</v>
      </c>
      <c r="B11" s="654"/>
      <c r="C11" s="654"/>
      <c r="D11" s="654"/>
      <c r="E11" s="654"/>
      <c r="F11" s="654"/>
      <c r="G11" s="654"/>
      <c r="H11" s="655"/>
    </row>
    <row r="12" spans="1:9" ht="12" customHeight="1" x14ac:dyDescent="0.25">
      <c r="A12" s="587" t="s">
        <v>789</v>
      </c>
      <c r="B12" s="587"/>
      <c r="C12" s="587"/>
      <c r="D12" s="587"/>
      <c r="E12" s="34"/>
      <c r="F12" s="17"/>
      <c r="G12" s="18" t="s">
        <v>12</v>
      </c>
      <c r="H12" s="361">
        <f>ROUND((BDI!$E$22)*100,2)</f>
        <v>24.91</v>
      </c>
    </row>
    <row r="13" spans="1:9" ht="4.6500000000000004" customHeight="1" thickBot="1" x14ac:dyDescent="0.3">
      <c r="A13" s="390"/>
      <c r="B13"/>
      <c r="C13" s="98"/>
    </row>
    <row r="14" spans="1:9" ht="43.5" customHeight="1" thickTop="1" thickBot="1" x14ac:dyDescent="0.3">
      <c r="A14" s="3" t="s">
        <v>350</v>
      </c>
      <c r="B14" s="3" t="s">
        <v>79</v>
      </c>
      <c r="C14" s="3" t="s">
        <v>10</v>
      </c>
      <c r="D14" s="325" t="s">
        <v>1</v>
      </c>
      <c r="E14" s="108" t="s">
        <v>275</v>
      </c>
      <c r="F14" s="4" t="s">
        <v>3</v>
      </c>
      <c r="G14" s="5" t="s">
        <v>345</v>
      </c>
      <c r="H14" s="5" t="s">
        <v>7</v>
      </c>
    </row>
    <row r="15" spans="1:9" s="295" customFormat="1" ht="18.600000000000001" customHeight="1" thickTop="1" x14ac:dyDescent="0.25">
      <c r="A15" s="656" t="s">
        <v>894</v>
      </c>
      <c r="B15" s="555"/>
      <c r="C15" s="555"/>
      <c r="D15" s="555"/>
      <c r="E15" s="555"/>
      <c r="F15" s="555"/>
      <c r="G15" s="555"/>
      <c r="H15" s="556"/>
      <c r="I15" s="467"/>
    </row>
    <row r="16" spans="1:9" ht="13.8" customHeight="1" x14ac:dyDescent="0.25">
      <c r="A16" s="377" t="s">
        <v>685</v>
      </c>
      <c r="B16" s="377">
        <v>17</v>
      </c>
      <c r="C16" s="641" t="s">
        <v>253</v>
      </c>
      <c r="D16" s="642"/>
      <c r="E16" s="642"/>
      <c r="F16" s="643"/>
      <c r="G16" s="317" t="s">
        <v>275</v>
      </c>
      <c r="H16" s="318">
        <f>ROUND(SUM(H18:H21),2)</f>
        <v>203.07</v>
      </c>
      <c r="I16" s="468"/>
    </row>
    <row r="17" spans="1:8" ht="13.8" x14ac:dyDescent="0.3">
      <c r="A17" s="638" t="s">
        <v>686</v>
      </c>
      <c r="B17" s="639"/>
      <c r="C17" s="639"/>
      <c r="D17" s="640"/>
      <c r="E17" s="635"/>
      <c r="F17" s="636"/>
      <c r="G17" s="636"/>
      <c r="H17" s="637"/>
    </row>
    <row r="18" spans="1:8" ht="13.8" x14ac:dyDescent="0.25">
      <c r="A18" s="315" t="s">
        <v>706</v>
      </c>
      <c r="B18" s="315" t="s">
        <v>11</v>
      </c>
      <c r="C18" s="315">
        <v>88264</v>
      </c>
      <c r="D18" s="326" t="s">
        <v>355</v>
      </c>
      <c r="E18" s="315" t="s">
        <v>351</v>
      </c>
      <c r="F18" s="315">
        <v>0.7</v>
      </c>
      <c r="G18" s="316">
        <v>22.26</v>
      </c>
      <c r="H18" s="316">
        <f>(F18*G18)</f>
        <v>15.582000000000001</v>
      </c>
    </row>
    <row r="19" spans="1:8" ht="13.8" x14ac:dyDescent="0.25">
      <c r="A19" s="315" t="s">
        <v>706</v>
      </c>
      <c r="B19" s="315" t="s">
        <v>11</v>
      </c>
      <c r="C19" s="315">
        <v>88316</v>
      </c>
      <c r="D19" s="327" t="s">
        <v>356</v>
      </c>
      <c r="E19" s="315" t="s">
        <v>351</v>
      </c>
      <c r="F19" s="315">
        <v>0.7</v>
      </c>
      <c r="G19" s="316">
        <v>17.27</v>
      </c>
      <c r="H19" s="316">
        <f>(F19*G19)</f>
        <v>12.088999999999999</v>
      </c>
    </row>
    <row r="20" spans="1:8" ht="13.8" x14ac:dyDescent="0.25">
      <c r="A20" s="638" t="s">
        <v>684</v>
      </c>
      <c r="B20" s="639"/>
      <c r="C20" s="639"/>
      <c r="D20" s="640"/>
      <c r="E20" s="638"/>
      <c r="F20" s="639"/>
      <c r="G20" s="639"/>
      <c r="H20" s="640"/>
    </row>
    <row r="21" spans="1:8" ht="27.6" x14ac:dyDescent="0.25">
      <c r="A21" s="226" t="s">
        <v>348</v>
      </c>
      <c r="B21" s="357" t="s">
        <v>78</v>
      </c>
      <c r="C21" s="226">
        <v>12665</v>
      </c>
      <c r="D21" s="438" t="s">
        <v>698</v>
      </c>
      <c r="E21" s="226" t="s">
        <v>275</v>
      </c>
      <c r="F21" s="226">
        <v>1</v>
      </c>
      <c r="G21" s="337">
        <v>175.4</v>
      </c>
      <c r="H21" s="337">
        <f>(F21*G21)</f>
        <v>175.4</v>
      </c>
    </row>
    <row r="22" spans="1:8" ht="13.8" x14ac:dyDescent="0.25">
      <c r="A22" s="632" t="s">
        <v>779</v>
      </c>
      <c r="B22" s="633"/>
      <c r="C22" s="633"/>
      <c r="D22" s="633"/>
      <c r="E22" s="633"/>
      <c r="F22" s="633"/>
      <c r="G22" s="633"/>
      <c r="H22" s="634"/>
    </row>
    <row r="23" spans="1:8" ht="13.8" x14ac:dyDescent="0.25">
      <c r="A23" s="377" t="s">
        <v>685</v>
      </c>
      <c r="B23" s="377">
        <v>18</v>
      </c>
      <c r="C23" s="644" t="s">
        <v>92</v>
      </c>
      <c r="D23" s="644"/>
      <c r="E23" s="644"/>
      <c r="F23" s="644"/>
      <c r="G23" s="317" t="s">
        <v>275</v>
      </c>
      <c r="H23" s="318">
        <f>ROUND(SUM(H25:H28),2)</f>
        <v>135.61000000000001</v>
      </c>
    </row>
    <row r="24" spans="1:8" ht="13.8" x14ac:dyDescent="0.3">
      <c r="A24" s="638" t="s">
        <v>686</v>
      </c>
      <c r="B24" s="639"/>
      <c r="C24" s="639"/>
      <c r="D24" s="640"/>
      <c r="E24" s="635"/>
      <c r="F24" s="636"/>
      <c r="G24" s="636"/>
      <c r="H24" s="637"/>
    </row>
    <row r="25" spans="1:8" ht="13.8" x14ac:dyDescent="0.25">
      <c r="A25" s="315" t="s">
        <v>706</v>
      </c>
      <c r="B25" s="315" t="s">
        <v>11</v>
      </c>
      <c r="C25">
        <v>88264</v>
      </c>
      <c r="D25" s="326" t="s">
        <v>355</v>
      </c>
      <c r="E25" s="315" t="s">
        <v>351</v>
      </c>
      <c r="F25" s="315">
        <v>0.5</v>
      </c>
      <c r="G25" s="316">
        <v>22.26</v>
      </c>
      <c r="H25" s="316">
        <f>(F25*G25)</f>
        <v>11.13</v>
      </c>
    </row>
    <row r="26" spans="1:8" ht="13.8" x14ac:dyDescent="0.25">
      <c r="A26" s="315" t="s">
        <v>706</v>
      </c>
      <c r="B26" s="315" t="s">
        <v>11</v>
      </c>
      <c r="C26" s="315">
        <v>88316</v>
      </c>
      <c r="D26" s="327" t="s">
        <v>356</v>
      </c>
      <c r="E26" s="315" t="s">
        <v>351</v>
      </c>
      <c r="F26" s="315">
        <v>0.5</v>
      </c>
      <c r="G26" s="316">
        <v>17.27</v>
      </c>
      <c r="H26" s="316">
        <f>(F26*G26)</f>
        <v>8.6349999999999998</v>
      </c>
    </row>
    <row r="27" spans="1:8" ht="13.8" x14ac:dyDescent="0.25">
      <c r="A27" s="638" t="s">
        <v>684</v>
      </c>
      <c r="B27" s="639"/>
      <c r="C27" s="639"/>
      <c r="D27" s="640"/>
      <c r="E27" s="638"/>
      <c r="F27" s="639"/>
      <c r="G27" s="639"/>
      <c r="H27" s="640"/>
    </row>
    <row r="28" spans="1:8" ht="27.6" x14ac:dyDescent="0.25">
      <c r="A28" s="226" t="s">
        <v>348</v>
      </c>
      <c r="B28" s="357" t="s">
        <v>78</v>
      </c>
      <c r="C28" s="226">
        <v>7611</v>
      </c>
      <c r="D28" s="336" t="s">
        <v>699</v>
      </c>
      <c r="E28" s="226" t="s">
        <v>275</v>
      </c>
      <c r="F28" s="226">
        <v>1</v>
      </c>
      <c r="G28" s="337">
        <v>115.84</v>
      </c>
      <c r="H28" s="337">
        <f>(F28*G28)</f>
        <v>115.84</v>
      </c>
    </row>
    <row r="29" spans="1:8" ht="13.8" x14ac:dyDescent="0.25">
      <c r="A29" s="632" t="s">
        <v>780</v>
      </c>
      <c r="B29" s="633"/>
      <c r="C29" s="633"/>
      <c r="D29" s="633"/>
      <c r="E29" s="633"/>
      <c r="F29" s="633"/>
      <c r="G29" s="633"/>
      <c r="H29" s="634"/>
    </row>
    <row r="30" spans="1:8" ht="13.8" x14ac:dyDescent="0.25">
      <c r="A30" s="377" t="s">
        <v>685</v>
      </c>
      <c r="B30" s="377">
        <v>19</v>
      </c>
      <c r="C30" s="644" t="s">
        <v>89</v>
      </c>
      <c r="D30" s="644"/>
      <c r="E30" s="644"/>
      <c r="F30" s="644"/>
      <c r="G30" s="317" t="s">
        <v>275</v>
      </c>
      <c r="H30" s="318">
        <f>ROUND(SUM(H32:H34),2)</f>
        <v>418.7</v>
      </c>
    </row>
    <row r="31" spans="1:8" ht="13.8" x14ac:dyDescent="0.3">
      <c r="A31" s="638" t="s">
        <v>686</v>
      </c>
      <c r="B31" s="639"/>
      <c r="C31" s="639"/>
      <c r="D31" s="640"/>
      <c r="E31" s="635"/>
      <c r="F31" s="636"/>
      <c r="G31" s="636"/>
      <c r="H31" s="637"/>
    </row>
    <row r="32" spans="1:8" ht="13.8" x14ac:dyDescent="0.25">
      <c r="A32" s="315" t="s">
        <v>706</v>
      </c>
      <c r="B32" s="315" t="s">
        <v>11</v>
      </c>
      <c r="C32">
        <v>88264</v>
      </c>
      <c r="D32" s="326" t="s">
        <v>355</v>
      </c>
      <c r="E32" s="315" t="s">
        <v>351</v>
      </c>
      <c r="F32" s="315">
        <v>1</v>
      </c>
      <c r="G32" s="316">
        <v>22.26</v>
      </c>
      <c r="H32" s="316">
        <f>(F32*G32)</f>
        <v>22.26</v>
      </c>
    </row>
    <row r="33" spans="1:9" ht="13.8" x14ac:dyDescent="0.25">
      <c r="A33" s="638" t="s">
        <v>684</v>
      </c>
      <c r="B33" s="639"/>
      <c r="C33" s="639"/>
      <c r="D33" s="640"/>
      <c r="E33" s="638"/>
      <c r="F33" s="639"/>
      <c r="G33" s="639"/>
      <c r="H33" s="640"/>
    </row>
    <row r="34" spans="1:9" ht="27.6" x14ac:dyDescent="0.25">
      <c r="A34" s="226" t="s">
        <v>348</v>
      </c>
      <c r="B34" s="357" t="s">
        <v>78</v>
      </c>
      <c r="C34" s="226">
        <v>7627</v>
      </c>
      <c r="D34" s="336" t="s">
        <v>778</v>
      </c>
      <c r="E34" s="226" t="s">
        <v>275</v>
      </c>
      <c r="F34" s="226">
        <v>1</v>
      </c>
      <c r="G34" s="337">
        <v>396.44</v>
      </c>
      <c r="H34" s="337">
        <f>(F34*G34)</f>
        <v>396.44</v>
      </c>
    </row>
    <row r="35" spans="1:9" ht="13.8" x14ac:dyDescent="0.25">
      <c r="A35" s="632" t="s">
        <v>781</v>
      </c>
      <c r="B35" s="633"/>
      <c r="C35" s="633"/>
      <c r="D35" s="633"/>
      <c r="E35" s="633"/>
      <c r="F35" s="633"/>
      <c r="G35" s="633"/>
      <c r="H35" s="634"/>
    </row>
    <row r="36" spans="1:9" ht="35.25" customHeight="1" x14ac:dyDescent="0.25">
      <c r="A36" s="379" t="s">
        <v>685</v>
      </c>
      <c r="B36" s="379">
        <v>20</v>
      </c>
      <c r="C36" s="630" t="s">
        <v>585</v>
      </c>
      <c r="D36" s="631"/>
      <c r="E36" s="631"/>
      <c r="F36" s="631"/>
      <c r="G36" s="379" t="s">
        <v>276</v>
      </c>
      <c r="H36" s="318">
        <f>ROUND((SUM(H37:H45)),2)</f>
        <v>477.73</v>
      </c>
    </row>
    <row r="37" spans="1:9" ht="27.6" x14ac:dyDescent="0.25">
      <c r="A37" s="213" t="s">
        <v>348</v>
      </c>
      <c r="B37" s="182" t="s">
        <v>11</v>
      </c>
      <c r="C37" s="470">
        <v>11002</v>
      </c>
      <c r="D37" s="329" t="s">
        <v>359</v>
      </c>
      <c r="E37" s="213" t="s">
        <v>363</v>
      </c>
      <c r="F37" s="207">
        <v>0.17199999999999999</v>
      </c>
      <c r="G37" s="316">
        <v>34.130000000000003</v>
      </c>
      <c r="H37" s="316">
        <f t="shared" ref="H37:H45" si="0">F37*G37</f>
        <v>5.8703599999999998</v>
      </c>
    </row>
    <row r="38" spans="1:9" ht="27.6" x14ac:dyDescent="0.25">
      <c r="A38" s="213" t="s">
        <v>348</v>
      </c>
      <c r="B38" s="182" t="s">
        <v>11</v>
      </c>
      <c r="C38" s="469">
        <v>1332</v>
      </c>
      <c r="D38" s="214" t="s">
        <v>358</v>
      </c>
      <c r="E38" s="213" t="s">
        <v>363</v>
      </c>
      <c r="F38" s="207">
        <f>0.045*0.045*7*74.69</f>
        <v>1.0587307500000001</v>
      </c>
      <c r="G38" s="316">
        <v>9.0399999999999991</v>
      </c>
      <c r="H38" s="316">
        <f t="shared" si="0"/>
        <v>9.5709259800000002</v>
      </c>
    </row>
    <row r="39" spans="1:9" ht="41.4" x14ac:dyDescent="0.25">
      <c r="A39" s="213" t="s">
        <v>348</v>
      </c>
      <c r="B39" s="182" t="s">
        <v>11</v>
      </c>
      <c r="C39" s="470">
        <v>11964</v>
      </c>
      <c r="D39" s="329" t="s">
        <v>360</v>
      </c>
      <c r="E39" s="213" t="s">
        <v>290</v>
      </c>
      <c r="F39" s="207">
        <f>3.333*7</f>
        <v>23.331000000000003</v>
      </c>
      <c r="G39" s="316">
        <v>2.5499999999999998</v>
      </c>
      <c r="H39" s="316">
        <f t="shared" si="0"/>
        <v>59.494050000000001</v>
      </c>
    </row>
    <row r="40" spans="1:9" ht="39.6" x14ac:dyDescent="0.25">
      <c r="A40" s="207" t="s">
        <v>348</v>
      </c>
      <c r="B40" s="182" t="s">
        <v>11</v>
      </c>
      <c r="C40" s="207">
        <v>21009</v>
      </c>
      <c r="D40" s="330" t="s">
        <v>730</v>
      </c>
      <c r="E40" s="207" t="s">
        <v>276</v>
      </c>
      <c r="F40" s="207">
        <f>6*1.1</f>
        <v>6.6000000000000005</v>
      </c>
      <c r="G40" s="316">
        <v>26.67</v>
      </c>
      <c r="H40" s="316">
        <f t="shared" si="0"/>
        <v>176.02200000000002</v>
      </c>
    </row>
    <row r="41" spans="1:9" ht="39.6" x14ac:dyDescent="0.25">
      <c r="A41" s="213" t="s">
        <v>348</v>
      </c>
      <c r="B41" s="182" t="s">
        <v>11</v>
      </c>
      <c r="C41" s="470">
        <v>21013</v>
      </c>
      <c r="D41" s="330" t="s">
        <v>361</v>
      </c>
      <c r="E41" s="213" t="s">
        <v>276</v>
      </c>
      <c r="F41" s="207">
        <f>(2.6+1.1+1.1)/2.6</f>
        <v>1.8461538461538463</v>
      </c>
      <c r="G41" s="316">
        <v>75.260000000000005</v>
      </c>
      <c r="H41" s="316">
        <f t="shared" si="0"/>
        <v>138.94153846153847</v>
      </c>
    </row>
    <row r="42" spans="1:9" ht="13.8" x14ac:dyDescent="0.25">
      <c r="A42" s="213" t="s">
        <v>349</v>
      </c>
      <c r="B42" s="182" t="s">
        <v>11</v>
      </c>
      <c r="C42" s="213">
        <v>88317</v>
      </c>
      <c r="D42" s="214" t="s">
        <v>416</v>
      </c>
      <c r="E42" s="213" t="s">
        <v>351</v>
      </c>
      <c r="F42" s="207">
        <v>0.5</v>
      </c>
      <c r="G42" s="316">
        <v>23.5</v>
      </c>
      <c r="H42" s="316">
        <f t="shared" si="0"/>
        <v>11.75</v>
      </c>
    </row>
    <row r="43" spans="1:9" ht="13.8" x14ac:dyDescent="0.25">
      <c r="A43" s="213" t="s">
        <v>349</v>
      </c>
      <c r="B43" s="182" t="s">
        <v>11</v>
      </c>
      <c r="C43" s="470">
        <v>88315</v>
      </c>
      <c r="D43" s="329" t="s">
        <v>362</v>
      </c>
      <c r="E43" s="213" t="s">
        <v>351</v>
      </c>
      <c r="F43" s="207">
        <v>0.5</v>
      </c>
      <c r="G43" s="316">
        <v>21.82</v>
      </c>
      <c r="H43" s="316">
        <f t="shared" si="0"/>
        <v>10.91</v>
      </c>
    </row>
    <row r="44" spans="1:9" ht="13.8" x14ac:dyDescent="0.25">
      <c r="A44" s="213" t="s">
        <v>349</v>
      </c>
      <c r="B44" s="182" t="s">
        <v>11</v>
      </c>
      <c r="C44" s="471">
        <v>88309</v>
      </c>
      <c r="D44" s="214" t="s">
        <v>365</v>
      </c>
      <c r="E44" s="213" t="s">
        <v>351</v>
      </c>
      <c r="F44" s="207">
        <v>1</v>
      </c>
      <c r="G44" s="316">
        <v>22</v>
      </c>
      <c r="H44" s="316">
        <f t="shared" si="0"/>
        <v>22</v>
      </c>
    </row>
    <row r="45" spans="1:9" ht="13.8" x14ac:dyDescent="0.25">
      <c r="A45" s="213" t="s">
        <v>349</v>
      </c>
      <c r="B45" s="182" t="s">
        <v>11</v>
      </c>
      <c r="C45" s="205">
        <v>88316</v>
      </c>
      <c r="D45" s="214" t="s">
        <v>356</v>
      </c>
      <c r="E45" s="213" t="s">
        <v>351</v>
      </c>
      <c r="F45" s="207">
        <v>2.5</v>
      </c>
      <c r="G45" s="316">
        <v>17.27</v>
      </c>
      <c r="H45" s="316">
        <f t="shared" si="0"/>
        <v>43.174999999999997</v>
      </c>
    </row>
    <row r="46" spans="1:9" ht="13.8" x14ac:dyDescent="0.25">
      <c r="A46" s="208"/>
      <c r="B46" s="378"/>
      <c r="C46" s="209"/>
      <c r="D46" s="331" t="s">
        <v>364</v>
      </c>
      <c r="E46" s="209"/>
      <c r="F46" s="210"/>
      <c r="G46" s="211"/>
      <c r="H46" s="212"/>
    </row>
    <row r="47" spans="1:9" ht="13.8" x14ac:dyDescent="0.25">
      <c r="A47" s="377" t="s">
        <v>685</v>
      </c>
      <c r="B47" s="377">
        <v>21</v>
      </c>
      <c r="C47" s="641" t="s">
        <v>625</v>
      </c>
      <c r="D47" s="642"/>
      <c r="E47" s="642"/>
      <c r="F47" s="643"/>
      <c r="G47" s="317" t="s">
        <v>275</v>
      </c>
      <c r="H47" s="318">
        <f>ROUND(SUM(H49:H52),2)</f>
        <v>7.29</v>
      </c>
      <c r="I47" s="486"/>
    </row>
    <row r="48" spans="1:9" ht="13.8" x14ac:dyDescent="0.3">
      <c r="A48" s="638" t="s">
        <v>686</v>
      </c>
      <c r="B48" s="639"/>
      <c r="C48" s="639"/>
      <c r="D48" s="640"/>
      <c r="E48" s="635"/>
      <c r="F48" s="636"/>
      <c r="G48" s="636"/>
      <c r="H48" s="637"/>
      <c r="I48" s="486"/>
    </row>
    <row r="49" spans="1:9" ht="13.8" x14ac:dyDescent="0.25">
      <c r="A49" s="315" t="s">
        <v>706</v>
      </c>
      <c r="B49" s="315" t="s">
        <v>11</v>
      </c>
      <c r="C49">
        <v>88264</v>
      </c>
      <c r="D49" s="326" t="s">
        <v>355</v>
      </c>
      <c r="E49" s="315" t="s">
        <v>351</v>
      </c>
      <c r="F49" s="315">
        <v>0.13</v>
      </c>
      <c r="G49" s="337">
        <v>22.26</v>
      </c>
      <c r="H49" s="316">
        <f>(F49*G49)</f>
        <v>2.8938000000000001</v>
      </c>
      <c r="I49" s="486"/>
    </row>
    <row r="50" spans="1:9" ht="13.8" x14ac:dyDescent="0.25">
      <c r="A50" s="315" t="s">
        <v>706</v>
      </c>
      <c r="B50" s="315" t="s">
        <v>11</v>
      </c>
      <c r="C50" s="315">
        <v>88316</v>
      </c>
      <c r="D50" s="327" t="s">
        <v>356</v>
      </c>
      <c r="E50" s="315" t="s">
        <v>351</v>
      </c>
      <c r="F50" s="315">
        <v>0.13</v>
      </c>
      <c r="G50" s="337">
        <v>17.27</v>
      </c>
      <c r="H50" s="316">
        <f>(F50*G50)</f>
        <v>2.2450999999999999</v>
      </c>
      <c r="I50" s="486"/>
    </row>
    <row r="51" spans="1:9" ht="13.8" x14ac:dyDescent="0.25">
      <c r="A51" s="638" t="s">
        <v>684</v>
      </c>
      <c r="B51" s="639"/>
      <c r="C51" s="639"/>
      <c r="D51" s="640"/>
      <c r="E51" s="638"/>
      <c r="F51" s="639"/>
      <c r="G51" s="639"/>
      <c r="H51" s="640"/>
      <c r="I51" s="486"/>
    </row>
    <row r="52" spans="1:9" ht="13.8" x14ac:dyDescent="0.25">
      <c r="A52" s="226" t="s">
        <v>348</v>
      </c>
      <c r="B52" s="357" t="s">
        <v>776</v>
      </c>
      <c r="C52" s="226">
        <v>12134</v>
      </c>
      <c r="D52" s="336" t="s">
        <v>715</v>
      </c>
      <c r="E52" s="226" t="s">
        <v>275</v>
      </c>
      <c r="F52" s="226">
        <v>1</v>
      </c>
      <c r="G52" s="337">
        <v>2.15</v>
      </c>
      <c r="H52" s="316">
        <f>(F52*G52)</f>
        <v>2.15</v>
      </c>
      <c r="I52" s="486"/>
    </row>
    <row r="53" spans="1:9" ht="13.8" x14ac:dyDescent="0.25">
      <c r="A53" s="632" t="s">
        <v>777</v>
      </c>
      <c r="B53" s="633"/>
      <c r="C53" s="633"/>
      <c r="D53" s="633"/>
      <c r="E53" s="633"/>
      <c r="F53" s="633"/>
      <c r="G53" s="633"/>
      <c r="H53" s="634"/>
      <c r="I53" s="486"/>
    </row>
    <row r="54" spans="1:9" ht="13.8" x14ac:dyDescent="0.25">
      <c r="A54" s="208"/>
      <c r="B54" s="488"/>
      <c r="C54" s="209"/>
      <c r="D54" s="331"/>
      <c r="E54" s="209"/>
      <c r="F54" s="210"/>
      <c r="G54" s="498"/>
      <c r="H54" s="499"/>
      <c r="I54" s="486"/>
    </row>
    <row r="55" spans="1:9" ht="27.6" customHeight="1" x14ac:dyDescent="0.25">
      <c r="A55" s="377" t="s">
        <v>685</v>
      </c>
      <c r="B55" s="377">
        <v>22</v>
      </c>
      <c r="C55" s="644" t="s">
        <v>637</v>
      </c>
      <c r="D55" s="644"/>
      <c r="E55" s="644"/>
      <c r="F55" s="644"/>
      <c r="G55" s="317" t="s">
        <v>275</v>
      </c>
      <c r="H55" s="318">
        <f>ROUND(SUM(H57:H62),2)</f>
        <v>228.74</v>
      </c>
    </row>
    <row r="56" spans="1:9" ht="13.8" x14ac:dyDescent="0.3">
      <c r="A56" s="638" t="s">
        <v>686</v>
      </c>
      <c r="B56" s="639"/>
      <c r="C56" s="639"/>
      <c r="D56" s="640"/>
      <c r="E56" s="635"/>
      <c r="F56" s="636"/>
      <c r="G56" s="636"/>
      <c r="H56" s="637"/>
    </row>
    <row r="57" spans="1:9" ht="13.8" x14ac:dyDescent="0.25">
      <c r="A57" s="315" t="s">
        <v>706</v>
      </c>
      <c r="B57" s="315" t="s">
        <v>11</v>
      </c>
      <c r="C57" s="315">
        <v>88309</v>
      </c>
      <c r="D57" s="326" t="s">
        <v>707</v>
      </c>
      <c r="E57" s="315" t="s">
        <v>351</v>
      </c>
      <c r="F57" s="315">
        <v>0.4</v>
      </c>
      <c r="G57" s="337">
        <v>22</v>
      </c>
      <c r="H57" s="316">
        <f>(F57*G57)</f>
        <v>8.8000000000000007</v>
      </c>
    </row>
    <row r="58" spans="1:9" ht="13.8" x14ac:dyDescent="0.25">
      <c r="A58" s="315" t="s">
        <v>706</v>
      </c>
      <c r="B58" s="315" t="s">
        <v>11</v>
      </c>
      <c r="C58" s="315">
        <v>88316</v>
      </c>
      <c r="D58" s="327" t="s">
        <v>356</v>
      </c>
      <c r="E58" s="315" t="s">
        <v>351</v>
      </c>
      <c r="F58" s="315">
        <v>0.6</v>
      </c>
      <c r="G58" s="337">
        <v>17.27</v>
      </c>
      <c r="H58" s="316">
        <f>(F58*G58)</f>
        <v>10.362</v>
      </c>
    </row>
    <row r="59" spans="1:9" ht="13.8" x14ac:dyDescent="0.25">
      <c r="A59" s="315" t="s">
        <v>706</v>
      </c>
      <c r="B59" s="315" t="s">
        <v>11</v>
      </c>
      <c r="C59">
        <v>88264</v>
      </c>
      <c r="D59" s="326" t="s">
        <v>355</v>
      </c>
      <c r="E59" s="315" t="s">
        <v>351</v>
      </c>
      <c r="F59" s="315">
        <v>1.6</v>
      </c>
      <c r="G59" s="337">
        <v>22.26</v>
      </c>
      <c r="H59" s="316">
        <f>(F59*G59)</f>
        <v>35.616000000000007</v>
      </c>
    </row>
    <row r="60" spans="1:9" ht="13.8" x14ac:dyDescent="0.25">
      <c r="A60" s="638" t="s">
        <v>684</v>
      </c>
      <c r="B60" s="639"/>
      <c r="C60" s="639"/>
      <c r="D60" s="640"/>
      <c r="E60" s="638"/>
      <c r="F60" s="639"/>
      <c r="G60" s="639"/>
      <c r="H60" s="640"/>
    </row>
    <row r="61" spans="1:9" ht="13.8" customHeight="1" x14ac:dyDescent="0.25">
      <c r="A61" s="226" t="s">
        <v>706</v>
      </c>
      <c r="B61" s="226" t="s">
        <v>11</v>
      </c>
      <c r="C61" s="226">
        <v>87296</v>
      </c>
      <c r="D61" s="336" t="s">
        <v>701</v>
      </c>
      <c r="E61" s="226" t="s">
        <v>581</v>
      </c>
      <c r="F61" s="226">
        <v>4.0000000000000001E-3</v>
      </c>
      <c r="G61" s="337">
        <v>456.41</v>
      </c>
      <c r="H61" s="316">
        <f>(F61*G61)</f>
        <v>1.8256400000000002</v>
      </c>
    </row>
    <row r="62" spans="1:9" ht="24.75" customHeight="1" x14ac:dyDescent="0.25">
      <c r="A62" s="226" t="s">
        <v>348</v>
      </c>
      <c r="B62" s="373" t="s">
        <v>11</v>
      </c>
      <c r="C62" s="226">
        <v>39805</v>
      </c>
      <c r="D62" s="336" t="s">
        <v>775</v>
      </c>
      <c r="E62" s="226" t="s">
        <v>275</v>
      </c>
      <c r="F62" s="226">
        <v>1</v>
      </c>
      <c r="G62" s="337">
        <v>172.14</v>
      </c>
      <c r="H62" s="337">
        <f>(F62*G62)</f>
        <v>172.14</v>
      </c>
    </row>
    <row r="63" spans="1:9" ht="13.8" x14ac:dyDescent="0.25">
      <c r="A63" s="632" t="s">
        <v>788</v>
      </c>
      <c r="B63" s="633"/>
      <c r="C63" s="633"/>
      <c r="D63" s="633"/>
      <c r="E63" s="633"/>
      <c r="F63" s="633"/>
      <c r="G63" s="633"/>
      <c r="H63" s="634"/>
    </row>
    <row r="64" spans="1:9" ht="13.8" x14ac:dyDescent="0.25">
      <c r="A64" s="377" t="s">
        <v>685</v>
      </c>
      <c r="B64" s="377">
        <v>23</v>
      </c>
      <c r="C64" s="644" t="s">
        <v>579</v>
      </c>
      <c r="D64" s="644"/>
      <c r="E64" s="644"/>
      <c r="F64" s="644"/>
      <c r="G64" s="317" t="s">
        <v>581</v>
      </c>
      <c r="H64" s="318">
        <f>ROUND(SUM(H66:H68),2)</f>
        <v>17.27</v>
      </c>
      <c r="I64" s="486"/>
    </row>
    <row r="65" spans="1:9" ht="13.8" x14ac:dyDescent="0.3">
      <c r="A65" s="638" t="s">
        <v>686</v>
      </c>
      <c r="B65" s="639"/>
      <c r="C65" s="639"/>
      <c r="D65" s="640"/>
      <c r="E65" s="635"/>
      <c r="F65" s="636"/>
      <c r="G65" s="636"/>
      <c r="H65" s="637"/>
      <c r="I65" s="486"/>
    </row>
    <row r="66" spans="1:9" ht="13.8" x14ac:dyDescent="0.25">
      <c r="A66" s="315" t="s">
        <v>706</v>
      </c>
      <c r="B66" s="315" t="s">
        <v>11</v>
      </c>
      <c r="C66" s="315">
        <v>88316</v>
      </c>
      <c r="D66" s="327" t="s">
        <v>356</v>
      </c>
      <c r="E66" s="315" t="s">
        <v>351</v>
      </c>
      <c r="F66" s="315">
        <v>1</v>
      </c>
      <c r="G66" s="337">
        <v>17.27</v>
      </c>
      <c r="H66" s="316">
        <f>(F66*G66)</f>
        <v>17.27</v>
      </c>
      <c r="I66" s="486"/>
    </row>
    <row r="67" spans="1:9" ht="13.8" x14ac:dyDescent="0.25">
      <c r="A67" s="638" t="s">
        <v>684</v>
      </c>
      <c r="B67" s="639"/>
      <c r="C67" s="639"/>
      <c r="D67" s="640"/>
      <c r="E67" s="638"/>
      <c r="F67" s="639"/>
      <c r="G67" s="639"/>
      <c r="H67" s="640"/>
      <c r="I67" s="486"/>
    </row>
    <row r="68" spans="1:9" ht="13.8" x14ac:dyDescent="0.25">
      <c r="A68" s="333"/>
      <c r="B68" s="333"/>
      <c r="C68" s="333"/>
      <c r="D68" s="334"/>
      <c r="E68" s="333"/>
      <c r="F68" s="333"/>
      <c r="G68" s="335"/>
      <c r="H68" s="335"/>
      <c r="I68" s="486"/>
    </row>
    <row r="69" spans="1:9" ht="13.8" x14ac:dyDescent="0.25">
      <c r="A69" s="632" t="s">
        <v>708</v>
      </c>
      <c r="B69" s="633"/>
      <c r="C69" s="633"/>
      <c r="D69" s="633"/>
      <c r="E69" s="633"/>
      <c r="F69" s="633"/>
      <c r="G69" s="633"/>
      <c r="H69" s="634"/>
      <c r="I69" s="486"/>
    </row>
    <row r="70" spans="1:9" ht="13.8" x14ac:dyDescent="0.25">
      <c r="A70" s="377" t="s">
        <v>685</v>
      </c>
      <c r="B70" s="377">
        <v>24</v>
      </c>
      <c r="C70" s="644" t="s">
        <v>702</v>
      </c>
      <c r="D70" s="644"/>
      <c r="E70" s="644"/>
      <c r="F70" s="644"/>
      <c r="G70" s="317" t="s">
        <v>582</v>
      </c>
      <c r="H70" s="318">
        <f>ROUND(SUM(H72:H74),2)</f>
        <v>3.5</v>
      </c>
      <c r="I70" s="486"/>
    </row>
    <row r="71" spans="1:9" ht="13.8" x14ac:dyDescent="0.3">
      <c r="A71" s="638" t="s">
        <v>686</v>
      </c>
      <c r="B71" s="639"/>
      <c r="C71" s="639"/>
      <c r="D71" s="640"/>
      <c r="E71" s="635"/>
      <c r="F71" s="636"/>
      <c r="G71" s="636"/>
      <c r="H71" s="637"/>
      <c r="I71" s="486"/>
    </row>
    <row r="72" spans="1:9" ht="13.8" x14ac:dyDescent="0.25">
      <c r="A72" s="315" t="s">
        <v>706</v>
      </c>
      <c r="B72" s="315" t="s">
        <v>11</v>
      </c>
      <c r="C72" s="315">
        <v>88310</v>
      </c>
      <c r="D72" s="326" t="s">
        <v>704</v>
      </c>
      <c r="E72" s="315" t="s">
        <v>351</v>
      </c>
      <c r="F72" s="315">
        <v>0.14000000000000001</v>
      </c>
      <c r="G72" s="337">
        <v>23.21</v>
      </c>
      <c r="H72" s="316">
        <f>(F72*G72)</f>
        <v>3.2494000000000005</v>
      </c>
      <c r="I72" s="486"/>
    </row>
    <row r="73" spans="1:9" ht="13.8" x14ac:dyDescent="0.25">
      <c r="A73" s="638" t="s">
        <v>684</v>
      </c>
      <c r="B73" s="639"/>
      <c r="C73" s="639"/>
      <c r="D73" s="640"/>
      <c r="E73" s="638"/>
      <c r="F73" s="639"/>
      <c r="G73" s="639"/>
      <c r="H73" s="640"/>
      <c r="I73" s="486"/>
    </row>
    <row r="74" spans="1:9" ht="27.6" x14ac:dyDescent="0.25">
      <c r="A74" s="226" t="s">
        <v>348</v>
      </c>
      <c r="B74" s="226" t="s">
        <v>11</v>
      </c>
      <c r="C74" s="226">
        <v>3767</v>
      </c>
      <c r="D74" s="336" t="s">
        <v>705</v>
      </c>
      <c r="E74" s="226" t="s">
        <v>275</v>
      </c>
      <c r="F74" s="226">
        <v>0.25</v>
      </c>
      <c r="G74" s="337">
        <v>1.01</v>
      </c>
      <c r="H74" s="316">
        <f>(F74*G74)</f>
        <v>0.2525</v>
      </c>
      <c r="I74" s="486"/>
    </row>
    <row r="75" spans="1:9" ht="13.8" x14ac:dyDescent="0.25">
      <c r="A75" s="632" t="s">
        <v>703</v>
      </c>
      <c r="B75" s="633"/>
      <c r="C75" s="633"/>
      <c r="D75" s="633"/>
      <c r="E75" s="633"/>
      <c r="F75" s="633"/>
      <c r="G75" s="633"/>
      <c r="H75" s="634"/>
      <c r="I75" s="486"/>
    </row>
    <row r="76" spans="1:9" ht="13.8" x14ac:dyDescent="0.25">
      <c r="A76" s="379" t="s">
        <v>685</v>
      </c>
      <c r="B76" s="379">
        <v>25</v>
      </c>
      <c r="C76" s="630" t="s">
        <v>377</v>
      </c>
      <c r="D76" s="631"/>
      <c r="E76" s="631"/>
      <c r="F76" s="631"/>
      <c r="G76" s="379" t="s">
        <v>425</v>
      </c>
      <c r="H76" s="318">
        <f>ROUND((SUM(H77:H81)),2)</f>
        <v>78.23</v>
      </c>
    </row>
    <row r="77" spans="1:9" ht="27.6" x14ac:dyDescent="0.25">
      <c r="A77" s="213" t="s">
        <v>349</v>
      </c>
      <c r="B77" s="182" t="s">
        <v>11</v>
      </c>
      <c r="C77" s="472">
        <v>88267</v>
      </c>
      <c r="D77" s="328" t="s">
        <v>347</v>
      </c>
      <c r="E77" s="205" t="s">
        <v>351</v>
      </c>
      <c r="F77" s="228">
        <v>1.2749999999999999</v>
      </c>
      <c r="G77" s="316">
        <v>21.47</v>
      </c>
      <c r="H77" s="316">
        <f>F77*G77</f>
        <v>27.374249999999996</v>
      </c>
    </row>
    <row r="78" spans="1:9" ht="13.8" x14ac:dyDescent="0.25">
      <c r="A78" s="213" t="s">
        <v>349</v>
      </c>
      <c r="B78" s="182" t="s">
        <v>11</v>
      </c>
      <c r="C78" s="205">
        <v>88316</v>
      </c>
      <c r="D78" s="214" t="s">
        <v>356</v>
      </c>
      <c r="E78" s="213" t="s">
        <v>351</v>
      </c>
      <c r="F78" s="228">
        <v>1.41</v>
      </c>
      <c r="G78" s="316">
        <v>17.27</v>
      </c>
      <c r="H78" s="316">
        <f>F78*G78</f>
        <v>24.3507</v>
      </c>
    </row>
    <row r="79" spans="1:9" ht="26.4" x14ac:dyDescent="0.25">
      <c r="A79" s="225" t="s">
        <v>348</v>
      </c>
      <c r="B79" s="220" t="s">
        <v>11</v>
      </c>
      <c r="C79" s="225">
        <v>122</v>
      </c>
      <c r="D79" s="332" t="s">
        <v>379</v>
      </c>
      <c r="E79" s="227" t="s">
        <v>290</v>
      </c>
      <c r="F79" s="228">
        <v>0.17399999999999999</v>
      </c>
      <c r="G79" s="316">
        <v>53.86</v>
      </c>
      <c r="H79" s="316">
        <f>F79*G79</f>
        <v>9.3716399999999993</v>
      </c>
    </row>
    <row r="80" spans="1:9" ht="33.6" customHeight="1" x14ac:dyDescent="0.25">
      <c r="A80" s="225" t="s">
        <v>348</v>
      </c>
      <c r="B80" s="220" t="s">
        <v>11</v>
      </c>
      <c r="C80" s="226">
        <v>3501</v>
      </c>
      <c r="D80" s="332" t="s">
        <v>380</v>
      </c>
      <c r="E80" s="227" t="s">
        <v>290</v>
      </c>
      <c r="F80" s="228">
        <v>0.1</v>
      </c>
      <c r="G80" s="316">
        <v>4.82</v>
      </c>
      <c r="H80" s="316">
        <f>F80*G80</f>
        <v>0.48200000000000004</v>
      </c>
    </row>
    <row r="81" spans="1:8" ht="26.4" x14ac:dyDescent="0.25">
      <c r="A81" s="225" t="s">
        <v>348</v>
      </c>
      <c r="B81" s="220" t="s">
        <v>11</v>
      </c>
      <c r="C81" s="226">
        <v>9869</v>
      </c>
      <c r="D81" s="332" t="s">
        <v>381</v>
      </c>
      <c r="E81" s="227" t="s">
        <v>276</v>
      </c>
      <c r="F81" s="228">
        <v>1.5980000000000001</v>
      </c>
      <c r="G81" s="316">
        <v>10.42</v>
      </c>
      <c r="H81" s="316">
        <f>F81*G81</f>
        <v>16.651160000000001</v>
      </c>
    </row>
    <row r="82" spans="1:8" ht="13.8" x14ac:dyDescent="0.25">
      <c r="A82" s="208"/>
      <c r="B82" s="378"/>
      <c r="C82" s="209"/>
      <c r="D82" s="331" t="s">
        <v>378</v>
      </c>
      <c r="E82" s="209"/>
      <c r="F82" s="210"/>
      <c r="G82" s="211"/>
      <c r="H82" s="212"/>
    </row>
    <row r="83" spans="1:8" ht="13.8" x14ac:dyDescent="0.25">
      <c r="A83" s="379" t="s">
        <v>685</v>
      </c>
      <c r="B83" s="379">
        <v>26</v>
      </c>
      <c r="C83" s="630" t="s">
        <v>382</v>
      </c>
      <c r="D83" s="631"/>
      <c r="E83" s="631"/>
      <c r="F83" s="631"/>
      <c r="G83" s="379" t="s">
        <v>425</v>
      </c>
      <c r="H83" s="318">
        <f>ROUND((SUM(H84:H88)),2)</f>
        <v>103</v>
      </c>
    </row>
    <row r="84" spans="1:8" ht="24" x14ac:dyDescent="0.25">
      <c r="A84" s="183" t="s">
        <v>349</v>
      </c>
      <c r="B84" s="220" t="s">
        <v>11</v>
      </c>
      <c r="C84" s="473">
        <v>88267</v>
      </c>
      <c r="D84" s="261" t="s">
        <v>347</v>
      </c>
      <c r="E84" s="260" t="s">
        <v>351</v>
      </c>
      <c r="F84" s="262">
        <v>1.04</v>
      </c>
      <c r="G84" s="316">
        <v>21.47</v>
      </c>
      <c r="H84" s="316">
        <f>F84*G84</f>
        <v>22.328800000000001</v>
      </c>
    </row>
    <row r="85" spans="1:8" ht="13.8" x14ac:dyDescent="0.25">
      <c r="A85" s="183" t="s">
        <v>349</v>
      </c>
      <c r="B85" s="220" t="s">
        <v>11</v>
      </c>
      <c r="C85" s="473">
        <v>88316</v>
      </c>
      <c r="D85" s="261" t="s">
        <v>356</v>
      </c>
      <c r="E85" s="260" t="s">
        <v>351</v>
      </c>
      <c r="F85" s="262">
        <v>0.95</v>
      </c>
      <c r="G85" s="316">
        <v>17.27</v>
      </c>
      <c r="H85" s="316">
        <f>F85*G85</f>
        <v>16.406499999999998</v>
      </c>
    </row>
    <row r="86" spans="1:8" ht="13.8" x14ac:dyDescent="0.25">
      <c r="A86" s="258" t="s">
        <v>348</v>
      </c>
      <c r="B86" s="220" t="s">
        <v>11</v>
      </c>
      <c r="C86" s="258">
        <v>122</v>
      </c>
      <c r="D86" s="261" t="s">
        <v>379</v>
      </c>
      <c r="E86" s="260" t="s">
        <v>290</v>
      </c>
      <c r="F86" s="262">
        <v>0.08</v>
      </c>
      <c r="G86" s="316">
        <v>53.86</v>
      </c>
      <c r="H86" s="316">
        <f>F86*G86</f>
        <v>4.3087999999999997</v>
      </c>
    </row>
    <row r="87" spans="1:8" ht="24" x14ac:dyDescent="0.25">
      <c r="A87" s="183" t="s">
        <v>348</v>
      </c>
      <c r="B87" s="220" t="s">
        <v>11</v>
      </c>
      <c r="C87" s="260">
        <v>1863</v>
      </c>
      <c r="D87" s="261" t="s">
        <v>383</v>
      </c>
      <c r="E87" s="260" t="s">
        <v>290</v>
      </c>
      <c r="F87" s="262">
        <v>0.3</v>
      </c>
      <c r="G87" s="316">
        <v>65.33</v>
      </c>
      <c r="H87" s="316">
        <f>F87*G87</f>
        <v>19.599</v>
      </c>
    </row>
    <row r="88" spans="1:8" ht="24" x14ac:dyDescent="0.25">
      <c r="A88" s="258" t="s">
        <v>348</v>
      </c>
      <c r="B88" s="220" t="s">
        <v>11</v>
      </c>
      <c r="C88" s="473">
        <v>36365</v>
      </c>
      <c r="D88" s="261" t="s">
        <v>384</v>
      </c>
      <c r="E88" s="260" t="s">
        <v>276</v>
      </c>
      <c r="F88" s="262">
        <v>0.9</v>
      </c>
      <c r="G88" s="316">
        <v>44.84</v>
      </c>
      <c r="H88" s="316">
        <f>F88*G88</f>
        <v>40.356000000000002</v>
      </c>
    </row>
    <row r="89" spans="1:8" ht="13.8" x14ac:dyDescent="0.25">
      <c r="A89" s="208"/>
      <c r="B89" s="378"/>
      <c r="C89" s="209"/>
      <c r="D89" s="331" t="s">
        <v>385</v>
      </c>
      <c r="E89" s="209"/>
      <c r="F89" s="210"/>
      <c r="G89" s="211"/>
      <c r="H89" s="212"/>
    </row>
    <row r="90" spans="1:8" ht="40.799999999999997" customHeight="1" x14ac:dyDescent="0.25">
      <c r="A90" s="377" t="s">
        <v>685</v>
      </c>
      <c r="B90" s="377">
        <v>27</v>
      </c>
      <c r="C90" s="630" t="s">
        <v>716</v>
      </c>
      <c r="D90" s="631"/>
      <c r="E90" s="631"/>
      <c r="F90" s="631"/>
      <c r="G90" s="379" t="s">
        <v>275</v>
      </c>
      <c r="H90" s="318">
        <f>ROUND((SUM(H91:H103)),2)</f>
        <v>2824.85</v>
      </c>
    </row>
    <row r="91" spans="1:8" ht="20.399999999999999" x14ac:dyDescent="0.25">
      <c r="A91" s="207" t="s">
        <v>348</v>
      </c>
      <c r="B91" s="220" t="s">
        <v>11</v>
      </c>
      <c r="C91" s="355">
        <v>20269</v>
      </c>
      <c r="D91" s="355" t="s">
        <v>717</v>
      </c>
      <c r="E91" s="355" t="s">
        <v>667</v>
      </c>
      <c r="F91" s="355">
        <v>3</v>
      </c>
      <c r="G91" s="337">
        <v>96.21</v>
      </c>
      <c r="H91" s="337">
        <f t="shared" ref="H91:H103" si="1">F91*G91</f>
        <v>288.63</v>
      </c>
    </row>
    <row r="92" spans="1:8" ht="20.399999999999999" x14ac:dyDescent="0.25">
      <c r="A92" s="207" t="s">
        <v>348</v>
      </c>
      <c r="B92" s="220" t="s">
        <v>11</v>
      </c>
      <c r="C92" s="355">
        <v>36791</v>
      </c>
      <c r="D92" s="355" t="s">
        <v>718</v>
      </c>
      <c r="E92" s="355" t="s">
        <v>667</v>
      </c>
      <c r="F92" s="355">
        <v>3</v>
      </c>
      <c r="G92" s="337">
        <v>127.06</v>
      </c>
      <c r="H92" s="337">
        <f t="shared" si="1"/>
        <v>381.18</v>
      </c>
    </row>
    <row r="93" spans="1:8" ht="20.399999999999999" x14ac:dyDescent="0.25">
      <c r="A93" s="207" t="s">
        <v>348</v>
      </c>
      <c r="B93" s="220" t="s">
        <v>11</v>
      </c>
      <c r="C93" s="355">
        <v>37588</v>
      </c>
      <c r="D93" s="355" t="s">
        <v>719</v>
      </c>
      <c r="E93" s="355" t="s">
        <v>667</v>
      </c>
      <c r="F93" s="355">
        <v>3</v>
      </c>
      <c r="G93" s="337">
        <v>51.9</v>
      </c>
      <c r="H93" s="337">
        <f t="shared" si="1"/>
        <v>155.69999999999999</v>
      </c>
    </row>
    <row r="94" spans="1:8" ht="53.4" customHeight="1" x14ac:dyDescent="0.25">
      <c r="A94" s="207" t="s">
        <v>348</v>
      </c>
      <c r="B94" s="220" t="s">
        <v>11</v>
      </c>
      <c r="C94" s="355">
        <v>11795</v>
      </c>
      <c r="D94" s="355" t="s">
        <v>720</v>
      </c>
      <c r="E94" s="355" t="s">
        <v>712</v>
      </c>
      <c r="F94" s="355">
        <v>1.44</v>
      </c>
      <c r="G94" s="337">
        <v>407.54</v>
      </c>
      <c r="H94" s="337">
        <f t="shared" si="1"/>
        <v>586.85760000000005</v>
      </c>
    </row>
    <row r="95" spans="1:8" ht="30.6" x14ac:dyDescent="0.25">
      <c r="A95" s="207" t="s">
        <v>348</v>
      </c>
      <c r="B95" s="220" t="s">
        <v>11</v>
      </c>
      <c r="C95" s="355">
        <v>20231</v>
      </c>
      <c r="D95" s="355" t="s">
        <v>721</v>
      </c>
      <c r="E95" s="355" t="s">
        <v>5</v>
      </c>
      <c r="F95" s="355">
        <v>2.4</v>
      </c>
      <c r="G95" s="337">
        <v>40.18</v>
      </c>
      <c r="H95" s="337">
        <f t="shared" si="1"/>
        <v>96.432000000000002</v>
      </c>
    </row>
    <row r="96" spans="1:8" ht="30.6" x14ac:dyDescent="0.25">
      <c r="A96" s="226" t="s">
        <v>348</v>
      </c>
      <c r="B96" s="220" t="s">
        <v>11</v>
      </c>
      <c r="C96" s="356">
        <v>20231</v>
      </c>
      <c r="D96" s="356" t="s">
        <v>722</v>
      </c>
      <c r="E96" s="356" t="s">
        <v>5</v>
      </c>
      <c r="F96" s="356">
        <v>1.8</v>
      </c>
      <c r="G96" s="337">
        <v>40.18</v>
      </c>
      <c r="H96" s="337">
        <f t="shared" si="1"/>
        <v>72.323999999999998</v>
      </c>
    </row>
    <row r="97" spans="1:8" ht="30.6" x14ac:dyDescent="0.25">
      <c r="A97" s="207" t="s">
        <v>348</v>
      </c>
      <c r="B97" s="220" t="s">
        <v>11</v>
      </c>
      <c r="C97" s="355">
        <v>38605</v>
      </c>
      <c r="D97" s="355" t="s">
        <v>723</v>
      </c>
      <c r="E97" s="355" t="s">
        <v>667</v>
      </c>
      <c r="F97" s="355">
        <v>3</v>
      </c>
      <c r="G97" s="337">
        <v>113.72</v>
      </c>
      <c r="H97" s="337">
        <f t="shared" si="1"/>
        <v>341.15999999999997</v>
      </c>
    </row>
    <row r="98" spans="1:8" ht="30.6" x14ac:dyDescent="0.25">
      <c r="A98" s="207" t="s">
        <v>348</v>
      </c>
      <c r="B98" s="220" t="s">
        <v>11</v>
      </c>
      <c r="C98" s="355">
        <v>38633</v>
      </c>
      <c r="D98" s="355" t="s">
        <v>724</v>
      </c>
      <c r="E98" s="355" t="s">
        <v>667</v>
      </c>
      <c r="F98" s="355">
        <v>3</v>
      </c>
      <c r="G98" s="337">
        <v>17.05</v>
      </c>
      <c r="H98" s="337">
        <f t="shared" si="1"/>
        <v>51.150000000000006</v>
      </c>
    </row>
    <row r="99" spans="1:8" ht="13.8" x14ac:dyDescent="0.25">
      <c r="A99" s="207" t="s">
        <v>348</v>
      </c>
      <c r="B99" s="220" t="s">
        <v>11</v>
      </c>
      <c r="C99" s="206">
        <v>11683</v>
      </c>
      <c r="D99" s="238" t="s">
        <v>725</v>
      </c>
      <c r="E99" s="238" t="s">
        <v>290</v>
      </c>
      <c r="F99" s="238">
        <v>3</v>
      </c>
      <c r="G99" s="337">
        <v>37.83</v>
      </c>
      <c r="H99" s="337">
        <f t="shared" si="1"/>
        <v>113.49</v>
      </c>
    </row>
    <row r="100" spans="1:8" ht="24" x14ac:dyDescent="0.25">
      <c r="A100" s="207" t="s">
        <v>348</v>
      </c>
      <c r="B100" s="220" t="s">
        <v>11</v>
      </c>
      <c r="C100" s="189">
        <v>6136</v>
      </c>
      <c r="D100" s="259" t="s">
        <v>726</v>
      </c>
      <c r="E100" s="258" t="s">
        <v>290</v>
      </c>
      <c r="F100" s="258">
        <v>3</v>
      </c>
      <c r="G100" s="337">
        <v>164.99</v>
      </c>
      <c r="H100" s="337">
        <f t="shared" si="1"/>
        <v>494.97</v>
      </c>
    </row>
    <row r="101" spans="1:8" ht="13.8" x14ac:dyDescent="0.25">
      <c r="A101" s="207" t="s">
        <v>349</v>
      </c>
      <c r="B101" s="220" t="s">
        <v>11</v>
      </c>
      <c r="C101" s="469">
        <v>88316</v>
      </c>
      <c r="D101" s="357" t="s">
        <v>356</v>
      </c>
      <c r="E101" s="207" t="s">
        <v>351</v>
      </c>
      <c r="F101" s="355">
        <v>4</v>
      </c>
      <c r="G101" s="337">
        <v>17.27</v>
      </c>
      <c r="H101" s="337">
        <f t="shared" si="1"/>
        <v>69.08</v>
      </c>
    </row>
    <row r="102" spans="1:8" ht="13.8" x14ac:dyDescent="0.25">
      <c r="A102" s="207" t="s">
        <v>349</v>
      </c>
      <c r="B102" s="220" t="s">
        <v>11</v>
      </c>
      <c r="C102" s="227">
        <v>88309</v>
      </c>
      <c r="D102" s="227" t="s">
        <v>365</v>
      </c>
      <c r="E102" s="207" t="s">
        <v>351</v>
      </c>
      <c r="F102" s="238">
        <v>4</v>
      </c>
      <c r="G102" s="337">
        <v>22</v>
      </c>
      <c r="H102" s="337">
        <f t="shared" si="1"/>
        <v>88</v>
      </c>
    </row>
    <row r="103" spans="1:8" ht="24" x14ac:dyDescent="0.25">
      <c r="A103" s="207" t="s">
        <v>349</v>
      </c>
      <c r="B103" s="220" t="s">
        <v>11</v>
      </c>
      <c r="C103" s="473">
        <v>88267</v>
      </c>
      <c r="D103" s="261" t="s">
        <v>347</v>
      </c>
      <c r="E103" s="207" t="s">
        <v>351</v>
      </c>
      <c r="F103" s="238">
        <v>4</v>
      </c>
      <c r="G103" s="337">
        <v>21.47</v>
      </c>
      <c r="H103" s="337">
        <f t="shared" si="1"/>
        <v>85.88</v>
      </c>
    </row>
    <row r="104" spans="1:8" ht="13.8" x14ac:dyDescent="0.25">
      <c r="A104" s="632" t="s">
        <v>728</v>
      </c>
      <c r="B104" s="633"/>
      <c r="C104" s="633"/>
      <c r="D104" s="633"/>
      <c r="E104" s="633"/>
      <c r="F104" s="633"/>
      <c r="G104" s="633"/>
      <c r="H104" s="634"/>
    </row>
    <row r="105" spans="1:8" ht="33.6" customHeight="1" x14ac:dyDescent="0.25">
      <c r="A105" s="377" t="s">
        <v>685</v>
      </c>
      <c r="B105" s="377">
        <v>28</v>
      </c>
      <c r="C105" s="630" t="s">
        <v>727</v>
      </c>
      <c r="D105" s="631"/>
      <c r="E105" s="631"/>
      <c r="F105" s="631"/>
      <c r="G105" s="379" t="s">
        <v>275</v>
      </c>
      <c r="H105" s="318">
        <f>ROUND((SUM(H106:H118)),2)</f>
        <v>1941.78</v>
      </c>
    </row>
    <row r="106" spans="1:8" ht="20.399999999999999" x14ac:dyDescent="0.25">
      <c r="A106" s="207" t="s">
        <v>348</v>
      </c>
      <c r="B106" s="220" t="s">
        <v>11</v>
      </c>
      <c r="C106" s="355">
        <v>20269</v>
      </c>
      <c r="D106" s="355" t="s">
        <v>717</v>
      </c>
      <c r="E106" s="355" t="s">
        <v>667</v>
      </c>
      <c r="F106" s="355">
        <v>2</v>
      </c>
      <c r="G106" s="337">
        <v>96.21</v>
      </c>
      <c r="H106" s="337">
        <f t="shared" ref="H106:H118" si="2">F106*G106</f>
        <v>192.42</v>
      </c>
    </row>
    <row r="107" spans="1:8" ht="20.399999999999999" x14ac:dyDescent="0.25">
      <c r="A107" s="207" t="s">
        <v>348</v>
      </c>
      <c r="B107" s="220" t="s">
        <v>11</v>
      </c>
      <c r="C107" s="355">
        <v>36791</v>
      </c>
      <c r="D107" s="355" t="s">
        <v>718</v>
      </c>
      <c r="E107" s="355" t="s">
        <v>667</v>
      </c>
      <c r="F107" s="355">
        <v>2</v>
      </c>
      <c r="G107" s="337">
        <v>127.06</v>
      </c>
      <c r="H107" s="337">
        <f t="shared" si="2"/>
        <v>254.12</v>
      </c>
    </row>
    <row r="108" spans="1:8" ht="20.399999999999999" x14ac:dyDescent="0.25">
      <c r="A108" s="207" t="s">
        <v>348</v>
      </c>
      <c r="B108" s="220" t="s">
        <v>11</v>
      </c>
      <c r="C108" s="355">
        <v>37588</v>
      </c>
      <c r="D108" s="355" t="s">
        <v>719</v>
      </c>
      <c r="E108" s="355" t="s">
        <v>667</v>
      </c>
      <c r="F108" s="355">
        <v>2</v>
      </c>
      <c r="G108" s="337">
        <v>51.9</v>
      </c>
      <c r="H108" s="337">
        <f t="shared" si="2"/>
        <v>103.8</v>
      </c>
    </row>
    <row r="109" spans="1:8" ht="42" customHeight="1" x14ac:dyDescent="0.25">
      <c r="A109" s="207" t="s">
        <v>348</v>
      </c>
      <c r="B109" s="220" t="s">
        <v>11</v>
      </c>
      <c r="C109" s="355">
        <v>11795</v>
      </c>
      <c r="D109" s="355" t="s">
        <v>720</v>
      </c>
      <c r="E109" s="355" t="s">
        <v>712</v>
      </c>
      <c r="F109" s="355">
        <v>0.9</v>
      </c>
      <c r="G109" s="337">
        <v>407.54</v>
      </c>
      <c r="H109" s="337">
        <f t="shared" si="2"/>
        <v>366.786</v>
      </c>
    </row>
    <row r="110" spans="1:8" ht="30.6" x14ac:dyDescent="0.25">
      <c r="A110" s="207" t="s">
        <v>348</v>
      </c>
      <c r="B110" s="220" t="s">
        <v>11</v>
      </c>
      <c r="C110" s="355">
        <v>20231</v>
      </c>
      <c r="D110" s="355" t="s">
        <v>721</v>
      </c>
      <c r="E110" s="355" t="s">
        <v>5</v>
      </c>
      <c r="F110" s="355">
        <v>1.5</v>
      </c>
      <c r="G110" s="337">
        <v>40.18</v>
      </c>
      <c r="H110" s="337">
        <f t="shared" si="2"/>
        <v>60.269999999999996</v>
      </c>
    </row>
    <row r="111" spans="1:8" ht="27.75" customHeight="1" x14ac:dyDescent="0.25">
      <c r="A111" s="226" t="s">
        <v>348</v>
      </c>
      <c r="B111" s="220" t="s">
        <v>11</v>
      </c>
      <c r="C111" s="356">
        <v>20231</v>
      </c>
      <c r="D111" s="356" t="s">
        <v>722</v>
      </c>
      <c r="E111" s="356" t="s">
        <v>5</v>
      </c>
      <c r="F111" s="356">
        <v>1.35</v>
      </c>
      <c r="G111" s="337">
        <v>40.18</v>
      </c>
      <c r="H111" s="337">
        <f t="shared" si="2"/>
        <v>54.243000000000002</v>
      </c>
    </row>
    <row r="112" spans="1:8" ht="30.6" x14ac:dyDescent="0.25">
      <c r="A112" s="207" t="s">
        <v>348</v>
      </c>
      <c r="B112" s="220" t="s">
        <v>11</v>
      </c>
      <c r="C112" s="355">
        <v>38605</v>
      </c>
      <c r="D112" s="355" t="s">
        <v>723</v>
      </c>
      <c r="E112" s="355" t="s">
        <v>667</v>
      </c>
      <c r="F112" s="355">
        <v>2</v>
      </c>
      <c r="G112" s="337">
        <v>113.72</v>
      </c>
      <c r="H112" s="337">
        <f t="shared" si="2"/>
        <v>227.44</v>
      </c>
    </row>
    <row r="113" spans="1:8" ht="30.6" x14ac:dyDescent="0.25">
      <c r="A113" s="207" t="s">
        <v>348</v>
      </c>
      <c r="B113" s="220" t="s">
        <v>11</v>
      </c>
      <c r="C113" s="355">
        <v>38633</v>
      </c>
      <c r="D113" s="355" t="s">
        <v>724</v>
      </c>
      <c r="E113" s="355" t="s">
        <v>667</v>
      </c>
      <c r="F113" s="355">
        <v>2</v>
      </c>
      <c r="G113" s="337">
        <v>17.05</v>
      </c>
      <c r="H113" s="337">
        <f t="shared" si="2"/>
        <v>34.1</v>
      </c>
    </row>
    <row r="114" spans="1:8" ht="13.8" x14ac:dyDescent="0.25">
      <c r="A114" s="207" t="s">
        <v>348</v>
      </c>
      <c r="B114" s="220" t="s">
        <v>11</v>
      </c>
      <c r="C114" s="206">
        <v>11683</v>
      </c>
      <c r="D114" s="238" t="s">
        <v>725</v>
      </c>
      <c r="E114" s="238" t="s">
        <v>290</v>
      </c>
      <c r="F114" s="238">
        <v>2</v>
      </c>
      <c r="G114" s="337">
        <v>37.83</v>
      </c>
      <c r="H114" s="337">
        <f t="shared" si="2"/>
        <v>75.66</v>
      </c>
    </row>
    <row r="115" spans="1:8" ht="24" x14ac:dyDescent="0.25">
      <c r="A115" s="207" t="s">
        <v>348</v>
      </c>
      <c r="B115" s="220" t="s">
        <v>11</v>
      </c>
      <c r="C115" s="189">
        <v>6136</v>
      </c>
      <c r="D115" s="259" t="s">
        <v>726</v>
      </c>
      <c r="E115" s="258" t="s">
        <v>290</v>
      </c>
      <c r="F115" s="258">
        <v>2</v>
      </c>
      <c r="G115" s="337">
        <v>164.99</v>
      </c>
      <c r="H115" s="337">
        <f t="shared" si="2"/>
        <v>329.98</v>
      </c>
    </row>
    <row r="116" spans="1:8" ht="13.8" x14ac:dyDescent="0.25">
      <c r="A116" s="207" t="s">
        <v>349</v>
      </c>
      <c r="B116" s="220" t="s">
        <v>11</v>
      </c>
      <c r="C116" s="469">
        <v>88316</v>
      </c>
      <c r="D116" s="357" t="s">
        <v>356</v>
      </c>
      <c r="E116" s="207" t="s">
        <v>351</v>
      </c>
      <c r="F116" s="355">
        <v>4</v>
      </c>
      <c r="G116" s="337">
        <v>17.27</v>
      </c>
      <c r="H116" s="337">
        <f t="shared" si="2"/>
        <v>69.08</v>
      </c>
    </row>
    <row r="117" spans="1:8" ht="13.8" x14ac:dyDescent="0.25">
      <c r="A117" s="207" t="s">
        <v>349</v>
      </c>
      <c r="B117" s="220" t="s">
        <v>11</v>
      </c>
      <c r="C117" s="227">
        <v>88309</v>
      </c>
      <c r="D117" s="227" t="s">
        <v>365</v>
      </c>
      <c r="E117" s="207" t="s">
        <v>351</v>
      </c>
      <c r="F117" s="238">
        <v>4</v>
      </c>
      <c r="G117" s="337">
        <v>22</v>
      </c>
      <c r="H117" s="337">
        <f t="shared" si="2"/>
        <v>88</v>
      </c>
    </row>
    <row r="118" spans="1:8" ht="24" x14ac:dyDescent="0.25">
      <c r="A118" s="207" t="s">
        <v>349</v>
      </c>
      <c r="B118" s="220" t="s">
        <v>11</v>
      </c>
      <c r="C118" s="473">
        <v>88267</v>
      </c>
      <c r="D118" s="261" t="s">
        <v>347</v>
      </c>
      <c r="E118" s="207" t="s">
        <v>351</v>
      </c>
      <c r="F118" s="238">
        <v>4</v>
      </c>
      <c r="G118" s="337">
        <v>21.47</v>
      </c>
      <c r="H118" s="337">
        <f t="shared" si="2"/>
        <v>85.88</v>
      </c>
    </row>
    <row r="119" spans="1:8" ht="13.8" x14ac:dyDescent="0.25">
      <c r="A119" s="632" t="s">
        <v>729</v>
      </c>
      <c r="B119" s="633"/>
      <c r="C119" s="633"/>
      <c r="D119" s="633"/>
      <c r="E119" s="633"/>
      <c r="F119" s="633"/>
      <c r="G119" s="633"/>
      <c r="H119" s="634"/>
    </row>
    <row r="120" spans="1:8" ht="33.6" customHeight="1" x14ac:dyDescent="0.25">
      <c r="A120" s="379" t="s">
        <v>685</v>
      </c>
      <c r="B120" s="379">
        <v>29</v>
      </c>
      <c r="C120" s="630" t="s">
        <v>387</v>
      </c>
      <c r="D120" s="631"/>
      <c r="E120" s="631"/>
      <c r="F120" s="631"/>
      <c r="G120" s="379" t="s">
        <v>425</v>
      </c>
      <c r="H120" s="318">
        <f>ROUND((SUM(H121:H126)),2)</f>
        <v>98.37</v>
      </c>
    </row>
    <row r="121" spans="1:8" ht="26.4" x14ac:dyDescent="0.25">
      <c r="A121" s="225" t="s">
        <v>349</v>
      </c>
      <c r="B121" s="220" t="s">
        <v>11</v>
      </c>
      <c r="C121" s="474">
        <v>88264</v>
      </c>
      <c r="D121" s="332" t="s">
        <v>355</v>
      </c>
      <c r="E121" s="227" t="s">
        <v>351</v>
      </c>
      <c r="F121" s="228">
        <v>2</v>
      </c>
      <c r="G121" s="316">
        <v>22.26</v>
      </c>
      <c r="H121" s="316">
        <f t="shared" ref="H121:H126" si="3">F121*G121</f>
        <v>44.52</v>
      </c>
    </row>
    <row r="122" spans="1:8" ht="13.8" x14ac:dyDescent="0.25">
      <c r="A122" s="225" t="s">
        <v>349</v>
      </c>
      <c r="B122" s="220" t="s">
        <v>11</v>
      </c>
      <c r="C122" s="474">
        <v>88316</v>
      </c>
      <c r="D122" s="332" t="s">
        <v>356</v>
      </c>
      <c r="E122" s="227" t="s">
        <v>351</v>
      </c>
      <c r="F122" s="228">
        <v>1</v>
      </c>
      <c r="G122" s="316">
        <v>17.27</v>
      </c>
      <c r="H122" s="316">
        <f t="shared" si="3"/>
        <v>17.27</v>
      </c>
    </row>
    <row r="123" spans="1:8" ht="39.6" x14ac:dyDescent="0.25">
      <c r="A123" s="225" t="s">
        <v>348</v>
      </c>
      <c r="B123" s="220" t="s">
        <v>11</v>
      </c>
      <c r="C123" s="227">
        <v>38062</v>
      </c>
      <c r="D123" s="332" t="s">
        <v>388</v>
      </c>
      <c r="E123" s="227" t="s">
        <v>290</v>
      </c>
      <c r="F123" s="228">
        <v>1</v>
      </c>
      <c r="G123" s="316">
        <v>6.68</v>
      </c>
      <c r="H123" s="316">
        <f t="shared" si="3"/>
        <v>6.68</v>
      </c>
    </row>
    <row r="124" spans="1:8" ht="28.2" customHeight="1" x14ac:dyDescent="0.25">
      <c r="A124" s="225" t="s">
        <v>348</v>
      </c>
      <c r="B124" s="220" t="s">
        <v>11</v>
      </c>
      <c r="C124" s="227">
        <v>43132</v>
      </c>
      <c r="D124" s="332" t="s">
        <v>392</v>
      </c>
      <c r="E124" s="227" t="s">
        <v>363</v>
      </c>
      <c r="F124" s="228">
        <v>6.0000000000000001E-3</v>
      </c>
      <c r="G124" s="316">
        <v>28.55</v>
      </c>
      <c r="H124" s="316">
        <f t="shared" si="3"/>
        <v>0.17130000000000001</v>
      </c>
    </row>
    <row r="125" spans="1:8" ht="39.6" x14ac:dyDescent="0.25">
      <c r="A125" s="225" t="s">
        <v>348</v>
      </c>
      <c r="B125" s="220" t="s">
        <v>11</v>
      </c>
      <c r="C125" s="474">
        <v>939</v>
      </c>
      <c r="D125" s="332" t="s">
        <v>390</v>
      </c>
      <c r="E125" s="227" t="s">
        <v>276</v>
      </c>
      <c r="F125" s="228">
        <v>12</v>
      </c>
      <c r="G125" s="316">
        <v>2.44</v>
      </c>
      <c r="H125" s="316">
        <f t="shared" si="3"/>
        <v>29.28</v>
      </c>
    </row>
    <row r="126" spans="1:8" ht="26.4" x14ac:dyDescent="0.25">
      <c r="A126" s="225" t="s">
        <v>348</v>
      </c>
      <c r="B126" s="220" t="s">
        <v>11</v>
      </c>
      <c r="C126" s="474">
        <v>20111</v>
      </c>
      <c r="D126" s="332" t="s">
        <v>391</v>
      </c>
      <c r="E126" s="227" t="s">
        <v>290</v>
      </c>
      <c r="F126" s="228">
        <v>0.05</v>
      </c>
      <c r="G126" s="316">
        <v>9</v>
      </c>
      <c r="H126" s="316">
        <f t="shared" si="3"/>
        <v>0.45</v>
      </c>
    </row>
    <row r="127" spans="1:8" ht="13.8" x14ac:dyDescent="0.25">
      <c r="A127" s="208"/>
      <c r="B127" s="378"/>
      <c r="C127" s="209"/>
      <c r="D127" s="331" t="s">
        <v>386</v>
      </c>
      <c r="E127" s="209"/>
      <c r="F127" s="210"/>
      <c r="G127" s="211"/>
      <c r="H127" s="212"/>
    </row>
    <row r="128" spans="1:8" ht="27.6" customHeight="1" x14ac:dyDescent="0.25">
      <c r="A128" s="379" t="s">
        <v>685</v>
      </c>
      <c r="B128" s="379">
        <v>30</v>
      </c>
      <c r="C128" s="630" t="s">
        <v>785</v>
      </c>
      <c r="D128" s="631"/>
      <c r="E128" s="631"/>
      <c r="F128" s="631"/>
      <c r="G128" s="379" t="s">
        <v>425</v>
      </c>
      <c r="H128" s="318">
        <f>ROUND((SUM(H129:H137)),2)</f>
        <v>129.11000000000001</v>
      </c>
    </row>
    <row r="129" spans="1:8" ht="26.4" x14ac:dyDescent="0.25">
      <c r="A129" s="225" t="s">
        <v>349</v>
      </c>
      <c r="B129" s="220" t="s">
        <v>11</v>
      </c>
      <c r="C129" s="474">
        <v>88264</v>
      </c>
      <c r="D129" s="332" t="s">
        <v>355</v>
      </c>
      <c r="E129" s="227" t="s">
        <v>351</v>
      </c>
      <c r="F129" s="228">
        <v>0.54</v>
      </c>
      <c r="G129" s="316">
        <v>22.26</v>
      </c>
      <c r="H129" s="316">
        <f t="shared" ref="H129:H137" si="4">F129*G129</f>
        <v>12.020400000000002</v>
      </c>
    </row>
    <row r="130" spans="1:8" ht="13.8" x14ac:dyDescent="0.25">
      <c r="A130" s="225" t="s">
        <v>349</v>
      </c>
      <c r="B130" s="220" t="s">
        <v>11</v>
      </c>
      <c r="C130" s="474">
        <v>88316</v>
      </c>
      <c r="D130" s="332" t="s">
        <v>356</v>
      </c>
      <c r="E130" s="227" t="s">
        <v>351</v>
      </c>
      <c r="F130" s="228">
        <v>0.49</v>
      </c>
      <c r="G130" s="316">
        <v>17.27</v>
      </c>
      <c r="H130" s="316">
        <f t="shared" si="4"/>
        <v>8.462299999999999</v>
      </c>
    </row>
    <row r="131" spans="1:8" ht="26.4" x14ac:dyDescent="0.25">
      <c r="A131" s="225" t="s">
        <v>348</v>
      </c>
      <c r="B131" s="220" t="s">
        <v>11</v>
      </c>
      <c r="C131" s="474">
        <v>39174</v>
      </c>
      <c r="D131" s="332" t="s">
        <v>394</v>
      </c>
      <c r="E131" s="227" t="s">
        <v>290</v>
      </c>
      <c r="F131" s="228">
        <v>0.2</v>
      </c>
      <c r="G131" s="316">
        <v>0.93</v>
      </c>
      <c r="H131" s="316">
        <f t="shared" si="4"/>
        <v>0.18600000000000003</v>
      </c>
    </row>
    <row r="132" spans="1:8" ht="54.6" customHeight="1" x14ac:dyDescent="0.25">
      <c r="A132" s="225" t="s">
        <v>348</v>
      </c>
      <c r="B132" s="220" t="s">
        <v>11</v>
      </c>
      <c r="C132" s="227">
        <v>43132</v>
      </c>
      <c r="D132" s="332" t="s">
        <v>389</v>
      </c>
      <c r="E132" s="227" t="s">
        <v>363</v>
      </c>
      <c r="F132" s="228">
        <v>2E-3</v>
      </c>
      <c r="G132" s="316">
        <v>28.55</v>
      </c>
      <c r="H132" s="316">
        <f t="shared" si="4"/>
        <v>5.7100000000000005E-2</v>
      </c>
    </row>
    <row r="133" spans="1:8" ht="13.8" x14ac:dyDescent="0.25">
      <c r="A133" s="225" t="s">
        <v>348</v>
      </c>
      <c r="B133" s="220" t="s">
        <v>11</v>
      </c>
      <c r="C133" s="474">
        <v>2557</v>
      </c>
      <c r="D133" s="332" t="s">
        <v>395</v>
      </c>
      <c r="E133" s="227" t="s">
        <v>290</v>
      </c>
      <c r="F133" s="228">
        <v>0.1</v>
      </c>
      <c r="G133" s="316">
        <v>3.16</v>
      </c>
      <c r="H133" s="316">
        <f t="shared" si="4"/>
        <v>0.31600000000000006</v>
      </c>
    </row>
    <row r="134" spans="1:8" ht="26.4" x14ac:dyDescent="0.25">
      <c r="A134" s="225" t="s">
        <v>348</v>
      </c>
      <c r="B134" s="220" t="s">
        <v>11</v>
      </c>
      <c r="C134" s="474">
        <v>2673</v>
      </c>
      <c r="D134" s="332" t="s">
        <v>396</v>
      </c>
      <c r="E134" s="227" t="s">
        <v>276</v>
      </c>
      <c r="F134" s="228">
        <v>0.45</v>
      </c>
      <c r="G134" s="316">
        <v>4.1500000000000004</v>
      </c>
      <c r="H134" s="316">
        <f t="shared" si="4"/>
        <v>1.8675000000000002</v>
      </c>
    </row>
    <row r="135" spans="1:8" ht="39.6" x14ac:dyDescent="0.25">
      <c r="A135" s="225" t="s">
        <v>348</v>
      </c>
      <c r="B135" s="220" t="s">
        <v>11</v>
      </c>
      <c r="C135" s="474">
        <v>11891</v>
      </c>
      <c r="D135" s="332" t="s">
        <v>397</v>
      </c>
      <c r="E135" s="227" t="s">
        <v>276</v>
      </c>
      <c r="F135" s="228">
        <v>1.1000000000000001</v>
      </c>
      <c r="G135" s="316">
        <v>5.16</v>
      </c>
      <c r="H135" s="316">
        <f t="shared" si="4"/>
        <v>5.676000000000001</v>
      </c>
    </row>
    <row r="136" spans="1:8" ht="39.75" customHeight="1" x14ac:dyDescent="0.25">
      <c r="A136" s="225" t="s">
        <v>348</v>
      </c>
      <c r="B136" s="220" t="s">
        <v>11</v>
      </c>
      <c r="C136" s="474">
        <v>20111</v>
      </c>
      <c r="D136" s="332" t="s">
        <v>391</v>
      </c>
      <c r="E136" s="227" t="s">
        <v>290</v>
      </c>
      <c r="F136" s="228">
        <v>1.4999999999999999E-2</v>
      </c>
      <c r="G136" s="316">
        <v>9</v>
      </c>
      <c r="H136" s="316">
        <f t="shared" si="4"/>
        <v>0.13500000000000001</v>
      </c>
    </row>
    <row r="137" spans="1:8" ht="52.8" x14ac:dyDescent="0.25">
      <c r="A137" s="226" t="s">
        <v>348</v>
      </c>
      <c r="B137" s="220" t="s">
        <v>11</v>
      </c>
      <c r="C137" s="227">
        <v>3811</v>
      </c>
      <c r="D137" s="332" t="s">
        <v>783</v>
      </c>
      <c r="E137" s="227" t="s">
        <v>87</v>
      </c>
      <c r="F137" s="228">
        <v>1</v>
      </c>
      <c r="G137" s="316">
        <v>100.39</v>
      </c>
      <c r="H137" s="316">
        <f t="shared" si="4"/>
        <v>100.39</v>
      </c>
    </row>
    <row r="138" spans="1:8" ht="13.8" x14ac:dyDescent="0.25">
      <c r="A138" s="208"/>
      <c r="B138" s="378"/>
      <c r="C138" s="209"/>
      <c r="D138" s="331" t="s">
        <v>393</v>
      </c>
      <c r="E138" s="209"/>
      <c r="F138" s="210"/>
      <c r="G138" s="211"/>
      <c r="H138" s="212"/>
    </row>
    <row r="139" spans="1:8" ht="13.8" x14ac:dyDescent="0.25">
      <c r="A139" s="379" t="s">
        <v>685</v>
      </c>
      <c r="B139" s="379">
        <v>31</v>
      </c>
      <c r="C139" s="630" t="s">
        <v>205</v>
      </c>
      <c r="D139" s="631"/>
      <c r="E139" s="631"/>
      <c r="F139" s="631"/>
      <c r="G139" s="379" t="s">
        <v>425</v>
      </c>
      <c r="H139" s="318">
        <f>ROUND((SUM(H140:H145)),2)</f>
        <v>105.4</v>
      </c>
    </row>
    <row r="140" spans="1:8" ht="26.4" x14ac:dyDescent="0.25">
      <c r="A140" s="225" t="s">
        <v>349</v>
      </c>
      <c r="B140" s="220" t="s">
        <v>11</v>
      </c>
      <c r="C140" s="474">
        <v>88264</v>
      </c>
      <c r="D140" s="332" t="s">
        <v>355</v>
      </c>
      <c r="E140" s="227" t="s">
        <v>351</v>
      </c>
      <c r="F140" s="228">
        <v>2</v>
      </c>
      <c r="G140" s="316">
        <v>22.26</v>
      </c>
      <c r="H140" s="316">
        <f t="shared" ref="H140:H145" si="5">F140*G140</f>
        <v>44.52</v>
      </c>
    </row>
    <row r="141" spans="1:8" ht="13.8" x14ac:dyDescent="0.25">
      <c r="A141" s="225" t="s">
        <v>349</v>
      </c>
      <c r="B141" s="220" t="s">
        <v>11</v>
      </c>
      <c r="C141" s="474">
        <v>88316</v>
      </c>
      <c r="D141" s="332" t="s">
        <v>356</v>
      </c>
      <c r="E141" s="227" t="s">
        <v>351</v>
      </c>
      <c r="F141" s="228">
        <v>1</v>
      </c>
      <c r="G141" s="316">
        <v>17.27</v>
      </c>
      <c r="H141" s="316">
        <f t="shared" si="5"/>
        <v>17.27</v>
      </c>
    </row>
    <row r="142" spans="1:8" ht="39.6" x14ac:dyDescent="0.25">
      <c r="A142" s="225" t="s">
        <v>348</v>
      </c>
      <c r="B142" s="220" t="s">
        <v>11</v>
      </c>
      <c r="C142" s="227">
        <v>38068</v>
      </c>
      <c r="D142" s="332" t="s">
        <v>400</v>
      </c>
      <c r="E142" s="227" t="s">
        <v>290</v>
      </c>
      <c r="F142" s="228">
        <v>1</v>
      </c>
      <c r="G142" s="316">
        <v>13.71</v>
      </c>
      <c r="H142" s="316">
        <f t="shared" si="5"/>
        <v>13.71</v>
      </c>
    </row>
    <row r="143" spans="1:8" ht="26.4" x14ac:dyDescent="0.25">
      <c r="A143" s="225" t="s">
        <v>348</v>
      </c>
      <c r="B143" s="220" t="s">
        <v>11</v>
      </c>
      <c r="C143" s="227">
        <v>43132</v>
      </c>
      <c r="D143" s="332" t="s">
        <v>392</v>
      </c>
      <c r="E143" s="227" t="s">
        <v>363</v>
      </c>
      <c r="F143" s="228">
        <v>6.0000000000000001E-3</v>
      </c>
      <c r="G143" s="316">
        <v>28.55</v>
      </c>
      <c r="H143" s="316">
        <f t="shared" si="5"/>
        <v>0.17130000000000001</v>
      </c>
    </row>
    <row r="144" spans="1:8" ht="39.6" x14ac:dyDescent="0.25">
      <c r="A144" s="225" t="s">
        <v>348</v>
      </c>
      <c r="B144" s="220" t="s">
        <v>11</v>
      </c>
      <c r="C144" s="474">
        <v>939</v>
      </c>
      <c r="D144" s="332" t="s">
        <v>390</v>
      </c>
      <c r="E144" s="227" t="s">
        <v>276</v>
      </c>
      <c r="F144" s="228">
        <v>12</v>
      </c>
      <c r="G144" s="316">
        <v>2.44</v>
      </c>
      <c r="H144" s="316">
        <f t="shared" si="5"/>
        <v>29.28</v>
      </c>
    </row>
    <row r="145" spans="1:8" ht="26.4" x14ac:dyDescent="0.25">
      <c r="A145" s="225" t="s">
        <v>348</v>
      </c>
      <c r="B145" s="220" t="s">
        <v>11</v>
      </c>
      <c r="C145" s="474">
        <v>20111</v>
      </c>
      <c r="D145" s="332" t="s">
        <v>391</v>
      </c>
      <c r="E145" s="227" t="s">
        <v>290</v>
      </c>
      <c r="F145" s="228">
        <v>0.05</v>
      </c>
      <c r="G145" s="316">
        <v>9</v>
      </c>
      <c r="H145" s="316">
        <f t="shared" si="5"/>
        <v>0.45</v>
      </c>
    </row>
    <row r="146" spans="1:8" ht="13.8" x14ac:dyDescent="0.25">
      <c r="A146" s="208"/>
      <c r="B146" s="378"/>
      <c r="C146" s="209"/>
      <c r="D146" s="331" t="s">
        <v>386</v>
      </c>
      <c r="E146" s="209"/>
      <c r="F146" s="210"/>
      <c r="G146" s="211"/>
      <c r="H146" s="212"/>
    </row>
    <row r="147" spans="1:8" ht="13.8" x14ac:dyDescent="0.25">
      <c r="A147" s="379" t="s">
        <v>685</v>
      </c>
      <c r="B147" s="379">
        <v>32</v>
      </c>
      <c r="C147" s="630" t="s">
        <v>409</v>
      </c>
      <c r="D147" s="631"/>
      <c r="E147" s="631"/>
      <c r="F147" s="631"/>
      <c r="G147" s="379" t="s">
        <v>425</v>
      </c>
      <c r="H147" s="318">
        <f>ROUND((SUM(H148:H153)),2)</f>
        <v>104.44</v>
      </c>
    </row>
    <row r="148" spans="1:8" ht="26.4" x14ac:dyDescent="0.25">
      <c r="A148" s="225" t="s">
        <v>349</v>
      </c>
      <c r="B148" s="220" t="s">
        <v>11</v>
      </c>
      <c r="C148" s="474">
        <v>88264</v>
      </c>
      <c r="D148" s="332" t="s">
        <v>355</v>
      </c>
      <c r="E148" s="227" t="s">
        <v>351</v>
      </c>
      <c r="F148" s="228">
        <v>2</v>
      </c>
      <c r="G148" s="316">
        <v>22.26</v>
      </c>
      <c r="H148" s="316">
        <f t="shared" ref="H148:H153" si="6">F148*G148</f>
        <v>44.52</v>
      </c>
    </row>
    <row r="149" spans="1:8" ht="13.8" x14ac:dyDescent="0.25">
      <c r="A149" s="225" t="s">
        <v>349</v>
      </c>
      <c r="B149" s="220" t="s">
        <v>11</v>
      </c>
      <c r="C149" s="474">
        <v>88316</v>
      </c>
      <c r="D149" s="332" t="s">
        <v>356</v>
      </c>
      <c r="E149" s="227" t="s">
        <v>351</v>
      </c>
      <c r="F149" s="228">
        <v>1</v>
      </c>
      <c r="G149" s="316">
        <v>17.27</v>
      </c>
      <c r="H149" s="316">
        <f t="shared" si="6"/>
        <v>17.27</v>
      </c>
    </row>
    <row r="150" spans="1:8" ht="39.6" x14ac:dyDescent="0.25">
      <c r="A150" s="225" t="s">
        <v>348</v>
      </c>
      <c r="B150" s="220" t="s">
        <v>11</v>
      </c>
      <c r="C150" s="227">
        <v>7528</v>
      </c>
      <c r="D150" s="332" t="s">
        <v>398</v>
      </c>
      <c r="E150" s="227" t="s">
        <v>290</v>
      </c>
      <c r="F150" s="228">
        <v>1</v>
      </c>
      <c r="G150" s="316">
        <v>8.6999999999999993</v>
      </c>
      <c r="H150" s="316">
        <f t="shared" si="6"/>
        <v>8.6999999999999993</v>
      </c>
    </row>
    <row r="151" spans="1:8" ht="35.25" customHeight="1" x14ac:dyDescent="0.25">
      <c r="A151" s="225" t="s">
        <v>348</v>
      </c>
      <c r="B151" s="220" t="s">
        <v>11</v>
      </c>
      <c r="C151" s="227">
        <v>43132</v>
      </c>
      <c r="D151" s="332" t="s">
        <v>392</v>
      </c>
      <c r="E151" s="227" t="s">
        <v>363</v>
      </c>
      <c r="F151" s="228">
        <v>6.0000000000000001E-3</v>
      </c>
      <c r="G151" s="316">
        <v>28.55</v>
      </c>
      <c r="H151" s="316">
        <f t="shared" si="6"/>
        <v>0.17130000000000001</v>
      </c>
    </row>
    <row r="152" spans="1:8" ht="39.6" x14ac:dyDescent="0.25">
      <c r="A152" s="225" t="s">
        <v>348</v>
      </c>
      <c r="B152" s="220" t="s">
        <v>11</v>
      </c>
      <c r="C152" s="474">
        <v>939</v>
      </c>
      <c r="D152" s="332" t="s">
        <v>390</v>
      </c>
      <c r="E152" s="227" t="s">
        <v>276</v>
      </c>
      <c r="F152" s="228">
        <v>12</v>
      </c>
      <c r="G152" s="316">
        <v>2.44</v>
      </c>
      <c r="H152" s="316">
        <f t="shared" si="6"/>
        <v>29.28</v>
      </c>
    </row>
    <row r="153" spans="1:8" ht="26.4" x14ac:dyDescent="0.25">
      <c r="A153" s="225" t="s">
        <v>348</v>
      </c>
      <c r="B153" s="220" t="s">
        <v>11</v>
      </c>
      <c r="C153" s="474">
        <v>20111</v>
      </c>
      <c r="D153" s="332" t="s">
        <v>391</v>
      </c>
      <c r="E153" s="227" t="s">
        <v>290</v>
      </c>
      <c r="F153" s="228">
        <v>0.5</v>
      </c>
      <c r="G153" s="316">
        <v>9</v>
      </c>
      <c r="H153" s="316">
        <f t="shared" si="6"/>
        <v>4.5</v>
      </c>
    </row>
    <row r="154" spans="1:8" ht="13.8" x14ac:dyDescent="0.25">
      <c r="A154" s="208"/>
      <c r="B154" s="378"/>
      <c r="C154" s="209"/>
      <c r="D154" s="331" t="s">
        <v>399</v>
      </c>
      <c r="E154" s="209"/>
      <c r="F154" s="210"/>
      <c r="G154" s="211"/>
      <c r="H154" s="212"/>
    </row>
    <row r="155" spans="1:8" ht="13.8" x14ac:dyDescent="0.25">
      <c r="A155" s="379" t="s">
        <v>685</v>
      </c>
      <c r="B155" s="379">
        <v>33</v>
      </c>
      <c r="C155" s="630" t="s">
        <v>410</v>
      </c>
      <c r="D155" s="631"/>
      <c r="E155" s="631"/>
      <c r="F155" s="631"/>
      <c r="G155" s="379" t="s">
        <v>425</v>
      </c>
      <c r="H155" s="318">
        <f>ROUND((SUM(H156:H161)),2)</f>
        <v>112.63</v>
      </c>
    </row>
    <row r="156" spans="1:8" ht="26.4" x14ac:dyDescent="0.25">
      <c r="A156" s="225" t="s">
        <v>349</v>
      </c>
      <c r="B156" s="220" t="s">
        <v>11</v>
      </c>
      <c r="C156" s="474">
        <v>88264</v>
      </c>
      <c r="D156" s="332" t="s">
        <v>355</v>
      </c>
      <c r="E156" s="227" t="s">
        <v>351</v>
      </c>
      <c r="F156" s="228">
        <v>2</v>
      </c>
      <c r="G156" s="316">
        <v>22.26</v>
      </c>
      <c r="H156" s="316">
        <f t="shared" ref="H156:H161" si="7">F156*G156</f>
        <v>44.52</v>
      </c>
    </row>
    <row r="157" spans="1:8" ht="13.8" x14ac:dyDescent="0.25">
      <c r="A157" s="225" t="s">
        <v>349</v>
      </c>
      <c r="B157" s="220" t="s">
        <v>11</v>
      </c>
      <c r="C157" s="474">
        <v>88316</v>
      </c>
      <c r="D157" s="332" t="s">
        <v>356</v>
      </c>
      <c r="E157" s="227" t="s">
        <v>351</v>
      </c>
      <c r="F157" s="228">
        <v>1</v>
      </c>
      <c r="G157" s="316">
        <v>17.27</v>
      </c>
      <c r="H157" s="316">
        <f t="shared" si="7"/>
        <v>17.27</v>
      </c>
    </row>
    <row r="158" spans="1:8" ht="39.6" x14ac:dyDescent="0.25">
      <c r="A158" s="225" t="s">
        <v>348</v>
      </c>
      <c r="B158" s="220" t="s">
        <v>11</v>
      </c>
      <c r="C158" s="227">
        <v>38076</v>
      </c>
      <c r="D158" s="332" t="s">
        <v>401</v>
      </c>
      <c r="E158" s="227" t="s">
        <v>290</v>
      </c>
      <c r="F158" s="228">
        <v>1</v>
      </c>
      <c r="G158" s="316">
        <v>16.89</v>
      </c>
      <c r="H158" s="316">
        <f t="shared" si="7"/>
        <v>16.89</v>
      </c>
    </row>
    <row r="159" spans="1:8" ht="26.4" x14ac:dyDescent="0.25">
      <c r="A159" s="225" t="s">
        <v>348</v>
      </c>
      <c r="B159" s="220" t="s">
        <v>11</v>
      </c>
      <c r="C159" s="227">
        <v>43132</v>
      </c>
      <c r="D159" s="332" t="s">
        <v>392</v>
      </c>
      <c r="E159" s="227" t="s">
        <v>363</v>
      </c>
      <c r="F159" s="228">
        <v>6.0000000000000001E-3</v>
      </c>
      <c r="G159" s="316">
        <v>28.55</v>
      </c>
      <c r="H159" s="316">
        <f t="shared" si="7"/>
        <v>0.17130000000000001</v>
      </c>
    </row>
    <row r="160" spans="1:8" ht="39.6" x14ac:dyDescent="0.25">
      <c r="A160" s="225" t="s">
        <v>348</v>
      </c>
      <c r="B160" s="220" t="s">
        <v>11</v>
      </c>
      <c r="C160" s="474">
        <v>939</v>
      </c>
      <c r="D160" s="332" t="s">
        <v>390</v>
      </c>
      <c r="E160" s="227" t="s">
        <v>276</v>
      </c>
      <c r="F160" s="228">
        <v>12</v>
      </c>
      <c r="G160" s="316">
        <v>2.44</v>
      </c>
      <c r="H160" s="316">
        <f t="shared" si="7"/>
        <v>29.28</v>
      </c>
    </row>
    <row r="161" spans="1:8" ht="26.4" x14ac:dyDescent="0.25">
      <c r="A161" s="225" t="s">
        <v>348</v>
      </c>
      <c r="B161" s="220" t="s">
        <v>11</v>
      </c>
      <c r="C161" s="474">
        <v>20111</v>
      </c>
      <c r="D161" s="332" t="s">
        <v>391</v>
      </c>
      <c r="E161" s="227" t="s">
        <v>290</v>
      </c>
      <c r="F161" s="228">
        <v>0.5</v>
      </c>
      <c r="G161" s="316">
        <v>9</v>
      </c>
      <c r="H161" s="316">
        <f t="shared" si="7"/>
        <v>4.5</v>
      </c>
    </row>
    <row r="162" spans="1:8" ht="13.8" x14ac:dyDescent="0.25">
      <c r="A162" s="208"/>
      <c r="B162" s="378"/>
      <c r="C162" s="209"/>
      <c r="D162" s="331" t="s">
        <v>399</v>
      </c>
      <c r="E162" s="209"/>
      <c r="F162" s="210"/>
      <c r="G162" s="211"/>
      <c r="H162" s="212"/>
    </row>
    <row r="163" spans="1:8" ht="13.8" x14ac:dyDescent="0.25">
      <c r="A163" s="379" t="s">
        <v>685</v>
      </c>
      <c r="B163" s="379">
        <v>34</v>
      </c>
      <c r="C163" s="630" t="s">
        <v>497</v>
      </c>
      <c r="D163" s="631"/>
      <c r="E163" s="631"/>
      <c r="F163" s="631"/>
      <c r="G163" s="379" t="s">
        <v>425</v>
      </c>
      <c r="H163" s="318">
        <f>ROUND((SUM(H164:H169)),2)</f>
        <v>106.17</v>
      </c>
    </row>
    <row r="164" spans="1:8" ht="26.4" x14ac:dyDescent="0.25">
      <c r="A164" s="225" t="s">
        <v>349</v>
      </c>
      <c r="B164" s="220" t="s">
        <v>11</v>
      </c>
      <c r="C164" s="474">
        <v>88264</v>
      </c>
      <c r="D164" s="332" t="s">
        <v>355</v>
      </c>
      <c r="E164" s="227" t="s">
        <v>351</v>
      </c>
      <c r="F164" s="228">
        <v>2</v>
      </c>
      <c r="G164" s="316">
        <v>22.26</v>
      </c>
      <c r="H164" s="316">
        <f t="shared" ref="H164:H169" si="8">F164*G164</f>
        <v>44.52</v>
      </c>
    </row>
    <row r="165" spans="1:8" ht="30" customHeight="1" x14ac:dyDescent="0.25">
      <c r="A165" s="225" t="s">
        <v>349</v>
      </c>
      <c r="B165" s="220" t="s">
        <v>11</v>
      </c>
      <c r="C165" s="474">
        <v>88316</v>
      </c>
      <c r="D165" s="332" t="s">
        <v>356</v>
      </c>
      <c r="E165" s="227" t="s">
        <v>351</v>
      </c>
      <c r="F165" s="228">
        <v>1</v>
      </c>
      <c r="G165" s="316">
        <v>17.27</v>
      </c>
      <c r="H165" s="316">
        <f t="shared" si="8"/>
        <v>17.27</v>
      </c>
    </row>
    <row r="166" spans="1:8" ht="36" customHeight="1" x14ac:dyDescent="0.25">
      <c r="A166" s="225" t="s">
        <v>348</v>
      </c>
      <c r="B166" s="220" t="s">
        <v>11</v>
      </c>
      <c r="C166" s="227">
        <v>38077</v>
      </c>
      <c r="D166" s="332" t="s">
        <v>402</v>
      </c>
      <c r="E166" s="227" t="s">
        <v>290</v>
      </c>
      <c r="F166" s="228">
        <v>1</v>
      </c>
      <c r="G166" s="316">
        <v>14.48</v>
      </c>
      <c r="H166" s="316">
        <f t="shared" si="8"/>
        <v>14.48</v>
      </c>
    </row>
    <row r="167" spans="1:8" ht="26.4" x14ac:dyDescent="0.25">
      <c r="A167" s="225" t="s">
        <v>348</v>
      </c>
      <c r="B167" s="220" t="s">
        <v>11</v>
      </c>
      <c r="C167" s="227">
        <v>43132</v>
      </c>
      <c r="D167" s="332" t="s">
        <v>392</v>
      </c>
      <c r="E167" s="227" t="s">
        <v>363</v>
      </c>
      <c r="F167" s="228">
        <v>6.0000000000000001E-3</v>
      </c>
      <c r="G167" s="316">
        <v>28.55</v>
      </c>
      <c r="H167" s="316">
        <f t="shared" si="8"/>
        <v>0.17130000000000001</v>
      </c>
    </row>
    <row r="168" spans="1:8" ht="39.6" x14ac:dyDescent="0.25">
      <c r="A168" s="225" t="s">
        <v>348</v>
      </c>
      <c r="B168" s="220" t="s">
        <v>11</v>
      </c>
      <c r="C168" s="474">
        <v>939</v>
      </c>
      <c r="D168" s="332" t="s">
        <v>390</v>
      </c>
      <c r="E168" s="227" t="s">
        <v>276</v>
      </c>
      <c r="F168" s="228">
        <v>12</v>
      </c>
      <c r="G168" s="316">
        <v>2.44</v>
      </c>
      <c r="H168" s="316">
        <f t="shared" si="8"/>
        <v>29.28</v>
      </c>
    </row>
    <row r="169" spans="1:8" ht="26.4" x14ac:dyDescent="0.25">
      <c r="A169" s="225" t="s">
        <v>348</v>
      </c>
      <c r="B169" s="220" t="s">
        <v>11</v>
      </c>
      <c r="C169" s="474">
        <v>20111</v>
      </c>
      <c r="D169" s="332" t="s">
        <v>391</v>
      </c>
      <c r="E169" s="227" t="s">
        <v>290</v>
      </c>
      <c r="F169" s="228">
        <v>0.05</v>
      </c>
      <c r="G169" s="316">
        <v>9</v>
      </c>
      <c r="H169" s="316">
        <f t="shared" si="8"/>
        <v>0.45</v>
      </c>
    </row>
    <row r="170" spans="1:8" ht="13.8" x14ac:dyDescent="0.25">
      <c r="A170" s="208"/>
      <c r="B170" s="378"/>
      <c r="C170" s="209"/>
      <c r="D170" s="331" t="s">
        <v>399</v>
      </c>
      <c r="E170" s="209"/>
      <c r="F170" s="210"/>
      <c r="G170" s="211"/>
      <c r="H170" s="212"/>
    </row>
    <row r="171" spans="1:8" ht="42" customHeight="1" x14ac:dyDescent="0.25">
      <c r="A171" s="445" t="s">
        <v>685</v>
      </c>
      <c r="B171" s="445">
        <v>35</v>
      </c>
      <c r="C171" s="647" t="s">
        <v>806</v>
      </c>
      <c r="D171" s="647"/>
      <c r="E171" s="647"/>
      <c r="F171" s="647"/>
      <c r="G171" s="445" t="s">
        <v>581</v>
      </c>
      <c r="H171" s="446">
        <f>ROUND((SUM(H172:H175)),2)</f>
        <v>58.22</v>
      </c>
    </row>
    <row r="172" spans="1:8" ht="13.8" x14ac:dyDescent="0.25">
      <c r="A172" s="439" t="s">
        <v>349</v>
      </c>
      <c r="B172" s="439" t="s">
        <v>11</v>
      </c>
      <c r="C172" s="439">
        <v>88310</v>
      </c>
      <c r="D172" s="439" t="s">
        <v>807</v>
      </c>
      <c r="E172" s="439" t="s">
        <v>582</v>
      </c>
      <c r="F172" s="439">
        <v>0.187</v>
      </c>
      <c r="G172" s="476">
        <v>23.21</v>
      </c>
      <c r="H172" s="439">
        <f>F172*G172</f>
        <v>4.3402700000000003</v>
      </c>
    </row>
    <row r="173" spans="1:8" ht="13.8" x14ac:dyDescent="0.25">
      <c r="A173" s="439" t="s">
        <v>349</v>
      </c>
      <c r="B173" s="439" t="s">
        <v>11</v>
      </c>
      <c r="C173" s="439">
        <v>88316</v>
      </c>
      <c r="D173" s="439" t="s">
        <v>356</v>
      </c>
      <c r="E173" s="439" t="s">
        <v>276</v>
      </c>
      <c r="F173" s="439">
        <v>6.9000000000000006E-2</v>
      </c>
      <c r="G173" s="476">
        <v>17.27</v>
      </c>
      <c r="H173" s="439">
        <f>F173*G173</f>
        <v>1.19163</v>
      </c>
    </row>
    <row r="174" spans="1:8" ht="27" customHeight="1" x14ac:dyDescent="0.25">
      <c r="A174" s="439" t="s">
        <v>349</v>
      </c>
      <c r="B174" s="439" t="s">
        <v>11</v>
      </c>
      <c r="C174" s="439">
        <v>88489</v>
      </c>
      <c r="D174" s="439" t="s">
        <v>808</v>
      </c>
      <c r="E174" s="439" t="s">
        <v>276</v>
      </c>
      <c r="F174" s="439">
        <v>0.33</v>
      </c>
      <c r="G174" s="476">
        <v>11.7</v>
      </c>
      <c r="H174" s="439">
        <f>F174*G174</f>
        <v>3.8609999999999998</v>
      </c>
    </row>
    <row r="175" spans="1:8" ht="82.8" x14ac:dyDescent="0.25">
      <c r="A175" s="439" t="s">
        <v>348</v>
      </c>
      <c r="B175" s="439" t="s">
        <v>11</v>
      </c>
      <c r="C175" s="439">
        <v>5928</v>
      </c>
      <c r="D175" s="439" t="s">
        <v>809</v>
      </c>
      <c r="E175" s="439" t="s">
        <v>581</v>
      </c>
      <c r="F175" s="439">
        <v>0.187</v>
      </c>
      <c r="G175" s="476">
        <v>261.11</v>
      </c>
      <c r="H175" s="439">
        <f>F175*G175</f>
        <v>48.827570000000001</v>
      </c>
    </row>
    <row r="176" spans="1:8" ht="13.8" x14ac:dyDescent="0.25">
      <c r="A176" s="632" t="s">
        <v>854</v>
      </c>
      <c r="B176" s="633"/>
      <c r="C176" s="633"/>
      <c r="D176" s="633"/>
      <c r="E176" s="633"/>
      <c r="F176" s="633"/>
      <c r="G176" s="633"/>
      <c r="H176" s="634"/>
    </row>
    <row r="177" spans="1:9" ht="13.8" x14ac:dyDescent="0.25">
      <c r="A177" s="487" t="s">
        <v>685</v>
      </c>
      <c r="B177" s="487">
        <v>36</v>
      </c>
      <c r="C177" s="630" t="s">
        <v>460</v>
      </c>
      <c r="D177" s="631"/>
      <c r="E177" s="631"/>
      <c r="F177" s="631"/>
      <c r="G177" s="487" t="s">
        <v>582</v>
      </c>
      <c r="H177" s="318">
        <f>ROUND((SUM(H178:H179)),2)</f>
        <v>19.48</v>
      </c>
      <c r="I177" s="486"/>
    </row>
    <row r="178" spans="1:9" ht="13.8" x14ac:dyDescent="0.25">
      <c r="A178" s="207" t="s">
        <v>349</v>
      </c>
      <c r="B178" s="182" t="s">
        <v>11</v>
      </c>
      <c r="C178" s="207" t="s">
        <v>944</v>
      </c>
      <c r="D178" s="214" t="s">
        <v>365</v>
      </c>
      <c r="E178" s="207" t="s">
        <v>351</v>
      </c>
      <c r="F178" s="207">
        <v>0.1</v>
      </c>
      <c r="G178" s="316">
        <v>22</v>
      </c>
      <c r="H178" s="316">
        <f>F178*G178</f>
        <v>2.2000000000000002</v>
      </c>
      <c r="I178" s="486"/>
    </row>
    <row r="179" spans="1:9" ht="13.8" x14ac:dyDescent="0.25">
      <c r="A179" s="207" t="s">
        <v>349</v>
      </c>
      <c r="B179" s="182" t="s">
        <v>11</v>
      </c>
      <c r="C179" s="205">
        <v>88316</v>
      </c>
      <c r="D179" s="214" t="s">
        <v>356</v>
      </c>
      <c r="E179" s="207" t="s">
        <v>351</v>
      </c>
      <c r="F179" s="207">
        <v>1</v>
      </c>
      <c r="G179" s="316">
        <v>17.277000000000001</v>
      </c>
      <c r="H179" s="316">
        <f>F179*G179</f>
        <v>17.277000000000001</v>
      </c>
      <c r="I179" s="486"/>
    </row>
    <row r="180" spans="1:9" ht="13.8" x14ac:dyDescent="0.25">
      <c r="A180" s="504"/>
      <c r="B180" s="216"/>
      <c r="C180" s="235"/>
      <c r="D180" s="331" t="s">
        <v>464</v>
      </c>
      <c r="E180" s="217"/>
      <c r="F180" s="217"/>
      <c r="G180" s="217"/>
      <c r="H180" s="218"/>
      <c r="I180" s="486"/>
    </row>
    <row r="181" spans="1:9" ht="13.8" x14ac:dyDescent="0.25">
      <c r="A181" s="379" t="s">
        <v>685</v>
      </c>
      <c r="B181" s="379">
        <v>37</v>
      </c>
      <c r="C181" s="630" t="s">
        <v>407</v>
      </c>
      <c r="D181" s="631"/>
      <c r="E181" s="631"/>
      <c r="F181" s="631"/>
      <c r="G181" s="379" t="s">
        <v>581</v>
      </c>
      <c r="H181" s="318">
        <f>ROUND((SUM(H182:H183)),2)</f>
        <v>83.26</v>
      </c>
    </row>
    <row r="182" spans="1:9" ht="13.8" x14ac:dyDescent="0.25">
      <c r="A182" s="225" t="s">
        <v>349</v>
      </c>
      <c r="B182" s="220" t="s">
        <v>11</v>
      </c>
      <c r="C182" s="227">
        <v>88316</v>
      </c>
      <c r="D182" s="332" t="s">
        <v>356</v>
      </c>
      <c r="E182" s="227" t="s">
        <v>351</v>
      </c>
      <c r="F182" s="228">
        <v>0.65900000000000003</v>
      </c>
      <c r="G182" s="316">
        <v>17.27</v>
      </c>
      <c r="H182" s="316">
        <f>F182*G182</f>
        <v>11.380930000000001</v>
      </c>
    </row>
    <row r="183" spans="1:9" ht="39.6" x14ac:dyDescent="0.25">
      <c r="A183" s="225" t="s">
        <v>348</v>
      </c>
      <c r="B183" s="220" t="s">
        <v>11</v>
      </c>
      <c r="C183" s="227">
        <v>368</v>
      </c>
      <c r="D183" s="332" t="s">
        <v>284</v>
      </c>
      <c r="E183" s="227" t="s">
        <v>290</v>
      </c>
      <c r="F183" s="228">
        <v>1.25</v>
      </c>
      <c r="G183" s="316">
        <v>57.5</v>
      </c>
      <c r="H183" s="316">
        <f>F183*G183</f>
        <v>71.875</v>
      </c>
    </row>
    <row r="184" spans="1:9" ht="13.8" x14ac:dyDescent="0.25">
      <c r="A184" s="208"/>
      <c r="B184" s="378"/>
      <c r="C184" s="209"/>
      <c r="D184" s="331" t="s">
        <v>408</v>
      </c>
      <c r="E184" s="209"/>
      <c r="F184" s="210"/>
      <c r="G184" s="211"/>
      <c r="H184" s="212"/>
    </row>
    <row r="185" spans="1:9" ht="37.799999999999997" customHeight="1" x14ac:dyDescent="0.25">
      <c r="A185" s="436" t="s">
        <v>685</v>
      </c>
      <c r="B185" s="436">
        <v>38</v>
      </c>
      <c r="C185" s="630" t="s">
        <v>844</v>
      </c>
      <c r="D185" s="631"/>
      <c r="E185" s="631"/>
      <c r="F185" s="631"/>
      <c r="G185" s="436" t="s">
        <v>581</v>
      </c>
      <c r="H185" s="441">
        <f>ROUND((SUM(H186:H197)),2)</f>
        <v>166</v>
      </c>
    </row>
    <row r="186" spans="1:9" ht="37.799999999999997" customHeight="1" x14ac:dyDescent="0.25">
      <c r="A186" s="207" t="s">
        <v>349</v>
      </c>
      <c r="B186" s="437" t="s">
        <v>78</v>
      </c>
      <c r="C186" s="207">
        <v>1286</v>
      </c>
      <c r="D186" s="357" t="s">
        <v>845</v>
      </c>
      <c r="E186" s="207" t="s">
        <v>582</v>
      </c>
      <c r="F186" s="207">
        <v>1</v>
      </c>
      <c r="G186" s="442">
        <v>46.1</v>
      </c>
      <c r="H186" s="222">
        <f t="shared" ref="H186:H197" si="9">F186*G186</f>
        <v>46.1</v>
      </c>
    </row>
    <row r="187" spans="1:9" ht="37.799999999999997" customHeight="1" x14ac:dyDescent="0.25">
      <c r="A187" s="207" t="s">
        <v>349</v>
      </c>
      <c r="B187" s="437" t="s">
        <v>78</v>
      </c>
      <c r="C187" s="207">
        <v>1569</v>
      </c>
      <c r="D187" s="357" t="s">
        <v>846</v>
      </c>
      <c r="E187" s="207" t="s">
        <v>276</v>
      </c>
      <c r="F187" s="207">
        <v>1.71</v>
      </c>
      <c r="G187" s="207">
        <v>9.89</v>
      </c>
      <c r="H187" s="222">
        <f t="shared" si="9"/>
        <v>16.911899999999999</v>
      </c>
    </row>
    <row r="188" spans="1:9" ht="37.799999999999997" customHeight="1" x14ac:dyDescent="0.25">
      <c r="A188" s="207" t="s">
        <v>348</v>
      </c>
      <c r="B188" s="437" t="s">
        <v>11</v>
      </c>
      <c r="C188" s="207">
        <v>4512</v>
      </c>
      <c r="D188" s="357" t="s">
        <v>847</v>
      </c>
      <c r="E188" s="207" t="s">
        <v>276</v>
      </c>
      <c r="F188" s="207">
        <v>0.97</v>
      </c>
      <c r="G188" s="207">
        <v>3.43</v>
      </c>
      <c r="H188" s="222">
        <f t="shared" si="9"/>
        <v>3.3271000000000002</v>
      </c>
    </row>
    <row r="189" spans="1:9" ht="37.799999999999997" customHeight="1" x14ac:dyDescent="0.25">
      <c r="A189" s="207" t="s">
        <v>348</v>
      </c>
      <c r="B189" s="437" t="s">
        <v>11</v>
      </c>
      <c r="C189" s="207">
        <v>367</v>
      </c>
      <c r="D189" s="357" t="s">
        <v>714</v>
      </c>
      <c r="E189" s="207" t="s">
        <v>581</v>
      </c>
      <c r="F189" s="207">
        <v>4.9000000000000002E-2</v>
      </c>
      <c r="G189" s="207">
        <v>116.5</v>
      </c>
      <c r="H189" s="222">
        <f t="shared" si="9"/>
        <v>5.7084999999999999</v>
      </c>
    </row>
    <row r="190" spans="1:9" ht="37.799999999999997" customHeight="1" x14ac:dyDescent="0.25">
      <c r="A190" s="207" t="s">
        <v>348</v>
      </c>
      <c r="B190" s="437" t="s">
        <v>11</v>
      </c>
      <c r="C190" s="207">
        <v>1379</v>
      </c>
      <c r="D190" s="357" t="s">
        <v>848</v>
      </c>
      <c r="E190" s="207" t="s">
        <v>363</v>
      </c>
      <c r="F190" s="207">
        <v>15</v>
      </c>
      <c r="G190" s="207">
        <v>0.7</v>
      </c>
      <c r="H190" s="222">
        <f t="shared" si="9"/>
        <v>10.5</v>
      </c>
    </row>
    <row r="191" spans="1:9" ht="37.799999999999997" customHeight="1" x14ac:dyDescent="0.25">
      <c r="A191" s="207" t="s">
        <v>348</v>
      </c>
      <c r="B191" s="437" t="s">
        <v>11</v>
      </c>
      <c r="C191" s="207">
        <v>4718</v>
      </c>
      <c r="D191" s="357" t="s">
        <v>849</v>
      </c>
      <c r="E191" s="207" t="s">
        <v>581</v>
      </c>
      <c r="F191" s="207">
        <v>3.3000000000000002E-2</v>
      </c>
      <c r="G191" s="207">
        <v>120</v>
      </c>
      <c r="H191" s="222">
        <f t="shared" si="9"/>
        <v>3.96</v>
      </c>
    </row>
    <row r="192" spans="1:9" ht="37.799999999999997" customHeight="1" x14ac:dyDescent="0.25">
      <c r="A192" s="207" t="s">
        <v>348</v>
      </c>
      <c r="B192" s="437" t="s">
        <v>11</v>
      </c>
      <c r="C192" s="207">
        <v>4721</v>
      </c>
      <c r="D192" s="357" t="s">
        <v>850</v>
      </c>
      <c r="E192" s="207" t="s">
        <v>581</v>
      </c>
      <c r="F192" s="207">
        <v>1.0999999999999999E-2</v>
      </c>
      <c r="G192" s="207">
        <v>119.37</v>
      </c>
      <c r="H192" s="222">
        <f t="shared" si="9"/>
        <v>1.31307</v>
      </c>
    </row>
    <row r="193" spans="1:8" ht="27.6" x14ac:dyDescent="0.25">
      <c r="A193" s="207" t="s">
        <v>348</v>
      </c>
      <c r="B193" s="437" t="s">
        <v>11</v>
      </c>
      <c r="C193" s="207">
        <v>5075</v>
      </c>
      <c r="D193" s="357" t="s">
        <v>851</v>
      </c>
      <c r="E193" s="207" t="s">
        <v>363</v>
      </c>
      <c r="F193" s="207">
        <v>0.03</v>
      </c>
      <c r="G193" s="207">
        <v>23.4</v>
      </c>
      <c r="H193" s="222">
        <f t="shared" si="9"/>
        <v>0.70199999999999996</v>
      </c>
    </row>
    <row r="194" spans="1:8" ht="27.6" x14ac:dyDescent="0.25">
      <c r="A194" s="207" t="s">
        <v>348</v>
      </c>
      <c r="B194" s="437" t="s">
        <v>11</v>
      </c>
      <c r="C194" s="207">
        <v>10567</v>
      </c>
      <c r="D194" s="357" t="s">
        <v>852</v>
      </c>
      <c r="E194" s="207" t="s">
        <v>276</v>
      </c>
      <c r="F194" s="207">
        <v>0.56000000000000005</v>
      </c>
      <c r="G194" s="207">
        <v>16</v>
      </c>
      <c r="H194" s="222">
        <f t="shared" si="9"/>
        <v>8.9600000000000009</v>
      </c>
    </row>
    <row r="195" spans="1:8" ht="55.2" x14ac:dyDescent="0.25">
      <c r="A195" s="207" t="s">
        <v>349</v>
      </c>
      <c r="B195" s="437" t="s">
        <v>78</v>
      </c>
      <c r="C195" s="207">
        <v>140</v>
      </c>
      <c r="D195" s="357" t="s">
        <v>853</v>
      </c>
      <c r="E195" s="207" t="s">
        <v>363</v>
      </c>
      <c r="F195" s="207">
        <v>1.89</v>
      </c>
      <c r="G195" s="207">
        <v>13.95</v>
      </c>
      <c r="H195" s="222">
        <f t="shared" si="9"/>
        <v>26.365499999999997</v>
      </c>
    </row>
    <row r="196" spans="1:8" ht="13.8" x14ac:dyDescent="0.25">
      <c r="A196" s="207" t="s">
        <v>349</v>
      </c>
      <c r="B196" s="437" t="s">
        <v>11</v>
      </c>
      <c r="C196" s="207">
        <v>88309</v>
      </c>
      <c r="D196" s="357" t="s">
        <v>365</v>
      </c>
      <c r="E196" s="207" t="s">
        <v>351</v>
      </c>
      <c r="F196" s="207">
        <v>0.44</v>
      </c>
      <c r="G196" s="207">
        <v>22</v>
      </c>
      <c r="H196" s="222">
        <f t="shared" si="9"/>
        <v>9.68</v>
      </c>
    </row>
    <row r="197" spans="1:8" ht="13.8" x14ac:dyDescent="0.25">
      <c r="A197" s="207" t="s">
        <v>349</v>
      </c>
      <c r="B197" s="437" t="s">
        <v>11</v>
      </c>
      <c r="C197" s="207">
        <v>88316</v>
      </c>
      <c r="D197" s="357" t="s">
        <v>356</v>
      </c>
      <c r="E197" s="207" t="s">
        <v>351</v>
      </c>
      <c r="F197" s="207">
        <v>1.88</v>
      </c>
      <c r="G197" s="207">
        <v>17.27</v>
      </c>
      <c r="H197" s="222">
        <f t="shared" si="9"/>
        <v>32.467599999999997</v>
      </c>
    </row>
    <row r="198" spans="1:8" ht="13.8" x14ac:dyDescent="0.25">
      <c r="A198" s="632" t="s">
        <v>855</v>
      </c>
      <c r="B198" s="633"/>
      <c r="C198" s="633"/>
      <c r="D198" s="633"/>
      <c r="E198" s="633"/>
      <c r="F198" s="633"/>
      <c r="G198" s="633"/>
      <c r="H198" s="634"/>
    </row>
    <row r="199" spans="1:8" ht="40.200000000000003" customHeight="1" x14ac:dyDescent="0.25">
      <c r="A199" s="379" t="s">
        <v>685</v>
      </c>
      <c r="B199" s="379">
        <v>39</v>
      </c>
      <c r="C199" s="645" t="s">
        <v>563</v>
      </c>
      <c r="D199" s="645"/>
      <c r="E199" s="645"/>
      <c r="F199" s="645"/>
      <c r="G199" s="379" t="s">
        <v>276</v>
      </c>
      <c r="H199" s="318">
        <f>ROUND((SUM(H200:H204)),2)</f>
        <v>103.29</v>
      </c>
    </row>
    <row r="200" spans="1:8" ht="13.8" x14ac:dyDescent="0.25">
      <c r="A200" s="213" t="s">
        <v>349</v>
      </c>
      <c r="B200" s="182" t="s">
        <v>11</v>
      </c>
      <c r="C200" s="475">
        <v>88317</v>
      </c>
      <c r="D200" s="214" t="s">
        <v>416</v>
      </c>
      <c r="E200" s="227" t="s">
        <v>351</v>
      </c>
      <c r="F200" s="228">
        <v>0.09</v>
      </c>
      <c r="G200" s="316">
        <v>23.5</v>
      </c>
      <c r="H200" s="316">
        <f>F200*G200</f>
        <v>2.1149999999999998</v>
      </c>
    </row>
    <row r="201" spans="1:8" ht="39" customHeight="1" x14ac:dyDescent="0.25">
      <c r="A201" s="225" t="s">
        <v>349</v>
      </c>
      <c r="B201" s="220" t="s">
        <v>11</v>
      </c>
      <c r="C201" s="474">
        <v>88316</v>
      </c>
      <c r="D201" s="332" t="s">
        <v>356</v>
      </c>
      <c r="E201" s="227" t="s">
        <v>351</v>
      </c>
      <c r="F201" s="228">
        <v>1.9E-2</v>
      </c>
      <c r="G201" s="316">
        <v>17.27</v>
      </c>
      <c r="H201" s="316">
        <f>F201*G201</f>
        <v>0.32812999999999998</v>
      </c>
    </row>
    <row r="202" spans="1:8" ht="26.4" x14ac:dyDescent="0.25">
      <c r="A202" s="225" t="s">
        <v>348</v>
      </c>
      <c r="B202" s="220" t="s">
        <v>11</v>
      </c>
      <c r="C202" s="227">
        <v>43083</v>
      </c>
      <c r="D202" s="332" t="s">
        <v>586</v>
      </c>
      <c r="E202" s="227" t="s">
        <v>363</v>
      </c>
      <c r="F202" s="228">
        <v>6.83</v>
      </c>
      <c r="G202" s="316">
        <v>11.54</v>
      </c>
      <c r="H202" s="316">
        <f>F202*G202</f>
        <v>78.81819999999999</v>
      </c>
    </row>
    <row r="203" spans="1:8" ht="36" customHeight="1" x14ac:dyDescent="0.25">
      <c r="A203" s="225" t="s">
        <v>349</v>
      </c>
      <c r="B203" s="220" t="s">
        <v>11</v>
      </c>
      <c r="C203" s="227">
        <v>100719</v>
      </c>
      <c r="D203" s="332" t="s">
        <v>417</v>
      </c>
      <c r="E203" s="227" t="s">
        <v>280</v>
      </c>
      <c r="F203" s="228">
        <v>0.46</v>
      </c>
      <c r="G203" s="316">
        <v>9.25</v>
      </c>
      <c r="H203" s="316">
        <f>F203*G203</f>
        <v>4.2549999999999999</v>
      </c>
    </row>
    <row r="204" spans="1:8" ht="26.4" x14ac:dyDescent="0.25">
      <c r="A204" s="226" t="s">
        <v>348</v>
      </c>
      <c r="B204" s="220" t="s">
        <v>11</v>
      </c>
      <c r="C204" s="227">
        <v>10997</v>
      </c>
      <c r="D204" s="332" t="s">
        <v>367</v>
      </c>
      <c r="E204" s="227" t="s">
        <v>363</v>
      </c>
      <c r="F204" s="228">
        <v>0.5</v>
      </c>
      <c r="G204" s="316">
        <v>35.54</v>
      </c>
      <c r="H204" s="316">
        <f>F204*G204</f>
        <v>17.77</v>
      </c>
    </row>
    <row r="205" spans="1:8" ht="13.8" x14ac:dyDescent="0.25">
      <c r="A205" s="208"/>
      <c r="B205" s="378"/>
      <c r="C205" s="209"/>
      <c r="D205" s="331" t="s">
        <v>415</v>
      </c>
      <c r="E205" s="209"/>
      <c r="F205" s="210"/>
      <c r="G205" s="211"/>
      <c r="H205" s="212"/>
    </row>
    <row r="206" spans="1:8" ht="30.6" customHeight="1" x14ac:dyDescent="0.25">
      <c r="A206" s="379" t="s">
        <v>685</v>
      </c>
      <c r="B206" s="379">
        <v>40</v>
      </c>
      <c r="C206" s="645" t="s">
        <v>564</v>
      </c>
      <c r="D206" s="645"/>
      <c r="E206" s="645"/>
      <c r="F206" s="645"/>
      <c r="G206" s="379" t="s">
        <v>276</v>
      </c>
      <c r="H206" s="318">
        <f>ROUND((SUM(H207:H211)),2)</f>
        <v>48.2</v>
      </c>
    </row>
    <row r="207" spans="1:8" ht="13.8" x14ac:dyDescent="0.25">
      <c r="A207" s="213" t="s">
        <v>349</v>
      </c>
      <c r="B207" s="182" t="s">
        <v>11</v>
      </c>
      <c r="C207" s="475">
        <v>88317</v>
      </c>
      <c r="D207" s="214" t="s">
        <v>416</v>
      </c>
      <c r="E207" s="227" t="s">
        <v>351</v>
      </c>
      <c r="F207" s="228">
        <v>0.09</v>
      </c>
      <c r="G207" s="316">
        <v>23.5</v>
      </c>
      <c r="H207" s="316">
        <f>F207*G207</f>
        <v>2.1149999999999998</v>
      </c>
    </row>
    <row r="208" spans="1:8" ht="13.8" x14ac:dyDescent="0.25">
      <c r="A208" s="225" t="s">
        <v>349</v>
      </c>
      <c r="B208" s="220" t="s">
        <v>11</v>
      </c>
      <c r="C208" s="474">
        <v>88316</v>
      </c>
      <c r="D208" s="332" t="s">
        <v>356</v>
      </c>
      <c r="E208" s="227" t="s">
        <v>351</v>
      </c>
      <c r="F208" s="228">
        <v>1.9E-2</v>
      </c>
      <c r="G208" s="316">
        <v>17.27</v>
      </c>
      <c r="H208" s="316">
        <f>F208*G208</f>
        <v>0.32812999999999998</v>
      </c>
    </row>
    <row r="209" spans="1:8" ht="26.4" x14ac:dyDescent="0.25">
      <c r="A209" s="225" t="s">
        <v>348</v>
      </c>
      <c r="B209" s="220" t="s">
        <v>11</v>
      </c>
      <c r="C209" s="227">
        <v>4777</v>
      </c>
      <c r="D209" s="332" t="s">
        <v>418</v>
      </c>
      <c r="E209" s="227" t="s">
        <v>363</v>
      </c>
      <c r="F209" s="263">
        <v>2.2200000000000002</v>
      </c>
      <c r="G209" s="316">
        <v>10.69</v>
      </c>
      <c r="H209" s="316">
        <f>F209*G209</f>
        <v>23.7318</v>
      </c>
    </row>
    <row r="210" spans="1:8" ht="36" customHeight="1" x14ac:dyDescent="0.25">
      <c r="A210" s="225" t="s">
        <v>349</v>
      </c>
      <c r="B210" s="220" t="s">
        <v>11</v>
      </c>
      <c r="C210" s="227">
        <v>100719</v>
      </c>
      <c r="D210" s="332" t="s">
        <v>417</v>
      </c>
      <c r="E210" s="227" t="s">
        <v>280</v>
      </c>
      <c r="F210" s="228">
        <v>0.46</v>
      </c>
      <c r="G210" s="316">
        <v>9.25</v>
      </c>
      <c r="H210" s="316">
        <f>F210*G210</f>
        <v>4.2549999999999999</v>
      </c>
    </row>
    <row r="211" spans="1:8" ht="26.4" x14ac:dyDescent="0.25">
      <c r="A211" s="226" t="s">
        <v>348</v>
      </c>
      <c r="B211" s="220" t="s">
        <v>11</v>
      </c>
      <c r="C211" s="227">
        <v>10997</v>
      </c>
      <c r="D211" s="332" t="s">
        <v>367</v>
      </c>
      <c r="E211" s="227" t="s">
        <v>363</v>
      </c>
      <c r="F211" s="228">
        <v>0.5</v>
      </c>
      <c r="G211" s="316">
        <v>35.54</v>
      </c>
      <c r="H211" s="316">
        <f>F211*G211</f>
        <v>17.77</v>
      </c>
    </row>
    <row r="212" spans="1:8" ht="13.8" x14ac:dyDescent="0.25">
      <c r="A212" s="208"/>
      <c r="B212" s="378"/>
      <c r="C212" s="209"/>
      <c r="D212" s="331" t="s">
        <v>415</v>
      </c>
      <c r="E212" s="209"/>
      <c r="F212" s="210"/>
      <c r="G212" s="211"/>
      <c r="H212" s="212"/>
    </row>
    <row r="213" spans="1:8" ht="40.200000000000003" customHeight="1" x14ac:dyDescent="0.25">
      <c r="A213" s="379" t="s">
        <v>685</v>
      </c>
      <c r="B213" s="379">
        <v>41</v>
      </c>
      <c r="C213" s="630" t="s">
        <v>420</v>
      </c>
      <c r="D213" s="631"/>
      <c r="E213" s="631"/>
      <c r="F213" s="646"/>
      <c r="G213" s="379" t="s">
        <v>582</v>
      </c>
      <c r="H213" s="318">
        <f>ROUND((SUM(H214:H215)),2)</f>
        <v>187.09</v>
      </c>
    </row>
    <row r="214" spans="1:8" ht="13.8" x14ac:dyDescent="0.25">
      <c r="A214" s="225" t="s">
        <v>349</v>
      </c>
      <c r="B214" s="220" t="s">
        <v>11</v>
      </c>
      <c r="C214" s="227">
        <v>88309</v>
      </c>
      <c r="D214" s="332" t="s">
        <v>365</v>
      </c>
      <c r="E214" s="227" t="s">
        <v>351</v>
      </c>
      <c r="F214" s="228">
        <v>0.25</v>
      </c>
      <c r="G214" s="316">
        <v>22</v>
      </c>
      <c r="H214" s="316">
        <f>F214*G214</f>
        <v>5.5</v>
      </c>
    </row>
    <row r="215" spans="1:8" ht="39.6" x14ac:dyDescent="0.25">
      <c r="A215" s="225" t="s">
        <v>348</v>
      </c>
      <c r="B215" s="220" t="s">
        <v>11</v>
      </c>
      <c r="C215" s="227">
        <v>131</v>
      </c>
      <c r="D215" s="332" t="s">
        <v>666</v>
      </c>
      <c r="E215" s="227" t="s">
        <v>363</v>
      </c>
      <c r="F215" s="228">
        <v>3</v>
      </c>
      <c r="G215" s="316">
        <v>60.53</v>
      </c>
      <c r="H215" s="316">
        <f>F215*G215</f>
        <v>181.59</v>
      </c>
    </row>
    <row r="216" spans="1:8" ht="13.8" x14ac:dyDescent="0.25">
      <c r="A216" s="208"/>
      <c r="B216" s="378"/>
      <c r="C216" s="209"/>
      <c r="D216" s="331" t="s">
        <v>419</v>
      </c>
      <c r="E216" s="209"/>
      <c r="F216" s="210"/>
      <c r="G216" s="211"/>
      <c r="H216" s="212"/>
    </row>
    <row r="217" spans="1:8" ht="34.799999999999997" customHeight="1" x14ac:dyDescent="0.25">
      <c r="A217" s="379" t="s">
        <v>685</v>
      </c>
      <c r="B217" s="379">
        <v>42</v>
      </c>
      <c r="C217" s="630" t="s">
        <v>288</v>
      </c>
      <c r="D217" s="631"/>
      <c r="E217" s="631"/>
      <c r="F217" s="631"/>
      <c r="G217" s="379" t="s">
        <v>425</v>
      </c>
      <c r="H217" s="318">
        <f>ROUND((SUM(H218:H223)),2)</f>
        <v>127.73</v>
      </c>
    </row>
    <row r="218" spans="1:8" ht="26.4" x14ac:dyDescent="0.25">
      <c r="A218" s="225" t="s">
        <v>349</v>
      </c>
      <c r="B218" s="220" t="s">
        <v>11</v>
      </c>
      <c r="C218" s="474">
        <v>88264</v>
      </c>
      <c r="D218" s="332" t="s">
        <v>355</v>
      </c>
      <c r="E218" s="227" t="s">
        <v>351</v>
      </c>
      <c r="F218" s="228">
        <v>2</v>
      </c>
      <c r="G218" s="316">
        <v>22.26</v>
      </c>
      <c r="H218" s="316">
        <f t="shared" ref="H218:H223" si="10">F218*G218</f>
        <v>44.52</v>
      </c>
    </row>
    <row r="219" spans="1:8" ht="37.950000000000003" customHeight="1" x14ac:dyDescent="0.25">
      <c r="A219" s="225" t="s">
        <v>349</v>
      </c>
      <c r="B219" s="220" t="s">
        <v>11</v>
      </c>
      <c r="C219" s="474">
        <v>88316</v>
      </c>
      <c r="D219" s="332" t="s">
        <v>356</v>
      </c>
      <c r="E219" s="227" t="s">
        <v>351</v>
      </c>
      <c r="F219" s="228">
        <v>1</v>
      </c>
      <c r="G219" s="316">
        <v>17.27</v>
      </c>
      <c r="H219" s="316">
        <f t="shared" si="10"/>
        <v>17.27</v>
      </c>
    </row>
    <row r="220" spans="1:8" ht="39.6" x14ac:dyDescent="0.25">
      <c r="A220" s="225" t="s">
        <v>348</v>
      </c>
      <c r="B220" s="220" t="s">
        <v>11</v>
      </c>
      <c r="C220" s="227">
        <v>38075</v>
      </c>
      <c r="D220" s="332" t="s">
        <v>411</v>
      </c>
      <c r="E220" s="227" t="s">
        <v>290</v>
      </c>
      <c r="F220" s="228">
        <v>1</v>
      </c>
      <c r="G220" s="316">
        <v>15.07</v>
      </c>
      <c r="H220" s="316">
        <f t="shared" si="10"/>
        <v>15.07</v>
      </c>
    </row>
    <row r="221" spans="1:8" ht="26.4" x14ac:dyDescent="0.25">
      <c r="A221" s="225" t="s">
        <v>348</v>
      </c>
      <c r="B221" s="220" t="s">
        <v>11</v>
      </c>
      <c r="C221" s="227">
        <v>43132</v>
      </c>
      <c r="D221" s="332" t="s">
        <v>392</v>
      </c>
      <c r="E221" s="227" t="s">
        <v>363</v>
      </c>
      <c r="F221" s="228">
        <v>6.0000000000000001E-3</v>
      </c>
      <c r="G221" s="316">
        <v>28.55</v>
      </c>
      <c r="H221" s="316">
        <f t="shared" si="10"/>
        <v>0.17130000000000001</v>
      </c>
    </row>
    <row r="222" spans="1:8" ht="39.6" x14ac:dyDescent="0.25">
      <c r="A222" s="225" t="s">
        <v>348</v>
      </c>
      <c r="B222" s="220" t="s">
        <v>11</v>
      </c>
      <c r="C222" s="227">
        <v>944</v>
      </c>
      <c r="D222" s="332" t="s">
        <v>412</v>
      </c>
      <c r="E222" s="227" t="s">
        <v>276</v>
      </c>
      <c r="F222" s="228">
        <v>12</v>
      </c>
      <c r="G222" s="316">
        <v>3.85</v>
      </c>
      <c r="H222" s="316">
        <f t="shared" si="10"/>
        <v>46.2</v>
      </c>
    </row>
    <row r="223" spans="1:8" ht="26.4" x14ac:dyDescent="0.25">
      <c r="A223" s="225" t="s">
        <v>348</v>
      </c>
      <c r="B223" s="220" t="s">
        <v>11</v>
      </c>
      <c r="C223" s="474">
        <v>20111</v>
      </c>
      <c r="D223" s="332" t="s">
        <v>391</v>
      </c>
      <c r="E223" s="227" t="s">
        <v>290</v>
      </c>
      <c r="F223" s="228">
        <v>0.5</v>
      </c>
      <c r="G223" s="316">
        <v>9</v>
      </c>
      <c r="H223" s="316">
        <f t="shared" si="10"/>
        <v>4.5</v>
      </c>
    </row>
    <row r="224" spans="1:8" ht="13.8" x14ac:dyDescent="0.25">
      <c r="A224" s="208"/>
      <c r="B224" s="378"/>
      <c r="C224" s="209"/>
      <c r="D224" s="331" t="s">
        <v>399</v>
      </c>
      <c r="E224" s="209"/>
      <c r="F224" s="210"/>
      <c r="G224" s="211"/>
      <c r="H224" s="212"/>
    </row>
    <row r="225" spans="1:8" ht="13.8" x14ac:dyDescent="0.25">
      <c r="A225" s="377" t="s">
        <v>685</v>
      </c>
      <c r="B225" s="377">
        <v>43</v>
      </c>
      <c r="C225" s="644" t="s">
        <v>710</v>
      </c>
      <c r="D225" s="644"/>
      <c r="E225" s="644"/>
      <c r="F225" s="644"/>
      <c r="G225" s="317" t="s">
        <v>582</v>
      </c>
      <c r="H225" s="318">
        <f>ROUND(SUM(H227:H231),2)</f>
        <v>366.57</v>
      </c>
    </row>
    <row r="226" spans="1:8" ht="13.8" x14ac:dyDescent="0.3">
      <c r="A226" s="638" t="s">
        <v>686</v>
      </c>
      <c r="B226" s="639"/>
      <c r="C226" s="639"/>
      <c r="D226" s="640"/>
      <c r="E226" s="635"/>
      <c r="F226" s="636"/>
      <c r="G226" s="636"/>
      <c r="H226" s="637"/>
    </row>
    <row r="227" spans="1:8" ht="39" customHeight="1" x14ac:dyDescent="0.25">
      <c r="A227" s="315" t="s">
        <v>706</v>
      </c>
      <c r="B227" s="315" t="s">
        <v>11</v>
      </c>
      <c r="C227" s="315">
        <v>88309</v>
      </c>
      <c r="D227" s="326" t="s">
        <v>707</v>
      </c>
      <c r="E227" s="315" t="s">
        <v>351</v>
      </c>
      <c r="F227" s="315">
        <v>0.8</v>
      </c>
      <c r="G227" s="337">
        <v>22</v>
      </c>
      <c r="H227" s="316">
        <f>(F227*G227)</f>
        <v>17.600000000000001</v>
      </c>
    </row>
    <row r="228" spans="1:8" ht="13.8" x14ac:dyDescent="0.25">
      <c r="A228" s="315" t="s">
        <v>706</v>
      </c>
      <c r="B228" s="315" t="s">
        <v>11</v>
      </c>
      <c r="C228" s="315">
        <v>88316</v>
      </c>
      <c r="D228" s="327" t="s">
        <v>356</v>
      </c>
      <c r="E228" s="315" t="s">
        <v>351</v>
      </c>
      <c r="F228" s="315">
        <v>0.8</v>
      </c>
      <c r="G228" s="337">
        <v>17.27</v>
      </c>
      <c r="H228" s="316">
        <f>(F228*G228)</f>
        <v>13.816000000000001</v>
      </c>
    </row>
    <row r="229" spans="1:8" ht="13.8" x14ac:dyDescent="0.25">
      <c r="A229" s="638" t="s">
        <v>684</v>
      </c>
      <c r="B229" s="639"/>
      <c r="C229" s="639"/>
      <c r="D229" s="640"/>
      <c r="E229" s="638"/>
      <c r="F229" s="639"/>
      <c r="G229" s="639"/>
      <c r="H229" s="640"/>
    </row>
    <row r="230" spans="1:8" ht="55.2" x14ac:dyDescent="0.25">
      <c r="A230" s="226" t="s">
        <v>706</v>
      </c>
      <c r="B230" s="315" t="s">
        <v>11</v>
      </c>
      <c r="C230" s="226">
        <v>88628</v>
      </c>
      <c r="D230" s="336" t="s">
        <v>709</v>
      </c>
      <c r="E230" s="226" t="s">
        <v>581</v>
      </c>
      <c r="F230" s="226">
        <v>1.6E-2</v>
      </c>
      <c r="G230" s="337">
        <v>524.55999999999995</v>
      </c>
      <c r="H230" s="316">
        <f>(F230*G230)</f>
        <v>8.3929599999999986</v>
      </c>
    </row>
    <row r="231" spans="1:8" ht="55.2" x14ac:dyDescent="0.25">
      <c r="A231" s="226" t="s">
        <v>348</v>
      </c>
      <c r="B231" s="315" t="s">
        <v>11</v>
      </c>
      <c r="C231" s="226">
        <v>4911</v>
      </c>
      <c r="D231" s="336" t="s">
        <v>711</v>
      </c>
      <c r="E231" s="226" t="s">
        <v>712</v>
      </c>
      <c r="F231" s="226">
        <v>1</v>
      </c>
      <c r="G231" s="337">
        <v>326.76</v>
      </c>
      <c r="H231" s="337">
        <f>(F231*G231)</f>
        <v>326.76</v>
      </c>
    </row>
    <row r="232" spans="1:8" ht="13.8" x14ac:dyDescent="0.25">
      <c r="A232" s="632" t="s">
        <v>713</v>
      </c>
      <c r="B232" s="633"/>
      <c r="C232" s="633"/>
      <c r="D232" s="633"/>
      <c r="E232" s="633"/>
      <c r="F232" s="633"/>
      <c r="G232" s="633"/>
      <c r="H232" s="634"/>
    </row>
    <row r="233" spans="1:8" x14ac:dyDescent="0.25">
      <c r="A233" s="93" t="s">
        <v>13</v>
      </c>
      <c r="B233" s="6" t="s">
        <v>943</v>
      </c>
      <c r="C233" s="88"/>
    </row>
    <row r="234" spans="1:8" x14ac:dyDescent="0.25">
      <c r="B234" s="6" t="s">
        <v>801</v>
      </c>
      <c r="C234" s="88"/>
    </row>
    <row r="235" spans="1:8" x14ac:dyDescent="0.25">
      <c r="H235" s="447"/>
    </row>
    <row r="236" spans="1:8" ht="35.25" customHeight="1" x14ac:dyDescent="0.25"/>
    <row r="243" ht="26.25" customHeight="1" x14ac:dyDescent="0.25"/>
    <row r="250" ht="24" customHeight="1" x14ac:dyDescent="0.25"/>
    <row r="274" ht="13.95" customHeight="1" x14ac:dyDescent="0.25"/>
    <row r="276" ht="36.75" customHeight="1" x14ac:dyDescent="0.25"/>
    <row r="277" ht="29.25" customHeight="1" x14ac:dyDescent="0.25"/>
    <row r="280" ht="13.95" customHeight="1" x14ac:dyDescent="0.25"/>
    <row r="1198" spans="2:2" ht="15.6" x14ac:dyDescent="0.3">
      <c r="B1198" s="8" t="s">
        <v>784</v>
      </c>
    </row>
  </sheetData>
  <mergeCells count="85">
    <mergeCell ref="A27:D27"/>
    <mergeCell ref="E27:H27"/>
    <mergeCell ref="A15:H15"/>
    <mergeCell ref="E20:H20"/>
    <mergeCell ref="A22:H22"/>
    <mergeCell ref="C23:F23"/>
    <mergeCell ref="A24:D24"/>
    <mergeCell ref="E24:H24"/>
    <mergeCell ref="G1:H1"/>
    <mergeCell ref="G2:H2"/>
    <mergeCell ref="C10:D10"/>
    <mergeCell ref="F10:G10"/>
    <mergeCell ref="A12:D12"/>
    <mergeCell ref="C9:D9"/>
    <mergeCell ref="A9:B9"/>
    <mergeCell ref="A7:B7"/>
    <mergeCell ref="C7:D7"/>
    <mergeCell ref="C8:D8"/>
    <mergeCell ref="A10:B10"/>
    <mergeCell ref="A11:H11"/>
    <mergeCell ref="A8:B8"/>
    <mergeCell ref="C16:F16"/>
    <mergeCell ref="C76:F76"/>
    <mergeCell ref="C36:F36"/>
    <mergeCell ref="C83:F83"/>
    <mergeCell ref="C120:F120"/>
    <mergeCell ref="A29:H29"/>
    <mergeCell ref="C30:F30"/>
    <mergeCell ref="A31:D31"/>
    <mergeCell ref="A17:D17"/>
    <mergeCell ref="E17:H17"/>
    <mergeCell ref="A20:D20"/>
    <mergeCell ref="C90:F90"/>
    <mergeCell ref="C105:F105"/>
    <mergeCell ref="A104:H104"/>
    <mergeCell ref="A60:D60"/>
    <mergeCell ref="E60:H60"/>
    <mergeCell ref="C47:F47"/>
    <mergeCell ref="A229:D229"/>
    <mergeCell ref="E229:H229"/>
    <mergeCell ref="C225:F225"/>
    <mergeCell ref="A226:D226"/>
    <mergeCell ref="E226:H226"/>
    <mergeCell ref="C185:F185"/>
    <mergeCell ref="C217:F217"/>
    <mergeCell ref="C199:F199"/>
    <mergeCell ref="C206:F206"/>
    <mergeCell ref="C213:F213"/>
    <mergeCell ref="C64:F64"/>
    <mergeCell ref="A65:D65"/>
    <mergeCell ref="E65:H65"/>
    <mergeCell ref="C55:F55"/>
    <mergeCell ref="A56:D56"/>
    <mergeCell ref="A232:H232"/>
    <mergeCell ref="E51:H51"/>
    <mergeCell ref="A51:D51"/>
    <mergeCell ref="E48:H48"/>
    <mergeCell ref="A48:D48"/>
    <mergeCell ref="E56:H56"/>
    <mergeCell ref="A63:H63"/>
    <mergeCell ref="A198:H198"/>
    <mergeCell ref="C181:F181"/>
    <mergeCell ref="C171:F171"/>
    <mergeCell ref="A176:H176"/>
    <mergeCell ref="A75:H75"/>
    <mergeCell ref="C70:F70"/>
    <mergeCell ref="A71:D71"/>
    <mergeCell ref="E71:H71"/>
    <mergeCell ref="A73:D73"/>
    <mergeCell ref="C177:F177"/>
    <mergeCell ref="A53:H53"/>
    <mergeCell ref="E31:H31"/>
    <mergeCell ref="A33:D33"/>
    <mergeCell ref="E33:H33"/>
    <mergeCell ref="A35:H35"/>
    <mergeCell ref="E67:H67"/>
    <mergeCell ref="C128:F128"/>
    <mergeCell ref="C139:F139"/>
    <mergeCell ref="C147:F147"/>
    <mergeCell ref="C155:F155"/>
    <mergeCell ref="A67:D67"/>
    <mergeCell ref="A119:H119"/>
    <mergeCell ref="C163:F163"/>
    <mergeCell ref="E73:H73"/>
    <mergeCell ref="A69:H69"/>
  </mergeCells>
  <printOptions horizontalCentered="1"/>
  <pageMargins left="0.59055118110236227" right="0.15748031496062992" top="0.31496062992125984" bottom="0.78740157480314965" header="0.55118110236220474" footer="0.47244094488188981"/>
  <pageSetup paperSize="9" scale="74" fitToHeight="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A1:O548"/>
  <sheetViews>
    <sheetView showGridLines="0" view="pageBreakPreview" topLeftCell="A115" zoomScale="90" zoomScaleNormal="85" zoomScaleSheetLayoutView="90" workbookViewId="0">
      <selection activeCell="E210" sqref="E210"/>
    </sheetView>
  </sheetViews>
  <sheetFormatPr defaultColWidth="9.109375" defaultRowHeight="13.2" x14ac:dyDescent="0.25"/>
  <cols>
    <col min="1" max="1" width="9.88671875" customWidth="1"/>
    <col min="2" max="2" width="12" customWidth="1"/>
    <col min="3" max="3" width="11.88671875" customWidth="1"/>
    <col min="4" max="4" width="16.6640625" customWidth="1"/>
    <col min="5" max="5" width="9.6640625" customWidth="1"/>
    <col min="9" max="9" width="7.5546875" customWidth="1"/>
    <col min="10" max="10" width="3.5546875" customWidth="1"/>
    <col min="11" max="11" width="5.44140625" customWidth="1"/>
    <col min="12" max="12" width="10.109375" customWidth="1"/>
    <col min="13" max="13" width="23.6640625" customWidth="1"/>
    <col min="15" max="15" width="10.5546875" bestFit="1" customWidth="1"/>
  </cols>
  <sheetData>
    <row r="1" spans="1:15" ht="15.6" x14ac:dyDescent="0.3">
      <c r="A1" s="391"/>
      <c r="B1" s="392"/>
      <c r="C1" s="393"/>
      <c r="D1" s="394"/>
      <c r="E1" s="395"/>
      <c r="F1" s="394"/>
      <c r="G1" s="394"/>
      <c r="H1" s="394"/>
      <c r="I1" s="394"/>
      <c r="J1" s="394"/>
      <c r="K1" s="406"/>
      <c r="L1" s="570"/>
      <c r="M1" s="571"/>
      <c r="O1" s="9"/>
    </row>
    <row r="2" spans="1:15" x14ac:dyDescent="0.25">
      <c r="A2" s="396"/>
      <c r="B2" s="1"/>
      <c r="C2" s="96"/>
      <c r="E2" s="88"/>
      <c r="G2" s="15"/>
      <c r="K2" s="277"/>
      <c r="L2" s="546"/>
      <c r="M2" s="547"/>
      <c r="O2" s="19"/>
    </row>
    <row r="3" spans="1:15" x14ac:dyDescent="0.25">
      <c r="A3" s="396"/>
      <c r="B3" s="1"/>
      <c r="C3" s="96"/>
      <c r="E3" s="88"/>
      <c r="M3" s="407"/>
      <c r="N3" s="19"/>
      <c r="O3" s="19"/>
    </row>
    <row r="4" spans="1:15" x14ac:dyDescent="0.25">
      <c r="A4" s="396"/>
      <c r="B4" s="1"/>
      <c r="C4" s="96"/>
      <c r="E4" s="88"/>
      <c r="M4" s="397"/>
    </row>
    <row r="5" spans="1:15" ht="13.8" thickBot="1" x14ac:dyDescent="0.3">
      <c r="A5" s="408"/>
      <c r="B5" s="95"/>
      <c r="C5" s="97"/>
      <c r="D5" s="94"/>
      <c r="E5" s="107"/>
      <c r="F5" s="94"/>
      <c r="G5" s="94"/>
      <c r="H5" s="94"/>
      <c r="I5" s="94"/>
      <c r="J5" s="94"/>
      <c r="K5" s="94"/>
      <c r="L5" s="94"/>
      <c r="M5" s="398"/>
    </row>
    <row r="6" spans="1:15" ht="13.8" thickTop="1" x14ac:dyDescent="0.25">
      <c r="A6" s="396"/>
      <c r="B6" s="1"/>
      <c r="C6" s="96"/>
      <c r="E6" s="88"/>
      <c r="M6" s="397"/>
    </row>
    <row r="7" spans="1:15" ht="27.75" customHeight="1" thickBot="1" x14ac:dyDescent="0.3">
      <c r="A7" s="579" t="s">
        <v>336</v>
      </c>
      <c r="B7" s="580"/>
      <c r="C7" s="723" t="s">
        <v>344</v>
      </c>
      <c r="D7" s="724"/>
      <c r="E7" s="724"/>
      <c r="F7" s="724"/>
      <c r="G7" s="725"/>
      <c r="H7" s="256" t="s">
        <v>342</v>
      </c>
      <c r="I7" s="257"/>
      <c r="J7" s="581" t="s">
        <v>343</v>
      </c>
      <c r="K7" s="581"/>
      <c r="L7" s="581"/>
      <c r="M7" s="722"/>
    </row>
    <row r="8" spans="1:15" ht="27" customHeight="1" x14ac:dyDescent="0.25">
      <c r="A8" s="719" t="s">
        <v>645</v>
      </c>
      <c r="B8" s="720"/>
      <c r="C8" s="720"/>
      <c r="D8" s="720"/>
      <c r="E8" s="720"/>
      <c r="F8" s="720"/>
      <c r="G8" s="720"/>
      <c r="H8" s="720"/>
      <c r="I8" s="720"/>
      <c r="J8" s="720"/>
      <c r="K8" s="720"/>
      <c r="L8" s="720"/>
      <c r="M8" s="721"/>
    </row>
    <row r="9" spans="1:15" ht="27" customHeight="1" x14ac:dyDescent="0.25">
      <c r="A9" s="768" t="s">
        <v>868</v>
      </c>
      <c r="B9" s="769"/>
      <c r="C9" s="769"/>
      <c r="D9" s="769"/>
      <c r="E9" s="769"/>
      <c r="F9" s="769"/>
      <c r="G9" s="769"/>
      <c r="H9" s="769"/>
      <c r="I9" s="769"/>
      <c r="J9" s="769"/>
      <c r="K9" s="769"/>
      <c r="L9" s="769"/>
      <c r="M9" s="770"/>
    </row>
    <row r="10" spans="1:15" ht="13.2" customHeight="1" x14ac:dyDescent="0.25">
      <c r="A10" s="492" t="s">
        <v>346</v>
      </c>
      <c r="B10" s="493">
        <v>1</v>
      </c>
      <c r="C10" s="478"/>
      <c r="D10" s="478"/>
      <c r="E10" s="478"/>
      <c r="F10" s="478"/>
      <c r="G10" s="478"/>
      <c r="H10" s="479"/>
      <c r="I10" s="480"/>
      <c r="J10" s="477"/>
      <c r="K10" s="477"/>
      <c r="L10" s="477"/>
      <c r="M10" s="477"/>
    </row>
    <row r="11" spans="1:15" ht="27" customHeight="1" x14ac:dyDescent="0.25">
      <c r="A11" s="477"/>
      <c r="B11" s="477"/>
      <c r="C11" s="478"/>
      <c r="D11" s="478"/>
      <c r="E11" s="478"/>
      <c r="F11" s="478"/>
      <c r="G11" s="478"/>
      <c r="H11" s="479"/>
      <c r="I11" s="480"/>
      <c r="J11" s="477"/>
      <c r="K11" s="477"/>
      <c r="L11" s="477"/>
      <c r="M11" s="477"/>
    </row>
    <row r="12" spans="1:15" ht="27" customHeight="1" x14ac:dyDescent="0.25">
      <c r="A12" s="477"/>
      <c r="B12" s="477"/>
      <c r="C12" s="478"/>
      <c r="D12" s="478"/>
      <c r="E12" s="478"/>
      <c r="F12" s="478"/>
      <c r="G12" s="478"/>
      <c r="H12" s="479"/>
      <c r="I12" s="480"/>
      <c r="J12" s="477"/>
      <c r="K12" s="477"/>
      <c r="L12" s="477"/>
      <c r="M12" s="477"/>
    </row>
    <row r="13" spans="1:15" ht="27" customHeight="1" x14ac:dyDescent="0.25">
      <c r="A13" s="477"/>
      <c r="B13" s="477"/>
      <c r="C13" s="478"/>
      <c r="D13" s="478"/>
      <c r="E13" s="478"/>
      <c r="F13" s="478"/>
      <c r="G13" s="478"/>
      <c r="H13" s="479"/>
      <c r="I13" s="480"/>
      <c r="J13" s="477"/>
      <c r="K13" s="477"/>
      <c r="L13" s="477"/>
      <c r="M13" s="477"/>
    </row>
    <row r="14" spans="1:15" ht="27" customHeight="1" x14ac:dyDescent="0.25">
      <c r="A14" s="477"/>
      <c r="B14" s="477"/>
      <c r="C14" s="478"/>
      <c r="D14" s="478"/>
      <c r="E14" s="478"/>
      <c r="F14" s="478"/>
      <c r="G14" s="478"/>
      <c r="H14" s="479"/>
      <c r="I14" s="480"/>
      <c r="J14" s="477"/>
      <c r="K14" s="477"/>
      <c r="L14" s="477"/>
      <c r="M14" s="477"/>
    </row>
    <row r="15" spans="1:15" ht="27" customHeight="1" x14ac:dyDescent="0.25">
      <c r="A15" s="477"/>
      <c r="B15" s="477"/>
      <c r="C15" s="478"/>
      <c r="D15" s="478"/>
      <c r="E15" s="478"/>
      <c r="F15" s="478"/>
      <c r="G15" s="478"/>
      <c r="H15" s="479"/>
      <c r="I15" s="480"/>
      <c r="J15" s="477"/>
      <c r="K15" s="477"/>
      <c r="L15" s="477"/>
      <c r="M15" s="477"/>
    </row>
    <row r="16" spans="1:15" ht="27" customHeight="1" x14ac:dyDescent="0.25">
      <c r="A16" s="477"/>
      <c r="B16" s="477"/>
      <c r="C16" s="478"/>
      <c r="D16" s="478"/>
      <c r="E16" s="478"/>
      <c r="F16" s="478"/>
      <c r="G16" s="478"/>
      <c r="H16" s="479"/>
      <c r="I16" s="480"/>
      <c r="J16" s="477"/>
      <c r="K16" s="477"/>
      <c r="L16" s="477"/>
      <c r="M16" s="477"/>
    </row>
    <row r="17" spans="1:15" ht="27" customHeight="1" x14ac:dyDescent="0.25">
      <c r="A17" s="477"/>
      <c r="B17" s="477"/>
      <c r="C17" s="478"/>
      <c r="D17" s="478"/>
      <c r="E17" s="478"/>
      <c r="F17" s="478"/>
      <c r="G17" s="478"/>
      <c r="H17" s="479"/>
      <c r="I17" s="480"/>
      <c r="J17" s="477"/>
      <c r="K17" s="477"/>
      <c r="L17" s="477"/>
      <c r="M17" s="477"/>
    </row>
    <row r="18" spans="1:15" ht="27" customHeight="1" x14ac:dyDescent="0.25">
      <c r="A18" s="477"/>
      <c r="B18" s="477"/>
      <c r="C18" s="478"/>
      <c r="D18" s="478"/>
      <c r="E18" s="478"/>
      <c r="F18" s="478"/>
      <c r="G18" s="478"/>
      <c r="H18" s="479"/>
      <c r="I18" s="480"/>
      <c r="J18" s="477"/>
      <c r="K18" s="477"/>
      <c r="L18" s="477"/>
      <c r="M18" s="477"/>
    </row>
    <row r="19" spans="1:15" ht="27" customHeight="1" x14ac:dyDescent="0.25">
      <c r="A19" s="477"/>
      <c r="B19" s="477"/>
      <c r="C19" s="478"/>
      <c r="D19" s="478"/>
      <c r="E19" s="478"/>
      <c r="F19" s="478"/>
      <c r="G19" s="478"/>
      <c r="H19" s="479"/>
      <c r="I19" s="480"/>
      <c r="J19" s="477"/>
      <c r="K19" s="477"/>
      <c r="L19" s="477"/>
      <c r="M19" s="477"/>
    </row>
    <row r="20" spans="1:15" ht="27" customHeight="1" thickBot="1" x14ac:dyDescent="0.3">
      <c r="A20" s="771" t="s">
        <v>867</v>
      </c>
      <c r="B20" s="772"/>
      <c r="C20" s="772"/>
      <c r="D20" s="772"/>
      <c r="E20" s="772"/>
      <c r="F20" s="772"/>
      <c r="G20" s="772"/>
      <c r="H20" s="772"/>
      <c r="I20" s="772"/>
      <c r="J20" s="772"/>
      <c r="K20" s="772"/>
      <c r="L20" s="772"/>
      <c r="M20" s="773"/>
    </row>
    <row r="21" spans="1:15" ht="25.5" customHeight="1" x14ac:dyDescent="0.25">
      <c r="A21" s="492" t="s">
        <v>346</v>
      </c>
      <c r="B21" s="493">
        <v>2</v>
      </c>
      <c r="C21" s="718" t="s">
        <v>754</v>
      </c>
      <c r="D21" s="718"/>
      <c r="E21" s="718"/>
      <c r="F21" s="718"/>
      <c r="G21" s="718"/>
      <c r="H21" s="718"/>
      <c r="I21" s="718"/>
      <c r="J21" s="718"/>
      <c r="K21" s="402"/>
      <c r="L21" s="402" t="s">
        <v>739</v>
      </c>
      <c r="M21" s="412">
        <f>ROUND((K25+K54+K80)/3,2)</f>
        <v>185.25</v>
      </c>
      <c r="O21" s="368"/>
    </row>
    <row r="22" spans="1:15" ht="13.8" x14ac:dyDescent="0.25">
      <c r="A22" s="427" t="s">
        <v>694</v>
      </c>
      <c r="B22" s="703" t="s">
        <v>352</v>
      </c>
      <c r="C22" s="703"/>
      <c r="D22" s="703"/>
      <c r="E22" s="709" t="s">
        <v>353</v>
      </c>
      <c r="F22" s="709"/>
      <c r="G22" s="709"/>
      <c r="H22" s="709"/>
      <c r="I22" s="709"/>
      <c r="J22" s="709"/>
      <c r="K22" s="709" t="s">
        <v>692</v>
      </c>
      <c r="L22" s="709"/>
      <c r="M22" s="409" t="s">
        <v>691</v>
      </c>
    </row>
    <row r="23" spans="1:15" x14ac:dyDescent="0.25">
      <c r="A23" s="710" t="s">
        <v>746</v>
      </c>
      <c r="B23" s="711"/>
      <c r="C23" s="711"/>
      <c r="D23" s="711"/>
      <c r="E23" s="320" t="s">
        <v>736</v>
      </c>
      <c r="F23" s="692" t="s">
        <v>743</v>
      </c>
      <c r="G23" s="692"/>
      <c r="H23" s="692"/>
      <c r="I23" s="692"/>
      <c r="J23" s="692"/>
      <c r="K23" s="697">
        <v>129.24</v>
      </c>
      <c r="L23" s="697"/>
      <c r="M23" s="410">
        <v>64.81</v>
      </c>
    </row>
    <row r="24" spans="1:15" x14ac:dyDescent="0.25">
      <c r="A24" s="411" t="s">
        <v>687</v>
      </c>
      <c r="B24" s="690"/>
      <c r="C24" s="690"/>
      <c r="D24" s="690"/>
      <c r="E24" s="320" t="s">
        <v>737</v>
      </c>
      <c r="F24" s="691" t="s">
        <v>744</v>
      </c>
      <c r="G24" s="692"/>
      <c r="H24" s="692"/>
      <c r="I24" s="692"/>
      <c r="J24" s="692"/>
      <c r="K24" s="693" t="s">
        <v>693</v>
      </c>
      <c r="L24" s="693"/>
      <c r="M24" s="694"/>
      <c r="O24" s="368"/>
    </row>
    <row r="25" spans="1:15" x14ac:dyDescent="0.25">
      <c r="A25" s="411" t="s">
        <v>688</v>
      </c>
      <c r="B25" s="690" t="s">
        <v>741</v>
      </c>
      <c r="C25" s="690"/>
      <c r="D25" s="690"/>
      <c r="E25" s="320" t="s">
        <v>738</v>
      </c>
      <c r="F25" s="695" t="s">
        <v>742</v>
      </c>
      <c r="G25" s="696"/>
      <c r="H25" s="696"/>
      <c r="I25" s="696"/>
      <c r="J25" s="696"/>
      <c r="K25" s="697">
        <f>K23+M23</f>
        <v>194.05</v>
      </c>
      <c r="L25" s="697"/>
      <c r="M25" s="698"/>
    </row>
    <row r="26" spans="1:15" x14ac:dyDescent="0.25">
      <c r="A26" s="413" t="s">
        <v>689</v>
      </c>
      <c r="B26" s="712" t="s">
        <v>740</v>
      </c>
      <c r="C26" s="713"/>
      <c r="D26" s="713"/>
      <c r="E26" s="713"/>
      <c r="F26" s="713"/>
      <c r="G26" s="713"/>
      <c r="H26" s="713"/>
      <c r="I26" s="713"/>
      <c r="J26" s="713"/>
      <c r="K26" s="713"/>
      <c r="L26" s="713"/>
      <c r="M26" s="714"/>
    </row>
    <row r="27" spans="1:15" ht="13.8" x14ac:dyDescent="0.25">
      <c r="A27" s="660" t="s">
        <v>690</v>
      </c>
      <c r="B27" s="661"/>
      <c r="C27" s="661"/>
      <c r="D27" s="661"/>
      <c r="E27" s="661"/>
      <c r="F27" s="661"/>
      <c r="G27" s="661"/>
      <c r="H27" s="661"/>
      <c r="I27" s="661"/>
      <c r="J27" s="661"/>
      <c r="K27" s="661"/>
      <c r="L27" s="661"/>
      <c r="M27" s="662"/>
    </row>
    <row r="28" spans="1:15" ht="15.6" x14ac:dyDescent="0.25">
      <c r="A28" s="414"/>
      <c r="B28" s="404"/>
      <c r="C28" s="404"/>
      <c r="D28" s="404"/>
      <c r="E28" s="404"/>
      <c r="F28" s="404"/>
      <c r="G28" s="404"/>
      <c r="H28" s="404"/>
      <c r="I28" s="404"/>
      <c r="J28" s="404"/>
      <c r="K28" s="190"/>
      <c r="L28" s="204"/>
      <c r="M28" s="415"/>
    </row>
    <row r="29" spans="1:15" x14ac:dyDescent="0.25">
      <c r="A29" s="416"/>
      <c r="M29" s="397"/>
    </row>
    <row r="30" spans="1:15" x14ac:dyDescent="0.25">
      <c r="A30" s="417"/>
      <c r="B30" s="403"/>
      <c r="C30" s="403"/>
      <c r="D30" s="403"/>
      <c r="E30" s="403"/>
      <c r="F30" s="403"/>
      <c r="G30" s="403"/>
      <c r="H30" s="403"/>
      <c r="I30" s="403"/>
      <c r="J30" s="403"/>
      <c r="K30" s="403"/>
      <c r="L30" s="403"/>
      <c r="M30" s="418"/>
    </row>
    <row r="31" spans="1:15" x14ac:dyDescent="0.25">
      <c r="A31" s="419"/>
      <c r="B31" s="270"/>
      <c r="C31" s="270"/>
      <c r="D31" s="270"/>
      <c r="E31" s="270"/>
      <c r="F31" s="270"/>
      <c r="G31" s="270"/>
      <c r="H31" s="270"/>
      <c r="I31" s="270"/>
      <c r="J31" s="270"/>
      <c r="K31" s="270"/>
      <c r="L31" s="270"/>
      <c r="M31" s="420"/>
    </row>
    <row r="32" spans="1:15" x14ac:dyDescent="0.25">
      <c r="A32" s="419"/>
      <c r="B32" s="270"/>
      <c r="C32" s="270"/>
      <c r="D32" s="270"/>
      <c r="E32" s="270"/>
      <c r="F32" s="270"/>
      <c r="G32" s="270"/>
      <c r="H32" s="270"/>
      <c r="I32" s="270"/>
      <c r="J32" s="270"/>
      <c r="K32" s="270"/>
      <c r="L32" s="270"/>
      <c r="M32" s="420"/>
    </row>
    <row r="33" spans="1:13" x14ac:dyDescent="0.25">
      <c r="A33" s="419"/>
      <c r="B33" s="270"/>
      <c r="C33" s="270"/>
      <c r="D33" s="270"/>
      <c r="E33" s="270"/>
      <c r="F33" s="270"/>
      <c r="G33" s="270"/>
      <c r="H33" s="270"/>
      <c r="I33" s="270"/>
      <c r="J33" s="270"/>
      <c r="K33" s="270"/>
      <c r="L33" s="270"/>
      <c r="M33" s="420"/>
    </row>
    <row r="34" spans="1:13" x14ac:dyDescent="0.25">
      <c r="A34" s="419"/>
      <c r="B34" s="270"/>
      <c r="C34" s="270"/>
      <c r="D34" s="270"/>
      <c r="E34" s="270"/>
      <c r="F34" s="270"/>
      <c r="G34" s="270"/>
      <c r="H34" s="270"/>
      <c r="I34" s="270"/>
      <c r="J34" s="270"/>
      <c r="K34" s="270"/>
      <c r="L34" s="270"/>
      <c r="M34" s="420"/>
    </row>
    <row r="35" spans="1:13" x14ac:dyDescent="0.25">
      <c r="A35" s="419"/>
      <c r="B35" s="270"/>
      <c r="C35" s="270"/>
      <c r="D35" s="270"/>
      <c r="E35" s="270"/>
      <c r="F35" s="270"/>
      <c r="G35" s="270"/>
      <c r="H35" s="270"/>
      <c r="I35" s="270"/>
      <c r="J35" s="270"/>
      <c r="K35" s="270"/>
      <c r="L35" s="270"/>
      <c r="M35" s="420"/>
    </row>
    <row r="36" spans="1:13" x14ac:dyDescent="0.25">
      <c r="A36" s="419"/>
      <c r="B36" s="270"/>
      <c r="C36" s="270"/>
      <c r="D36" s="270"/>
      <c r="E36" s="270"/>
      <c r="F36" s="270"/>
      <c r="G36" s="270"/>
      <c r="H36" s="270"/>
      <c r="I36" s="270"/>
      <c r="J36" s="270"/>
      <c r="K36" s="270"/>
      <c r="L36" s="270"/>
      <c r="M36" s="420"/>
    </row>
    <row r="37" spans="1:13" x14ac:dyDescent="0.25">
      <c r="A37" s="419"/>
      <c r="B37" s="270"/>
      <c r="C37" s="270"/>
      <c r="D37" s="270"/>
      <c r="E37" s="270"/>
      <c r="F37" s="270"/>
      <c r="G37" s="270"/>
      <c r="H37" s="270"/>
      <c r="I37" s="270"/>
      <c r="J37" s="270"/>
      <c r="K37" s="270"/>
      <c r="L37" s="270"/>
      <c r="M37" s="420"/>
    </row>
    <row r="38" spans="1:13" x14ac:dyDescent="0.25">
      <c r="A38" s="419"/>
      <c r="B38" s="270"/>
      <c r="C38" s="270"/>
      <c r="D38" s="270"/>
      <c r="E38" s="270"/>
      <c r="F38" s="270"/>
      <c r="G38" s="270"/>
      <c r="H38" s="270"/>
      <c r="I38" s="270"/>
      <c r="J38" s="270"/>
      <c r="K38" s="270"/>
      <c r="L38" s="270"/>
      <c r="M38" s="420"/>
    </row>
    <row r="39" spans="1:13" x14ac:dyDescent="0.25">
      <c r="A39" s="419"/>
      <c r="B39" s="270"/>
      <c r="C39" s="270"/>
      <c r="D39" s="270"/>
      <c r="E39" s="270"/>
      <c r="F39" s="270"/>
      <c r="G39" s="270"/>
      <c r="H39" s="270"/>
      <c r="I39" s="270"/>
      <c r="J39" s="270"/>
      <c r="K39" s="270"/>
      <c r="L39" s="270"/>
      <c r="M39" s="420"/>
    </row>
    <row r="40" spans="1:13" x14ac:dyDescent="0.25">
      <c r="A40" s="419"/>
      <c r="B40" s="270"/>
      <c r="C40" s="270"/>
      <c r="D40" s="270"/>
      <c r="E40" s="270"/>
      <c r="F40" s="270"/>
      <c r="G40" s="270"/>
      <c r="H40" s="270"/>
      <c r="I40" s="270"/>
      <c r="J40" s="270"/>
      <c r="K40" s="270"/>
      <c r="L40" s="270"/>
      <c r="M40" s="420"/>
    </row>
    <row r="41" spans="1:13" x14ac:dyDescent="0.25">
      <c r="A41" s="419"/>
      <c r="B41" s="270"/>
      <c r="C41" s="270"/>
      <c r="D41" s="270"/>
      <c r="E41" s="270"/>
      <c r="F41" s="270"/>
      <c r="G41" s="270"/>
      <c r="H41" s="270"/>
      <c r="I41" s="270"/>
      <c r="J41" s="270"/>
      <c r="K41" s="270"/>
      <c r="L41" s="270"/>
      <c r="M41" s="420"/>
    </row>
    <row r="42" spans="1:13" x14ac:dyDescent="0.25">
      <c r="A42" s="419"/>
      <c r="B42" s="270"/>
      <c r="C42" s="270"/>
      <c r="D42" s="270"/>
      <c r="E42" s="270"/>
      <c r="F42" s="270"/>
      <c r="G42" s="270"/>
      <c r="H42" s="270"/>
      <c r="I42" s="270"/>
      <c r="J42" s="270"/>
      <c r="K42" s="270"/>
      <c r="L42" s="270"/>
      <c r="M42" s="420"/>
    </row>
    <row r="43" spans="1:13" x14ac:dyDescent="0.25">
      <c r="A43" s="419"/>
      <c r="B43" s="270"/>
      <c r="C43" s="270"/>
      <c r="D43" s="270"/>
      <c r="E43" s="270"/>
      <c r="F43" s="270"/>
      <c r="G43" s="270"/>
      <c r="H43" s="270"/>
      <c r="I43" s="270"/>
      <c r="J43" s="270"/>
      <c r="K43" s="270"/>
      <c r="L43" s="270"/>
      <c r="M43" s="420"/>
    </row>
    <row r="44" spans="1:13" x14ac:dyDescent="0.25">
      <c r="A44" s="419"/>
      <c r="B44" s="270"/>
      <c r="C44" s="270"/>
      <c r="D44" s="270"/>
      <c r="E44" s="270"/>
      <c r="F44" s="270"/>
      <c r="G44" s="270"/>
      <c r="H44" s="270"/>
      <c r="I44" s="270"/>
      <c r="J44" s="270"/>
      <c r="K44" s="270"/>
      <c r="L44" s="270"/>
      <c r="M44" s="420"/>
    </row>
    <row r="45" spans="1:13" x14ac:dyDescent="0.25">
      <c r="A45" s="419"/>
      <c r="B45" s="270"/>
      <c r="C45" s="270"/>
      <c r="D45" s="270"/>
      <c r="E45" s="270"/>
      <c r="F45" s="270"/>
      <c r="G45" s="270"/>
      <c r="H45" s="270"/>
      <c r="I45" s="270"/>
      <c r="J45" s="270"/>
      <c r="K45" s="270"/>
      <c r="L45" s="270"/>
      <c r="M45" s="420"/>
    </row>
    <row r="46" spans="1:13" x14ac:dyDescent="0.25">
      <c r="A46" s="419"/>
      <c r="B46" s="270"/>
      <c r="C46" s="270"/>
      <c r="D46" s="270"/>
      <c r="E46" s="270"/>
      <c r="F46" s="270"/>
      <c r="G46" s="270"/>
      <c r="H46" s="270"/>
      <c r="I46" s="270"/>
      <c r="J46" s="270"/>
      <c r="K46" s="270"/>
      <c r="L46" s="270"/>
      <c r="M46" s="420"/>
    </row>
    <row r="47" spans="1:13" x14ac:dyDescent="0.25">
      <c r="A47" s="419"/>
      <c r="B47" s="270"/>
      <c r="C47" s="270"/>
      <c r="D47" s="270"/>
      <c r="E47" s="270"/>
      <c r="F47" s="270"/>
      <c r="G47" s="270"/>
      <c r="H47" s="270"/>
      <c r="I47" s="270"/>
      <c r="J47" s="270"/>
      <c r="K47" s="270"/>
      <c r="L47" s="270"/>
      <c r="M47" s="420"/>
    </row>
    <row r="48" spans="1:13" x14ac:dyDescent="0.25">
      <c r="A48" s="419"/>
      <c r="B48" s="270"/>
      <c r="C48" s="270"/>
      <c r="D48" s="270"/>
      <c r="E48" s="270"/>
      <c r="F48" s="270"/>
      <c r="G48" s="270"/>
      <c r="H48" s="270"/>
      <c r="I48" s="270"/>
      <c r="J48" s="270"/>
      <c r="K48" s="270"/>
      <c r="L48" s="270"/>
      <c r="M48" s="420"/>
    </row>
    <row r="49" spans="1:13" x14ac:dyDescent="0.25">
      <c r="A49" s="421"/>
      <c r="B49" s="405"/>
      <c r="C49" s="405"/>
      <c r="D49" s="405"/>
      <c r="E49" s="405"/>
      <c r="F49" s="405"/>
      <c r="G49" s="405"/>
      <c r="H49" s="405"/>
      <c r="I49" s="405"/>
      <c r="J49" s="405"/>
      <c r="K49" s="405"/>
      <c r="L49" s="405"/>
      <c r="M49" s="422"/>
    </row>
    <row r="50" spans="1:13" ht="14.25" customHeight="1" x14ac:dyDescent="0.25">
      <c r="A50" s="416"/>
      <c r="M50" s="397"/>
    </row>
    <row r="51" spans="1:13" ht="13.8" x14ac:dyDescent="0.25">
      <c r="A51" s="427" t="s">
        <v>695</v>
      </c>
      <c r="B51" s="703" t="s">
        <v>352</v>
      </c>
      <c r="C51" s="703"/>
      <c r="D51" s="703"/>
      <c r="E51" s="709" t="s">
        <v>353</v>
      </c>
      <c r="F51" s="709"/>
      <c r="G51" s="709"/>
      <c r="H51" s="709"/>
      <c r="I51" s="709"/>
      <c r="J51" s="709"/>
      <c r="K51" s="709" t="s">
        <v>692</v>
      </c>
      <c r="L51" s="709"/>
      <c r="M51" s="409" t="s">
        <v>691</v>
      </c>
    </row>
    <row r="52" spans="1:13" x14ac:dyDescent="0.25">
      <c r="A52" s="710" t="s">
        <v>732</v>
      </c>
      <c r="B52" s="711"/>
      <c r="C52" s="711"/>
      <c r="D52" s="711"/>
      <c r="E52" s="320" t="s">
        <v>736</v>
      </c>
      <c r="F52" s="692" t="s">
        <v>733</v>
      </c>
      <c r="G52" s="692"/>
      <c r="H52" s="692"/>
      <c r="I52" s="692"/>
      <c r="J52" s="692"/>
      <c r="K52" s="697">
        <v>169</v>
      </c>
      <c r="L52" s="697"/>
      <c r="M52" s="410" t="s">
        <v>745</v>
      </c>
    </row>
    <row r="53" spans="1:13" x14ac:dyDescent="0.25">
      <c r="A53" s="411" t="s">
        <v>687</v>
      </c>
      <c r="B53" s="690" t="s">
        <v>731</v>
      </c>
      <c r="C53" s="690"/>
      <c r="D53" s="690"/>
      <c r="E53" s="320" t="s">
        <v>737</v>
      </c>
      <c r="F53" s="692"/>
      <c r="G53" s="692"/>
      <c r="H53" s="692"/>
      <c r="I53" s="692"/>
      <c r="J53" s="692"/>
      <c r="K53" s="693" t="s">
        <v>693</v>
      </c>
      <c r="L53" s="693"/>
      <c r="M53" s="694"/>
    </row>
    <row r="54" spans="1:13" ht="42" customHeight="1" x14ac:dyDescent="0.25">
      <c r="A54" s="411" t="s">
        <v>688</v>
      </c>
      <c r="B54" s="726" t="s">
        <v>787</v>
      </c>
      <c r="C54" s="726"/>
      <c r="D54" s="726"/>
      <c r="E54" s="320" t="s">
        <v>738</v>
      </c>
      <c r="F54" s="695" t="s">
        <v>734</v>
      </c>
      <c r="G54" s="696"/>
      <c r="H54" s="696"/>
      <c r="I54" s="696"/>
      <c r="J54" s="696"/>
      <c r="K54" s="697">
        <f>K52</f>
        <v>169</v>
      </c>
      <c r="L54" s="697"/>
      <c r="M54" s="698"/>
    </row>
    <row r="55" spans="1:13" x14ac:dyDescent="0.25">
      <c r="A55" s="411" t="s">
        <v>689</v>
      </c>
      <c r="B55" s="699" t="s">
        <v>747</v>
      </c>
      <c r="C55" s="700"/>
      <c r="D55" s="700"/>
      <c r="E55" s="700"/>
      <c r="F55" s="700"/>
      <c r="G55" s="700"/>
      <c r="H55" s="700"/>
      <c r="I55" s="700"/>
      <c r="J55" s="700"/>
      <c r="K55" s="700"/>
      <c r="L55" s="700"/>
      <c r="M55" s="701"/>
    </row>
    <row r="56" spans="1:13" ht="13.8" x14ac:dyDescent="0.25">
      <c r="A56" s="702" t="s">
        <v>690</v>
      </c>
      <c r="B56" s="703"/>
      <c r="C56" s="703"/>
      <c r="D56" s="703"/>
      <c r="E56" s="703"/>
      <c r="F56" s="703"/>
      <c r="G56" s="703"/>
      <c r="H56" s="703"/>
      <c r="I56" s="703"/>
      <c r="J56" s="703"/>
      <c r="K56" s="703"/>
      <c r="L56" s="703"/>
      <c r="M56" s="704"/>
    </row>
    <row r="57" spans="1:13" x14ac:dyDescent="0.25">
      <c r="A57" s="419"/>
      <c r="B57" s="270"/>
      <c r="C57" s="270"/>
      <c r="D57" s="270"/>
      <c r="E57" s="270"/>
      <c r="F57" s="270"/>
      <c r="G57" s="270"/>
      <c r="H57" s="270"/>
      <c r="I57" s="270"/>
      <c r="J57" s="270"/>
      <c r="K57" s="270"/>
      <c r="L57" s="270"/>
      <c r="M57" s="420"/>
    </row>
    <row r="58" spans="1:13" x14ac:dyDescent="0.25">
      <c r="A58" s="419"/>
      <c r="B58" s="270"/>
      <c r="C58" s="270"/>
      <c r="D58" s="270"/>
      <c r="E58" s="270"/>
      <c r="F58" s="270"/>
      <c r="G58" s="270"/>
      <c r="H58" s="270"/>
      <c r="I58" s="270"/>
      <c r="J58" s="270"/>
      <c r="K58" s="270"/>
      <c r="L58" s="270"/>
      <c r="M58" s="420"/>
    </row>
    <row r="59" spans="1:13" x14ac:dyDescent="0.25">
      <c r="A59" s="419"/>
      <c r="B59" s="270"/>
      <c r="C59" s="270"/>
      <c r="D59" s="270"/>
      <c r="E59" s="270"/>
      <c r="F59" s="270"/>
      <c r="G59" s="270"/>
      <c r="H59" s="270"/>
      <c r="I59" s="270"/>
      <c r="J59" s="270"/>
      <c r="K59" s="270"/>
      <c r="L59" s="270"/>
      <c r="M59" s="420"/>
    </row>
    <row r="60" spans="1:13" x14ac:dyDescent="0.25">
      <c r="A60" s="419"/>
      <c r="B60" s="270"/>
      <c r="C60" s="270"/>
      <c r="D60" s="270"/>
      <c r="E60" s="270"/>
      <c r="F60" s="270"/>
      <c r="G60" s="270"/>
      <c r="H60" s="270"/>
      <c r="I60" s="270"/>
      <c r="J60" s="270"/>
      <c r="K60" s="270"/>
      <c r="L60" s="270"/>
      <c r="M60" s="420"/>
    </row>
    <row r="61" spans="1:13" x14ac:dyDescent="0.25">
      <c r="A61" s="419"/>
      <c r="B61" s="270"/>
      <c r="C61" s="270"/>
      <c r="D61" s="270"/>
      <c r="E61" s="270"/>
      <c r="F61" s="270"/>
      <c r="G61" s="270"/>
      <c r="H61" s="270"/>
      <c r="I61" s="270"/>
      <c r="J61" s="270"/>
      <c r="K61" s="270"/>
      <c r="L61" s="270"/>
      <c r="M61" s="420"/>
    </row>
    <row r="62" spans="1:13" x14ac:dyDescent="0.25">
      <c r="A62" s="419"/>
      <c r="B62" s="270"/>
      <c r="C62" s="270"/>
      <c r="D62" s="270"/>
      <c r="E62" s="270"/>
      <c r="F62" s="270"/>
      <c r="G62" s="270"/>
      <c r="H62" s="270"/>
      <c r="I62" s="270"/>
      <c r="J62" s="270"/>
      <c r="K62" s="270"/>
      <c r="L62" s="270"/>
      <c r="M62" s="420"/>
    </row>
    <row r="63" spans="1:13" x14ac:dyDescent="0.25">
      <c r="A63" s="419"/>
      <c r="B63" s="270"/>
      <c r="C63" s="270"/>
      <c r="D63" s="270"/>
      <c r="E63" s="270"/>
      <c r="F63" s="270"/>
      <c r="G63" s="270"/>
      <c r="H63" s="270"/>
      <c r="I63" s="270"/>
      <c r="J63" s="270"/>
      <c r="K63" s="270"/>
      <c r="L63" s="270"/>
      <c r="M63" s="420"/>
    </row>
    <row r="64" spans="1:13" x14ac:dyDescent="0.25">
      <c r="A64" s="419"/>
      <c r="B64" s="270"/>
      <c r="C64" s="270"/>
      <c r="D64" s="270"/>
      <c r="E64" s="270"/>
      <c r="F64" s="270"/>
      <c r="G64" s="270"/>
      <c r="H64" s="270"/>
      <c r="I64" s="270"/>
      <c r="J64" s="270"/>
      <c r="K64" s="270"/>
      <c r="L64" s="270"/>
      <c r="M64" s="420"/>
    </row>
    <row r="65" spans="1:13" x14ac:dyDescent="0.25">
      <c r="A65" s="419"/>
      <c r="B65" s="270"/>
      <c r="C65" s="270"/>
      <c r="D65" s="270"/>
      <c r="E65" s="270"/>
      <c r="F65" s="270"/>
      <c r="G65" s="270"/>
      <c r="H65" s="270"/>
      <c r="I65" s="270"/>
      <c r="J65" s="270"/>
      <c r="K65" s="270"/>
      <c r="L65" s="270"/>
      <c r="M65" s="420"/>
    </row>
    <row r="66" spans="1:13" x14ac:dyDescent="0.25">
      <c r="A66" s="419"/>
      <c r="B66" s="270"/>
      <c r="C66" s="270"/>
      <c r="D66" s="270"/>
      <c r="E66" s="270"/>
      <c r="F66" s="270"/>
      <c r="G66" s="270"/>
      <c r="H66" s="270"/>
      <c r="I66" s="270"/>
      <c r="J66" s="270"/>
      <c r="K66" s="270"/>
      <c r="L66" s="270"/>
      <c r="M66" s="420"/>
    </row>
    <row r="67" spans="1:13" x14ac:dyDescent="0.25">
      <c r="A67" s="419"/>
      <c r="B67" s="270"/>
      <c r="C67" s="270"/>
      <c r="D67" s="270"/>
      <c r="E67" s="270"/>
      <c r="F67" s="270"/>
      <c r="G67" s="270"/>
      <c r="H67" s="270"/>
      <c r="I67" s="270"/>
      <c r="J67" s="270"/>
      <c r="K67" s="270"/>
      <c r="L67" s="270"/>
      <c r="M67" s="420"/>
    </row>
    <row r="68" spans="1:13" x14ac:dyDescent="0.25">
      <c r="A68" s="419"/>
      <c r="B68" s="270"/>
      <c r="C68" s="270"/>
      <c r="D68" s="270"/>
      <c r="E68" s="270"/>
      <c r="F68" s="270"/>
      <c r="G68" s="270"/>
      <c r="H68" s="270"/>
      <c r="I68" s="270"/>
      <c r="J68" s="270"/>
      <c r="K68" s="270"/>
      <c r="L68" s="270"/>
      <c r="M68" s="420"/>
    </row>
    <row r="69" spans="1:13" x14ac:dyDescent="0.25">
      <c r="A69" s="419"/>
      <c r="B69" s="270"/>
      <c r="C69" s="270"/>
      <c r="D69" s="270"/>
      <c r="E69" s="270"/>
      <c r="F69" s="270"/>
      <c r="G69" s="270"/>
      <c r="H69" s="270"/>
      <c r="I69" s="270"/>
      <c r="J69" s="270"/>
      <c r="K69" s="270"/>
      <c r="L69" s="270"/>
      <c r="M69" s="420"/>
    </row>
    <row r="70" spans="1:13" x14ac:dyDescent="0.25">
      <c r="A70" s="419"/>
      <c r="B70" s="270"/>
      <c r="C70" s="270"/>
      <c r="D70" s="270"/>
      <c r="E70" s="270"/>
      <c r="F70" s="270"/>
      <c r="G70" s="270"/>
      <c r="H70" s="270"/>
      <c r="I70" s="270"/>
      <c r="J70" s="270"/>
      <c r="K70" s="270"/>
      <c r="L70" s="270"/>
      <c r="M70" s="420"/>
    </row>
    <row r="71" spans="1:13" ht="12.75" customHeight="1" x14ac:dyDescent="0.25">
      <c r="A71" s="421"/>
      <c r="B71" s="405"/>
      <c r="C71" s="405"/>
      <c r="D71" s="405"/>
      <c r="E71" s="405"/>
      <c r="F71" s="405"/>
      <c r="G71" s="405"/>
      <c r="H71" s="405"/>
      <c r="I71" s="405"/>
      <c r="J71" s="405"/>
      <c r="K71" s="405"/>
      <c r="L71" s="405"/>
      <c r="M71" s="422"/>
    </row>
    <row r="72" spans="1:13" ht="39" customHeight="1" x14ac:dyDescent="0.25">
      <c r="A72" s="416"/>
      <c r="M72" s="397"/>
    </row>
    <row r="73" spans="1:13" x14ac:dyDescent="0.25">
      <c r="A73" s="416"/>
      <c r="M73" s="397"/>
    </row>
    <row r="74" spans="1:13" x14ac:dyDescent="0.25">
      <c r="A74" s="416"/>
      <c r="M74" s="397"/>
    </row>
    <row r="75" spans="1:13" x14ac:dyDescent="0.25">
      <c r="A75" s="416"/>
      <c r="M75" s="397"/>
    </row>
    <row r="76" spans="1:13" x14ac:dyDescent="0.25">
      <c r="A76" s="416"/>
      <c r="M76" s="397"/>
    </row>
    <row r="77" spans="1:13" ht="13.8" x14ac:dyDescent="0.25">
      <c r="A77" s="427" t="s">
        <v>735</v>
      </c>
      <c r="B77" s="703" t="s">
        <v>352</v>
      </c>
      <c r="C77" s="703"/>
      <c r="D77" s="703"/>
      <c r="E77" s="709" t="s">
        <v>353</v>
      </c>
      <c r="F77" s="709"/>
      <c r="G77" s="709"/>
      <c r="H77" s="709"/>
      <c r="I77" s="709"/>
      <c r="J77" s="709"/>
      <c r="K77" s="709" t="s">
        <v>692</v>
      </c>
      <c r="L77" s="709"/>
      <c r="M77" s="409" t="s">
        <v>691</v>
      </c>
    </row>
    <row r="78" spans="1:13" x14ac:dyDescent="0.25">
      <c r="A78" s="710" t="s">
        <v>750</v>
      </c>
      <c r="B78" s="711"/>
      <c r="C78" s="711"/>
      <c r="D78" s="711"/>
      <c r="E78" s="320" t="s">
        <v>736</v>
      </c>
      <c r="F78" s="692" t="s">
        <v>748</v>
      </c>
      <c r="G78" s="692"/>
      <c r="H78" s="692"/>
      <c r="I78" s="692"/>
      <c r="J78" s="692"/>
      <c r="K78" s="697">
        <v>150.1</v>
      </c>
      <c r="L78" s="697"/>
      <c r="M78" s="410">
        <v>42.6</v>
      </c>
    </row>
    <row r="79" spans="1:13" x14ac:dyDescent="0.25">
      <c r="A79" s="411" t="s">
        <v>687</v>
      </c>
      <c r="B79" s="690" t="s">
        <v>751</v>
      </c>
      <c r="C79" s="690"/>
      <c r="D79" s="690"/>
      <c r="E79" s="320" t="s">
        <v>737</v>
      </c>
      <c r="F79" s="692"/>
      <c r="G79" s="692"/>
      <c r="H79" s="692"/>
      <c r="I79" s="692"/>
      <c r="J79" s="692"/>
      <c r="K79" s="693" t="s">
        <v>693</v>
      </c>
      <c r="L79" s="693"/>
      <c r="M79" s="694"/>
    </row>
    <row r="80" spans="1:13" x14ac:dyDescent="0.25">
      <c r="A80" s="411" t="s">
        <v>688</v>
      </c>
      <c r="B80" s="690" t="s">
        <v>749</v>
      </c>
      <c r="C80" s="690"/>
      <c r="D80" s="690"/>
      <c r="E80" s="320" t="s">
        <v>738</v>
      </c>
      <c r="F80" s="695" t="s">
        <v>752</v>
      </c>
      <c r="G80" s="695"/>
      <c r="H80" s="695"/>
      <c r="I80" s="695"/>
      <c r="J80" s="695"/>
      <c r="K80" s="697">
        <f>K78+M78</f>
        <v>192.7</v>
      </c>
      <c r="L80" s="697"/>
      <c r="M80" s="698"/>
    </row>
    <row r="81" spans="1:13" x14ac:dyDescent="0.25">
      <c r="A81" s="411" t="s">
        <v>689</v>
      </c>
      <c r="B81" s="699"/>
      <c r="C81" s="700"/>
      <c r="D81" s="700"/>
      <c r="E81" s="700"/>
      <c r="F81" s="700"/>
      <c r="G81" s="700"/>
      <c r="H81" s="700"/>
      <c r="I81" s="700"/>
      <c r="J81" s="700"/>
      <c r="K81" s="700"/>
      <c r="L81" s="700"/>
      <c r="M81" s="701"/>
    </row>
    <row r="82" spans="1:13" ht="13.8" x14ac:dyDescent="0.25">
      <c r="A82" s="702" t="s">
        <v>690</v>
      </c>
      <c r="B82" s="703"/>
      <c r="C82" s="703"/>
      <c r="D82" s="703"/>
      <c r="E82" s="703"/>
      <c r="F82" s="703"/>
      <c r="G82" s="703"/>
      <c r="H82" s="703"/>
      <c r="I82" s="703"/>
      <c r="J82" s="703"/>
      <c r="K82" s="703"/>
      <c r="L82" s="703"/>
      <c r="M82" s="704"/>
    </row>
    <row r="83" spans="1:13" x14ac:dyDescent="0.25">
      <c r="A83" s="416"/>
      <c r="M83" s="397"/>
    </row>
    <row r="84" spans="1:13" x14ac:dyDescent="0.25">
      <c r="A84" s="416"/>
      <c r="M84" s="397"/>
    </row>
    <row r="85" spans="1:13" x14ac:dyDescent="0.25">
      <c r="A85" s="416"/>
      <c r="M85" s="397"/>
    </row>
    <row r="86" spans="1:13" x14ac:dyDescent="0.25">
      <c r="A86" s="416"/>
      <c r="M86" s="397"/>
    </row>
    <row r="87" spans="1:13" x14ac:dyDescent="0.25">
      <c r="A87" s="416"/>
      <c r="M87" s="397"/>
    </row>
    <row r="88" spans="1:13" x14ac:dyDescent="0.25">
      <c r="A88" s="416"/>
      <c r="M88" s="397"/>
    </row>
    <row r="89" spans="1:13" x14ac:dyDescent="0.25">
      <c r="A89" s="416"/>
      <c r="M89" s="397"/>
    </row>
    <row r="90" spans="1:13" x14ac:dyDescent="0.25">
      <c r="A90" s="417"/>
      <c r="B90" s="403"/>
      <c r="C90" s="403"/>
      <c r="D90" s="403"/>
      <c r="E90" s="403"/>
      <c r="F90" s="403"/>
      <c r="G90" s="403"/>
      <c r="H90" s="403"/>
      <c r="I90" s="403"/>
      <c r="J90" s="403"/>
      <c r="K90" s="403"/>
      <c r="L90" s="403"/>
      <c r="M90" s="418"/>
    </row>
    <row r="91" spans="1:13" x14ac:dyDescent="0.25">
      <c r="A91" s="419"/>
      <c r="B91" s="270"/>
      <c r="C91" s="270"/>
      <c r="D91" s="270"/>
      <c r="E91" s="270"/>
      <c r="F91" s="270"/>
      <c r="G91" s="270"/>
      <c r="H91" s="270"/>
      <c r="I91" s="270"/>
      <c r="J91" s="270"/>
      <c r="K91" s="270"/>
      <c r="L91" s="270"/>
      <c r="M91" s="420"/>
    </row>
    <row r="92" spans="1:13" ht="27" customHeight="1" x14ac:dyDescent="0.25">
      <c r="A92" s="419"/>
      <c r="B92" s="270"/>
      <c r="C92" s="270"/>
      <c r="D92" s="270"/>
      <c r="E92" s="270"/>
      <c r="F92" s="270"/>
      <c r="G92" s="270"/>
      <c r="H92" s="270"/>
      <c r="I92" s="270"/>
      <c r="J92" s="270"/>
      <c r="K92" s="270"/>
      <c r="L92" s="270"/>
      <c r="M92" s="420"/>
    </row>
    <row r="93" spans="1:13" x14ac:dyDescent="0.25">
      <c r="A93" s="419"/>
      <c r="B93" s="270"/>
      <c r="C93" s="270"/>
      <c r="D93" s="270"/>
      <c r="E93" s="270"/>
      <c r="F93" s="270"/>
      <c r="G93" s="270"/>
      <c r="H93" s="270"/>
      <c r="I93" s="270"/>
      <c r="J93" s="270"/>
      <c r="K93" s="270"/>
      <c r="L93" s="270"/>
      <c r="M93" s="420"/>
    </row>
    <row r="94" spans="1:13" x14ac:dyDescent="0.25">
      <c r="A94" s="419"/>
      <c r="B94" s="270"/>
      <c r="C94" s="270"/>
      <c r="D94" s="270"/>
      <c r="E94" s="270"/>
      <c r="F94" s="270"/>
      <c r="G94" s="270"/>
      <c r="H94" s="270"/>
      <c r="I94" s="270"/>
      <c r="J94" s="270"/>
      <c r="K94" s="270"/>
      <c r="L94" s="270"/>
      <c r="M94" s="420"/>
    </row>
    <row r="95" spans="1:13" x14ac:dyDescent="0.25">
      <c r="A95" s="419"/>
      <c r="B95" s="270"/>
      <c r="C95" s="270"/>
      <c r="D95" s="270"/>
      <c r="E95" s="270"/>
      <c r="F95" s="270"/>
      <c r="G95" s="270"/>
      <c r="H95" s="270"/>
      <c r="I95" s="270"/>
      <c r="J95" s="270"/>
      <c r="K95" s="270"/>
      <c r="L95" s="270"/>
      <c r="M95" s="420"/>
    </row>
    <row r="96" spans="1:13" x14ac:dyDescent="0.25">
      <c r="A96" s="419"/>
      <c r="B96" s="270"/>
      <c r="C96" s="270"/>
      <c r="D96" s="270"/>
      <c r="E96" s="270"/>
      <c r="F96" s="270"/>
      <c r="G96" s="270"/>
      <c r="H96" s="270"/>
      <c r="I96" s="270"/>
      <c r="J96" s="270"/>
      <c r="K96" s="270"/>
      <c r="L96" s="270"/>
      <c r="M96" s="420"/>
    </row>
    <row r="97" spans="1:13" x14ac:dyDescent="0.25">
      <c r="A97" s="419"/>
      <c r="B97" s="270"/>
      <c r="C97" s="270"/>
      <c r="D97" s="270"/>
      <c r="E97" s="270"/>
      <c r="F97" s="270"/>
      <c r="G97" s="270"/>
      <c r="H97" s="270"/>
      <c r="I97" s="270"/>
      <c r="J97" s="270"/>
      <c r="K97" s="270"/>
      <c r="L97" s="270"/>
      <c r="M97" s="420"/>
    </row>
    <row r="98" spans="1:13" x14ac:dyDescent="0.25">
      <c r="A98" s="419"/>
      <c r="B98" s="270"/>
      <c r="C98" s="270"/>
      <c r="D98" s="270"/>
      <c r="E98" s="270"/>
      <c r="F98" s="270"/>
      <c r="G98" s="270"/>
      <c r="H98" s="270"/>
      <c r="I98" s="270"/>
      <c r="J98" s="270"/>
      <c r="K98" s="270"/>
      <c r="L98" s="270"/>
      <c r="M98" s="420"/>
    </row>
    <row r="99" spans="1:13" x14ac:dyDescent="0.25">
      <c r="A99" s="419"/>
      <c r="B99" s="270"/>
      <c r="C99" s="270"/>
      <c r="D99" s="270"/>
      <c r="E99" s="270"/>
      <c r="F99" s="270"/>
      <c r="G99" s="270"/>
      <c r="H99" s="270"/>
      <c r="I99" s="270"/>
      <c r="J99" s="270"/>
      <c r="K99" s="270"/>
      <c r="L99" s="270"/>
      <c r="M99" s="420"/>
    </row>
    <row r="100" spans="1:13" x14ac:dyDescent="0.25">
      <c r="A100" s="419"/>
      <c r="B100" s="270"/>
      <c r="C100" s="270"/>
      <c r="D100" s="270"/>
      <c r="E100" s="270"/>
      <c r="F100" s="270"/>
      <c r="G100" s="270"/>
      <c r="H100" s="270"/>
      <c r="I100" s="270"/>
      <c r="J100" s="270"/>
      <c r="K100" s="270"/>
      <c r="L100" s="270"/>
      <c r="M100" s="420"/>
    </row>
    <row r="101" spans="1:13" x14ac:dyDescent="0.25">
      <c r="A101" s="419"/>
      <c r="B101" s="270"/>
      <c r="C101" s="270"/>
      <c r="D101" s="270"/>
      <c r="E101" s="270"/>
      <c r="F101" s="270"/>
      <c r="G101" s="270"/>
      <c r="H101" s="270"/>
      <c r="I101" s="270"/>
      <c r="J101" s="270"/>
      <c r="K101" s="270"/>
      <c r="L101" s="270"/>
      <c r="M101" s="420"/>
    </row>
    <row r="102" spans="1:13" x14ac:dyDescent="0.25">
      <c r="A102" s="419"/>
      <c r="B102" s="270"/>
      <c r="C102" s="270"/>
      <c r="D102" s="270"/>
      <c r="E102" s="270"/>
      <c r="F102" s="270"/>
      <c r="G102" s="270"/>
      <c r="H102" s="270"/>
      <c r="I102" s="270"/>
      <c r="J102" s="270"/>
      <c r="K102" s="270"/>
      <c r="L102" s="270"/>
      <c r="M102" s="420"/>
    </row>
    <row r="103" spans="1:13" x14ac:dyDescent="0.25">
      <c r="A103" s="419"/>
      <c r="B103" s="270"/>
      <c r="C103" s="270"/>
      <c r="D103" s="270"/>
      <c r="E103" s="270"/>
      <c r="F103" s="270"/>
      <c r="G103" s="270"/>
      <c r="H103" s="270"/>
      <c r="I103" s="270"/>
      <c r="J103" s="270"/>
      <c r="K103" s="270"/>
      <c r="L103" s="270"/>
      <c r="M103" s="420"/>
    </row>
    <row r="104" spans="1:13" ht="15.6" x14ac:dyDescent="0.25">
      <c r="A104" s="494" t="s">
        <v>346</v>
      </c>
      <c r="B104" s="495">
        <v>3</v>
      </c>
      <c r="C104" s="708" t="s">
        <v>753</v>
      </c>
      <c r="D104" s="708"/>
      <c r="E104" s="708"/>
      <c r="F104" s="708"/>
      <c r="G104" s="708"/>
      <c r="H104" s="708"/>
      <c r="I104" s="708"/>
      <c r="J104" s="708"/>
      <c r="K104" s="401"/>
      <c r="L104" s="401" t="s">
        <v>739</v>
      </c>
      <c r="M104" s="423">
        <f>(K108)</f>
        <v>14.722222222222221</v>
      </c>
    </row>
    <row r="105" spans="1:13" ht="13.8" x14ac:dyDescent="0.25">
      <c r="A105" s="427" t="s">
        <v>694</v>
      </c>
      <c r="B105" s="703" t="s">
        <v>352</v>
      </c>
      <c r="C105" s="703"/>
      <c r="D105" s="703"/>
      <c r="E105" s="709" t="s">
        <v>353</v>
      </c>
      <c r="F105" s="709"/>
      <c r="G105" s="709"/>
      <c r="H105" s="709"/>
      <c r="I105" s="709"/>
      <c r="J105" s="709"/>
      <c r="K105" s="709" t="s">
        <v>692</v>
      </c>
      <c r="L105" s="709"/>
      <c r="M105" s="409" t="s">
        <v>691</v>
      </c>
    </row>
    <row r="106" spans="1:13" x14ac:dyDescent="0.25">
      <c r="A106" s="710" t="s">
        <v>759</v>
      </c>
      <c r="B106" s="711"/>
      <c r="C106" s="711"/>
      <c r="D106" s="711"/>
      <c r="E106" s="320" t="s">
        <v>736</v>
      </c>
      <c r="F106" s="692" t="s">
        <v>757</v>
      </c>
      <c r="G106" s="692"/>
      <c r="H106" s="692"/>
      <c r="I106" s="692"/>
      <c r="J106" s="692"/>
      <c r="K106" s="697">
        <f>(265/18)</f>
        <v>14.722222222222221</v>
      </c>
      <c r="L106" s="697"/>
      <c r="M106" s="410">
        <v>0</v>
      </c>
    </row>
    <row r="107" spans="1:13" x14ac:dyDescent="0.25">
      <c r="A107" s="411" t="s">
        <v>687</v>
      </c>
      <c r="B107" s="690" t="s">
        <v>758</v>
      </c>
      <c r="C107" s="690"/>
      <c r="D107" s="690"/>
      <c r="E107" s="320" t="s">
        <v>737</v>
      </c>
      <c r="F107" s="691" t="s">
        <v>760</v>
      </c>
      <c r="G107" s="692"/>
      <c r="H107" s="692"/>
      <c r="I107" s="692"/>
      <c r="J107" s="692"/>
      <c r="K107" s="693" t="s">
        <v>693</v>
      </c>
      <c r="L107" s="693"/>
      <c r="M107" s="694"/>
    </row>
    <row r="108" spans="1:13" x14ac:dyDescent="0.25">
      <c r="A108" s="411" t="s">
        <v>688</v>
      </c>
      <c r="B108" s="690" t="s">
        <v>756</v>
      </c>
      <c r="C108" s="690"/>
      <c r="D108" s="690"/>
      <c r="E108" s="320" t="s">
        <v>738</v>
      </c>
      <c r="F108" s="695" t="s">
        <v>761</v>
      </c>
      <c r="G108" s="696"/>
      <c r="H108" s="696"/>
      <c r="I108" s="696"/>
      <c r="J108" s="696"/>
      <c r="K108" s="697">
        <f>(K106+M106)</f>
        <v>14.722222222222221</v>
      </c>
      <c r="L108" s="697"/>
      <c r="M108" s="698"/>
    </row>
    <row r="109" spans="1:13" x14ac:dyDescent="0.25">
      <c r="A109" s="411" t="s">
        <v>689</v>
      </c>
      <c r="B109" s="699" t="s">
        <v>755</v>
      </c>
      <c r="C109" s="700"/>
      <c r="D109" s="700"/>
      <c r="E109" s="700"/>
      <c r="F109" s="700"/>
      <c r="G109" s="700"/>
      <c r="H109" s="700"/>
      <c r="I109" s="700"/>
      <c r="J109" s="700"/>
      <c r="K109" s="700"/>
      <c r="L109" s="700"/>
      <c r="M109" s="701"/>
    </row>
    <row r="110" spans="1:13" ht="13.8" x14ac:dyDescent="0.25">
      <c r="A110" s="702" t="s">
        <v>690</v>
      </c>
      <c r="B110" s="703"/>
      <c r="C110" s="703"/>
      <c r="D110" s="703"/>
      <c r="E110" s="703"/>
      <c r="F110" s="703"/>
      <c r="G110" s="703"/>
      <c r="H110" s="703"/>
      <c r="I110" s="703"/>
      <c r="J110" s="703"/>
      <c r="K110" s="703"/>
      <c r="L110" s="703"/>
      <c r="M110" s="704"/>
    </row>
    <row r="111" spans="1:13" x14ac:dyDescent="0.25">
      <c r="A111" s="416"/>
      <c r="M111" s="397"/>
    </row>
    <row r="112" spans="1:13" x14ac:dyDescent="0.25">
      <c r="A112" s="416"/>
      <c r="M112" s="397"/>
    </row>
    <row r="113" spans="1:13" x14ac:dyDescent="0.25">
      <c r="A113" s="416"/>
      <c r="M113" s="397"/>
    </row>
    <row r="114" spans="1:13" x14ac:dyDescent="0.25">
      <c r="A114" s="416"/>
      <c r="M114" s="397"/>
    </row>
    <row r="115" spans="1:13" ht="12.75" customHeight="1" x14ac:dyDescent="0.25">
      <c r="A115" s="417"/>
      <c r="B115" s="403"/>
      <c r="C115" s="403"/>
      <c r="D115" s="403"/>
      <c r="E115" s="403"/>
      <c r="F115" s="403"/>
      <c r="G115" s="403"/>
      <c r="H115" s="403"/>
      <c r="I115" s="403"/>
      <c r="J115" s="403"/>
      <c r="K115" s="403"/>
      <c r="L115" s="403"/>
      <c r="M115" s="418"/>
    </row>
    <row r="116" spans="1:13" ht="12.75" customHeight="1" x14ac:dyDescent="0.25">
      <c r="A116" s="419"/>
      <c r="B116" s="270"/>
      <c r="C116" s="270"/>
      <c r="D116" s="270"/>
      <c r="E116" s="270"/>
      <c r="F116" s="270"/>
      <c r="G116" s="270"/>
      <c r="H116" s="270"/>
      <c r="I116" s="270"/>
      <c r="J116" s="270"/>
      <c r="K116" s="270"/>
      <c r="L116" s="270"/>
      <c r="M116" s="420"/>
    </row>
    <row r="117" spans="1:13" ht="45.75" customHeight="1" x14ac:dyDescent="0.25">
      <c r="A117" s="419"/>
      <c r="B117" s="270"/>
      <c r="C117" s="270"/>
      <c r="D117" s="270"/>
      <c r="E117" s="270"/>
      <c r="F117" s="270"/>
      <c r="G117" s="270"/>
      <c r="H117" s="270"/>
      <c r="I117" s="270"/>
      <c r="J117" s="270"/>
      <c r="K117" s="270"/>
      <c r="L117" s="270"/>
      <c r="M117" s="420"/>
    </row>
    <row r="118" spans="1:13" x14ac:dyDescent="0.25">
      <c r="A118" s="419"/>
      <c r="B118" s="270"/>
      <c r="C118" s="270"/>
      <c r="D118" s="270"/>
      <c r="E118" s="270"/>
      <c r="F118" s="270"/>
      <c r="G118" s="270"/>
      <c r="H118" s="270"/>
      <c r="I118" s="270"/>
      <c r="J118" s="270"/>
      <c r="K118" s="270"/>
      <c r="L118" s="270"/>
      <c r="M118" s="420"/>
    </row>
    <row r="119" spans="1:13" x14ac:dyDescent="0.25">
      <c r="A119" s="419"/>
      <c r="B119" s="270"/>
      <c r="C119" s="270"/>
      <c r="D119" s="270"/>
      <c r="E119" s="270"/>
      <c r="F119" s="270"/>
      <c r="G119" s="270"/>
      <c r="H119" s="270"/>
      <c r="I119" s="270"/>
      <c r="J119" s="270"/>
      <c r="K119" s="270"/>
      <c r="L119" s="270"/>
      <c r="M119" s="420"/>
    </row>
    <row r="120" spans="1:13" x14ac:dyDescent="0.25">
      <c r="A120" s="419"/>
      <c r="B120" s="270"/>
      <c r="C120" s="270"/>
      <c r="D120" s="270"/>
      <c r="E120" s="270"/>
      <c r="F120" s="270"/>
      <c r="G120" s="270"/>
      <c r="H120" s="270"/>
      <c r="I120" s="270"/>
      <c r="J120" s="270"/>
      <c r="K120" s="270"/>
      <c r="L120" s="270"/>
      <c r="M120" s="420"/>
    </row>
    <row r="121" spans="1:13" x14ac:dyDescent="0.25">
      <c r="A121" s="419"/>
      <c r="B121" s="270"/>
      <c r="C121" s="270"/>
      <c r="D121" s="270"/>
      <c r="E121" s="270"/>
      <c r="F121" s="270"/>
      <c r="G121" s="270"/>
      <c r="H121" s="270"/>
      <c r="I121" s="270"/>
      <c r="J121" s="270"/>
      <c r="K121" s="270"/>
      <c r="L121" s="270"/>
      <c r="M121" s="420"/>
    </row>
    <row r="122" spans="1:13" x14ac:dyDescent="0.25">
      <c r="A122" s="419"/>
      <c r="B122" s="270"/>
      <c r="C122" s="270"/>
      <c r="D122" s="270"/>
      <c r="E122" s="270"/>
      <c r="F122" s="270"/>
      <c r="G122" s="270"/>
      <c r="H122" s="270"/>
      <c r="I122" s="270"/>
      <c r="J122" s="270"/>
      <c r="K122" s="270"/>
      <c r="L122" s="270"/>
      <c r="M122" s="420"/>
    </row>
    <row r="123" spans="1:13" x14ac:dyDescent="0.25">
      <c r="A123" s="419"/>
      <c r="B123" s="270"/>
      <c r="C123" s="270"/>
      <c r="D123" s="270"/>
      <c r="E123" s="270"/>
      <c r="F123" s="270"/>
      <c r="G123" s="270"/>
      <c r="H123" s="270"/>
      <c r="I123" s="270"/>
      <c r="J123" s="270"/>
      <c r="K123" s="270"/>
      <c r="L123" s="270"/>
      <c r="M123" s="420"/>
    </row>
    <row r="124" spans="1:13" x14ac:dyDescent="0.25">
      <c r="A124" s="419"/>
      <c r="B124" s="270"/>
      <c r="C124" s="270"/>
      <c r="D124" s="270"/>
      <c r="E124" s="270"/>
      <c r="F124" s="270"/>
      <c r="G124" s="270"/>
      <c r="H124" s="270"/>
      <c r="I124" s="270"/>
      <c r="J124" s="270"/>
      <c r="K124" s="270"/>
      <c r="L124" s="270"/>
      <c r="M124" s="420"/>
    </row>
    <row r="125" spans="1:13" x14ac:dyDescent="0.25">
      <c r="A125" s="419"/>
      <c r="B125" s="270"/>
      <c r="C125" s="270"/>
      <c r="D125" s="270"/>
      <c r="E125" s="270"/>
      <c r="F125" s="270"/>
      <c r="G125" s="270"/>
      <c r="H125" s="270"/>
      <c r="I125" s="270"/>
      <c r="J125" s="270"/>
      <c r="K125" s="270"/>
      <c r="L125" s="270"/>
      <c r="M125" s="420"/>
    </row>
    <row r="126" spans="1:13" x14ac:dyDescent="0.25">
      <c r="A126" s="419"/>
      <c r="B126" s="270"/>
      <c r="C126" s="270"/>
      <c r="D126" s="270"/>
      <c r="E126" s="270"/>
      <c r="F126" s="270"/>
      <c r="G126" s="270"/>
      <c r="H126" s="270"/>
      <c r="I126" s="270"/>
      <c r="J126" s="270"/>
      <c r="K126" s="270"/>
      <c r="L126" s="270"/>
      <c r="M126" s="420"/>
    </row>
    <row r="127" spans="1:13" x14ac:dyDescent="0.25">
      <c r="A127" s="419"/>
      <c r="B127" s="270"/>
      <c r="C127" s="270"/>
      <c r="D127" s="270"/>
      <c r="E127" s="270"/>
      <c r="F127" s="270"/>
      <c r="G127" s="270"/>
      <c r="H127" s="270"/>
      <c r="I127" s="270"/>
      <c r="J127" s="270"/>
      <c r="K127" s="270"/>
      <c r="L127" s="270"/>
      <c r="M127" s="420"/>
    </row>
    <row r="128" spans="1:13" x14ac:dyDescent="0.25">
      <c r="A128" s="421"/>
      <c r="B128" s="405"/>
      <c r="C128" s="405"/>
      <c r="D128" s="405"/>
      <c r="E128" s="405"/>
      <c r="F128" s="405"/>
      <c r="G128" s="405"/>
      <c r="H128" s="405"/>
      <c r="I128" s="405"/>
      <c r="J128" s="405"/>
      <c r="K128" s="405"/>
      <c r="L128" s="405"/>
      <c r="M128" s="422"/>
    </row>
    <row r="129" spans="1:13" x14ac:dyDescent="0.25">
      <c r="A129" s="416"/>
      <c r="M129" s="397"/>
    </row>
    <row r="130" spans="1:13" x14ac:dyDescent="0.25">
      <c r="A130" s="416"/>
      <c r="M130" s="397"/>
    </row>
    <row r="131" spans="1:13" x14ac:dyDescent="0.25">
      <c r="A131" s="416"/>
      <c r="M131" s="397"/>
    </row>
    <row r="132" spans="1:13" ht="31.5" customHeight="1" x14ac:dyDescent="0.25">
      <c r="A132" s="705" t="s">
        <v>793</v>
      </c>
      <c r="B132" s="706"/>
      <c r="C132" s="706"/>
      <c r="D132" s="706"/>
      <c r="E132" s="706"/>
      <c r="F132" s="706"/>
      <c r="G132" s="706"/>
      <c r="H132" s="706"/>
      <c r="I132" s="706"/>
      <c r="J132" s="706"/>
      <c r="K132" s="706"/>
      <c r="L132" s="706"/>
      <c r="M132" s="707"/>
    </row>
    <row r="133" spans="1:13" hidden="1" x14ac:dyDescent="0.25">
      <c r="A133" s="419"/>
      <c r="B133" s="270"/>
      <c r="C133" s="270"/>
      <c r="D133" s="270"/>
      <c r="E133" s="270"/>
      <c r="F133" s="270"/>
      <c r="G133" s="270"/>
      <c r="H133" s="270"/>
      <c r="I133" s="270"/>
      <c r="J133" s="270"/>
      <c r="K133" s="270"/>
      <c r="L133" s="270"/>
      <c r="M133" s="420"/>
    </row>
    <row r="134" spans="1:13" ht="32.25" hidden="1" customHeight="1" x14ac:dyDescent="0.25">
      <c r="A134" s="419"/>
      <c r="B134" s="270"/>
      <c r="C134" s="270"/>
      <c r="D134" s="270"/>
      <c r="E134" s="270"/>
      <c r="F134" s="270"/>
      <c r="G134" s="270"/>
      <c r="H134" s="270"/>
      <c r="I134" s="270"/>
      <c r="J134" s="270"/>
      <c r="K134" s="270"/>
      <c r="L134" s="270"/>
      <c r="M134" s="420"/>
    </row>
    <row r="135" spans="1:13" hidden="1" x14ac:dyDescent="0.25">
      <c r="A135" s="419"/>
      <c r="B135" s="270"/>
      <c r="C135" s="270"/>
      <c r="D135" s="270"/>
      <c r="E135" s="270"/>
      <c r="F135" s="270"/>
      <c r="G135" s="270"/>
      <c r="H135" s="270"/>
      <c r="I135" s="270"/>
      <c r="J135" s="270"/>
      <c r="K135" s="270"/>
      <c r="L135" s="270"/>
      <c r="M135" s="420"/>
    </row>
    <row r="136" spans="1:13" hidden="1" x14ac:dyDescent="0.25">
      <c r="A136" s="419"/>
      <c r="B136" s="270"/>
      <c r="C136" s="270"/>
      <c r="D136" s="270"/>
      <c r="E136" s="270"/>
      <c r="F136" s="270"/>
      <c r="G136" s="270"/>
      <c r="H136" s="270"/>
      <c r="I136" s="270"/>
      <c r="J136" s="270"/>
      <c r="K136" s="270"/>
      <c r="L136" s="270"/>
      <c r="M136" s="420"/>
    </row>
    <row r="137" spans="1:13" hidden="1" x14ac:dyDescent="0.25">
      <c r="A137" s="419"/>
      <c r="B137" s="270"/>
      <c r="C137" s="270"/>
      <c r="D137" s="270"/>
      <c r="E137" s="270"/>
      <c r="F137" s="270"/>
      <c r="G137" s="270"/>
      <c r="H137" s="270"/>
      <c r="I137" s="270"/>
      <c r="J137" s="270"/>
      <c r="K137" s="270"/>
      <c r="L137" s="270"/>
      <c r="M137" s="420"/>
    </row>
    <row r="138" spans="1:13" hidden="1" x14ac:dyDescent="0.25">
      <c r="A138" s="419"/>
      <c r="B138" s="270"/>
      <c r="C138" s="270"/>
      <c r="D138" s="270"/>
      <c r="E138" s="270"/>
      <c r="F138" s="270"/>
      <c r="G138" s="270"/>
      <c r="H138" s="270"/>
      <c r="I138" s="270"/>
      <c r="J138" s="270"/>
      <c r="K138" s="270"/>
      <c r="L138" s="270"/>
      <c r="M138" s="420"/>
    </row>
    <row r="139" spans="1:13" hidden="1" x14ac:dyDescent="0.25">
      <c r="A139" s="419"/>
      <c r="B139" s="270"/>
      <c r="C139" s="270"/>
      <c r="D139" s="270"/>
      <c r="E139" s="270"/>
      <c r="F139" s="270"/>
      <c r="G139" s="270"/>
      <c r="H139" s="270"/>
      <c r="I139" s="270"/>
      <c r="J139" s="270"/>
      <c r="K139" s="270"/>
      <c r="L139" s="270"/>
      <c r="M139" s="420"/>
    </row>
    <row r="140" spans="1:13" hidden="1" x14ac:dyDescent="0.25">
      <c r="A140" s="419"/>
      <c r="B140" s="270"/>
      <c r="C140" s="270"/>
      <c r="D140" s="270"/>
      <c r="E140" s="270"/>
      <c r="F140" s="270"/>
      <c r="G140" s="270"/>
      <c r="H140" s="270"/>
      <c r="I140" s="270"/>
      <c r="J140" s="270"/>
      <c r="K140" s="270"/>
      <c r="L140" s="270"/>
      <c r="M140" s="420"/>
    </row>
    <row r="141" spans="1:13" hidden="1" x14ac:dyDescent="0.25">
      <c r="A141" s="419"/>
      <c r="B141" s="270"/>
      <c r="C141" s="270"/>
      <c r="D141" s="270"/>
      <c r="E141" s="270"/>
      <c r="F141" s="270"/>
      <c r="G141" s="270"/>
      <c r="H141" s="270"/>
      <c r="I141" s="270"/>
      <c r="J141" s="270"/>
      <c r="K141" s="270"/>
      <c r="L141" s="270"/>
      <c r="M141" s="420"/>
    </row>
    <row r="142" spans="1:13" hidden="1" x14ac:dyDescent="0.25">
      <c r="A142" s="419"/>
      <c r="B142" s="270"/>
      <c r="C142" s="270"/>
      <c r="D142" s="270"/>
      <c r="E142" s="270"/>
      <c r="F142" s="270"/>
      <c r="G142" s="270"/>
      <c r="H142" s="270"/>
      <c r="I142" s="270"/>
      <c r="J142" s="270"/>
      <c r="K142" s="270"/>
      <c r="L142" s="270"/>
      <c r="M142" s="420"/>
    </row>
    <row r="143" spans="1:13" hidden="1" x14ac:dyDescent="0.25">
      <c r="A143" s="419"/>
      <c r="B143" s="270"/>
      <c r="C143" s="270"/>
      <c r="D143" s="270"/>
      <c r="E143" s="270"/>
      <c r="F143" s="270"/>
      <c r="G143" s="270"/>
      <c r="H143" s="270"/>
      <c r="I143" s="270"/>
      <c r="J143" s="270"/>
      <c r="K143" s="270"/>
      <c r="L143" s="270"/>
      <c r="M143" s="420"/>
    </row>
    <row r="144" spans="1:13" hidden="1" x14ac:dyDescent="0.25">
      <c r="A144" s="419"/>
      <c r="B144" s="270"/>
      <c r="C144" s="270"/>
      <c r="D144" s="270"/>
      <c r="E144" s="270"/>
      <c r="F144" s="270"/>
      <c r="G144" s="270"/>
      <c r="H144" s="270"/>
      <c r="I144" s="270"/>
      <c r="J144" s="270"/>
      <c r="K144" s="270"/>
      <c r="L144" s="270"/>
      <c r="M144" s="420"/>
    </row>
    <row r="145" spans="1:13" hidden="1" x14ac:dyDescent="0.25">
      <c r="A145" s="419"/>
      <c r="B145" s="270"/>
      <c r="C145" s="270"/>
      <c r="D145" s="270"/>
      <c r="E145" s="270"/>
      <c r="F145" s="270"/>
      <c r="G145" s="270"/>
      <c r="H145" s="270"/>
      <c r="I145" s="270"/>
      <c r="J145" s="270"/>
      <c r="K145" s="270"/>
      <c r="L145" s="270"/>
      <c r="M145" s="420"/>
    </row>
    <row r="146" spans="1:13" hidden="1" x14ac:dyDescent="0.25">
      <c r="A146" s="419"/>
      <c r="B146" s="270"/>
      <c r="C146" s="270"/>
      <c r="D146" s="270"/>
      <c r="E146" s="270"/>
      <c r="F146" s="270"/>
      <c r="G146" s="270"/>
      <c r="H146" s="270"/>
      <c r="I146" s="270"/>
      <c r="J146" s="270"/>
      <c r="K146" s="270"/>
      <c r="L146" s="270"/>
      <c r="M146" s="420"/>
    </row>
    <row r="147" spans="1:13" hidden="1" x14ac:dyDescent="0.25">
      <c r="A147" s="419"/>
      <c r="B147" s="270"/>
      <c r="C147" s="270"/>
      <c r="D147" s="270"/>
      <c r="E147" s="270"/>
      <c r="F147" s="270"/>
      <c r="G147" s="270"/>
      <c r="H147" s="270"/>
      <c r="I147" s="270"/>
      <c r="J147" s="270"/>
      <c r="K147" s="270"/>
      <c r="L147" s="270"/>
      <c r="M147" s="420"/>
    </row>
    <row r="148" spans="1:13" hidden="1" x14ac:dyDescent="0.25">
      <c r="A148" s="419"/>
      <c r="B148" s="270"/>
      <c r="C148" s="270"/>
      <c r="D148" s="270"/>
      <c r="E148" s="270"/>
      <c r="F148" s="270"/>
      <c r="G148" s="270"/>
      <c r="H148" s="270"/>
      <c r="I148" s="270"/>
      <c r="J148" s="270"/>
      <c r="K148" s="270"/>
      <c r="L148" s="270"/>
      <c r="M148" s="420"/>
    </row>
    <row r="149" spans="1:13" ht="13.8" hidden="1" x14ac:dyDescent="0.25">
      <c r="A149" s="427" t="s">
        <v>695</v>
      </c>
      <c r="B149" s="683" t="s">
        <v>352</v>
      </c>
      <c r="C149" s="661"/>
      <c r="D149" s="684"/>
      <c r="E149" s="680" t="s">
        <v>353</v>
      </c>
      <c r="F149" s="682"/>
      <c r="G149" s="682"/>
      <c r="H149" s="682"/>
      <c r="I149" s="682"/>
      <c r="J149" s="681"/>
      <c r="K149" s="680" t="s">
        <v>692</v>
      </c>
      <c r="L149" s="681"/>
      <c r="M149" s="409" t="s">
        <v>691</v>
      </c>
    </row>
    <row r="150" spans="1:13" ht="13.2" hidden="1" customHeight="1" x14ac:dyDescent="0.25">
      <c r="A150" s="677" t="s">
        <v>764</v>
      </c>
      <c r="B150" s="678"/>
      <c r="C150" s="678"/>
      <c r="D150" s="679"/>
      <c r="E150" s="320" t="s">
        <v>736</v>
      </c>
      <c r="F150" s="674" t="s">
        <v>772</v>
      </c>
      <c r="G150" s="675"/>
      <c r="H150" s="675"/>
      <c r="I150" s="675"/>
      <c r="J150" s="676"/>
      <c r="K150" s="672">
        <v>962.39</v>
      </c>
      <c r="L150" s="673"/>
      <c r="M150" s="410">
        <v>96.13</v>
      </c>
    </row>
    <row r="151" spans="1:13" ht="13.2" hidden="1" customHeight="1" x14ac:dyDescent="0.25">
      <c r="A151" s="411" t="s">
        <v>687</v>
      </c>
      <c r="B151" s="669" t="s">
        <v>763</v>
      </c>
      <c r="C151" s="670"/>
      <c r="D151" s="671"/>
      <c r="E151" s="320" t="s">
        <v>737</v>
      </c>
      <c r="F151" s="666" t="s">
        <v>773</v>
      </c>
      <c r="G151" s="667"/>
      <c r="H151" s="667"/>
      <c r="I151" s="667"/>
      <c r="J151" s="668"/>
      <c r="K151" s="663" t="s">
        <v>693</v>
      </c>
      <c r="L151" s="664"/>
      <c r="M151" s="665"/>
    </row>
    <row r="152" spans="1:13" ht="13.2" hidden="1" customHeight="1" x14ac:dyDescent="0.25">
      <c r="A152" s="411" t="s">
        <v>688</v>
      </c>
      <c r="B152" s="449" t="s">
        <v>765</v>
      </c>
      <c r="C152" s="450"/>
      <c r="D152" s="448"/>
      <c r="E152" s="320" t="s">
        <v>738</v>
      </c>
      <c r="F152" s="451" t="s">
        <v>774</v>
      </c>
      <c r="G152" s="454"/>
      <c r="H152" s="457"/>
      <c r="I152" s="457"/>
      <c r="J152" s="455"/>
      <c r="K152" s="452">
        <f>K150+M150</f>
        <v>1058.52</v>
      </c>
      <c r="L152" s="453"/>
      <c r="M152" s="456"/>
    </row>
    <row r="153" spans="1:13" ht="13.2" hidden="1" customHeight="1" x14ac:dyDescent="0.25">
      <c r="A153" s="413" t="s">
        <v>689</v>
      </c>
      <c r="B153" s="657" t="s">
        <v>762</v>
      </c>
      <c r="C153" s="658"/>
      <c r="D153" s="658"/>
      <c r="E153" s="658"/>
      <c r="F153" s="658"/>
      <c r="G153" s="658"/>
      <c r="H153" s="658"/>
      <c r="I153" s="658"/>
      <c r="J153" s="658"/>
      <c r="K153" s="658"/>
      <c r="L153" s="658"/>
      <c r="M153" s="659"/>
    </row>
    <row r="154" spans="1:13" ht="13.8" hidden="1" x14ac:dyDescent="0.25">
      <c r="A154" s="660" t="s">
        <v>690</v>
      </c>
      <c r="B154" s="661"/>
      <c r="C154" s="661"/>
      <c r="D154" s="661"/>
      <c r="E154" s="661"/>
      <c r="F154" s="661"/>
      <c r="G154" s="661"/>
      <c r="H154" s="661"/>
      <c r="I154" s="661"/>
      <c r="J154" s="661"/>
      <c r="K154" s="661"/>
      <c r="L154" s="661"/>
      <c r="M154" s="662"/>
    </row>
    <row r="155" spans="1:13" hidden="1" x14ac:dyDescent="0.25">
      <c r="A155" s="416"/>
      <c r="M155" s="397"/>
    </row>
    <row r="156" spans="1:13" hidden="1" x14ac:dyDescent="0.25">
      <c r="A156" s="416"/>
      <c r="M156" s="397"/>
    </row>
    <row r="157" spans="1:13" hidden="1" x14ac:dyDescent="0.25">
      <c r="A157" s="416"/>
      <c r="M157" s="397"/>
    </row>
    <row r="158" spans="1:13" hidden="1" x14ac:dyDescent="0.25">
      <c r="A158" s="416"/>
      <c r="M158" s="397"/>
    </row>
    <row r="159" spans="1:13" ht="27" hidden="1" customHeight="1" x14ac:dyDescent="0.25">
      <c r="A159" s="416"/>
      <c r="M159" s="397"/>
    </row>
    <row r="160" spans="1:13" hidden="1" x14ac:dyDescent="0.25">
      <c r="A160" s="416"/>
      <c r="M160" s="397"/>
    </row>
    <row r="161" spans="1:13" hidden="1" x14ac:dyDescent="0.25">
      <c r="A161" s="416"/>
      <c r="M161" s="397"/>
    </row>
    <row r="162" spans="1:13" hidden="1" x14ac:dyDescent="0.25">
      <c r="A162" s="416"/>
      <c r="M162" s="397"/>
    </row>
    <row r="163" spans="1:13" hidden="1" x14ac:dyDescent="0.25">
      <c r="A163" s="416"/>
      <c r="M163" s="397"/>
    </row>
    <row r="164" spans="1:13" hidden="1" x14ac:dyDescent="0.25">
      <c r="A164" s="416"/>
      <c r="M164" s="397"/>
    </row>
    <row r="165" spans="1:13" hidden="1" x14ac:dyDescent="0.25">
      <c r="A165" s="416"/>
      <c r="M165" s="397"/>
    </row>
    <row r="166" spans="1:13" hidden="1" x14ac:dyDescent="0.25">
      <c r="A166" s="416"/>
      <c r="M166" s="397"/>
    </row>
    <row r="167" spans="1:13" hidden="1" x14ac:dyDescent="0.25">
      <c r="A167" s="416"/>
      <c r="M167" s="397"/>
    </row>
    <row r="168" spans="1:13" hidden="1" x14ac:dyDescent="0.25">
      <c r="A168" s="416"/>
      <c r="M168" s="397"/>
    </row>
    <row r="169" spans="1:13" hidden="1" x14ac:dyDescent="0.25">
      <c r="A169" s="416"/>
      <c r="M169" s="397"/>
    </row>
    <row r="170" spans="1:13" hidden="1" x14ac:dyDescent="0.25">
      <c r="A170" s="416"/>
      <c r="M170" s="397"/>
    </row>
    <row r="171" spans="1:13" hidden="1" x14ac:dyDescent="0.25">
      <c r="A171" s="416"/>
      <c r="M171" s="397"/>
    </row>
    <row r="172" spans="1:13" hidden="1" x14ac:dyDescent="0.25">
      <c r="A172" s="416"/>
      <c r="M172" s="397"/>
    </row>
    <row r="173" spans="1:13" hidden="1" x14ac:dyDescent="0.25">
      <c r="A173" s="416"/>
      <c r="M173" s="397"/>
    </row>
    <row r="174" spans="1:13" hidden="1" x14ac:dyDescent="0.25">
      <c r="A174" s="416"/>
      <c r="M174" s="397"/>
    </row>
    <row r="175" spans="1:13" hidden="1" x14ac:dyDescent="0.25">
      <c r="A175" s="416"/>
      <c r="M175" s="397"/>
    </row>
    <row r="176" spans="1:13" hidden="1" x14ac:dyDescent="0.25">
      <c r="A176" s="416"/>
      <c r="M176" s="397"/>
    </row>
    <row r="177" spans="1:13" ht="13.8" hidden="1" x14ac:dyDescent="0.25">
      <c r="A177" s="427" t="s">
        <v>735</v>
      </c>
      <c r="B177" s="683" t="s">
        <v>352</v>
      </c>
      <c r="C177" s="661"/>
      <c r="D177" s="684"/>
      <c r="E177" s="680" t="s">
        <v>353</v>
      </c>
      <c r="F177" s="682"/>
      <c r="G177" s="682"/>
      <c r="H177" s="682"/>
      <c r="I177" s="682"/>
      <c r="J177" s="681"/>
      <c r="K177" s="680" t="s">
        <v>692</v>
      </c>
      <c r="L177" s="681"/>
      <c r="M177" s="409" t="s">
        <v>691</v>
      </c>
    </row>
    <row r="178" spans="1:13" ht="13.2" hidden="1" customHeight="1" x14ac:dyDescent="0.25">
      <c r="A178" s="677" t="s">
        <v>767</v>
      </c>
      <c r="B178" s="678"/>
      <c r="C178" s="678"/>
      <c r="D178" s="679"/>
      <c r="E178" s="320" t="s">
        <v>736</v>
      </c>
      <c r="F178" s="674" t="s">
        <v>768</v>
      </c>
      <c r="G178" s="675"/>
      <c r="H178" s="675"/>
      <c r="I178" s="675"/>
      <c r="J178" s="676"/>
      <c r="K178" s="672">
        <v>962.39</v>
      </c>
      <c r="L178" s="673"/>
      <c r="M178" s="410">
        <v>130.6</v>
      </c>
    </row>
    <row r="179" spans="1:13" ht="13.2" hidden="1" customHeight="1" x14ac:dyDescent="0.25">
      <c r="A179" s="411" t="s">
        <v>687</v>
      </c>
      <c r="B179" s="669" t="s">
        <v>769</v>
      </c>
      <c r="C179" s="670"/>
      <c r="D179" s="671"/>
      <c r="E179" s="320" t="s">
        <v>737</v>
      </c>
      <c r="F179" s="666" t="s">
        <v>768</v>
      </c>
      <c r="G179" s="667"/>
      <c r="H179" s="667"/>
      <c r="I179" s="667"/>
      <c r="J179" s="668"/>
      <c r="K179" s="663" t="s">
        <v>693</v>
      </c>
      <c r="L179" s="664"/>
      <c r="M179" s="665"/>
    </row>
    <row r="180" spans="1:13" ht="13.2" hidden="1" customHeight="1" x14ac:dyDescent="0.25">
      <c r="A180" s="411" t="s">
        <v>688</v>
      </c>
      <c r="B180" s="669" t="s">
        <v>771</v>
      </c>
      <c r="C180" s="670"/>
      <c r="D180" s="671"/>
      <c r="E180" s="320" t="s">
        <v>738</v>
      </c>
      <c r="F180" s="685" t="s">
        <v>770</v>
      </c>
      <c r="G180" s="686"/>
      <c r="H180" s="686"/>
      <c r="I180" s="686"/>
      <c r="J180" s="687"/>
      <c r="K180" s="672">
        <f>K178+M178</f>
        <v>1092.99</v>
      </c>
      <c r="L180" s="688"/>
      <c r="M180" s="689"/>
    </row>
    <row r="181" spans="1:13" ht="13.2" hidden="1" customHeight="1" x14ac:dyDescent="0.25">
      <c r="A181" s="411" t="s">
        <v>689</v>
      </c>
      <c r="B181" s="657" t="s">
        <v>766</v>
      </c>
      <c r="C181" s="658"/>
      <c r="D181" s="658"/>
      <c r="E181" s="658"/>
      <c r="F181" s="658"/>
      <c r="G181" s="658"/>
      <c r="H181" s="658"/>
      <c r="I181" s="658"/>
      <c r="J181" s="658"/>
      <c r="K181" s="658"/>
      <c r="L181" s="658"/>
      <c r="M181" s="659"/>
    </row>
    <row r="182" spans="1:13" ht="13.8" hidden="1" x14ac:dyDescent="0.25">
      <c r="A182" s="660" t="s">
        <v>690</v>
      </c>
      <c r="B182" s="661"/>
      <c r="C182" s="661"/>
      <c r="D182" s="661"/>
      <c r="E182" s="661"/>
      <c r="F182" s="661"/>
      <c r="G182" s="661"/>
      <c r="H182" s="661"/>
      <c r="I182" s="661"/>
      <c r="J182" s="661"/>
      <c r="K182" s="661"/>
      <c r="L182" s="661"/>
      <c r="M182" s="662"/>
    </row>
    <row r="183" spans="1:13" hidden="1" x14ac:dyDescent="0.25">
      <c r="A183" s="416"/>
      <c r="M183" s="397"/>
    </row>
    <row r="184" spans="1:13" hidden="1" x14ac:dyDescent="0.25">
      <c r="A184" s="416"/>
      <c r="M184" s="397"/>
    </row>
    <row r="185" spans="1:13" hidden="1" x14ac:dyDescent="0.25">
      <c r="A185" s="416"/>
      <c r="M185" s="397"/>
    </row>
    <row r="186" spans="1:13" hidden="1" x14ac:dyDescent="0.25">
      <c r="A186" s="416"/>
      <c r="M186" s="397"/>
    </row>
    <row r="187" spans="1:13" hidden="1" x14ac:dyDescent="0.25">
      <c r="A187" s="416"/>
      <c r="M187" s="397"/>
    </row>
    <row r="188" spans="1:13" ht="24" hidden="1" customHeight="1" x14ac:dyDescent="0.25">
      <c r="A188" s="416"/>
      <c r="M188" s="397"/>
    </row>
    <row r="189" spans="1:13" hidden="1" x14ac:dyDescent="0.25">
      <c r="A189" s="416"/>
      <c r="M189" s="397"/>
    </row>
    <row r="190" spans="1:13" hidden="1" x14ac:dyDescent="0.25">
      <c r="A190" s="416"/>
      <c r="M190" s="397"/>
    </row>
    <row r="191" spans="1:13" hidden="1" x14ac:dyDescent="0.25">
      <c r="A191" s="416"/>
      <c r="M191" s="397"/>
    </row>
    <row r="192" spans="1:13" hidden="1" x14ac:dyDescent="0.25">
      <c r="A192" s="416"/>
      <c r="M192" s="397"/>
    </row>
    <row r="193" spans="1:13" hidden="1" x14ac:dyDescent="0.25">
      <c r="A193" s="416"/>
      <c r="M193" s="397"/>
    </row>
    <row r="194" spans="1:13" hidden="1" x14ac:dyDescent="0.25">
      <c r="A194" s="416"/>
      <c r="M194" s="397"/>
    </row>
    <row r="195" spans="1:13" hidden="1" x14ac:dyDescent="0.25">
      <c r="A195" s="417"/>
      <c r="B195" s="403"/>
      <c r="C195" s="403"/>
      <c r="D195" s="403"/>
      <c r="E195" s="403"/>
      <c r="F195" s="403"/>
      <c r="G195" s="403"/>
      <c r="H195" s="403"/>
      <c r="I195" s="403"/>
      <c r="J195" s="403"/>
      <c r="K195" s="403"/>
      <c r="L195" s="403"/>
      <c r="M195" s="418"/>
    </row>
    <row r="196" spans="1:13" hidden="1" x14ac:dyDescent="0.25">
      <c r="A196" s="419"/>
      <c r="B196" s="270"/>
      <c r="C196" s="270"/>
      <c r="D196" s="270"/>
      <c r="E196" s="270"/>
      <c r="F196" s="270"/>
      <c r="G196" s="270"/>
      <c r="H196" s="270"/>
      <c r="I196" s="270"/>
      <c r="J196" s="270"/>
      <c r="K196" s="270"/>
      <c r="L196" s="270"/>
      <c r="M196" s="420"/>
    </row>
    <row r="197" spans="1:13" hidden="1" x14ac:dyDescent="0.25">
      <c r="A197" s="419"/>
      <c r="B197" s="270"/>
      <c r="C197" s="270"/>
      <c r="D197" s="270"/>
      <c r="E197" s="270"/>
      <c r="F197" s="270"/>
      <c r="G197" s="270"/>
      <c r="H197" s="270"/>
      <c r="I197" s="270"/>
      <c r="J197" s="270"/>
      <c r="K197" s="270"/>
      <c r="L197" s="270"/>
      <c r="M197" s="420"/>
    </row>
    <row r="198" spans="1:13" hidden="1" x14ac:dyDescent="0.25">
      <c r="A198" s="419"/>
      <c r="B198" s="270"/>
      <c r="C198" s="270"/>
      <c r="D198" s="270"/>
      <c r="E198" s="270"/>
      <c r="F198" s="270"/>
      <c r="G198" s="270"/>
      <c r="H198" s="270"/>
      <c r="I198" s="270"/>
      <c r="J198" s="270"/>
      <c r="K198" s="270"/>
      <c r="L198" s="270"/>
      <c r="M198" s="420"/>
    </row>
    <row r="199" spans="1:13" hidden="1" x14ac:dyDescent="0.25">
      <c r="A199" s="419"/>
      <c r="B199" s="270"/>
      <c r="C199" s="270"/>
      <c r="D199" s="270"/>
      <c r="E199" s="270"/>
      <c r="F199" s="270"/>
      <c r="G199" s="270"/>
      <c r="H199" s="270"/>
      <c r="I199" s="270"/>
      <c r="J199" s="270"/>
      <c r="K199" s="270"/>
      <c r="L199" s="270"/>
      <c r="M199" s="420"/>
    </row>
    <row r="200" spans="1:13" hidden="1" x14ac:dyDescent="0.25">
      <c r="A200" s="419"/>
      <c r="B200" s="270"/>
      <c r="C200" s="270"/>
      <c r="D200" s="270"/>
      <c r="E200" s="270"/>
      <c r="F200" s="270"/>
      <c r="G200" s="270"/>
      <c r="H200" s="270"/>
      <c r="I200" s="270"/>
      <c r="J200" s="270"/>
      <c r="K200" s="270"/>
      <c r="L200" s="270"/>
      <c r="M200" s="420"/>
    </row>
    <row r="201" spans="1:13" hidden="1" x14ac:dyDescent="0.25">
      <c r="A201" s="419"/>
      <c r="B201" s="270"/>
      <c r="C201" s="270"/>
      <c r="D201" s="270"/>
      <c r="E201" s="270"/>
      <c r="F201" s="270"/>
      <c r="G201" s="270"/>
      <c r="H201" s="270"/>
      <c r="I201" s="270"/>
      <c r="J201" s="270"/>
      <c r="K201" s="270"/>
      <c r="L201" s="270"/>
      <c r="M201" s="420"/>
    </row>
    <row r="202" spans="1:13" ht="13.8" hidden="1" thickBot="1" x14ac:dyDescent="0.3">
      <c r="A202" s="424"/>
      <c r="B202" s="425"/>
      <c r="C202" s="425"/>
      <c r="D202" s="425"/>
      <c r="E202" s="425"/>
      <c r="F202" s="425"/>
      <c r="G202" s="425"/>
      <c r="H202" s="425"/>
      <c r="I202" s="425"/>
      <c r="J202" s="425"/>
      <c r="K202" s="425"/>
      <c r="L202" s="425"/>
      <c r="M202" s="426"/>
    </row>
    <row r="203" spans="1:13" ht="15.6" x14ac:dyDescent="0.25">
      <c r="A203" s="386"/>
      <c r="B203" s="387"/>
      <c r="C203" s="715"/>
      <c r="D203" s="715"/>
      <c r="E203" s="715"/>
      <c r="F203" s="715"/>
      <c r="G203" s="715"/>
      <c r="H203" s="715"/>
      <c r="I203" s="715"/>
      <c r="J203" s="715"/>
      <c r="K203" s="384"/>
      <c r="L203" s="384"/>
      <c r="M203" s="385"/>
    </row>
    <row r="204" spans="1:13" ht="13.8" x14ac:dyDescent="0.25">
      <c r="A204" s="374"/>
      <c r="B204" s="716"/>
      <c r="C204" s="716"/>
      <c r="D204" s="716"/>
      <c r="E204" s="717"/>
      <c r="F204" s="717"/>
      <c r="G204" s="717"/>
      <c r="H204" s="717"/>
      <c r="I204" s="717"/>
      <c r="J204" s="717"/>
      <c r="K204" s="717"/>
      <c r="L204" s="717"/>
      <c r="M204" s="380"/>
    </row>
    <row r="205" spans="1:13" x14ac:dyDescent="0.25">
      <c r="A205" s="727"/>
      <c r="B205" s="727"/>
      <c r="C205" s="727"/>
      <c r="D205" s="727"/>
      <c r="E205" s="381"/>
      <c r="F205" s="728"/>
      <c r="G205" s="729"/>
      <c r="H205" s="729"/>
      <c r="I205" s="729"/>
      <c r="J205" s="729"/>
      <c r="K205" s="730"/>
      <c r="L205" s="730"/>
      <c r="M205" s="382"/>
    </row>
    <row r="206" spans="1:13" x14ac:dyDescent="0.25">
      <c r="A206" s="383"/>
      <c r="B206" s="731"/>
      <c r="C206" s="731"/>
      <c r="D206" s="731"/>
      <c r="E206" s="381"/>
      <c r="F206" s="732"/>
      <c r="G206" s="729"/>
      <c r="H206" s="729"/>
      <c r="I206" s="729"/>
      <c r="J206" s="729"/>
      <c r="K206" s="733"/>
      <c r="L206" s="733"/>
      <c r="M206" s="733"/>
    </row>
    <row r="207" spans="1:13" x14ac:dyDescent="0.25">
      <c r="A207" s="383"/>
      <c r="B207" s="731"/>
      <c r="C207" s="731"/>
      <c r="D207" s="731"/>
      <c r="E207" s="381"/>
      <c r="F207" s="740"/>
      <c r="G207" s="728"/>
      <c r="H207" s="728"/>
      <c r="I207" s="728"/>
      <c r="J207" s="728"/>
      <c r="K207" s="730"/>
      <c r="L207" s="730"/>
      <c r="M207" s="730"/>
    </row>
    <row r="208" spans="1:13" x14ac:dyDescent="0.25">
      <c r="A208" s="383"/>
      <c r="B208" s="741"/>
      <c r="C208" s="742"/>
      <c r="D208" s="742"/>
      <c r="E208" s="742"/>
      <c r="F208" s="742"/>
      <c r="G208" s="742"/>
      <c r="H208" s="742"/>
      <c r="I208" s="742"/>
      <c r="J208" s="742"/>
      <c r="K208" s="742"/>
      <c r="L208" s="742"/>
      <c r="M208" s="742"/>
    </row>
    <row r="209" spans="1:13" ht="13.8" x14ac:dyDescent="0.25">
      <c r="A209" s="716"/>
      <c r="B209" s="716"/>
      <c r="C209" s="716"/>
      <c r="D209" s="716"/>
      <c r="E209" s="716"/>
      <c r="F209" s="716"/>
      <c r="G209" s="716"/>
      <c r="H209" s="716"/>
      <c r="I209" s="716"/>
      <c r="J209" s="716"/>
      <c r="K209" s="716"/>
      <c r="L209" s="716"/>
      <c r="M209" s="716"/>
    </row>
    <row r="240" ht="13.8" thickBot="1" x14ac:dyDescent="0.3"/>
    <row r="241" spans="1:13" ht="14.4" thickBot="1" x14ac:dyDescent="0.3">
      <c r="A241" s="371"/>
      <c r="B241" s="734"/>
      <c r="C241" s="734"/>
      <c r="D241" s="735"/>
      <c r="E241" s="736"/>
      <c r="F241" s="737"/>
      <c r="G241" s="737"/>
      <c r="H241" s="737"/>
      <c r="I241" s="737"/>
      <c r="J241" s="738"/>
      <c r="K241" s="739"/>
      <c r="L241" s="739"/>
      <c r="M241" s="372"/>
    </row>
    <row r="242" spans="1:13" x14ac:dyDescent="0.25">
      <c r="A242" s="743"/>
      <c r="B242" s="744"/>
      <c r="C242" s="744"/>
      <c r="D242" s="745"/>
      <c r="E242" s="369"/>
      <c r="F242" s="746"/>
      <c r="G242" s="747"/>
      <c r="H242" s="747"/>
      <c r="I242" s="747"/>
      <c r="J242" s="748"/>
      <c r="K242" s="749"/>
      <c r="L242" s="750"/>
      <c r="M242" s="370"/>
    </row>
    <row r="243" spans="1:13" x14ac:dyDescent="0.25">
      <c r="A243" s="321"/>
      <c r="B243" s="669"/>
      <c r="C243" s="670"/>
      <c r="D243" s="671"/>
      <c r="E243" s="320"/>
      <c r="F243" s="666"/>
      <c r="G243" s="675"/>
      <c r="H243" s="675"/>
      <c r="I243" s="675"/>
      <c r="J243" s="676"/>
      <c r="K243" s="663"/>
      <c r="L243" s="664"/>
      <c r="M243" s="751"/>
    </row>
    <row r="244" spans="1:13" x14ac:dyDescent="0.25">
      <c r="A244" s="321"/>
      <c r="B244" s="669"/>
      <c r="C244" s="670"/>
      <c r="D244" s="671"/>
      <c r="E244" s="320"/>
      <c r="F244" s="685"/>
      <c r="G244" s="752"/>
      <c r="H244" s="752"/>
      <c r="I244" s="752"/>
      <c r="J244" s="753"/>
      <c r="K244" s="672"/>
      <c r="L244" s="688"/>
      <c r="M244" s="673"/>
    </row>
    <row r="245" spans="1:13" x14ac:dyDescent="0.25">
      <c r="A245" s="321"/>
      <c r="B245" s="657"/>
      <c r="C245" s="754"/>
      <c r="D245" s="754"/>
      <c r="E245" s="754"/>
      <c r="F245" s="754"/>
      <c r="G245" s="754"/>
      <c r="H245" s="754"/>
      <c r="I245" s="754"/>
      <c r="J245" s="754"/>
      <c r="K245" s="754"/>
      <c r="L245" s="754"/>
      <c r="M245" s="755"/>
    </row>
    <row r="246" spans="1:13" ht="13.8" x14ac:dyDescent="0.25">
      <c r="A246" s="683"/>
      <c r="B246" s="661"/>
      <c r="C246" s="661"/>
      <c r="D246" s="661"/>
      <c r="E246" s="661"/>
      <c r="F246" s="661"/>
      <c r="G246" s="661"/>
      <c r="H246" s="661"/>
      <c r="I246" s="661"/>
      <c r="J246" s="661"/>
      <c r="K246" s="661"/>
      <c r="L246" s="661"/>
      <c r="M246" s="756"/>
    </row>
    <row r="251" spans="1:13" ht="32.25" customHeight="1" x14ac:dyDescent="0.25"/>
    <row r="271" spans="1:13" ht="13.8" thickBot="1" x14ac:dyDescent="0.3"/>
    <row r="272" spans="1:13" ht="14.4" thickBot="1" x14ac:dyDescent="0.3">
      <c r="A272" s="371"/>
      <c r="B272" s="734"/>
      <c r="C272" s="734"/>
      <c r="D272" s="735"/>
      <c r="E272" s="736"/>
      <c r="F272" s="737"/>
      <c r="G272" s="737"/>
      <c r="H272" s="737"/>
      <c r="I272" s="737"/>
      <c r="J272" s="738"/>
      <c r="K272" s="739"/>
      <c r="L272" s="739"/>
      <c r="M272" s="372"/>
    </row>
    <row r="273" spans="1:13" x14ac:dyDescent="0.25">
      <c r="A273" s="743"/>
      <c r="B273" s="744"/>
      <c r="C273" s="744"/>
      <c r="D273" s="745"/>
      <c r="E273" s="369"/>
      <c r="F273" s="746"/>
      <c r="G273" s="747"/>
      <c r="H273" s="747"/>
      <c r="I273" s="747"/>
      <c r="J273" s="748"/>
      <c r="K273" s="749"/>
      <c r="L273" s="750"/>
      <c r="M273" s="370"/>
    </row>
    <row r="274" spans="1:13" x14ac:dyDescent="0.25">
      <c r="A274" s="321"/>
      <c r="B274" s="669"/>
      <c r="C274" s="670"/>
      <c r="D274" s="671"/>
      <c r="E274" s="320"/>
      <c r="F274" s="666"/>
      <c r="G274" s="675"/>
      <c r="H274" s="675"/>
      <c r="I274" s="675"/>
      <c r="J274" s="676"/>
      <c r="K274" s="663"/>
      <c r="L274" s="664"/>
      <c r="M274" s="751"/>
    </row>
    <row r="275" spans="1:13" x14ac:dyDescent="0.25">
      <c r="A275" s="321"/>
      <c r="B275" s="669"/>
      <c r="C275" s="670"/>
      <c r="D275" s="671"/>
      <c r="E275" s="320"/>
      <c r="F275" s="685"/>
      <c r="G275" s="752"/>
      <c r="H275" s="752"/>
      <c r="I275" s="752"/>
      <c r="J275" s="753"/>
      <c r="K275" s="672"/>
      <c r="L275" s="688"/>
      <c r="M275" s="673"/>
    </row>
    <row r="276" spans="1:13" x14ac:dyDescent="0.25">
      <c r="A276" s="321"/>
      <c r="B276" s="657"/>
      <c r="C276" s="754"/>
      <c r="D276" s="754"/>
      <c r="E276" s="754"/>
      <c r="F276" s="754"/>
      <c r="G276" s="754"/>
      <c r="H276" s="754"/>
      <c r="I276" s="754"/>
      <c r="J276" s="754"/>
      <c r="K276" s="754"/>
      <c r="L276" s="754"/>
      <c r="M276" s="755"/>
    </row>
    <row r="277" spans="1:13" ht="13.8" x14ac:dyDescent="0.25">
      <c r="A277" s="683"/>
      <c r="B277" s="661"/>
      <c r="C277" s="661"/>
      <c r="D277" s="661"/>
      <c r="E277" s="661"/>
      <c r="F277" s="661"/>
      <c r="G277" s="661"/>
      <c r="H277" s="661"/>
      <c r="I277" s="661"/>
      <c r="J277" s="661"/>
      <c r="K277" s="661"/>
      <c r="L277" s="661"/>
      <c r="M277" s="756"/>
    </row>
    <row r="281" spans="1:13" ht="27.6" customHeight="1" x14ac:dyDescent="0.25"/>
    <row r="308" spans="1:13" ht="13.8" thickBot="1" x14ac:dyDescent="0.3"/>
    <row r="309" spans="1:13" ht="16.2" thickBot="1" x14ac:dyDescent="0.3">
      <c r="A309" s="364"/>
      <c r="B309" s="366"/>
      <c r="C309" s="757"/>
      <c r="D309" s="758"/>
      <c r="E309" s="758"/>
      <c r="F309" s="758"/>
      <c r="G309" s="758"/>
      <c r="H309" s="758"/>
      <c r="I309" s="758"/>
      <c r="J309" s="759"/>
      <c r="K309" s="365"/>
      <c r="L309" s="365"/>
      <c r="M309" s="367"/>
    </row>
    <row r="310" spans="1:13" ht="13.8" x14ac:dyDescent="0.25">
      <c r="A310" s="362"/>
      <c r="B310" s="760"/>
      <c r="C310" s="760"/>
      <c r="D310" s="761"/>
      <c r="E310" s="762"/>
      <c r="F310" s="763"/>
      <c r="G310" s="763"/>
      <c r="H310" s="763"/>
      <c r="I310" s="763"/>
      <c r="J310" s="764"/>
      <c r="K310" s="765"/>
      <c r="L310" s="765"/>
      <c r="M310" s="363"/>
    </row>
    <row r="311" spans="1:13" x14ac:dyDescent="0.25">
      <c r="A311" s="766"/>
      <c r="B311" s="678"/>
      <c r="C311" s="678"/>
      <c r="D311" s="679"/>
      <c r="E311" s="320"/>
      <c r="F311" s="767"/>
      <c r="G311" s="675"/>
      <c r="H311" s="675"/>
      <c r="I311" s="675"/>
      <c r="J311" s="676"/>
      <c r="K311" s="672"/>
      <c r="L311" s="673"/>
      <c r="M311" s="319"/>
    </row>
    <row r="312" spans="1:13" x14ac:dyDescent="0.25">
      <c r="A312" s="321"/>
      <c r="B312" s="669"/>
      <c r="C312" s="670"/>
      <c r="D312" s="671"/>
      <c r="E312" s="320"/>
      <c r="F312" s="666"/>
      <c r="G312" s="675"/>
      <c r="H312" s="675"/>
      <c r="I312" s="675"/>
      <c r="J312" s="676"/>
      <c r="K312" s="663"/>
      <c r="L312" s="664"/>
      <c r="M312" s="751"/>
    </row>
    <row r="313" spans="1:13" x14ac:dyDescent="0.25">
      <c r="A313" s="321"/>
      <c r="B313" s="669"/>
      <c r="C313" s="670"/>
      <c r="D313" s="671"/>
      <c r="E313" s="320"/>
      <c r="F313" s="685"/>
      <c r="G313" s="752"/>
      <c r="H313" s="752"/>
      <c r="I313" s="752"/>
      <c r="J313" s="753"/>
      <c r="K313" s="672"/>
      <c r="L313" s="688"/>
      <c r="M313" s="673"/>
    </row>
    <row r="314" spans="1:13" x14ac:dyDescent="0.25">
      <c r="A314" s="321"/>
      <c r="B314" s="657"/>
      <c r="C314" s="754"/>
      <c r="D314" s="754"/>
      <c r="E314" s="754"/>
      <c r="F314" s="754"/>
      <c r="G314" s="754"/>
      <c r="H314" s="754"/>
      <c r="I314" s="754"/>
      <c r="J314" s="754"/>
      <c r="K314" s="754"/>
      <c r="L314" s="754"/>
      <c r="M314" s="755"/>
    </row>
    <row r="315" spans="1:13" ht="13.8" x14ac:dyDescent="0.25">
      <c r="A315" s="683"/>
      <c r="B315" s="661"/>
      <c r="C315" s="661"/>
      <c r="D315" s="661"/>
      <c r="E315" s="661"/>
      <c r="F315" s="661"/>
      <c r="G315" s="661"/>
      <c r="H315" s="661"/>
      <c r="I315" s="661"/>
      <c r="J315" s="661"/>
      <c r="K315" s="661"/>
      <c r="L315" s="661"/>
      <c r="M315" s="756"/>
    </row>
    <row r="318" spans="1:13" ht="27" customHeight="1" x14ac:dyDescent="0.25"/>
    <row r="342" spans="1:13" ht="13.8" x14ac:dyDescent="0.25">
      <c r="A342" s="362"/>
      <c r="B342" s="760"/>
      <c r="C342" s="760"/>
      <c r="D342" s="761"/>
      <c r="E342" s="762"/>
      <c r="F342" s="763"/>
      <c r="G342" s="763"/>
      <c r="H342" s="763"/>
      <c r="I342" s="763"/>
      <c r="J342" s="764"/>
      <c r="K342" s="765"/>
      <c r="L342" s="765"/>
      <c r="M342" s="363"/>
    </row>
    <row r="343" spans="1:13" x14ac:dyDescent="0.25">
      <c r="A343" s="766"/>
      <c r="B343" s="678"/>
      <c r="C343" s="678"/>
      <c r="D343" s="679"/>
      <c r="E343" s="320"/>
      <c r="F343" s="767"/>
      <c r="G343" s="675"/>
      <c r="H343" s="675"/>
      <c r="I343" s="675"/>
      <c r="J343" s="676"/>
      <c r="K343" s="672"/>
      <c r="L343" s="673"/>
      <c r="M343" s="319"/>
    </row>
    <row r="344" spans="1:13" x14ac:dyDescent="0.25">
      <c r="A344" s="321"/>
      <c r="B344" s="669"/>
      <c r="C344" s="670"/>
      <c r="D344" s="671"/>
      <c r="E344" s="320"/>
      <c r="F344" s="666"/>
      <c r="G344" s="675"/>
      <c r="H344" s="675"/>
      <c r="I344" s="675"/>
      <c r="J344" s="676"/>
      <c r="K344" s="663"/>
      <c r="L344" s="664"/>
      <c r="M344" s="751"/>
    </row>
    <row r="345" spans="1:13" x14ac:dyDescent="0.25">
      <c r="A345" s="321"/>
      <c r="B345" s="669"/>
      <c r="C345" s="670"/>
      <c r="D345" s="671"/>
      <c r="E345" s="320"/>
      <c r="F345" s="685"/>
      <c r="G345" s="752"/>
      <c r="H345" s="752"/>
      <c r="I345" s="752"/>
      <c r="J345" s="753"/>
      <c r="K345" s="672"/>
      <c r="L345" s="688"/>
      <c r="M345" s="673"/>
    </row>
    <row r="346" spans="1:13" x14ac:dyDescent="0.25">
      <c r="A346" s="321"/>
      <c r="B346" s="657"/>
      <c r="C346" s="754"/>
      <c r="D346" s="754"/>
      <c r="E346" s="754"/>
      <c r="F346" s="754"/>
      <c r="G346" s="754"/>
      <c r="H346" s="754"/>
      <c r="I346" s="754"/>
      <c r="J346" s="754"/>
      <c r="K346" s="754"/>
      <c r="L346" s="754"/>
      <c r="M346" s="755"/>
    </row>
    <row r="347" spans="1:13" ht="13.8" x14ac:dyDescent="0.25">
      <c r="A347" s="683"/>
      <c r="B347" s="661"/>
      <c r="C347" s="661"/>
      <c r="D347" s="661"/>
      <c r="E347" s="661"/>
      <c r="F347" s="661"/>
      <c r="G347" s="661"/>
      <c r="H347" s="661"/>
      <c r="I347" s="661"/>
      <c r="J347" s="661"/>
      <c r="K347" s="661"/>
      <c r="L347" s="661"/>
      <c r="M347" s="756"/>
    </row>
    <row r="349" spans="1:13" ht="27.6" customHeight="1" x14ac:dyDescent="0.25"/>
    <row r="383" spans="1:13" ht="13.8" x14ac:dyDescent="0.25">
      <c r="A383" s="362"/>
      <c r="B383" s="760"/>
      <c r="C383" s="760"/>
      <c r="D383" s="761"/>
      <c r="E383" s="762"/>
      <c r="F383" s="763"/>
      <c r="G383" s="763"/>
      <c r="H383" s="763"/>
      <c r="I383" s="763"/>
      <c r="J383" s="764"/>
      <c r="K383" s="765"/>
      <c r="L383" s="765"/>
      <c r="M383" s="363"/>
    </row>
    <row r="384" spans="1:13" x14ac:dyDescent="0.25">
      <c r="A384" s="766"/>
      <c r="B384" s="678"/>
      <c r="C384" s="678"/>
      <c r="D384" s="679"/>
      <c r="E384" s="320"/>
      <c r="F384" s="767"/>
      <c r="G384" s="675"/>
      <c r="H384" s="675"/>
      <c r="I384" s="675"/>
      <c r="J384" s="676"/>
      <c r="K384" s="672"/>
      <c r="L384" s="673"/>
      <c r="M384" s="319"/>
    </row>
    <row r="385" spans="1:13" x14ac:dyDescent="0.25">
      <c r="A385" s="321"/>
      <c r="B385" s="669"/>
      <c r="C385" s="670"/>
      <c r="D385" s="671"/>
      <c r="E385" s="320"/>
      <c r="F385" s="666"/>
      <c r="G385" s="675"/>
      <c r="H385" s="675"/>
      <c r="I385" s="675"/>
      <c r="J385" s="676"/>
      <c r="K385" s="663"/>
      <c r="L385" s="664"/>
      <c r="M385" s="751"/>
    </row>
    <row r="386" spans="1:13" x14ac:dyDescent="0.25">
      <c r="A386" s="321"/>
      <c r="B386" s="669"/>
      <c r="C386" s="670"/>
      <c r="D386" s="671"/>
      <c r="E386" s="320"/>
      <c r="F386" s="685"/>
      <c r="G386" s="752"/>
      <c r="H386" s="752"/>
      <c r="I386" s="752"/>
      <c r="J386" s="753"/>
      <c r="K386" s="672"/>
      <c r="L386" s="688"/>
      <c r="M386" s="673"/>
    </row>
    <row r="387" spans="1:13" ht="27" customHeight="1" x14ac:dyDescent="0.25">
      <c r="A387" s="321"/>
      <c r="B387" s="657"/>
      <c r="C387" s="754"/>
      <c r="D387" s="754"/>
      <c r="E387" s="754"/>
      <c r="F387" s="754"/>
      <c r="G387" s="754"/>
      <c r="H387" s="754"/>
      <c r="I387" s="754"/>
      <c r="J387" s="754"/>
      <c r="K387" s="754"/>
      <c r="L387" s="754"/>
      <c r="M387" s="755"/>
    </row>
    <row r="388" spans="1:13" ht="13.8" x14ac:dyDescent="0.25">
      <c r="A388" s="683"/>
      <c r="B388" s="661"/>
      <c r="C388" s="661"/>
      <c r="D388" s="661"/>
      <c r="E388" s="661"/>
      <c r="F388" s="661"/>
      <c r="G388" s="661"/>
      <c r="H388" s="661"/>
      <c r="I388" s="661"/>
      <c r="J388" s="661"/>
      <c r="K388" s="661"/>
      <c r="L388" s="661"/>
      <c r="M388" s="756"/>
    </row>
    <row r="410" spans="1:13" ht="13.8" thickBot="1" x14ac:dyDescent="0.3"/>
    <row r="411" spans="1:13" ht="16.2" thickBot="1" x14ac:dyDescent="0.3">
      <c r="A411" s="364"/>
      <c r="B411" s="366"/>
      <c r="C411" s="757"/>
      <c r="D411" s="758"/>
      <c r="E411" s="758"/>
      <c r="F411" s="758"/>
      <c r="G411" s="758"/>
      <c r="H411" s="758"/>
      <c r="I411" s="758"/>
      <c r="J411" s="759"/>
      <c r="K411" s="365"/>
      <c r="L411" s="365"/>
      <c r="M411" s="367"/>
    </row>
    <row r="412" spans="1:13" ht="13.8" x14ac:dyDescent="0.25">
      <c r="A412" s="362"/>
      <c r="B412" s="760"/>
      <c r="C412" s="760"/>
      <c r="D412" s="761"/>
      <c r="E412" s="762"/>
      <c r="F412" s="763"/>
      <c r="G412" s="763"/>
      <c r="H412" s="763"/>
      <c r="I412" s="763"/>
      <c r="J412" s="764"/>
      <c r="K412" s="765"/>
      <c r="L412" s="765"/>
      <c r="M412" s="363"/>
    </row>
    <row r="413" spans="1:13" x14ac:dyDescent="0.25">
      <c r="A413" s="766"/>
      <c r="B413" s="678"/>
      <c r="C413" s="678"/>
      <c r="D413" s="679"/>
      <c r="E413" s="320"/>
      <c r="F413" s="767"/>
      <c r="G413" s="675"/>
      <c r="H413" s="675"/>
      <c r="I413" s="675"/>
      <c r="J413" s="676"/>
      <c r="K413" s="672"/>
      <c r="L413" s="673"/>
      <c r="M413" s="319"/>
    </row>
    <row r="414" spans="1:13" x14ac:dyDescent="0.25">
      <c r="A414" s="321"/>
      <c r="B414" s="669"/>
      <c r="C414" s="670"/>
      <c r="D414" s="671"/>
      <c r="E414" s="320"/>
      <c r="F414" s="666"/>
      <c r="G414" s="675"/>
      <c r="H414" s="675"/>
      <c r="I414" s="675"/>
      <c r="J414" s="676"/>
      <c r="K414" s="663"/>
      <c r="L414" s="664"/>
      <c r="M414" s="751"/>
    </row>
    <row r="415" spans="1:13" x14ac:dyDescent="0.25">
      <c r="A415" s="321"/>
      <c r="B415" s="669"/>
      <c r="C415" s="670"/>
      <c r="D415" s="671"/>
      <c r="E415" s="320"/>
      <c r="F415" s="685"/>
      <c r="G415" s="752"/>
      <c r="H415" s="752"/>
      <c r="I415" s="752"/>
      <c r="J415" s="753"/>
      <c r="K415" s="672"/>
      <c r="L415" s="688"/>
      <c r="M415" s="673"/>
    </row>
    <row r="416" spans="1:13" x14ac:dyDescent="0.25">
      <c r="A416" s="321"/>
      <c r="B416" s="657"/>
      <c r="C416" s="754"/>
      <c r="D416" s="754"/>
      <c r="E416" s="754"/>
      <c r="F416" s="754"/>
      <c r="G416" s="754"/>
      <c r="H416" s="754"/>
      <c r="I416" s="754"/>
      <c r="J416" s="754"/>
      <c r="K416" s="754"/>
      <c r="L416" s="754"/>
      <c r="M416" s="755"/>
    </row>
    <row r="417" spans="1:13" ht="13.8" x14ac:dyDescent="0.25">
      <c r="A417" s="683"/>
      <c r="B417" s="661"/>
      <c r="C417" s="661"/>
      <c r="D417" s="661"/>
      <c r="E417" s="661"/>
      <c r="F417" s="661"/>
      <c r="G417" s="661"/>
      <c r="H417" s="661"/>
      <c r="I417" s="661"/>
      <c r="J417" s="661"/>
      <c r="K417" s="661"/>
      <c r="L417" s="661"/>
      <c r="M417" s="756"/>
    </row>
    <row r="441" spans="1:13" ht="13.8" x14ac:dyDescent="0.25">
      <c r="A441" s="323"/>
      <c r="B441" s="703"/>
      <c r="C441" s="703"/>
      <c r="D441" s="703"/>
      <c r="E441" s="709"/>
      <c r="F441" s="709"/>
      <c r="G441" s="709"/>
      <c r="H441" s="709"/>
      <c r="I441" s="709"/>
      <c r="J441" s="709"/>
      <c r="K441" s="709"/>
      <c r="L441" s="709"/>
      <c r="M441" s="322"/>
    </row>
    <row r="442" spans="1:13" x14ac:dyDescent="0.25">
      <c r="A442" s="766"/>
      <c r="B442" s="678"/>
      <c r="C442" s="678"/>
      <c r="D442" s="679"/>
      <c r="E442" s="320"/>
      <c r="F442" s="767"/>
      <c r="G442" s="675"/>
      <c r="H442" s="675"/>
      <c r="I442" s="675"/>
      <c r="J442" s="676"/>
      <c r="K442" s="672"/>
      <c r="L442" s="673"/>
      <c r="M442" s="319"/>
    </row>
    <row r="443" spans="1:13" x14ac:dyDescent="0.25">
      <c r="A443" s="321"/>
      <c r="B443" s="669"/>
      <c r="C443" s="670"/>
      <c r="D443" s="671"/>
      <c r="E443" s="320"/>
      <c r="F443" s="666"/>
      <c r="G443" s="675"/>
      <c r="H443" s="675"/>
      <c r="I443" s="675"/>
      <c r="J443" s="676"/>
      <c r="K443" s="663"/>
      <c r="L443" s="664"/>
      <c r="M443" s="751"/>
    </row>
    <row r="444" spans="1:13" x14ac:dyDescent="0.25">
      <c r="A444" s="321"/>
      <c r="B444" s="669"/>
      <c r="C444" s="670"/>
      <c r="D444" s="671"/>
      <c r="E444" s="320"/>
      <c r="F444" s="685"/>
      <c r="G444" s="752"/>
      <c r="H444" s="752"/>
      <c r="I444" s="752"/>
      <c r="J444" s="753"/>
      <c r="K444" s="672"/>
      <c r="L444" s="688"/>
      <c r="M444" s="673"/>
    </row>
    <row r="445" spans="1:13" x14ac:dyDescent="0.25">
      <c r="A445" s="321"/>
      <c r="B445" s="657"/>
      <c r="C445" s="754"/>
      <c r="D445" s="754"/>
      <c r="E445" s="754"/>
      <c r="F445" s="754"/>
      <c r="G445" s="754"/>
      <c r="H445" s="754"/>
      <c r="I445" s="754"/>
      <c r="J445" s="754"/>
      <c r="K445" s="754"/>
      <c r="L445" s="754"/>
      <c r="M445" s="755"/>
    </row>
    <row r="446" spans="1:13" ht="13.8" x14ac:dyDescent="0.25">
      <c r="A446" s="683"/>
      <c r="B446" s="661"/>
      <c r="C446" s="661"/>
      <c r="D446" s="661"/>
      <c r="E446" s="661"/>
      <c r="F446" s="661"/>
      <c r="G446" s="661"/>
      <c r="H446" s="661"/>
      <c r="I446" s="661"/>
      <c r="J446" s="661"/>
      <c r="K446" s="661"/>
      <c r="L446" s="661"/>
      <c r="M446" s="756"/>
    </row>
    <row r="460" ht="27.6" customHeight="1" x14ac:dyDescent="0.25"/>
    <row r="471" spans="1:13" ht="13.8" x14ac:dyDescent="0.25">
      <c r="A471" s="323"/>
      <c r="B471" s="703"/>
      <c r="C471" s="703"/>
      <c r="D471" s="703"/>
      <c r="E471" s="709"/>
      <c r="F471" s="709"/>
      <c r="G471" s="709"/>
      <c r="H471" s="709"/>
      <c r="I471" s="709"/>
      <c r="J471" s="709"/>
      <c r="K471" s="709"/>
      <c r="L471" s="709"/>
      <c r="M471" s="322"/>
    </row>
    <row r="472" spans="1:13" x14ac:dyDescent="0.25">
      <c r="A472" s="766"/>
      <c r="B472" s="678"/>
      <c r="C472" s="678"/>
      <c r="D472" s="679"/>
      <c r="E472" s="320"/>
      <c r="F472" s="767"/>
      <c r="G472" s="675"/>
      <c r="H472" s="675"/>
      <c r="I472" s="675"/>
      <c r="J472" s="676"/>
      <c r="K472" s="672"/>
      <c r="L472" s="673"/>
      <c r="M472" s="319"/>
    </row>
    <row r="473" spans="1:13" x14ac:dyDescent="0.25">
      <c r="A473" s="321"/>
      <c r="B473" s="669"/>
      <c r="C473" s="670"/>
      <c r="D473" s="671"/>
      <c r="E473" s="320"/>
      <c r="F473" s="666"/>
      <c r="G473" s="675"/>
      <c r="H473" s="675"/>
      <c r="I473" s="675"/>
      <c r="J473" s="676"/>
      <c r="K473" s="663"/>
      <c r="L473" s="664"/>
      <c r="M473" s="751"/>
    </row>
    <row r="474" spans="1:13" x14ac:dyDescent="0.25">
      <c r="A474" s="321"/>
      <c r="B474" s="669"/>
      <c r="C474" s="670"/>
      <c r="D474" s="671"/>
      <c r="E474" s="320"/>
      <c r="F474" s="685"/>
      <c r="G474" s="752"/>
      <c r="H474" s="752"/>
      <c r="I474" s="752"/>
      <c r="J474" s="753"/>
      <c r="K474" s="672"/>
      <c r="L474" s="688"/>
      <c r="M474" s="673"/>
    </row>
    <row r="475" spans="1:13" x14ac:dyDescent="0.25">
      <c r="A475" s="321"/>
      <c r="B475" s="657"/>
      <c r="C475" s="754"/>
      <c r="D475" s="754"/>
      <c r="E475" s="754"/>
      <c r="F475" s="754"/>
      <c r="G475" s="754"/>
      <c r="H475" s="754"/>
      <c r="I475" s="754"/>
      <c r="J475" s="754"/>
      <c r="K475" s="754"/>
      <c r="L475" s="754"/>
      <c r="M475" s="755"/>
    </row>
    <row r="476" spans="1:13" ht="13.8" x14ac:dyDescent="0.25">
      <c r="A476" s="683"/>
      <c r="B476" s="661"/>
      <c r="C476" s="661"/>
      <c r="D476" s="661"/>
      <c r="E476" s="661"/>
      <c r="F476" s="661"/>
      <c r="G476" s="661"/>
      <c r="H476" s="661"/>
      <c r="I476" s="661"/>
      <c r="J476" s="661"/>
      <c r="K476" s="661"/>
      <c r="L476" s="661"/>
      <c r="M476" s="756"/>
    </row>
    <row r="489" ht="25.95" customHeight="1" x14ac:dyDescent="0.25"/>
    <row r="518" ht="25.95" customHeight="1" x14ac:dyDescent="0.25"/>
    <row r="548" ht="28.2" customHeight="1" x14ac:dyDescent="0.25"/>
  </sheetData>
  <mergeCells count="221">
    <mergeCell ref="A9:M9"/>
    <mergeCell ref="A20:M20"/>
    <mergeCell ref="B474:D474"/>
    <mergeCell ref="F474:J474"/>
    <mergeCell ref="K474:M474"/>
    <mergeCell ref="B475:M475"/>
    <mergeCell ref="A476:M476"/>
    <mergeCell ref="A446:M446"/>
    <mergeCell ref="B471:D471"/>
    <mergeCell ref="E471:J471"/>
    <mergeCell ref="K471:L471"/>
    <mergeCell ref="A472:D472"/>
    <mergeCell ref="F472:J472"/>
    <mergeCell ref="K472:L472"/>
    <mergeCell ref="B473:D473"/>
    <mergeCell ref="F473:J473"/>
    <mergeCell ref="K473:M473"/>
    <mergeCell ref="B441:D441"/>
    <mergeCell ref="E441:J441"/>
    <mergeCell ref="A442:D442"/>
    <mergeCell ref="K442:L442"/>
    <mergeCell ref="B444:D444"/>
    <mergeCell ref="F444:J444"/>
    <mergeCell ref="K444:M444"/>
    <mergeCell ref="B445:M445"/>
    <mergeCell ref="K441:L441"/>
    <mergeCell ref="F442:J442"/>
    <mergeCell ref="B443:D443"/>
    <mergeCell ref="F443:J443"/>
    <mergeCell ref="K443:M443"/>
    <mergeCell ref="B416:M416"/>
    <mergeCell ref="A417:M417"/>
    <mergeCell ref="B387:M387"/>
    <mergeCell ref="A388:M388"/>
    <mergeCell ref="C411:J411"/>
    <mergeCell ref="B412:D412"/>
    <mergeCell ref="E412:J412"/>
    <mergeCell ref="K412:L412"/>
    <mergeCell ref="A413:D413"/>
    <mergeCell ref="F413:J413"/>
    <mergeCell ref="K413:L413"/>
    <mergeCell ref="B386:D386"/>
    <mergeCell ref="F386:J386"/>
    <mergeCell ref="K386:M386"/>
    <mergeCell ref="B414:D414"/>
    <mergeCell ref="F414:J414"/>
    <mergeCell ref="K414:M414"/>
    <mergeCell ref="B415:D415"/>
    <mergeCell ref="F415:J415"/>
    <mergeCell ref="K415:M415"/>
    <mergeCell ref="B346:M346"/>
    <mergeCell ref="A347:M347"/>
    <mergeCell ref="B383:D383"/>
    <mergeCell ref="E383:J383"/>
    <mergeCell ref="K383:L383"/>
    <mergeCell ref="A384:D384"/>
    <mergeCell ref="F384:J384"/>
    <mergeCell ref="K384:L384"/>
    <mergeCell ref="B385:D385"/>
    <mergeCell ref="F385:J385"/>
    <mergeCell ref="K385:M385"/>
    <mergeCell ref="A343:D343"/>
    <mergeCell ref="F343:J343"/>
    <mergeCell ref="K343:L343"/>
    <mergeCell ref="B344:D344"/>
    <mergeCell ref="F344:J344"/>
    <mergeCell ref="K344:M344"/>
    <mergeCell ref="B345:D345"/>
    <mergeCell ref="F345:J345"/>
    <mergeCell ref="K345:M345"/>
    <mergeCell ref="B312:D312"/>
    <mergeCell ref="F312:J312"/>
    <mergeCell ref="K312:M312"/>
    <mergeCell ref="B313:D313"/>
    <mergeCell ref="F313:J313"/>
    <mergeCell ref="K313:M313"/>
    <mergeCell ref="B314:M314"/>
    <mergeCell ref="A315:M315"/>
    <mergeCell ref="B342:D342"/>
    <mergeCell ref="E342:J342"/>
    <mergeCell ref="K342:L342"/>
    <mergeCell ref="F244:J244"/>
    <mergeCell ref="K244:M244"/>
    <mergeCell ref="B245:M245"/>
    <mergeCell ref="A246:M246"/>
    <mergeCell ref="C309:J309"/>
    <mergeCell ref="B310:D310"/>
    <mergeCell ref="E310:J310"/>
    <mergeCell ref="K310:L310"/>
    <mergeCell ref="A311:D311"/>
    <mergeCell ref="F311:J311"/>
    <mergeCell ref="K311:L311"/>
    <mergeCell ref="B276:M276"/>
    <mergeCell ref="A277:M277"/>
    <mergeCell ref="A273:D273"/>
    <mergeCell ref="F273:J273"/>
    <mergeCell ref="K273:L273"/>
    <mergeCell ref="B274:D274"/>
    <mergeCell ref="F274:J274"/>
    <mergeCell ref="K274:M274"/>
    <mergeCell ref="B275:D275"/>
    <mergeCell ref="F275:J275"/>
    <mergeCell ref="K275:M275"/>
    <mergeCell ref="A205:D205"/>
    <mergeCell ref="F205:J205"/>
    <mergeCell ref="K205:L205"/>
    <mergeCell ref="B206:D206"/>
    <mergeCell ref="F206:J206"/>
    <mergeCell ref="K206:M206"/>
    <mergeCell ref="B272:D272"/>
    <mergeCell ref="E272:J272"/>
    <mergeCell ref="K272:L272"/>
    <mergeCell ref="B207:D207"/>
    <mergeCell ref="F207:J207"/>
    <mergeCell ref="K207:M207"/>
    <mergeCell ref="B208:M208"/>
    <mergeCell ref="A209:M209"/>
    <mergeCell ref="B241:D241"/>
    <mergeCell ref="E241:J241"/>
    <mergeCell ref="K241:L241"/>
    <mergeCell ref="A242:D242"/>
    <mergeCell ref="F242:J242"/>
    <mergeCell ref="K242:L242"/>
    <mergeCell ref="B243:D243"/>
    <mergeCell ref="F243:J243"/>
    <mergeCell ref="K243:M243"/>
    <mergeCell ref="B244:D244"/>
    <mergeCell ref="C203:J203"/>
    <mergeCell ref="B204:D204"/>
    <mergeCell ref="E204:J204"/>
    <mergeCell ref="K204:L204"/>
    <mergeCell ref="C21:J21"/>
    <mergeCell ref="B22:D22"/>
    <mergeCell ref="E22:J22"/>
    <mergeCell ref="A8:M8"/>
    <mergeCell ref="L1:M1"/>
    <mergeCell ref="L2:M2"/>
    <mergeCell ref="A7:B7"/>
    <mergeCell ref="J7:M7"/>
    <mergeCell ref="C7:G7"/>
    <mergeCell ref="K22:L22"/>
    <mergeCell ref="A23:D23"/>
    <mergeCell ref="F23:J23"/>
    <mergeCell ref="K23:L23"/>
    <mergeCell ref="B24:D24"/>
    <mergeCell ref="F24:J24"/>
    <mergeCell ref="K24:M24"/>
    <mergeCell ref="B25:D25"/>
    <mergeCell ref="F25:J25"/>
    <mergeCell ref="K25:M25"/>
    <mergeCell ref="B54:D54"/>
    <mergeCell ref="F54:J54"/>
    <mergeCell ref="K54:M54"/>
    <mergeCell ref="B55:M55"/>
    <mergeCell ref="A56:M56"/>
    <mergeCell ref="B77:D77"/>
    <mergeCell ref="E77:J77"/>
    <mergeCell ref="K77:L77"/>
    <mergeCell ref="B26:M26"/>
    <mergeCell ref="A27:M27"/>
    <mergeCell ref="B51:D51"/>
    <mergeCell ref="E51:J51"/>
    <mergeCell ref="K51:L51"/>
    <mergeCell ref="A52:D52"/>
    <mergeCell ref="F52:J52"/>
    <mergeCell ref="K52:L52"/>
    <mergeCell ref="B53:D53"/>
    <mergeCell ref="F53:J53"/>
    <mergeCell ref="K53:M53"/>
    <mergeCell ref="A78:D78"/>
    <mergeCell ref="F78:J78"/>
    <mergeCell ref="K78:L78"/>
    <mergeCell ref="B79:D79"/>
    <mergeCell ref="F79:J79"/>
    <mergeCell ref="K79:M79"/>
    <mergeCell ref="B80:D80"/>
    <mergeCell ref="F80:J80"/>
    <mergeCell ref="K80:M80"/>
    <mergeCell ref="B81:M81"/>
    <mergeCell ref="A82:M82"/>
    <mergeCell ref="C104:J104"/>
    <mergeCell ref="B105:D105"/>
    <mergeCell ref="E105:J105"/>
    <mergeCell ref="K105:L105"/>
    <mergeCell ref="A106:D106"/>
    <mergeCell ref="F106:J106"/>
    <mergeCell ref="K106:L106"/>
    <mergeCell ref="B107:D107"/>
    <mergeCell ref="F107:J107"/>
    <mergeCell ref="K107:M107"/>
    <mergeCell ref="B108:D108"/>
    <mergeCell ref="F108:J108"/>
    <mergeCell ref="K108:M108"/>
    <mergeCell ref="B109:M109"/>
    <mergeCell ref="A110:M110"/>
    <mergeCell ref="A132:M132"/>
    <mergeCell ref="K149:L149"/>
    <mergeCell ref="E149:J149"/>
    <mergeCell ref="B149:D149"/>
    <mergeCell ref="B180:D180"/>
    <mergeCell ref="E177:J177"/>
    <mergeCell ref="K178:L178"/>
    <mergeCell ref="A178:D178"/>
    <mergeCell ref="F180:J180"/>
    <mergeCell ref="K177:L177"/>
    <mergeCell ref="B179:D179"/>
    <mergeCell ref="F179:J179"/>
    <mergeCell ref="K180:M180"/>
    <mergeCell ref="B177:D177"/>
    <mergeCell ref="F178:J178"/>
    <mergeCell ref="K179:M179"/>
    <mergeCell ref="B181:M181"/>
    <mergeCell ref="A182:M182"/>
    <mergeCell ref="B153:M153"/>
    <mergeCell ref="A154:M154"/>
    <mergeCell ref="K151:M151"/>
    <mergeCell ref="F151:J151"/>
    <mergeCell ref="B151:D151"/>
    <mergeCell ref="K150:L150"/>
    <mergeCell ref="F150:J150"/>
    <mergeCell ref="A150:D150"/>
  </mergeCells>
  <hyperlinks>
    <hyperlink ref="B26" r:id="rId1"/>
    <hyperlink ref="F25" r:id="rId2"/>
    <hyperlink ref="B55" r:id="rId3"/>
    <hyperlink ref="F54" r:id="rId4"/>
    <hyperlink ref="F80" r:id="rId5"/>
    <hyperlink ref="B109" r:id="rId6"/>
    <hyperlink ref="F108" r:id="rId7"/>
    <hyperlink ref="B181" r:id="rId8"/>
    <hyperlink ref="F180" r:id="rId9"/>
    <hyperlink ref="B153" r:id="rId10" display="https://www.sustentaled.com.br/refletor-holofote-led-800w-smd-ip66-a-prova-dagua-branco-frio-6000k?utm_source=Site&amp;utm_medium=GoogleMerchant&amp;utm_campaign=GoogleMerchant&amp;gclid=Cj0KCQjw1N2TBhCOARIsAGVHQc6RTycokTK0J6ZZfr6Eah_5zMYUG6w1MAgzo86KKHI85WEgB_8NFekaArbWEALw_wcB"/>
    <hyperlink ref="F152" r:id="rId11"/>
  </hyperlinks>
  <pageMargins left="0.7" right="0.7" top="0.75" bottom="0.75" header="0.3" footer="0.3"/>
  <pageSetup paperSize="9" scale="64" fitToWidth="3" fitToHeight="0" orientation="portrait" r:id="rId12"/>
  <rowBreaks count="4" manualBreakCount="4">
    <brk id="103" max="12" man="1"/>
    <brk id="240" max="12" man="1"/>
    <brk id="341" max="12" man="1"/>
    <brk id="440" max="12" man="1"/>
  </rowBreaks>
  <drawing r:id="rId1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pageSetUpPr fitToPage="1"/>
  </sheetPr>
  <dimension ref="B2:L27"/>
  <sheetViews>
    <sheetView showGridLines="0" view="pageBreakPreview" zoomScale="80" zoomScaleSheetLayoutView="80" workbookViewId="0">
      <selection activeCell="C15" sqref="C15:D18"/>
    </sheetView>
  </sheetViews>
  <sheetFormatPr defaultRowHeight="13.2" x14ac:dyDescent="0.25"/>
  <cols>
    <col min="1" max="1" width="4.109375" customWidth="1"/>
    <col min="2" max="2" width="4.6640625" customWidth="1"/>
    <col min="3" max="3" width="18.6640625" customWidth="1"/>
    <col min="4" max="4" width="11.88671875" customWidth="1"/>
    <col min="5" max="5" width="15.109375" bestFit="1" customWidth="1"/>
    <col min="6" max="6" width="13.5546875" bestFit="1" customWidth="1"/>
    <col min="7" max="7" width="12.88671875" bestFit="1" customWidth="1"/>
    <col min="8" max="8" width="4.6640625" customWidth="1"/>
    <col min="9" max="9" width="12.5546875" customWidth="1"/>
    <col min="11" max="11" width="13.6640625" customWidth="1"/>
    <col min="12" max="12" width="13" hidden="1" customWidth="1"/>
  </cols>
  <sheetData>
    <row r="2" spans="2:12" ht="30.75" customHeight="1" x14ac:dyDescent="0.25">
      <c r="C2" s="43"/>
      <c r="D2" s="778" t="s">
        <v>45</v>
      </c>
      <c r="E2" s="778"/>
      <c r="F2" s="778"/>
      <c r="G2" s="778"/>
      <c r="H2" s="778"/>
      <c r="I2" s="778"/>
      <c r="J2" s="44"/>
      <c r="K2" s="44"/>
    </row>
    <row r="4" spans="2:12" ht="12" customHeight="1" x14ac:dyDescent="0.25">
      <c r="B4" s="45" t="s">
        <v>46</v>
      </c>
      <c r="I4" s="46"/>
    </row>
    <row r="5" spans="2:12" x14ac:dyDescent="0.25">
      <c r="B5" s="47" t="s">
        <v>42</v>
      </c>
      <c r="C5" s="48"/>
      <c r="D5" s="48"/>
      <c r="E5" s="48"/>
      <c r="F5" s="48"/>
      <c r="G5" s="48"/>
      <c r="H5" s="48"/>
      <c r="I5" s="49"/>
    </row>
    <row r="6" spans="2:12" ht="5.0999999999999996" customHeight="1" x14ac:dyDescent="0.25"/>
    <row r="7" spans="2:12" x14ac:dyDescent="0.25">
      <c r="B7" s="45" t="s">
        <v>47</v>
      </c>
      <c r="I7" s="46"/>
    </row>
    <row r="8" spans="2:12" x14ac:dyDescent="0.25">
      <c r="B8" s="47" t="s">
        <v>39</v>
      </c>
      <c r="C8" s="50"/>
      <c r="D8" s="50"/>
      <c r="E8" s="50" t="s">
        <v>48</v>
      </c>
      <c r="F8" s="50"/>
      <c r="G8" s="51"/>
      <c r="H8" s="50"/>
      <c r="I8" s="52"/>
    </row>
    <row r="9" spans="2:12" ht="5.0999999999999996" customHeight="1" x14ac:dyDescent="0.25"/>
    <row r="10" spans="2:12" x14ac:dyDescent="0.25">
      <c r="B10" s="779" t="s">
        <v>37</v>
      </c>
      <c r="C10" s="780"/>
      <c r="D10" s="780"/>
      <c r="E10" s="781"/>
      <c r="F10" s="53" t="s">
        <v>38</v>
      </c>
      <c r="I10" s="46"/>
    </row>
    <row r="11" spans="2:12" x14ac:dyDescent="0.25">
      <c r="B11" s="782" t="s">
        <v>40</v>
      </c>
      <c r="C11" s="783"/>
      <c r="D11" s="783"/>
      <c r="E11" s="784"/>
      <c r="F11" s="782" t="s">
        <v>41</v>
      </c>
      <c r="G11" s="783"/>
      <c r="H11" s="783"/>
      <c r="I11" s="784"/>
    </row>
    <row r="13" spans="2:12" x14ac:dyDescent="0.25">
      <c r="B13" s="785" t="s">
        <v>43</v>
      </c>
      <c r="C13" s="787" t="s">
        <v>49</v>
      </c>
      <c r="D13" s="788"/>
      <c r="E13" s="791" t="s">
        <v>50</v>
      </c>
      <c r="F13" s="792"/>
      <c r="G13" s="793"/>
      <c r="H13" s="787" t="s">
        <v>51</v>
      </c>
      <c r="I13" s="788"/>
    </row>
    <row r="14" spans="2:12" ht="18" customHeight="1" x14ac:dyDescent="0.25">
      <c r="B14" s="786"/>
      <c r="C14" s="789"/>
      <c r="D14" s="790"/>
      <c r="E14" s="54" t="s">
        <v>52</v>
      </c>
      <c r="F14" s="54" t="s">
        <v>53</v>
      </c>
      <c r="G14" s="55" t="s">
        <v>54</v>
      </c>
      <c r="H14" s="789"/>
      <c r="I14" s="790"/>
      <c r="K14" s="14"/>
      <c r="L14" s="14" t="e">
        <f>L15-E20</f>
        <v>#REF!</v>
      </c>
    </row>
    <row r="15" spans="2:12" ht="18" customHeight="1" x14ac:dyDescent="0.25">
      <c r="B15" s="92">
        <v>1</v>
      </c>
      <c r="C15" s="774" t="s">
        <v>56</v>
      </c>
      <c r="D15" s="775"/>
      <c r="E15" s="56" t="e">
        <f>H15*$L$22</f>
        <v>#REF!</v>
      </c>
      <c r="F15" s="56" t="e">
        <f>H15-E15</f>
        <v>#REF!</v>
      </c>
      <c r="G15" s="57"/>
      <c r="H15" s="776" t="e">
        <f>ORÇAMENTO!#REF!</f>
        <v>#REF!</v>
      </c>
      <c r="I15" s="777"/>
      <c r="K15" s="14"/>
      <c r="L15" s="58">
        <f>300000</f>
        <v>300000</v>
      </c>
    </row>
    <row r="16" spans="2:12" ht="18" customHeight="1" x14ac:dyDescent="0.25">
      <c r="B16" s="92">
        <v>2</v>
      </c>
      <c r="C16" s="775" t="s">
        <v>57</v>
      </c>
      <c r="D16" s="775"/>
      <c r="E16" s="56" t="e">
        <f>H16*$L$22</f>
        <v>#REF!</v>
      </c>
      <c r="F16" s="56" t="e">
        <f>H16-E16</f>
        <v>#REF!</v>
      </c>
      <c r="G16" s="60"/>
      <c r="H16" s="776" t="e">
        <f>ORÇAMENTO!#REF!</f>
        <v>#REF!</v>
      </c>
      <c r="I16" s="777"/>
    </row>
    <row r="17" spans="2:12" ht="18" customHeight="1" x14ac:dyDescent="0.25">
      <c r="B17" s="92">
        <v>3</v>
      </c>
      <c r="C17" s="89" t="s">
        <v>77</v>
      </c>
      <c r="D17" s="90"/>
      <c r="E17" s="56" t="e">
        <f>H17*$L$22</f>
        <v>#REF!</v>
      </c>
      <c r="F17" s="56" t="e">
        <f>H17-E17</f>
        <v>#REF!</v>
      </c>
      <c r="G17" s="60"/>
      <c r="H17" s="800" t="e">
        <f>ORÇAMENTO!#REF!</f>
        <v>#REF!</v>
      </c>
      <c r="I17" s="801"/>
      <c r="J17" s="91"/>
      <c r="K17" s="14"/>
      <c r="L17" s="14"/>
    </row>
    <row r="18" spans="2:12" ht="18" customHeight="1" x14ac:dyDescent="0.25">
      <c r="B18" s="92">
        <v>4</v>
      </c>
      <c r="C18" s="775" t="s">
        <v>76</v>
      </c>
      <c r="D18" s="775"/>
      <c r="E18" s="56" t="e">
        <f>H18*$L$22</f>
        <v>#REF!</v>
      </c>
      <c r="F18" s="56" t="e">
        <f>H18-E18</f>
        <v>#REF!</v>
      </c>
      <c r="G18" s="60"/>
      <c r="H18" s="776" t="e">
        <f>ORÇAMENTO!#REF!</f>
        <v>#REF!</v>
      </c>
      <c r="I18" s="777"/>
      <c r="K18" s="14"/>
      <c r="L18" s="14">
        <v>296419</v>
      </c>
    </row>
    <row r="19" spans="2:12" ht="8.25" customHeight="1" x14ac:dyDescent="0.25">
      <c r="B19" s="59"/>
      <c r="C19" s="794"/>
      <c r="D19" s="795"/>
      <c r="E19" s="61"/>
      <c r="F19" s="62"/>
      <c r="G19" s="60"/>
      <c r="H19" s="796"/>
      <c r="I19" s="797"/>
    </row>
    <row r="20" spans="2:12" ht="18" customHeight="1" x14ac:dyDescent="0.25">
      <c r="B20" s="63" t="s">
        <v>44</v>
      </c>
      <c r="C20" s="798"/>
      <c r="D20" s="799"/>
      <c r="E20" s="56" t="e">
        <f>ROUND(SUM(E15:E19),2)</f>
        <v>#REF!</v>
      </c>
      <c r="F20" s="56" t="e">
        <f>ROUND(SUM(F15:F19),2)</f>
        <v>#REF!</v>
      </c>
      <c r="G20" s="57">
        <v>0</v>
      </c>
      <c r="H20" s="776" t="e">
        <f>ROUND((SUM(H15:I19)),2)</f>
        <v>#REF!</v>
      </c>
      <c r="I20" s="777"/>
      <c r="K20" s="14"/>
      <c r="L20" s="14">
        <f>300000-L18</f>
        <v>3581</v>
      </c>
    </row>
    <row r="21" spans="2:12" x14ac:dyDescent="0.25">
      <c r="B21" s="64"/>
      <c r="C21" s="19"/>
      <c r="D21" s="19"/>
      <c r="G21" s="65"/>
      <c r="H21" s="66"/>
      <c r="I21" s="66"/>
    </row>
    <row r="22" spans="2:12" x14ac:dyDescent="0.25">
      <c r="L22" t="e">
        <f>L18/H20</f>
        <v>#REF!</v>
      </c>
    </row>
    <row r="23" spans="2:12" x14ac:dyDescent="0.25">
      <c r="I23" s="14" t="e">
        <f>H16+H17+H18</f>
        <v>#REF!</v>
      </c>
      <c r="L23">
        <v>1</v>
      </c>
    </row>
    <row r="25" spans="2:12" x14ac:dyDescent="0.25">
      <c r="L25" s="14" t="e">
        <f>H20-300000</f>
        <v>#REF!</v>
      </c>
    </row>
    <row r="27" spans="2:12" x14ac:dyDescent="0.25">
      <c r="L27" s="14"/>
    </row>
  </sheetData>
  <mergeCells count="19">
    <mergeCell ref="C19:D19"/>
    <mergeCell ref="H19:I19"/>
    <mergeCell ref="C20:D20"/>
    <mergeCell ref="H20:I20"/>
    <mergeCell ref="C16:D16"/>
    <mergeCell ref="H16:I16"/>
    <mergeCell ref="C18:D18"/>
    <mergeCell ref="H18:I18"/>
    <mergeCell ref="H17:I17"/>
    <mergeCell ref="C15:D15"/>
    <mergeCell ref="H15:I15"/>
    <mergeCell ref="D2:I2"/>
    <mergeCell ref="B10:E10"/>
    <mergeCell ref="B11:E11"/>
    <mergeCell ref="F11:I11"/>
    <mergeCell ref="B13:B14"/>
    <mergeCell ref="C13:D14"/>
    <mergeCell ref="E13:G13"/>
    <mergeCell ref="H13:I14"/>
  </mergeCells>
  <pageMargins left="0.511811024" right="0.511811024" top="0.78740157499999996" bottom="0.78740157499999996" header="0.31496062000000002" footer="0.31496062000000002"/>
  <pageSetup paperSize="9" scale="86" orientation="portrait" horizontalDpi="4294967293" verticalDpi="4294967293" r:id="rId1"/>
  <colBreaks count="1" manualBreakCount="1">
    <brk id="9"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dimension ref="B1:F22"/>
  <sheetViews>
    <sheetView showGridLines="0" topLeftCell="A13" workbookViewId="0">
      <selection activeCell="B4" sqref="B4"/>
    </sheetView>
  </sheetViews>
  <sheetFormatPr defaultRowHeight="13.2" x14ac:dyDescent="0.25"/>
  <cols>
    <col min="1" max="1" width="1.109375" customWidth="1"/>
    <col min="2" max="2" width="64.44140625" customWidth="1"/>
    <col min="3" max="3" width="1.5546875" customWidth="1"/>
    <col min="4" max="4" width="5.5546875" customWidth="1"/>
    <col min="5" max="6" width="16" customWidth="1"/>
  </cols>
  <sheetData>
    <row r="1" spans="2:6" ht="26.4" x14ac:dyDescent="0.25">
      <c r="B1" s="68" t="s">
        <v>58</v>
      </c>
      <c r="C1" s="68"/>
      <c r="D1" s="77"/>
      <c r="E1" s="77"/>
      <c r="F1" s="77"/>
    </row>
    <row r="2" spans="2:6" x14ac:dyDescent="0.25">
      <c r="B2" s="68" t="s">
        <v>59</v>
      </c>
      <c r="C2" s="68"/>
      <c r="D2" s="77"/>
      <c r="E2" s="77"/>
      <c r="F2" s="77"/>
    </row>
    <row r="3" spans="2:6" x14ac:dyDescent="0.25">
      <c r="B3" s="69"/>
      <c r="C3" s="69"/>
      <c r="D3" s="78"/>
      <c r="E3" s="78"/>
      <c r="F3" s="78"/>
    </row>
    <row r="4" spans="2:6" ht="52.8" x14ac:dyDescent="0.25">
      <c r="B4" s="69" t="s">
        <v>60</v>
      </c>
      <c r="C4" s="69"/>
      <c r="D4" s="78"/>
      <c r="E4" s="78"/>
      <c r="F4" s="78"/>
    </row>
    <row r="5" spans="2:6" x14ac:dyDescent="0.25">
      <c r="B5" s="69"/>
      <c r="C5" s="69"/>
      <c r="D5" s="78"/>
      <c r="E5" s="78"/>
      <c r="F5" s="78"/>
    </row>
    <row r="6" spans="2:6" ht="26.4" x14ac:dyDescent="0.25">
      <c r="B6" s="68" t="s">
        <v>61</v>
      </c>
      <c r="C6" s="68"/>
      <c r="D6" s="77"/>
      <c r="E6" s="77" t="s">
        <v>62</v>
      </c>
      <c r="F6" s="77" t="s">
        <v>63</v>
      </c>
    </row>
    <row r="7" spans="2:6" ht="13.8" thickBot="1" x14ac:dyDescent="0.3">
      <c r="B7" s="69"/>
      <c r="C7" s="69"/>
      <c r="D7" s="78"/>
      <c r="E7" s="78"/>
      <c r="F7" s="78"/>
    </row>
    <row r="8" spans="2:6" ht="26.4" x14ac:dyDescent="0.25">
      <c r="B8" s="70" t="s">
        <v>64</v>
      </c>
      <c r="C8" s="71"/>
      <c r="D8" s="79"/>
      <c r="E8" s="79">
        <v>5</v>
      </c>
      <c r="F8" s="80"/>
    </row>
    <row r="9" spans="2:6" ht="52.8" x14ac:dyDescent="0.25">
      <c r="B9" s="72"/>
      <c r="C9" s="69"/>
      <c r="D9" s="78"/>
      <c r="E9" s="81" t="s">
        <v>65</v>
      </c>
      <c r="F9" s="82" t="s">
        <v>66</v>
      </c>
    </row>
    <row r="10" spans="2:6" ht="52.8" x14ac:dyDescent="0.25">
      <c r="B10" s="72"/>
      <c r="C10" s="69"/>
      <c r="D10" s="78"/>
      <c r="E10" s="81" t="s">
        <v>67</v>
      </c>
      <c r="F10" s="82" t="s">
        <v>66</v>
      </c>
    </row>
    <row r="11" spans="2:6" ht="26.4" x14ac:dyDescent="0.25">
      <c r="B11" s="72"/>
      <c r="C11" s="69"/>
      <c r="D11" s="78"/>
      <c r="E11" s="81" t="s">
        <v>68</v>
      </c>
      <c r="F11" s="82" t="s">
        <v>66</v>
      </c>
    </row>
    <row r="12" spans="2:6" ht="39.6" x14ac:dyDescent="0.25">
      <c r="B12" s="72"/>
      <c r="C12" s="69"/>
      <c r="D12" s="78"/>
      <c r="E12" s="81" t="s">
        <v>69</v>
      </c>
      <c r="F12" s="82" t="s">
        <v>66</v>
      </c>
    </row>
    <row r="13" spans="2:6" ht="13.8" thickBot="1" x14ac:dyDescent="0.3">
      <c r="B13" s="73"/>
      <c r="C13" s="74"/>
      <c r="D13" s="83"/>
      <c r="E13" s="84" t="s">
        <v>70</v>
      </c>
      <c r="F13" s="85" t="s">
        <v>66</v>
      </c>
    </row>
    <row r="14" spans="2:6" x14ac:dyDescent="0.25">
      <c r="B14" s="69"/>
      <c r="C14" s="69"/>
      <c r="D14" s="78"/>
      <c r="E14" s="78"/>
      <c r="F14" s="78"/>
    </row>
    <row r="15" spans="2:6" x14ac:dyDescent="0.25">
      <c r="B15" s="69"/>
      <c r="C15" s="69"/>
      <c r="D15" s="78"/>
      <c r="E15" s="78"/>
      <c r="F15" s="78"/>
    </row>
    <row r="16" spans="2:6" x14ac:dyDescent="0.25">
      <c r="B16" s="68" t="s">
        <v>71</v>
      </c>
      <c r="C16" s="68"/>
      <c r="D16" s="77"/>
      <c r="E16" s="77"/>
      <c r="F16" s="77"/>
    </row>
    <row r="17" spans="2:6" ht="13.8" thickBot="1" x14ac:dyDescent="0.3">
      <c r="B17" s="69"/>
      <c r="C17" s="69"/>
      <c r="D17" s="78"/>
      <c r="E17" s="78"/>
      <c r="F17" s="78"/>
    </row>
    <row r="18" spans="2:6" ht="52.8" x14ac:dyDescent="0.25">
      <c r="B18" s="70" t="s">
        <v>72</v>
      </c>
      <c r="C18" s="71"/>
      <c r="D18" s="79"/>
      <c r="E18" s="79">
        <v>1</v>
      </c>
      <c r="F18" s="80"/>
    </row>
    <row r="19" spans="2:6" ht="27" thickBot="1" x14ac:dyDescent="0.3">
      <c r="B19" s="73"/>
      <c r="C19" s="74"/>
      <c r="D19" s="83"/>
      <c r="E19" s="84" t="s">
        <v>73</v>
      </c>
      <c r="F19" s="85" t="s">
        <v>66</v>
      </c>
    </row>
    <row r="20" spans="2:6" ht="13.8" thickBot="1" x14ac:dyDescent="0.3">
      <c r="B20" s="69"/>
      <c r="C20" s="69"/>
      <c r="D20" s="78"/>
      <c r="E20" s="78"/>
      <c r="F20" s="78"/>
    </row>
    <row r="21" spans="2:6" ht="40.200000000000003" thickBot="1" x14ac:dyDescent="0.3">
      <c r="B21" s="75" t="s">
        <v>74</v>
      </c>
      <c r="C21" s="76"/>
      <c r="D21" s="86"/>
      <c r="E21" s="86">
        <v>10</v>
      </c>
      <c r="F21" s="87" t="s">
        <v>66</v>
      </c>
    </row>
    <row r="22" spans="2:6" x14ac:dyDescent="0.25">
      <c r="B22" s="69"/>
      <c r="C22" s="69"/>
      <c r="D22" s="78"/>
      <c r="E22" s="78"/>
      <c r="F22" s="78"/>
    </row>
  </sheetData>
  <hyperlinks>
    <hyperlink ref="E9" location="'ORÇAMENTO MARCONDES BALDUINO'!A1:K49" display="'ORÇAMENTO MARCONDES BALDUINO'!A1:K49"/>
    <hyperlink ref="E10" location="'ORÇAMENTO_ROBERTA BALDUINO'!A1:I48" display="'ORÇAMENTO_ROBERTA BALDUINO'!A1:I48"/>
    <hyperlink ref="E11" location="'ORÇAMENTO_PROJETADA'!A1:I48" display="'ORÇAMENTO_PROJETADA'!A1:I48"/>
    <hyperlink ref="E12" location="'ORÇAMENTO_JOSÉ_PEDRO'!A1:I48" display="'ORÇAMENTO_JOSÉ_PEDRO'!A1:I48"/>
    <hyperlink ref="E13" location="'QCI'!B2:L27" display="'QCI'!B2:L27"/>
    <hyperlink ref="E19" location="'CRONOGRAMA_CAIXA'!C18" display="'CRONOGRAMA_CAIXA'!C18"/>
  </hyperlink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B1:F22"/>
  <sheetViews>
    <sheetView showGridLines="0" workbookViewId="0">
      <selection activeCell="E9" sqref="E9"/>
    </sheetView>
  </sheetViews>
  <sheetFormatPr defaultRowHeight="13.2" x14ac:dyDescent="0.25"/>
  <cols>
    <col min="1" max="1" width="1.109375" customWidth="1"/>
    <col min="2" max="2" width="64.44140625" customWidth="1"/>
    <col min="3" max="3" width="1.5546875" customWidth="1"/>
    <col min="4" max="4" width="5.5546875" customWidth="1"/>
    <col min="5" max="6" width="16" customWidth="1"/>
  </cols>
  <sheetData>
    <row r="1" spans="2:6" ht="26.4" x14ac:dyDescent="0.25">
      <c r="B1" s="68" t="s">
        <v>58</v>
      </c>
      <c r="C1" s="68"/>
      <c r="D1" s="77"/>
      <c r="E1" s="77"/>
      <c r="F1" s="77"/>
    </row>
    <row r="2" spans="2:6" x14ac:dyDescent="0.25">
      <c r="B2" s="68" t="s">
        <v>75</v>
      </c>
      <c r="C2" s="68"/>
      <c r="D2" s="77"/>
      <c r="E2" s="77"/>
      <c r="F2" s="77"/>
    </row>
    <row r="3" spans="2:6" x14ac:dyDescent="0.25">
      <c r="B3" s="69"/>
      <c r="C3" s="69"/>
      <c r="D3" s="78"/>
      <c r="E3" s="78"/>
      <c r="F3" s="78"/>
    </row>
    <row r="4" spans="2:6" ht="52.8" x14ac:dyDescent="0.25">
      <c r="B4" s="69" t="s">
        <v>60</v>
      </c>
      <c r="C4" s="69"/>
      <c r="D4" s="78"/>
      <c r="E4" s="78"/>
      <c r="F4" s="78"/>
    </row>
    <row r="5" spans="2:6" x14ac:dyDescent="0.25">
      <c r="B5" s="69"/>
      <c r="C5" s="69"/>
      <c r="D5" s="78"/>
      <c r="E5" s="78"/>
      <c r="F5" s="78"/>
    </row>
    <row r="6" spans="2:6" ht="26.4" x14ac:dyDescent="0.25">
      <c r="B6" s="68" t="s">
        <v>61</v>
      </c>
      <c r="C6" s="68"/>
      <c r="D6" s="77"/>
      <c r="E6" s="77" t="s">
        <v>62</v>
      </c>
      <c r="F6" s="77" t="s">
        <v>63</v>
      </c>
    </row>
    <row r="7" spans="2:6" ht="13.8" thickBot="1" x14ac:dyDescent="0.3">
      <c r="B7" s="69"/>
      <c r="C7" s="69"/>
      <c r="D7" s="78"/>
      <c r="E7" s="78"/>
      <c r="F7" s="78"/>
    </row>
    <row r="8" spans="2:6" ht="26.4" x14ac:dyDescent="0.25">
      <c r="B8" s="70" t="s">
        <v>64</v>
      </c>
      <c r="C8" s="71"/>
      <c r="D8" s="79"/>
      <c r="E8" s="79">
        <v>5</v>
      </c>
      <c r="F8" s="80"/>
    </row>
    <row r="9" spans="2:6" ht="52.8" x14ac:dyDescent="0.25">
      <c r="B9" s="72"/>
      <c r="C9" s="69"/>
      <c r="D9" s="78"/>
      <c r="E9" s="81" t="s">
        <v>65</v>
      </c>
      <c r="F9" s="82" t="s">
        <v>66</v>
      </c>
    </row>
    <row r="10" spans="2:6" ht="52.8" x14ac:dyDescent="0.25">
      <c r="B10" s="72"/>
      <c r="C10" s="69"/>
      <c r="D10" s="78"/>
      <c r="E10" s="81" t="s">
        <v>67</v>
      </c>
      <c r="F10" s="82" t="s">
        <v>66</v>
      </c>
    </row>
    <row r="11" spans="2:6" ht="26.4" x14ac:dyDescent="0.25">
      <c r="B11" s="72"/>
      <c r="C11" s="69"/>
      <c r="D11" s="78"/>
      <c r="E11" s="81" t="s">
        <v>68</v>
      </c>
      <c r="F11" s="82" t="s">
        <v>66</v>
      </c>
    </row>
    <row r="12" spans="2:6" ht="39.6" x14ac:dyDescent="0.25">
      <c r="B12" s="72"/>
      <c r="C12" s="69"/>
      <c r="D12" s="78"/>
      <c r="E12" s="81" t="s">
        <v>69</v>
      </c>
      <c r="F12" s="82" t="s">
        <v>66</v>
      </c>
    </row>
    <row r="13" spans="2:6" ht="13.8" thickBot="1" x14ac:dyDescent="0.3">
      <c r="B13" s="73"/>
      <c r="C13" s="74"/>
      <c r="D13" s="83"/>
      <c r="E13" s="84" t="s">
        <v>70</v>
      </c>
      <c r="F13" s="85" t="s">
        <v>66</v>
      </c>
    </row>
    <row r="14" spans="2:6" x14ac:dyDescent="0.25">
      <c r="B14" s="69"/>
      <c r="C14" s="69"/>
      <c r="D14" s="78"/>
      <c r="E14" s="78"/>
      <c r="F14" s="78"/>
    </row>
    <row r="15" spans="2:6" x14ac:dyDescent="0.25">
      <c r="B15" s="69"/>
      <c r="C15" s="69"/>
      <c r="D15" s="78"/>
      <c r="E15" s="78"/>
      <c r="F15" s="78"/>
    </row>
    <row r="16" spans="2:6" x14ac:dyDescent="0.25">
      <c r="B16" s="68" t="s">
        <v>71</v>
      </c>
      <c r="C16" s="68"/>
      <c r="D16" s="77"/>
      <c r="E16" s="77"/>
      <c r="F16" s="77"/>
    </row>
    <row r="17" spans="2:6" ht="13.8" thickBot="1" x14ac:dyDescent="0.3">
      <c r="B17" s="69"/>
      <c r="C17" s="69"/>
      <c r="D17" s="78"/>
      <c r="E17" s="78"/>
      <c r="F17" s="78"/>
    </row>
    <row r="18" spans="2:6" ht="52.8" x14ac:dyDescent="0.25">
      <c r="B18" s="70" t="s">
        <v>72</v>
      </c>
      <c r="C18" s="71"/>
      <c r="D18" s="79"/>
      <c r="E18" s="79">
        <v>1</v>
      </c>
      <c r="F18" s="80"/>
    </row>
    <row r="19" spans="2:6" ht="27" thickBot="1" x14ac:dyDescent="0.3">
      <c r="B19" s="73"/>
      <c r="C19" s="74"/>
      <c r="D19" s="83"/>
      <c r="E19" s="84" t="s">
        <v>73</v>
      </c>
      <c r="F19" s="85" t="s">
        <v>66</v>
      </c>
    </row>
    <row r="20" spans="2:6" ht="13.8" thickBot="1" x14ac:dyDescent="0.3">
      <c r="B20" s="69"/>
      <c r="C20" s="69"/>
      <c r="D20" s="78"/>
      <c r="E20" s="78"/>
      <c r="F20" s="78"/>
    </row>
    <row r="21" spans="2:6" ht="40.200000000000003" thickBot="1" x14ac:dyDescent="0.3">
      <c r="B21" s="75" t="s">
        <v>74</v>
      </c>
      <c r="C21" s="76"/>
      <c r="D21" s="86"/>
      <c r="E21" s="86">
        <v>10</v>
      </c>
      <c r="F21" s="87" t="s">
        <v>66</v>
      </c>
    </row>
    <row r="22" spans="2:6" x14ac:dyDescent="0.25">
      <c r="B22" s="69"/>
      <c r="C22" s="69"/>
      <c r="D22" s="78"/>
      <c r="E22" s="78"/>
      <c r="F22" s="78"/>
    </row>
  </sheetData>
  <hyperlinks>
    <hyperlink ref="E9" location="'ORÇAMENTO MARCONDES BALDUINO'!A1:K49" display="'ORÇAMENTO MARCONDES BALDUINO'!A1:K49"/>
    <hyperlink ref="E10" location="'ORÇAMENTO_ROBERTA BALDUINO'!A1:I48" display="'ORÇAMENTO_ROBERTA BALDUINO'!A1:I48"/>
    <hyperlink ref="E11" location="'ORÇAMENTO_PROJETADA'!A1:I48" display="'ORÇAMENTO_PROJETADA'!A1:I48"/>
    <hyperlink ref="E12" location="'ORÇAMENTO_JOSÉ_PEDRO'!A1:I48" display="'ORÇAMENTO_JOSÉ_PEDRO'!A1:I48"/>
    <hyperlink ref="E13" location="'QCI'!B2:L27" display="'QCI'!B2:L27"/>
    <hyperlink ref="E19" location="'CRONOGRAMA_CAIXA'!C18" display="'CRONOGRAMA_CAIXA'!C18"/>
  </hyperlink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9</vt:i4>
      </vt:variant>
    </vt:vector>
  </HeadingPairs>
  <TitlesOfParts>
    <vt:vector size="17" baseType="lpstr">
      <vt:lpstr>BDI</vt:lpstr>
      <vt:lpstr>ORÇAMENTO</vt:lpstr>
      <vt:lpstr>MEMÓRIA_</vt:lpstr>
      <vt:lpstr>CPU </vt:lpstr>
      <vt:lpstr>COTAÇÃO </vt:lpstr>
      <vt:lpstr>QCI</vt:lpstr>
      <vt:lpstr>Relatório de Compatibilidade</vt:lpstr>
      <vt:lpstr>Relatório de Compatibilidade (1</vt:lpstr>
      <vt:lpstr>BDI!Area_de_impressao</vt:lpstr>
      <vt:lpstr>'COTAÇÃO '!Area_de_impressao</vt:lpstr>
      <vt:lpstr>'CPU '!Area_de_impressao</vt:lpstr>
      <vt:lpstr>MEMÓRIA_!Area_de_impressao</vt:lpstr>
      <vt:lpstr>ORÇAMENTO!Area_de_impressao</vt:lpstr>
      <vt:lpstr>QCI!Area_de_impressao</vt:lpstr>
      <vt:lpstr>'CPU '!Titulos_de_impressao</vt:lpstr>
      <vt:lpstr>MEMÓRIA_!Titulos_de_impressao</vt:lpstr>
      <vt:lpstr>ORÇAMENTO!Titulos_de_impressao</vt:lpstr>
    </vt:vector>
  </TitlesOfParts>
  <Company>PC Software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Projetos</dc:creator>
  <cp:lastModifiedBy>seinf</cp:lastModifiedBy>
  <cp:lastPrinted>2024-02-24T23:56:53Z</cp:lastPrinted>
  <dcterms:created xsi:type="dcterms:W3CDTF">2001-03-04T19:40:17Z</dcterms:created>
  <dcterms:modified xsi:type="dcterms:W3CDTF">2024-02-24T23:57:24Z</dcterms:modified>
</cp:coreProperties>
</file>